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57836B6B-26E6-46BB-8B2F-454FF43FCE9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WD" sheetId="1" r:id="rId1"/>
    <sheet name="DEF" sheetId="2" r:id="rId2"/>
    <sheet name="MID" sheetId="3" r:id="rId3"/>
  </sheets>
  <definedNames>
    <definedName name="_xlnm._FilterDatabase" localSheetId="1" hidden="1">DEF!$A$1:$BZ$165</definedName>
    <definedName name="_xlnm._FilterDatabase" localSheetId="0" hidden="1">FWD!$A$1:$BZ$68</definedName>
    <definedName name="_xlnm._FilterDatabase" localSheetId="2" hidden="1">MID!$A$1:$BZ$1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194" i="3" l="1"/>
  <c r="BV194" i="3"/>
  <c r="BU194" i="3"/>
  <c r="BW194" i="3" s="1"/>
  <c r="BQ194" i="3"/>
  <c r="BS194" i="3" s="1"/>
  <c r="BT194" i="3" s="1"/>
  <c r="BP194" i="3"/>
  <c r="BO194" i="3"/>
  <c r="BN194" i="3"/>
  <c r="BM194" i="3"/>
  <c r="BL194" i="3"/>
  <c r="BK194" i="3"/>
  <c r="BJ194" i="3"/>
  <c r="BR194" i="3" s="1"/>
  <c r="BI194" i="3"/>
  <c r="BH194" i="3"/>
  <c r="BG194" i="3"/>
  <c r="BF194" i="3"/>
  <c r="BE194" i="3"/>
  <c r="BD194" i="3"/>
  <c r="BC194" i="3"/>
  <c r="BB194" i="3"/>
  <c r="BA194" i="3"/>
  <c r="AY194" i="3"/>
  <c r="AX194" i="3"/>
  <c r="AW194" i="3"/>
  <c r="AV194" i="3"/>
  <c r="AU194" i="3"/>
  <c r="AR194" i="3"/>
  <c r="AP194" i="3"/>
  <c r="AM194" i="3"/>
  <c r="AL194" i="3"/>
  <c r="AN194" i="3" s="1"/>
  <c r="AI194" i="3"/>
  <c r="AH194" i="3"/>
  <c r="AG194" i="3"/>
  <c r="AA194" i="3"/>
  <c r="W194" i="3"/>
  <c r="V194" i="3"/>
  <c r="T194" i="3"/>
  <c r="R194" i="3"/>
  <c r="P194" i="3"/>
  <c r="J194" i="3"/>
  <c r="AZ194" i="3" s="1"/>
  <c r="BZ193" i="3"/>
  <c r="BV193" i="3"/>
  <c r="BU193" i="3"/>
  <c r="BW193" i="3" s="1"/>
  <c r="BQ193" i="3"/>
  <c r="BS193" i="3" s="1"/>
  <c r="BT193" i="3" s="1"/>
  <c r="BP193" i="3"/>
  <c r="BO193" i="3"/>
  <c r="BN193" i="3"/>
  <c r="BL193" i="3"/>
  <c r="BK193" i="3"/>
  <c r="BJ193" i="3"/>
  <c r="BR193" i="3" s="1"/>
  <c r="BI193" i="3"/>
  <c r="BH193" i="3"/>
  <c r="BG193" i="3"/>
  <c r="BF193" i="3"/>
  <c r="BE193" i="3"/>
  <c r="BD193" i="3"/>
  <c r="BC193" i="3"/>
  <c r="BB193" i="3"/>
  <c r="BA193" i="3"/>
  <c r="AY193" i="3"/>
  <c r="AX193" i="3"/>
  <c r="AW193" i="3"/>
  <c r="AV193" i="3"/>
  <c r="AU193" i="3"/>
  <c r="AR193" i="3"/>
  <c r="AP193" i="3"/>
  <c r="AM193" i="3"/>
  <c r="AL193" i="3"/>
  <c r="AN193" i="3" s="1"/>
  <c r="AI193" i="3"/>
  <c r="AH193" i="3"/>
  <c r="BM193" i="3" s="1"/>
  <c r="AG193" i="3"/>
  <c r="AA193" i="3"/>
  <c r="W193" i="3"/>
  <c r="V193" i="3"/>
  <c r="T193" i="3"/>
  <c r="R193" i="3"/>
  <c r="P193" i="3"/>
  <c r="J193" i="3"/>
  <c r="AZ193" i="3" s="1"/>
  <c r="BZ192" i="3"/>
  <c r="BW192" i="3"/>
  <c r="BV192" i="3"/>
  <c r="BU192" i="3"/>
  <c r="BQ192" i="3"/>
  <c r="BP192" i="3"/>
  <c r="BO192" i="3"/>
  <c r="BN192" i="3"/>
  <c r="BL192" i="3"/>
  <c r="BK192" i="3"/>
  <c r="BJ192" i="3"/>
  <c r="BR192" i="3" s="1"/>
  <c r="BS192" i="3" s="1"/>
  <c r="BT192" i="3" s="1"/>
  <c r="BI192" i="3"/>
  <c r="BH192" i="3"/>
  <c r="BG192" i="3"/>
  <c r="BF192" i="3"/>
  <c r="BE192" i="3"/>
  <c r="BD192" i="3"/>
  <c r="BC192" i="3"/>
  <c r="BB192" i="3"/>
  <c r="BA192" i="3"/>
  <c r="AY192" i="3"/>
  <c r="AX192" i="3"/>
  <c r="AW192" i="3"/>
  <c r="AV192" i="3"/>
  <c r="AU192" i="3"/>
  <c r="AR192" i="3"/>
  <c r="AP192" i="3"/>
  <c r="AM192" i="3"/>
  <c r="AL192" i="3"/>
  <c r="AN192" i="3" s="1"/>
  <c r="AI192" i="3"/>
  <c r="AH192" i="3"/>
  <c r="BM192" i="3" s="1"/>
  <c r="AG192" i="3"/>
  <c r="AA192" i="3"/>
  <c r="W192" i="3"/>
  <c r="V192" i="3"/>
  <c r="T192" i="3"/>
  <c r="R192" i="3"/>
  <c r="P192" i="3"/>
  <c r="J192" i="3"/>
  <c r="AZ192" i="3" s="1"/>
  <c r="BZ191" i="3"/>
  <c r="BW191" i="3"/>
  <c r="BV191" i="3"/>
  <c r="BU191" i="3"/>
  <c r="BQ191" i="3"/>
  <c r="BP191" i="3"/>
  <c r="BO191" i="3"/>
  <c r="BN191" i="3"/>
  <c r="BL191" i="3"/>
  <c r="BK191" i="3"/>
  <c r="BJ191" i="3"/>
  <c r="BR191" i="3" s="1"/>
  <c r="BS191" i="3" s="1"/>
  <c r="BT191" i="3" s="1"/>
  <c r="BI191" i="3"/>
  <c r="BH191" i="3"/>
  <c r="BG191" i="3"/>
  <c r="BF191" i="3"/>
  <c r="BE191" i="3"/>
  <c r="BD191" i="3"/>
  <c r="BC191" i="3"/>
  <c r="BB191" i="3"/>
  <c r="BA191" i="3"/>
  <c r="AY191" i="3"/>
  <c r="AX191" i="3"/>
  <c r="AW191" i="3"/>
  <c r="AV191" i="3"/>
  <c r="AU191" i="3"/>
  <c r="AR191" i="3"/>
  <c r="AP191" i="3"/>
  <c r="AN191" i="3"/>
  <c r="AM191" i="3"/>
  <c r="AL191" i="3"/>
  <c r="AH191" i="3"/>
  <c r="AG191" i="3" s="1"/>
  <c r="AA191" i="3"/>
  <c r="W191" i="3"/>
  <c r="V191" i="3"/>
  <c r="T191" i="3"/>
  <c r="R191" i="3"/>
  <c r="P191" i="3"/>
  <c r="J191" i="3"/>
  <c r="AZ191" i="3" s="1"/>
  <c r="BZ190" i="3"/>
  <c r="BV190" i="3"/>
  <c r="BU190" i="3"/>
  <c r="BW190" i="3" s="1"/>
  <c r="BQ190" i="3"/>
  <c r="BS190" i="3" s="1"/>
  <c r="BT190" i="3" s="1"/>
  <c r="BP190" i="3"/>
  <c r="BO190" i="3"/>
  <c r="BN190" i="3"/>
  <c r="BM190" i="3"/>
  <c r="BL190" i="3"/>
  <c r="BK190" i="3"/>
  <c r="BJ190" i="3"/>
  <c r="BR190" i="3" s="1"/>
  <c r="BI190" i="3"/>
  <c r="BH190" i="3"/>
  <c r="BG190" i="3"/>
  <c r="BF190" i="3"/>
  <c r="BE190" i="3"/>
  <c r="BD190" i="3"/>
  <c r="BC190" i="3"/>
  <c r="BB190" i="3"/>
  <c r="BA190" i="3"/>
  <c r="AY190" i="3"/>
  <c r="AX190" i="3"/>
  <c r="AW190" i="3"/>
  <c r="AV190" i="3"/>
  <c r="AU190" i="3"/>
  <c r="AR190" i="3"/>
  <c r="AP190" i="3"/>
  <c r="AN190" i="3"/>
  <c r="AM190" i="3"/>
  <c r="AL190" i="3"/>
  <c r="AI190" i="3"/>
  <c r="AH190" i="3"/>
  <c r="AG190" i="3" s="1"/>
  <c r="AA190" i="3"/>
  <c r="W190" i="3"/>
  <c r="V190" i="3"/>
  <c r="T190" i="3"/>
  <c r="R190" i="3"/>
  <c r="P190" i="3"/>
  <c r="J190" i="3"/>
  <c r="AZ190" i="3" s="1"/>
  <c r="BZ189" i="3"/>
  <c r="BV189" i="3"/>
  <c r="BU189" i="3"/>
  <c r="BW189" i="3" s="1"/>
  <c r="BQ189" i="3"/>
  <c r="BP189" i="3"/>
  <c r="BO189" i="3"/>
  <c r="BN189" i="3"/>
  <c r="BM189" i="3"/>
  <c r="BL189" i="3"/>
  <c r="BK189" i="3"/>
  <c r="BJ189" i="3"/>
  <c r="BR189" i="3" s="1"/>
  <c r="BI189" i="3"/>
  <c r="BH189" i="3"/>
  <c r="BG189" i="3"/>
  <c r="BF189" i="3"/>
  <c r="BE189" i="3"/>
  <c r="BD189" i="3"/>
  <c r="BC189" i="3"/>
  <c r="BB189" i="3"/>
  <c r="BA189" i="3"/>
  <c r="AY189" i="3"/>
  <c r="AX189" i="3"/>
  <c r="AW189" i="3"/>
  <c r="AV189" i="3"/>
  <c r="AU189" i="3"/>
  <c r="AR189" i="3"/>
  <c r="AP189" i="3"/>
  <c r="AM189" i="3"/>
  <c r="AL189" i="3"/>
  <c r="AN189" i="3" s="1"/>
  <c r="AI189" i="3"/>
  <c r="AH189" i="3"/>
  <c r="AG189" i="3"/>
  <c r="AA189" i="3"/>
  <c r="W189" i="3"/>
  <c r="V189" i="3"/>
  <c r="T189" i="3"/>
  <c r="R189" i="3"/>
  <c r="P189" i="3"/>
  <c r="J189" i="3"/>
  <c r="AZ189" i="3" s="1"/>
  <c r="BZ188" i="3"/>
  <c r="BW188" i="3"/>
  <c r="BV188" i="3"/>
  <c r="BU188" i="3"/>
  <c r="BQ188" i="3"/>
  <c r="BP188" i="3"/>
  <c r="BO188" i="3"/>
  <c r="BN188" i="3"/>
  <c r="BL188" i="3"/>
  <c r="BK188" i="3"/>
  <c r="BJ188" i="3"/>
  <c r="BR188" i="3" s="1"/>
  <c r="BS188" i="3" s="1"/>
  <c r="BT188" i="3" s="1"/>
  <c r="BI188" i="3"/>
  <c r="BH188" i="3"/>
  <c r="BG188" i="3"/>
  <c r="BF188" i="3"/>
  <c r="BE188" i="3"/>
  <c r="BD188" i="3"/>
  <c r="BC188" i="3"/>
  <c r="BB188" i="3"/>
  <c r="BA188" i="3"/>
  <c r="AY188" i="3"/>
  <c r="AX188" i="3"/>
  <c r="AW188" i="3"/>
  <c r="AV188" i="3"/>
  <c r="AU188" i="3"/>
  <c r="AR188" i="3"/>
  <c r="AP188" i="3"/>
  <c r="AM188" i="3"/>
  <c r="AL188" i="3"/>
  <c r="AN188" i="3" s="1"/>
  <c r="AI188" i="3"/>
  <c r="AH188" i="3"/>
  <c r="BM188" i="3" s="1"/>
  <c r="AG188" i="3"/>
  <c r="AA188" i="3"/>
  <c r="W188" i="3"/>
  <c r="V188" i="3"/>
  <c r="T188" i="3"/>
  <c r="R188" i="3"/>
  <c r="P188" i="3"/>
  <c r="J188" i="3"/>
  <c r="AZ188" i="3" s="1"/>
  <c r="BZ187" i="3"/>
  <c r="BW187" i="3"/>
  <c r="BV187" i="3"/>
  <c r="BU187" i="3"/>
  <c r="BQ187" i="3"/>
  <c r="BP187" i="3"/>
  <c r="BO187" i="3"/>
  <c r="BN187" i="3"/>
  <c r="BL187" i="3"/>
  <c r="BK187" i="3"/>
  <c r="BJ187" i="3"/>
  <c r="BR187" i="3" s="1"/>
  <c r="BS187" i="3" s="1"/>
  <c r="BT187" i="3" s="1"/>
  <c r="BI187" i="3"/>
  <c r="BH187" i="3"/>
  <c r="BG187" i="3"/>
  <c r="BF187" i="3"/>
  <c r="BE187" i="3"/>
  <c r="BD187" i="3"/>
  <c r="BC187" i="3"/>
  <c r="BB187" i="3"/>
  <c r="BA187" i="3"/>
  <c r="AY187" i="3"/>
  <c r="AX187" i="3"/>
  <c r="AW187" i="3"/>
  <c r="AV187" i="3"/>
  <c r="AU187" i="3"/>
  <c r="AR187" i="3"/>
  <c r="AP187" i="3"/>
  <c r="AN187" i="3"/>
  <c r="AM187" i="3"/>
  <c r="AL187" i="3"/>
  <c r="AI187" i="3"/>
  <c r="AH187" i="3"/>
  <c r="AG187" i="3" s="1"/>
  <c r="AA187" i="3"/>
  <c r="W187" i="3"/>
  <c r="V187" i="3"/>
  <c r="T187" i="3"/>
  <c r="R187" i="3"/>
  <c r="P187" i="3"/>
  <c r="J187" i="3"/>
  <c r="AZ187" i="3" s="1"/>
  <c r="BZ186" i="3"/>
  <c r="BV186" i="3"/>
  <c r="BU186" i="3"/>
  <c r="BW186" i="3" s="1"/>
  <c r="BQ186" i="3"/>
  <c r="BS186" i="3" s="1"/>
  <c r="BT186" i="3" s="1"/>
  <c r="BP186" i="3"/>
  <c r="BO186" i="3"/>
  <c r="BN186" i="3"/>
  <c r="BM186" i="3"/>
  <c r="BL186" i="3"/>
  <c r="BK186" i="3"/>
  <c r="BJ186" i="3"/>
  <c r="BR186" i="3" s="1"/>
  <c r="BI186" i="3"/>
  <c r="BH186" i="3"/>
  <c r="BG186" i="3"/>
  <c r="BF186" i="3"/>
  <c r="BE186" i="3"/>
  <c r="BD186" i="3"/>
  <c r="BC186" i="3"/>
  <c r="BB186" i="3"/>
  <c r="BA186" i="3"/>
  <c r="AY186" i="3"/>
  <c r="AX186" i="3"/>
  <c r="AW186" i="3"/>
  <c r="AV186" i="3"/>
  <c r="AU186" i="3"/>
  <c r="AR186" i="3"/>
  <c r="AP186" i="3"/>
  <c r="AN186" i="3"/>
  <c r="AM186" i="3"/>
  <c r="AL186" i="3"/>
  <c r="AI186" i="3"/>
  <c r="AH186" i="3"/>
  <c r="AG186" i="3" s="1"/>
  <c r="AA186" i="3"/>
  <c r="W186" i="3"/>
  <c r="V186" i="3"/>
  <c r="T186" i="3"/>
  <c r="R186" i="3"/>
  <c r="P186" i="3"/>
  <c r="J186" i="3"/>
  <c r="AZ186" i="3" s="1"/>
  <c r="BZ185" i="3"/>
  <c r="BV185" i="3"/>
  <c r="BU185" i="3"/>
  <c r="BW185" i="3" s="1"/>
  <c r="BQ185" i="3"/>
  <c r="BP185" i="3"/>
  <c r="BO185" i="3"/>
  <c r="BN185" i="3"/>
  <c r="BM185" i="3"/>
  <c r="BL185" i="3"/>
  <c r="BK185" i="3"/>
  <c r="BJ185" i="3"/>
  <c r="BR185" i="3" s="1"/>
  <c r="BI185" i="3"/>
  <c r="BH185" i="3"/>
  <c r="BG185" i="3"/>
  <c r="BF185" i="3"/>
  <c r="BE185" i="3"/>
  <c r="BD185" i="3"/>
  <c r="BC185" i="3"/>
  <c r="BB185" i="3"/>
  <c r="BA185" i="3"/>
  <c r="AY185" i="3"/>
  <c r="AX185" i="3"/>
  <c r="AW185" i="3"/>
  <c r="AV185" i="3"/>
  <c r="AU185" i="3"/>
  <c r="AR185" i="3"/>
  <c r="AP185" i="3"/>
  <c r="AM185" i="3"/>
  <c r="AL185" i="3"/>
  <c r="AN185" i="3" s="1"/>
  <c r="AI185" i="3"/>
  <c r="AH185" i="3"/>
  <c r="AG185" i="3"/>
  <c r="AA185" i="3"/>
  <c r="W185" i="3"/>
  <c r="V185" i="3"/>
  <c r="T185" i="3"/>
  <c r="R185" i="3"/>
  <c r="P185" i="3"/>
  <c r="J185" i="3"/>
  <c r="AZ185" i="3" s="1"/>
  <c r="BZ184" i="3"/>
  <c r="BW184" i="3"/>
  <c r="BV184" i="3"/>
  <c r="BU184" i="3"/>
  <c r="BQ184" i="3"/>
  <c r="BP184" i="3"/>
  <c r="BO184" i="3"/>
  <c r="BN184" i="3"/>
  <c r="BL184" i="3"/>
  <c r="BK184" i="3"/>
  <c r="BJ184" i="3"/>
  <c r="BR184" i="3" s="1"/>
  <c r="BS184" i="3" s="1"/>
  <c r="BT184" i="3" s="1"/>
  <c r="BI184" i="3"/>
  <c r="BH184" i="3"/>
  <c r="BG184" i="3"/>
  <c r="BF184" i="3"/>
  <c r="BE184" i="3"/>
  <c r="BD184" i="3"/>
  <c r="BC184" i="3"/>
  <c r="BB184" i="3"/>
  <c r="BA184" i="3"/>
  <c r="AY184" i="3"/>
  <c r="AX184" i="3"/>
  <c r="AW184" i="3"/>
  <c r="AV184" i="3"/>
  <c r="AU184" i="3"/>
  <c r="AR184" i="3"/>
  <c r="AP184" i="3"/>
  <c r="AM184" i="3"/>
  <c r="AL184" i="3"/>
  <c r="AN184" i="3" s="1"/>
  <c r="AI184" i="3"/>
  <c r="AH184" i="3"/>
  <c r="BM184" i="3" s="1"/>
  <c r="AG184" i="3"/>
  <c r="AA184" i="3"/>
  <c r="W184" i="3"/>
  <c r="V184" i="3"/>
  <c r="T184" i="3"/>
  <c r="R184" i="3"/>
  <c r="P184" i="3"/>
  <c r="J184" i="3"/>
  <c r="AZ184" i="3" s="1"/>
  <c r="BZ183" i="3"/>
  <c r="BW183" i="3"/>
  <c r="BV183" i="3"/>
  <c r="BU183" i="3"/>
  <c r="BQ183" i="3"/>
  <c r="BP183" i="3"/>
  <c r="BO183" i="3"/>
  <c r="BN183" i="3"/>
  <c r="BL183" i="3"/>
  <c r="BK183" i="3"/>
  <c r="BJ183" i="3"/>
  <c r="BR183" i="3" s="1"/>
  <c r="BS183" i="3" s="1"/>
  <c r="BT183" i="3" s="1"/>
  <c r="BI183" i="3"/>
  <c r="BH183" i="3"/>
  <c r="BG183" i="3"/>
  <c r="BF183" i="3"/>
  <c r="BE183" i="3"/>
  <c r="BD183" i="3"/>
  <c r="BC183" i="3"/>
  <c r="BB183" i="3"/>
  <c r="BA183" i="3"/>
  <c r="AY183" i="3"/>
  <c r="AX183" i="3"/>
  <c r="AW183" i="3"/>
  <c r="AV183" i="3"/>
  <c r="AU183" i="3"/>
  <c r="AR183" i="3"/>
  <c r="AP183" i="3"/>
  <c r="AN183" i="3"/>
  <c r="AM183" i="3"/>
  <c r="AL183" i="3"/>
  <c r="AH183" i="3"/>
  <c r="AG183" i="3" s="1"/>
  <c r="AA183" i="3"/>
  <c r="W183" i="3"/>
  <c r="V183" i="3"/>
  <c r="T183" i="3"/>
  <c r="R183" i="3"/>
  <c r="P183" i="3"/>
  <c r="J183" i="3"/>
  <c r="AZ183" i="3" s="1"/>
  <c r="BZ182" i="3"/>
  <c r="BV182" i="3"/>
  <c r="BU182" i="3"/>
  <c r="BW182" i="3" s="1"/>
  <c r="BQ182" i="3"/>
  <c r="BP182" i="3"/>
  <c r="BO182" i="3"/>
  <c r="BN182" i="3"/>
  <c r="BM182" i="3"/>
  <c r="BL182" i="3"/>
  <c r="BK182" i="3"/>
  <c r="BJ182" i="3"/>
  <c r="BR182" i="3" s="1"/>
  <c r="BI182" i="3"/>
  <c r="BH182" i="3"/>
  <c r="BG182" i="3"/>
  <c r="BF182" i="3"/>
  <c r="BE182" i="3"/>
  <c r="BD182" i="3"/>
  <c r="BC182" i="3"/>
  <c r="BB182" i="3"/>
  <c r="BA182" i="3"/>
  <c r="AY182" i="3"/>
  <c r="AX182" i="3"/>
  <c r="AW182" i="3"/>
  <c r="AV182" i="3"/>
  <c r="AU182" i="3"/>
  <c r="AR182" i="3"/>
  <c r="AP182" i="3"/>
  <c r="AN182" i="3"/>
  <c r="AM182" i="3"/>
  <c r="AL182" i="3"/>
  <c r="AI182" i="3"/>
  <c r="AH182" i="3"/>
  <c r="AG182" i="3"/>
  <c r="AA182" i="3"/>
  <c r="W182" i="3"/>
  <c r="V182" i="3"/>
  <c r="T182" i="3"/>
  <c r="R182" i="3"/>
  <c r="P182" i="3"/>
  <c r="J182" i="3"/>
  <c r="AZ182" i="3" s="1"/>
  <c r="BZ181" i="3"/>
  <c r="BV181" i="3"/>
  <c r="BU181" i="3"/>
  <c r="BW181" i="3" s="1"/>
  <c r="BQ181" i="3"/>
  <c r="BP181" i="3"/>
  <c r="BO181" i="3"/>
  <c r="BN181" i="3"/>
  <c r="BM181" i="3"/>
  <c r="BL181" i="3"/>
  <c r="BK181" i="3"/>
  <c r="BJ181" i="3"/>
  <c r="BR181" i="3" s="1"/>
  <c r="BI181" i="3"/>
  <c r="BH181" i="3"/>
  <c r="BG181" i="3"/>
  <c r="BF181" i="3"/>
  <c r="BE181" i="3"/>
  <c r="BD181" i="3"/>
  <c r="BC181" i="3"/>
  <c r="BB181" i="3"/>
  <c r="BA181" i="3"/>
  <c r="AY181" i="3"/>
  <c r="AX181" i="3"/>
  <c r="AW181" i="3"/>
  <c r="AV181" i="3"/>
  <c r="AU181" i="3"/>
  <c r="AR181" i="3"/>
  <c r="AP181" i="3"/>
  <c r="AM181" i="3"/>
  <c r="AL181" i="3"/>
  <c r="AN181" i="3" s="1"/>
  <c r="AI181" i="3"/>
  <c r="AH181" i="3"/>
  <c r="AG181" i="3"/>
  <c r="AA181" i="3"/>
  <c r="W181" i="3"/>
  <c r="V181" i="3"/>
  <c r="T181" i="3"/>
  <c r="R181" i="3"/>
  <c r="P181" i="3"/>
  <c r="J181" i="3"/>
  <c r="AZ181" i="3" s="1"/>
  <c r="BZ180" i="3"/>
  <c r="BW180" i="3"/>
  <c r="BV180" i="3"/>
  <c r="BU180" i="3"/>
  <c r="BQ180" i="3"/>
  <c r="BP180" i="3"/>
  <c r="BO180" i="3"/>
  <c r="BN180" i="3"/>
  <c r="BL180" i="3"/>
  <c r="BK180" i="3"/>
  <c r="BJ180" i="3"/>
  <c r="BR180" i="3" s="1"/>
  <c r="BS180" i="3" s="1"/>
  <c r="BT180" i="3" s="1"/>
  <c r="BI180" i="3"/>
  <c r="BH180" i="3"/>
  <c r="BG180" i="3"/>
  <c r="BF180" i="3"/>
  <c r="BE180" i="3"/>
  <c r="BD180" i="3"/>
  <c r="BC180" i="3"/>
  <c r="BB180" i="3"/>
  <c r="BA180" i="3"/>
  <c r="AY180" i="3"/>
  <c r="AX180" i="3"/>
  <c r="AW180" i="3"/>
  <c r="AV180" i="3"/>
  <c r="AU180" i="3"/>
  <c r="AR180" i="3"/>
  <c r="AP180" i="3"/>
  <c r="AM180" i="3"/>
  <c r="AL180" i="3"/>
  <c r="AN180" i="3" s="1"/>
  <c r="AI180" i="3"/>
  <c r="AH180" i="3"/>
  <c r="BM180" i="3" s="1"/>
  <c r="AG180" i="3"/>
  <c r="AA180" i="3"/>
  <c r="W180" i="3"/>
  <c r="V180" i="3"/>
  <c r="T180" i="3"/>
  <c r="R180" i="3"/>
  <c r="P180" i="3"/>
  <c r="J180" i="3"/>
  <c r="AZ180" i="3" s="1"/>
  <c r="BZ179" i="3"/>
  <c r="BW179" i="3"/>
  <c r="BV179" i="3"/>
  <c r="BU179" i="3"/>
  <c r="BQ179" i="3"/>
  <c r="BP179" i="3"/>
  <c r="BO179" i="3"/>
  <c r="BN179" i="3"/>
  <c r="BL179" i="3"/>
  <c r="BK179" i="3"/>
  <c r="BJ179" i="3"/>
  <c r="BR179" i="3" s="1"/>
  <c r="BS179" i="3" s="1"/>
  <c r="BT179" i="3" s="1"/>
  <c r="BI179" i="3"/>
  <c r="BH179" i="3"/>
  <c r="BG179" i="3"/>
  <c r="BF179" i="3"/>
  <c r="BE179" i="3"/>
  <c r="BD179" i="3"/>
  <c r="BC179" i="3"/>
  <c r="BB179" i="3"/>
  <c r="BA179" i="3"/>
  <c r="AY179" i="3"/>
  <c r="AX179" i="3"/>
  <c r="AW179" i="3"/>
  <c r="AV179" i="3"/>
  <c r="AU179" i="3"/>
  <c r="AR179" i="3"/>
  <c r="AP179" i="3"/>
  <c r="AN179" i="3"/>
  <c r="AM179" i="3"/>
  <c r="AL179" i="3"/>
  <c r="AH179" i="3"/>
  <c r="AG179" i="3" s="1"/>
  <c r="AA179" i="3"/>
  <c r="W179" i="3"/>
  <c r="V179" i="3"/>
  <c r="T179" i="3"/>
  <c r="R179" i="3"/>
  <c r="P179" i="3"/>
  <c r="J179" i="3"/>
  <c r="AZ179" i="3" s="1"/>
  <c r="BZ178" i="3"/>
  <c r="BV178" i="3"/>
  <c r="BU178" i="3"/>
  <c r="BW178" i="3" s="1"/>
  <c r="BQ178" i="3"/>
  <c r="BP178" i="3"/>
  <c r="BO178" i="3"/>
  <c r="BN178" i="3"/>
  <c r="BM178" i="3"/>
  <c r="BL178" i="3"/>
  <c r="BK178" i="3"/>
  <c r="BJ178" i="3"/>
  <c r="BR178" i="3" s="1"/>
  <c r="BI178" i="3"/>
  <c r="BH178" i="3"/>
  <c r="BG178" i="3"/>
  <c r="BF178" i="3"/>
  <c r="BE178" i="3"/>
  <c r="BD178" i="3"/>
  <c r="BC178" i="3"/>
  <c r="BB178" i="3"/>
  <c r="BA178" i="3"/>
  <c r="AY178" i="3"/>
  <c r="AX178" i="3"/>
  <c r="AW178" i="3"/>
  <c r="AV178" i="3"/>
  <c r="AU178" i="3"/>
  <c r="AR178" i="3"/>
  <c r="AP178" i="3"/>
  <c r="AN178" i="3"/>
  <c r="AM178" i="3"/>
  <c r="AL178" i="3"/>
  <c r="AI178" i="3"/>
  <c r="AH178" i="3"/>
  <c r="AG178" i="3" s="1"/>
  <c r="AA178" i="3"/>
  <c r="W178" i="3"/>
  <c r="V178" i="3"/>
  <c r="T178" i="3"/>
  <c r="R178" i="3"/>
  <c r="P178" i="3"/>
  <c r="J178" i="3"/>
  <c r="AZ178" i="3" s="1"/>
  <c r="BZ177" i="3"/>
  <c r="BV177" i="3"/>
  <c r="BU177" i="3"/>
  <c r="BW177" i="3" s="1"/>
  <c r="BQ177" i="3"/>
  <c r="BS177" i="3" s="1"/>
  <c r="BT177" i="3" s="1"/>
  <c r="BP177" i="3"/>
  <c r="BO177" i="3"/>
  <c r="BN177" i="3"/>
  <c r="BM177" i="3"/>
  <c r="BL177" i="3"/>
  <c r="BK177" i="3"/>
  <c r="BJ177" i="3"/>
  <c r="BR177" i="3" s="1"/>
  <c r="BI177" i="3"/>
  <c r="BH177" i="3"/>
  <c r="BG177" i="3"/>
  <c r="BF177" i="3"/>
  <c r="BE177" i="3"/>
  <c r="BD177" i="3"/>
  <c r="BC177" i="3"/>
  <c r="BB177" i="3"/>
  <c r="BA177" i="3"/>
  <c r="AY177" i="3"/>
  <c r="AX177" i="3"/>
  <c r="AW177" i="3"/>
  <c r="AV177" i="3"/>
  <c r="AU177" i="3"/>
  <c r="AR177" i="3"/>
  <c r="AP177" i="3"/>
  <c r="AM177" i="3"/>
  <c r="AL177" i="3"/>
  <c r="AN177" i="3" s="1"/>
  <c r="AI177" i="3"/>
  <c r="AH177" i="3"/>
  <c r="AG177" i="3"/>
  <c r="AA177" i="3"/>
  <c r="W177" i="3"/>
  <c r="V177" i="3"/>
  <c r="T177" i="3"/>
  <c r="R177" i="3"/>
  <c r="P177" i="3"/>
  <c r="J177" i="3"/>
  <c r="AZ177" i="3" s="1"/>
  <c r="BZ176" i="3"/>
  <c r="BW176" i="3"/>
  <c r="BV176" i="3"/>
  <c r="BU176" i="3"/>
  <c r="BQ176" i="3"/>
  <c r="BP176" i="3"/>
  <c r="BO176" i="3"/>
  <c r="BN176" i="3"/>
  <c r="BL176" i="3"/>
  <c r="BK176" i="3"/>
  <c r="BJ176" i="3"/>
  <c r="BR176" i="3" s="1"/>
  <c r="BS176" i="3" s="1"/>
  <c r="BT176" i="3" s="1"/>
  <c r="BI176" i="3"/>
  <c r="BH176" i="3"/>
  <c r="BG176" i="3"/>
  <c r="BF176" i="3"/>
  <c r="BE176" i="3"/>
  <c r="BD176" i="3"/>
  <c r="BC176" i="3"/>
  <c r="BB176" i="3"/>
  <c r="BA176" i="3"/>
  <c r="AY176" i="3"/>
  <c r="AX176" i="3"/>
  <c r="AW176" i="3"/>
  <c r="AV176" i="3"/>
  <c r="AU176" i="3"/>
  <c r="AR176" i="3"/>
  <c r="AP176" i="3"/>
  <c r="AM176" i="3"/>
  <c r="AL176" i="3"/>
  <c r="AN176" i="3" s="1"/>
  <c r="AI176" i="3"/>
  <c r="AH176" i="3"/>
  <c r="BM176" i="3" s="1"/>
  <c r="AG176" i="3"/>
  <c r="AA176" i="3"/>
  <c r="W176" i="3"/>
  <c r="V176" i="3"/>
  <c r="T176" i="3"/>
  <c r="R176" i="3"/>
  <c r="P176" i="3"/>
  <c r="J176" i="3"/>
  <c r="AZ176" i="3" s="1"/>
  <c r="BZ175" i="3"/>
  <c r="BW175" i="3"/>
  <c r="BV175" i="3"/>
  <c r="BU175" i="3"/>
  <c r="BQ175" i="3"/>
  <c r="BP175" i="3"/>
  <c r="BO175" i="3"/>
  <c r="BN175" i="3"/>
  <c r="BL175" i="3"/>
  <c r="BK175" i="3"/>
  <c r="BJ175" i="3"/>
  <c r="BR175" i="3" s="1"/>
  <c r="BS175" i="3" s="1"/>
  <c r="BT175" i="3" s="1"/>
  <c r="BI175" i="3"/>
  <c r="BH175" i="3"/>
  <c r="BG175" i="3"/>
  <c r="BF175" i="3"/>
  <c r="BE175" i="3"/>
  <c r="BD175" i="3"/>
  <c r="BC175" i="3"/>
  <c r="BB175" i="3"/>
  <c r="BA175" i="3"/>
  <c r="AY175" i="3"/>
  <c r="AX175" i="3"/>
  <c r="AW175" i="3"/>
  <c r="AV175" i="3"/>
  <c r="AU175" i="3"/>
  <c r="AR175" i="3"/>
  <c r="AP175" i="3"/>
  <c r="AN175" i="3"/>
  <c r="AM175" i="3"/>
  <c r="AL175" i="3"/>
  <c r="AI175" i="3"/>
  <c r="AH175" i="3"/>
  <c r="BM175" i="3" s="1"/>
  <c r="AG175" i="3"/>
  <c r="AA175" i="3"/>
  <c r="W175" i="3"/>
  <c r="V175" i="3"/>
  <c r="T175" i="3"/>
  <c r="R175" i="3"/>
  <c r="P175" i="3"/>
  <c r="J175" i="3"/>
  <c r="AZ175" i="3" s="1"/>
  <c r="BZ174" i="3"/>
  <c r="BV174" i="3"/>
  <c r="BU174" i="3"/>
  <c r="BW174" i="3" s="1"/>
  <c r="BQ174" i="3"/>
  <c r="BS174" i="3" s="1"/>
  <c r="BT174" i="3" s="1"/>
  <c r="BP174" i="3"/>
  <c r="BO174" i="3"/>
  <c r="BN174" i="3"/>
  <c r="BM174" i="3"/>
  <c r="BL174" i="3"/>
  <c r="BK174" i="3"/>
  <c r="BJ174" i="3"/>
  <c r="BR174" i="3" s="1"/>
  <c r="BI174" i="3"/>
  <c r="BH174" i="3"/>
  <c r="BG174" i="3"/>
  <c r="BF174" i="3"/>
  <c r="BE174" i="3"/>
  <c r="BD174" i="3"/>
  <c r="BC174" i="3"/>
  <c r="BB174" i="3"/>
  <c r="BA174" i="3"/>
  <c r="AY174" i="3"/>
  <c r="AX174" i="3"/>
  <c r="AW174" i="3"/>
  <c r="AV174" i="3"/>
  <c r="AU174" i="3"/>
  <c r="AR174" i="3"/>
  <c r="AP174" i="3"/>
  <c r="AN174" i="3"/>
  <c r="AM174" i="3"/>
  <c r="AL174" i="3"/>
  <c r="AI174" i="3"/>
  <c r="AH174" i="3"/>
  <c r="AG174" i="3" s="1"/>
  <c r="AA174" i="3"/>
  <c r="W174" i="3"/>
  <c r="V174" i="3"/>
  <c r="T174" i="3"/>
  <c r="R174" i="3"/>
  <c r="P174" i="3"/>
  <c r="J174" i="3"/>
  <c r="AZ174" i="3" s="1"/>
  <c r="BZ173" i="3"/>
  <c r="BV173" i="3"/>
  <c r="BU173" i="3"/>
  <c r="BW173" i="3" s="1"/>
  <c r="BQ173" i="3"/>
  <c r="BP173" i="3"/>
  <c r="BO173" i="3"/>
  <c r="BN173" i="3"/>
  <c r="BM173" i="3"/>
  <c r="BL173" i="3"/>
  <c r="BK173" i="3"/>
  <c r="BJ173" i="3"/>
  <c r="BR173" i="3" s="1"/>
  <c r="BI173" i="3"/>
  <c r="BH173" i="3"/>
  <c r="BG173" i="3"/>
  <c r="BF173" i="3"/>
  <c r="BE173" i="3"/>
  <c r="BD173" i="3"/>
  <c r="BC173" i="3"/>
  <c r="BB173" i="3"/>
  <c r="BA173" i="3"/>
  <c r="AY173" i="3"/>
  <c r="AX173" i="3"/>
  <c r="AW173" i="3"/>
  <c r="AV173" i="3"/>
  <c r="AU173" i="3"/>
  <c r="AR173" i="3"/>
  <c r="AP173" i="3"/>
  <c r="AM173" i="3"/>
  <c r="AL173" i="3"/>
  <c r="AN173" i="3" s="1"/>
  <c r="AI173" i="3"/>
  <c r="AH173" i="3"/>
  <c r="AG173" i="3"/>
  <c r="AA173" i="3"/>
  <c r="W173" i="3"/>
  <c r="V173" i="3"/>
  <c r="T173" i="3"/>
  <c r="R173" i="3"/>
  <c r="P173" i="3"/>
  <c r="J173" i="3"/>
  <c r="AZ173" i="3" s="1"/>
  <c r="BZ172" i="3"/>
  <c r="BW172" i="3"/>
  <c r="BV172" i="3"/>
  <c r="BU172" i="3"/>
  <c r="BQ172" i="3"/>
  <c r="BP172" i="3"/>
  <c r="BO172" i="3"/>
  <c r="BN172" i="3"/>
  <c r="BL172" i="3"/>
  <c r="BK172" i="3"/>
  <c r="BJ172" i="3"/>
  <c r="BR172" i="3" s="1"/>
  <c r="BS172" i="3" s="1"/>
  <c r="BT172" i="3" s="1"/>
  <c r="BI172" i="3"/>
  <c r="BH172" i="3"/>
  <c r="BG172" i="3"/>
  <c r="BF172" i="3"/>
  <c r="BE172" i="3"/>
  <c r="BD172" i="3"/>
  <c r="BC172" i="3"/>
  <c r="BB172" i="3"/>
  <c r="BA172" i="3"/>
  <c r="AY172" i="3"/>
  <c r="AX172" i="3"/>
  <c r="AW172" i="3"/>
  <c r="AV172" i="3"/>
  <c r="AU172" i="3"/>
  <c r="AR172" i="3"/>
  <c r="AP172" i="3"/>
  <c r="AM172" i="3"/>
  <c r="AL172" i="3"/>
  <c r="AN172" i="3" s="1"/>
  <c r="AH172" i="3"/>
  <c r="BM172" i="3" s="1"/>
  <c r="AG172" i="3"/>
  <c r="AA172" i="3"/>
  <c r="W172" i="3"/>
  <c r="V172" i="3"/>
  <c r="T172" i="3"/>
  <c r="R172" i="3"/>
  <c r="P172" i="3"/>
  <c r="J172" i="3"/>
  <c r="AZ172" i="3" s="1"/>
  <c r="BZ171" i="3"/>
  <c r="BW171" i="3"/>
  <c r="BV171" i="3"/>
  <c r="BU171" i="3"/>
  <c r="BQ171" i="3"/>
  <c r="BP171" i="3"/>
  <c r="BO171" i="3"/>
  <c r="BN171" i="3"/>
  <c r="BL171" i="3"/>
  <c r="BK171" i="3"/>
  <c r="BJ171" i="3"/>
  <c r="BR171" i="3" s="1"/>
  <c r="BS171" i="3" s="1"/>
  <c r="BT171" i="3" s="1"/>
  <c r="BI171" i="3"/>
  <c r="BH171" i="3"/>
  <c r="BG171" i="3"/>
  <c r="BF171" i="3"/>
  <c r="BE171" i="3"/>
  <c r="BD171" i="3"/>
  <c r="BC171" i="3"/>
  <c r="BB171" i="3"/>
  <c r="BA171" i="3"/>
  <c r="AY171" i="3"/>
  <c r="AX171" i="3"/>
  <c r="AW171" i="3"/>
  <c r="AV171" i="3"/>
  <c r="AU171" i="3"/>
  <c r="AR171" i="3"/>
  <c r="AP171" i="3"/>
  <c r="AN171" i="3"/>
  <c r="AM171" i="3"/>
  <c r="AL171" i="3"/>
  <c r="AI171" i="3"/>
  <c r="AH171" i="3"/>
  <c r="BM171" i="3" s="1"/>
  <c r="AG171" i="3"/>
  <c r="AA171" i="3"/>
  <c r="W171" i="3"/>
  <c r="V171" i="3"/>
  <c r="T171" i="3"/>
  <c r="R171" i="3"/>
  <c r="P171" i="3"/>
  <c r="J171" i="3"/>
  <c r="AZ171" i="3" s="1"/>
  <c r="BZ170" i="3"/>
  <c r="BV170" i="3"/>
  <c r="BU170" i="3"/>
  <c r="BW170" i="3" s="1"/>
  <c r="BQ170" i="3"/>
  <c r="BS170" i="3" s="1"/>
  <c r="BT170" i="3" s="1"/>
  <c r="BP170" i="3"/>
  <c r="BO170" i="3"/>
  <c r="BN170" i="3"/>
  <c r="BM170" i="3"/>
  <c r="BL170" i="3"/>
  <c r="BK170" i="3"/>
  <c r="BJ170" i="3"/>
  <c r="BR170" i="3" s="1"/>
  <c r="BI170" i="3"/>
  <c r="BH170" i="3"/>
  <c r="BG170" i="3"/>
  <c r="BF170" i="3"/>
  <c r="BE170" i="3"/>
  <c r="BD170" i="3"/>
  <c r="BC170" i="3"/>
  <c r="BB170" i="3"/>
  <c r="BA170" i="3"/>
  <c r="AY170" i="3"/>
  <c r="AX170" i="3"/>
  <c r="AW170" i="3"/>
  <c r="AV170" i="3"/>
  <c r="AU170" i="3"/>
  <c r="AR170" i="3"/>
  <c r="AP170" i="3"/>
  <c r="AN170" i="3"/>
  <c r="AM170" i="3"/>
  <c r="AL170" i="3"/>
  <c r="AI170" i="3"/>
  <c r="AH170" i="3"/>
  <c r="AG170" i="3"/>
  <c r="AA170" i="3"/>
  <c r="W170" i="3"/>
  <c r="V170" i="3"/>
  <c r="T170" i="3"/>
  <c r="R170" i="3"/>
  <c r="P170" i="3"/>
  <c r="J170" i="3"/>
  <c r="AZ170" i="3" s="1"/>
  <c r="BZ169" i="3"/>
  <c r="BV169" i="3"/>
  <c r="BU169" i="3"/>
  <c r="BW169" i="3" s="1"/>
  <c r="BQ169" i="3"/>
  <c r="BS169" i="3" s="1"/>
  <c r="BT169" i="3" s="1"/>
  <c r="BP169" i="3"/>
  <c r="BO169" i="3"/>
  <c r="BN169" i="3"/>
  <c r="BM169" i="3"/>
  <c r="BL169" i="3"/>
  <c r="BK169" i="3"/>
  <c r="BJ169" i="3"/>
  <c r="BR169" i="3" s="1"/>
  <c r="BI169" i="3"/>
  <c r="BH169" i="3"/>
  <c r="BG169" i="3"/>
  <c r="BF169" i="3"/>
  <c r="BE169" i="3"/>
  <c r="BD169" i="3"/>
  <c r="BC169" i="3"/>
  <c r="BB169" i="3"/>
  <c r="BA169" i="3"/>
  <c r="AY169" i="3"/>
  <c r="AX169" i="3"/>
  <c r="AW169" i="3"/>
  <c r="AV169" i="3"/>
  <c r="AU169" i="3"/>
  <c r="AR169" i="3"/>
  <c r="AP169" i="3"/>
  <c r="AM169" i="3"/>
  <c r="AL169" i="3"/>
  <c r="AN169" i="3" s="1"/>
  <c r="AI169" i="3"/>
  <c r="AH169" i="3"/>
  <c r="AG169" i="3"/>
  <c r="AA169" i="3"/>
  <c r="W169" i="3"/>
  <c r="V169" i="3"/>
  <c r="T169" i="3"/>
  <c r="R169" i="3"/>
  <c r="P169" i="3"/>
  <c r="J169" i="3"/>
  <c r="AZ169" i="3" s="1"/>
  <c r="BZ168" i="3"/>
  <c r="BW168" i="3"/>
  <c r="BV168" i="3"/>
  <c r="BU168" i="3"/>
  <c r="BQ168" i="3"/>
  <c r="BP168" i="3"/>
  <c r="BO168" i="3"/>
  <c r="BN168" i="3"/>
  <c r="BL168" i="3"/>
  <c r="BK168" i="3"/>
  <c r="BJ168" i="3"/>
  <c r="BR168" i="3" s="1"/>
  <c r="BS168" i="3" s="1"/>
  <c r="BT168" i="3" s="1"/>
  <c r="BI168" i="3"/>
  <c r="BH168" i="3"/>
  <c r="BG168" i="3"/>
  <c r="BF168" i="3"/>
  <c r="BE168" i="3"/>
  <c r="BD168" i="3"/>
  <c r="BC168" i="3"/>
  <c r="BB168" i="3"/>
  <c r="BA168" i="3"/>
  <c r="AY168" i="3"/>
  <c r="AX168" i="3"/>
  <c r="AW168" i="3"/>
  <c r="AV168" i="3"/>
  <c r="AU168" i="3"/>
  <c r="AR168" i="3"/>
  <c r="AP168" i="3"/>
  <c r="AM168" i="3"/>
  <c r="AL168" i="3"/>
  <c r="AN168" i="3" s="1"/>
  <c r="AH168" i="3"/>
  <c r="BM168" i="3" s="1"/>
  <c r="AG168" i="3"/>
  <c r="AA168" i="3"/>
  <c r="W168" i="3"/>
  <c r="V168" i="3"/>
  <c r="T168" i="3"/>
  <c r="R168" i="3"/>
  <c r="P168" i="3"/>
  <c r="J168" i="3"/>
  <c r="AZ168" i="3" s="1"/>
  <c r="BZ167" i="3"/>
  <c r="BW167" i="3"/>
  <c r="BV167" i="3"/>
  <c r="BU167" i="3"/>
  <c r="BQ167" i="3"/>
  <c r="BP167" i="3"/>
  <c r="BO167" i="3"/>
  <c r="BN167" i="3"/>
  <c r="BL167" i="3"/>
  <c r="BK167" i="3"/>
  <c r="BJ167" i="3"/>
  <c r="BR167" i="3" s="1"/>
  <c r="BS167" i="3" s="1"/>
  <c r="BT167" i="3" s="1"/>
  <c r="BI167" i="3"/>
  <c r="BH167" i="3"/>
  <c r="BG167" i="3"/>
  <c r="BF167" i="3"/>
  <c r="BE167" i="3"/>
  <c r="BD167" i="3"/>
  <c r="BC167" i="3"/>
  <c r="BB167" i="3"/>
  <c r="BA167" i="3"/>
  <c r="AY167" i="3"/>
  <c r="AX167" i="3"/>
  <c r="AW167" i="3"/>
  <c r="AV167" i="3"/>
  <c r="AU167" i="3"/>
  <c r="AR167" i="3"/>
  <c r="AP167" i="3"/>
  <c r="AN167" i="3"/>
  <c r="AM167" i="3"/>
  <c r="AL167" i="3"/>
  <c r="AI167" i="3"/>
  <c r="AH167" i="3"/>
  <c r="AG167" i="3" s="1"/>
  <c r="AA167" i="3"/>
  <c r="W167" i="3"/>
  <c r="V167" i="3"/>
  <c r="T167" i="3"/>
  <c r="R167" i="3"/>
  <c r="P167" i="3"/>
  <c r="J167" i="3"/>
  <c r="AZ167" i="3" s="1"/>
  <c r="BZ166" i="3"/>
  <c r="BV166" i="3"/>
  <c r="BU166" i="3"/>
  <c r="BW166" i="3" s="1"/>
  <c r="BQ166" i="3"/>
  <c r="BS166" i="3" s="1"/>
  <c r="BT166" i="3" s="1"/>
  <c r="BP166" i="3"/>
  <c r="BO166" i="3"/>
  <c r="BN166" i="3"/>
  <c r="BM166" i="3"/>
  <c r="BL166" i="3"/>
  <c r="BK166" i="3"/>
  <c r="BJ166" i="3"/>
  <c r="BR166" i="3" s="1"/>
  <c r="BI166" i="3"/>
  <c r="BH166" i="3"/>
  <c r="BG166" i="3"/>
  <c r="BF166" i="3"/>
  <c r="BE166" i="3"/>
  <c r="BD166" i="3"/>
  <c r="BC166" i="3"/>
  <c r="BB166" i="3"/>
  <c r="BA166" i="3"/>
  <c r="AY166" i="3"/>
  <c r="AX166" i="3"/>
  <c r="AW166" i="3"/>
  <c r="AV166" i="3"/>
  <c r="AU166" i="3"/>
  <c r="AR166" i="3"/>
  <c r="AP166" i="3"/>
  <c r="AN166" i="3"/>
  <c r="AM166" i="3"/>
  <c r="AL166" i="3"/>
  <c r="AI166" i="3"/>
  <c r="AH166" i="3"/>
  <c r="AG166" i="3"/>
  <c r="AA166" i="3"/>
  <c r="W166" i="3"/>
  <c r="V166" i="3"/>
  <c r="T166" i="3"/>
  <c r="R166" i="3"/>
  <c r="P166" i="3"/>
  <c r="J166" i="3"/>
  <c r="AZ166" i="3" s="1"/>
  <c r="BZ165" i="3"/>
  <c r="BV165" i="3"/>
  <c r="BU165" i="3"/>
  <c r="BW165" i="3" s="1"/>
  <c r="BQ165" i="3"/>
  <c r="BS165" i="3" s="1"/>
  <c r="BT165" i="3" s="1"/>
  <c r="BP165" i="3"/>
  <c r="BO165" i="3"/>
  <c r="BN165" i="3"/>
  <c r="BM165" i="3"/>
  <c r="BL165" i="3"/>
  <c r="BK165" i="3"/>
  <c r="BJ165" i="3"/>
  <c r="BR165" i="3" s="1"/>
  <c r="BI165" i="3"/>
  <c r="BH165" i="3"/>
  <c r="BG165" i="3"/>
  <c r="BF165" i="3"/>
  <c r="BE165" i="3"/>
  <c r="BD165" i="3"/>
  <c r="BC165" i="3"/>
  <c r="BB165" i="3"/>
  <c r="BA165" i="3"/>
  <c r="AY165" i="3"/>
  <c r="AX165" i="3"/>
  <c r="AW165" i="3"/>
  <c r="AV165" i="3"/>
  <c r="AU165" i="3"/>
  <c r="AR165" i="3"/>
  <c r="AP165" i="3"/>
  <c r="AM165" i="3"/>
  <c r="AL165" i="3"/>
  <c r="AN165" i="3" s="1"/>
  <c r="AI165" i="3"/>
  <c r="AH165" i="3"/>
  <c r="AG165" i="3"/>
  <c r="AA165" i="3"/>
  <c r="W165" i="3"/>
  <c r="V165" i="3"/>
  <c r="T165" i="3"/>
  <c r="R165" i="3"/>
  <c r="P165" i="3"/>
  <c r="J165" i="3"/>
  <c r="AZ165" i="3" s="1"/>
  <c r="BZ164" i="3"/>
  <c r="BW164" i="3"/>
  <c r="BV164" i="3"/>
  <c r="BU164" i="3"/>
  <c r="BQ164" i="3"/>
  <c r="BP164" i="3"/>
  <c r="BO164" i="3"/>
  <c r="BN164" i="3"/>
  <c r="BL164" i="3"/>
  <c r="BK164" i="3"/>
  <c r="BJ164" i="3"/>
  <c r="BR164" i="3" s="1"/>
  <c r="BS164" i="3" s="1"/>
  <c r="BT164" i="3" s="1"/>
  <c r="BI164" i="3"/>
  <c r="BH164" i="3"/>
  <c r="BG164" i="3"/>
  <c r="BF164" i="3"/>
  <c r="BE164" i="3"/>
  <c r="BD164" i="3"/>
  <c r="BC164" i="3"/>
  <c r="BB164" i="3"/>
  <c r="BA164" i="3"/>
  <c r="AY164" i="3"/>
  <c r="AX164" i="3"/>
  <c r="AW164" i="3"/>
  <c r="AV164" i="3"/>
  <c r="AU164" i="3"/>
  <c r="AR164" i="3"/>
  <c r="AP164" i="3"/>
  <c r="AM164" i="3"/>
  <c r="AL164" i="3"/>
  <c r="AN164" i="3" s="1"/>
  <c r="AI164" i="3"/>
  <c r="AH164" i="3"/>
  <c r="BM164" i="3" s="1"/>
  <c r="AG164" i="3"/>
  <c r="AA164" i="3"/>
  <c r="W164" i="3"/>
  <c r="V164" i="3"/>
  <c r="T164" i="3"/>
  <c r="R164" i="3"/>
  <c r="P164" i="3"/>
  <c r="J164" i="3"/>
  <c r="AZ164" i="3" s="1"/>
  <c r="BZ163" i="3"/>
  <c r="BW163" i="3"/>
  <c r="BV163" i="3"/>
  <c r="BU163" i="3"/>
  <c r="BQ163" i="3"/>
  <c r="BP163" i="3"/>
  <c r="BO163" i="3"/>
  <c r="BN163" i="3"/>
  <c r="BL163" i="3"/>
  <c r="BK163" i="3"/>
  <c r="BJ163" i="3"/>
  <c r="BR163" i="3" s="1"/>
  <c r="BS163" i="3" s="1"/>
  <c r="BT163" i="3" s="1"/>
  <c r="BI163" i="3"/>
  <c r="BH163" i="3"/>
  <c r="BG163" i="3"/>
  <c r="BF163" i="3"/>
  <c r="BE163" i="3"/>
  <c r="BD163" i="3"/>
  <c r="BC163" i="3"/>
  <c r="BB163" i="3"/>
  <c r="BA163" i="3"/>
  <c r="AY163" i="3"/>
  <c r="AX163" i="3"/>
  <c r="AW163" i="3"/>
  <c r="AV163" i="3"/>
  <c r="AU163" i="3"/>
  <c r="AR163" i="3"/>
  <c r="AP163" i="3"/>
  <c r="AN163" i="3"/>
  <c r="AM163" i="3"/>
  <c r="AL163" i="3"/>
  <c r="AH163" i="3"/>
  <c r="AG163" i="3" s="1"/>
  <c r="AA163" i="3"/>
  <c r="W163" i="3"/>
  <c r="V163" i="3"/>
  <c r="T163" i="3"/>
  <c r="R163" i="3"/>
  <c r="P163" i="3"/>
  <c r="J163" i="3"/>
  <c r="AZ163" i="3" s="1"/>
  <c r="BZ162" i="3"/>
  <c r="BV162" i="3"/>
  <c r="BU162" i="3"/>
  <c r="BW162" i="3" s="1"/>
  <c r="BQ162" i="3"/>
  <c r="BS162" i="3" s="1"/>
  <c r="BT162" i="3" s="1"/>
  <c r="BP162" i="3"/>
  <c r="BO162" i="3"/>
  <c r="BN162" i="3"/>
  <c r="BM162" i="3"/>
  <c r="BL162" i="3"/>
  <c r="BK162" i="3"/>
  <c r="BJ162" i="3"/>
  <c r="BR162" i="3" s="1"/>
  <c r="BI162" i="3"/>
  <c r="BH162" i="3"/>
  <c r="BG162" i="3"/>
  <c r="BF162" i="3"/>
  <c r="BE162" i="3"/>
  <c r="BD162" i="3"/>
  <c r="BC162" i="3"/>
  <c r="BB162" i="3"/>
  <c r="BA162" i="3"/>
  <c r="AY162" i="3"/>
  <c r="AX162" i="3"/>
  <c r="AW162" i="3"/>
  <c r="AV162" i="3"/>
  <c r="AU162" i="3"/>
  <c r="AR162" i="3"/>
  <c r="AP162" i="3"/>
  <c r="AN162" i="3"/>
  <c r="AM162" i="3"/>
  <c r="AL162" i="3"/>
  <c r="AI162" i="3"/>
  <c r="AH162" i="3"/>
  <c r="AG162" i="3"/>
  <c r="AA162" i="3"/>
  <c r="W162" i="3"/>
  <c r="V162" i="3"/>
  <c r="T162" i="3"/>
  <c r="R162" i="3"/>
  <c r="P162" i="3"/>
  <c r="J162" i="3"/>
  <c r="AZ162" i="3" s="1"/>
  <c r="BZ161" i="3"/>
  <c r="BV161" i="3"/>
  <c r="BU161" i="3"/>
  <c r="BW161" i="3" s="1"/>
  <c r="BQ161" i="3"/>
  <c r="BS161" i="3" s="1"/>
  <c r="BT161" i="3" s="1"/>
  <c r="BP161" i="3"/>
  <c r="BO161" i="3"/>
  <c r="BN161" i="3"/>
  <c r="BM161" i="3"/>
  <c r="BL161" i="3"/>
  <c r="BK161" i="3"/>
  <c r="BJ161" i="3"/>
  <c r="BR161" i="3" s="1"/>
  <c r="BI161" i="3"/>
  <c r="BH161" i="3"/>
  <c r="BG161" i="3"/>
  <c r="BF161" i="3"/>
  <c r="BE161" i="3"/>
  <c r="BD161" i="3"/>
  <c r="BC161" i="3"/>
  <c r="BB161" i="3"/>
  <c r="BA161" i="3"/>
  <c r="AY161" i="3"/>
  <c r="AX161" i="3"/>
  <c r="AW161" i="3"/>
  <c r="AV161" i="3"/>
  <c r="AU161" i="3"/>
  <c r="AR161" i="3"/>
  <c r="AP161" i="3"/>
  <c r="AM161" i="3"/>
  <c r="AL161" i="3"/>
  <c r="AN161" i="3" s="1"/>
  <c r="AI161" i="3"/>
  <c r="AH161" i="3"/>
  <c r="AG161" i="3"/>
  <c r="AA161" i="3"/>
  <c r="W161" i="3"/>
  <c r="V161" i="3"/>
  <c r="T161" i="3"/>
  <c r="R161" i="3"/>
  <c r="P161" i="3"/>
  <c r="J161" i="3"/>
  <c r="AZ161" i="3" s="1"/>
  <c r="BZ160" i="3"/>
  <c r="BW160" i="3"/>
  <c r="BV160" i="3"/>
  <c r="BU160" i="3"/>
  <c r="BS160" i="3"/>
  <c r="BT160" i="3" s="1"/>
  <c r="BQ160" i="3"/>
  <c r="BP160" i="3"/>
  <c r="BO160" i="3"/>
  <c r="BN160" i="3"/>
  <c r="BL160" i="3"/>
  <c r="BK160" i="3"/>
  <c r="BJ160" i="3"/>
  <c r="BR160" i="3" s="1"/>
  <c r="BI160" i="3"/>
  <c r="BH160" i="3"/>
  <c r="BG160" i="3"/>
  <c r="BF160" i="3"/>
  <c r="BE160" i="3"/>
  <c r="BD160" i="3"/>
  <c r="BC160" i="3"/>
  <c r="BB160" i="3"/>
  <c r="BA160" i="3"/>
  <c r="AY160" i="3"/>
  <c r="AX160" i="3"/>
  <c r="AW160" i="3"/>
  <c r="AV160" i="3"/>
  <c r="AU160" i="3"/>
  <c r="AR160" i="3"/>
  <c r="AP160" i="3"/>
  <c r="AM160" i="3"/>
  <c r="AL160" i="3"/>
  <c r="AN160" i="3" s="1"/>
  <c r="AI160" i="3"/>
  <c r="AH160" i="3"/>
  <c r="BM160" i="3" s="1"/>
  <c r="AG160" i="3"/>
  <c r="AA160" i="3"/>
  <c r="W160" i="3"/>
  <c r="V160" i="3"/>
  <c r="T160" i="3"/>
  <c r="R160" i="3"/>
  <c r="P160" i="3"/>
  <c r="J160" i="3"/>
  <c r="AZ160" i="3" s="1"/>
  <c r="BZ159" i="3"/>
  <c r="BW159" i="3"/>
  <c r="BV159" i="3"/>
  <c r="BU159" i="3"/>
  <c r="BT159" i="3"/>
  <c r="BQ159" i="3"/>
  <c r="BP159" i="3"/>
  <c r="BO159" i="3"/>
  <c r="BN159" i="3"/>
  <c r="BL159" i="3"/>
  <c r="BK159" i="3"/>
  <c r="BJ159" i="3"/>
  <c r="BR159" i="3" s="1"/>
  <c r="BS159" i="3" s="1"/>
  <c r="BI159" i="3"/>
  <c r="BH159" i="3"/>
  <c r="BG159" i="3"/>
  <c r="BF159" i="3"/>
  <c r="BE159" i="3"/>
  <c r="BD159" i="3"/>
  <c r="BC159" i="3"/>
  <c r="BB159" i="3"/>
  <c r="BA159" i="3"/>
  <c r="AY159" i="3"/>
  <c r="AX159" i="3"/>
  <c r="AW159" i="3"/>
  <c r="AV159" i="3"/>
  <c r="AU159" i="3"/>
  <c r="AR159" i="3"/>
  <c r="AP159" i="3"/>
  <c r="AN159" i="3"/>
  <c r="AM159" i="3"/>
  <c r="AL159" i="3"/>
  <c r="AH159" i="3"/>
  <c r="AA159" i="3"/>
  <c r="W159" i="3"/>
  <c r="V159" i="3"/>
  <c r="T159" i="3"/>
  <c r="R159" i="3"/>
  <c r="P159" i="3"/>
  <c r="J159" i="3"/>
  <c r="AZ159" i="3" s="1"/>
  <c r="BZ158" i="3"/>
  <c r="BV158" i="3"/>
  <c r="BU158" i="3"/>
  <c r="BW158" i="3" s="1"/>
  <c r="BQ158" i="3"/>
  <c r="BP158" i="3"/>
  <c r="BO158" i="3"/>
  <c r="BN158" i="3"/>
  <c r="BM158" i="3"/>
  <c r="BL158" i="3"/>
  <c r="BK158" i="3"/>
  <c r="BJ158" i="3"/>
  <c r="BR158" i="3" s="1"/>
  <c r="BI158" i="3"/>
  <c r="BH158" i="3"/>
  <c r="BG158" i="3"/>
  <c r="BF158" i="3"/>
  <c r="BE158" i="3"/>
  <c r="BD158" i="3"/>
  <c r="BC158" i="3"/>
  <c r="BB158" i="3"/>
  <c r="BA158" i="3"/>
  <c r="AY158" i="3"/>
  <c r="AX158" i="3"/>
  <c r="AW158" i="3"/>
  <c r="AV158" i="3"/>
  <c r="AU158" i="3"/>
  <c r="AR158" i="3"/>
  <c r="AP158" i="3"/>
  <c r="AN158" i="3"/>
  <c r="AM158" i="3"/>
  <c r="AL158" i="3"/>
  <c r="AI158" i="3"/>
  <c r="AH158" i="3"/>
  <c r="AG158" i="3"/>
  <c r="AA158" i="3"/>
  <c r="W158" i="3"/>
  <c r="V158" i="3"/>
  <c r="T158" i="3"/>
  <c r="R158" i="3"/>
  <c r="P158" i="3"/>
  <c r="J158" i="3"/>
  <c r="AZ158" i="3" s="1"/>
  <c r="BZ157" i="3"/>
  <c r="BV157" i="3"/>
  <c r="BU157" i="3"/>
  <c r="BW157" i="3" s="1"/>
  <c r="BQ157" i="3"/>
  <c r="BP157" i="3"/>
  <c r="BO157" i="3"/>
  <c r="BN157" i="3"/>
  <c r="BM157" i="3"/>
  <c r="BL157" i="3"/>
  <c r="BK157" i="3"/>
  <c r="BJ157" i="3"/>
  <c r="BR157" i="3" s="1"/>
  <c r="BI157" i="3"/>
  <c r="BH157" i="3"/>
  <c r="BG157" i="3"/>
  <c r="BF157" i="3"/>
  <c r="BE157" i="3"/>
  <c r="BD157" i="3"/>
  <c r="BC157" i="3"/>
  <c r="BB157" i="3"/>
  <c r="BA157" i="3"/>
  <c r="AY157" i="3"/>
  <c r="AX157" i="3"/>
  <c r="AW157" i="3"/>
  <c r="AV157" i="3"/>
  <c r="AU157" i="3"/>
  <c r="AR157" i="3"/>
  <c r="AP157" i="3"/>
  <c r="AM157" i="3"/>
  <c r="AL157" i="3"/>
  <c r="AN157" i="3" s="1"/>
  <c r="AI157" i="3"/>
  <c r="AH157" i="3"/>
  <c r="AG157" i="3"/>
  <c r="AA157" i="3"/>
  <c r="W157" i="3"/>
  <c r="V157" i="3"/>
  <c r="T157" i="3"/>
  <c r="R157" i="3"/>
  <c r="P157" i="3"/>
  <c r="J157" i="3"/>
  <c r="AZ157" i="3" s="1"/>
  <c r="BZ156" i="3"/>
  <c r="BW156" i="3"/>
  <c r="BV156" i="3"/>
  <c r="BU156" i="3"/>
  <c r="BS156" i="3"/>
  <c r="BT156" i="3" s="1"/>
  <c r="BQ156" i="3"/>
  <c r="BP156" i="3"/>
  <c r="BO156" i="3"/>
  <c r="BN156" i="3"/>
  <c r="BL156" i="3"/>
  <c r="BK156" i="3"/>
  <c r="BJ156" i="3"/>
  <c r="BR156" i="3" s="1"/>
  <c r="BI156" i="3"/>
  <c r="BH156" i="3"/>
  <c r="BG156" i="3"/>
  <c r="BF156" i="3"/>
  <c r="BE156" i="3"/>
  <c r="BD156" i="3"/>
  <c r="BC156" i="3"/>
  <c r="BB156" i="3"/>
  <c r="BA156" i="3"/>
  <c r="AY156" i="3"/>
  <c r="AX156" i="3"/>
  <c r="AW156" i="3"/>
  <c r="AV156" i="3"/>
  <c r="AU156" i="3"/>
  <c r="AR156" i="3"/>
  <c r="AP156" i="3"/>
  <c r="AM156" i="3"/>
  <c r="AL156" i="3"/>
  <c r="AN156" i="3" s="1"/>
  <c r="AH156" i="3"/>
  <c r="BM156" i="3" s="1"/>
  <c r="AG156" i="3"/>
  <c r="AA156" i="3"/>
  <c r="W156" i="3"/>
  <c r="V156" i="3"/>
  <c r="T156" i="3"/>
  <c r="R156" i="3"/>
  <c r="P156" i="3"/>
  <c r="J156" i="3"/>
  <c r="AZ156" i="3" s="1"/>
  <c r="BZ155" i="3"/>
  <c r="BW155" i="3"/>
  <c r="BV155" i="3"/>
  <c r="BU155" i="3"/>
  <c r="BQ155" i="3"/>
  <c r="BP155" i="3"/>
  <c r="BO155" i="3"/>
  <c r="BN155" i="3"/>
  <c r="BL155" i="3"/>
  <c r="BK155" i="3"/>
  <c r="BJ155" i="3"/>
  <c r="BR155" i="3" s="1"/>
  <c r="BS155" i="3" s="1"/>
  <c r="BT155" i="3" s="1"/>
  <c r="BI155" i="3"/>
  <c r="BH155" i="3"/>
  <c r="BG155" i="3"/>
  <c r="BF155" i="3"/>
  <c r="BE155" i="3"/>
  <c r="BD155" i="3"/>
  <c r="BC155" i="3"/>
  <c r="BB155" i="3"/>
  <c r="BA155" i="3"/>
  <c r="AY155" i="3"/>
  <c r="AX155" i="3"/>
  <c r="AW155" i="3"/>
  <c r="AV155" i="3"/>
  <c r="AU155" i="3"/>
  <c r="AR155" i="3"/>
  <c r="AP155" i="3"/>
  <c r="AN155" i="3"/>
  <c r="AM155" i="3"/>
  <c r="AL155" i="3"/>
  <c r="AI155" i="3"/>
  <c r="AH155" i="3"/>
  <c r="BM155" i="3" s="1"/>
  <c r="AA155" i="3"/>
  <c r="W155" i="3"/>
  <c r="V155" i="3"/>
  <c r="T155" i="3"/>
  <c r="R155" i="3"/>
  <c r="P155" i="3"/>
  <c r="J155" i="3"/>
  <c r="AZ155" i="3" s="1"/>
  <c r="BZ154" i="3"/>
  <c r="BV154" i="3"/>
  <c r="BU154" i="3"/>
  <c r="BW154" i="3" s="1"/>
  <c r="BQ154" i="3"/>
  <c r="BP154" i="3"/>
  <c r="BO154" i="3"/>
  <c r="BN154" i="3"/>
  <c r="BL154" i="3"/>
  <c r="BK154" i="3"/>
  <c r="BJ154" i="3"/>
  <c r="BR154" i="3" s="1"/>
  <c r="BI154" i="3"/>
  <c r="BH154" i="3"/>
  <c r="BG154" i="3"/>
  <c r="BF154" i="3"/>
  <c r="BE154" i="3"/>
  <c r="BD154" i="3"/>
  <c r="BC154" i="3"/>
  <c r="BB154" i="3"/>
  <c r="BA154" i="3"/>
  <c r="AY154" i="3"/>
  <c r="AX154" i="3"/>
  <c r="AW154" i="3"/>
  <c r="AV154" i="3"/>
  <c r="AU154" i="3"/>
  <c r="AR154" i="3"/>
  <c r="AP154" i="3"/>
  <c r="AN154" i="3"/>
  <c r="AM154" i="3"/>
  <c r="AL154" i="3"/>
  <c r="AI154" i="3"/>
  <c r="AH154" i="3"/>
  <c r="BM154" i="3" s="1"/>
  <c r="AG154" i="3"/>
  <c r="AA154" i="3"/>
  <c r="W154" i="3"/>
  <c r="V154" i="3"/>
  <c r="T154" i="3"/>
  <c r="R154" i="3"/>
  <c r="P154" i="3"/>
  <c r="J154" i="3"/>
  <c r="AZ154" i="3" s="1"/>
  <c r="BZ153" i="3"/>
  <c r="BV153" i="3"/>
  <c r="BU153" i="3"/>
  <c r="BQ153" i="3"/>
  <c r="BP153" i="3"/>
  <c r="BO153" i="3"/>
  <c r="BN153" i="3"/>
  <c r="BM153" i="3"/>
  <c r="BL153" i="3"/>
  <c r="BK153" i="3"/>
  <c r="BJ153" i="3"/>
  <c r="BR153" i="3" s="1"/>
  <c r="BI153" i="3"/>
  <c r="BH153" i="3"/>
  <c r="BG153" i="3"/>
  <c r="BF153" i="3"/>
  <c r="BE153" i="3"/>
  <c r="BD153" i="3"/>
  <c r="BC153" i="3"/>
  <c r="BB153" i="3"/>
  <c r="BA153" i="3"/>
  <c r="AY153" i="3"/>
  <c r="AX153" i="3"/>
  <c r="AW153" i="3"/>
  <c r="AV153" i="3"/>
  <c r="AU153" i="3"/>
  <c r="AR153" i="3"/>
  <c r="AP153" i="3"/>
  <c r="AM153" i="3"/>
  <c r="AL153" i="3"/>
  <c r="AN153" i="3" s="1"/>
  <c r="AI153" i="3"/>
  <c r="AH153" i="3"/>
  <c r="AG153" i="3"/>
  <c r="AA153" i="3"/>
  <c r="W153" i="3"/>
  <c r="V153" i="3"/>
  <c r="T153" i="3"/>
  <c r="R153" i="3"/>
  <c r="P153" i="3"/>
  <c r="J153" i="3"/>
  <c r="AZ153" i="3" s="1"/>
  <c r="BZ152" i="3"/>
  <c r="BW152" i="3"/>
  <c r="BV152" i="3"/>
  <c r="BU152" i="3"/>
  <c r="BR152" i="3"/>
  <c r="BS152" i="3" s="1"/>
  <c r="BT152" i="3" s="1"/>
  <c r="BQ152" i="3"/>
  <c r="BP152" i="3"/>
  <c r="BO152" i="3"/>
  <c r="BN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Y152" i="3"/>
  <c r="AX152" i="3"/>
  <c r="AW152" i="3"/>
  <c r="AV152" i="3"/>
  <c r="AU152" i="3"/>
  <c r="AR152" i="3"/>
  <c r="AP152" i="3"/>
  <c r="AM152" i="3"/>
  <c r="AL152" i="3"/>
  <c r="AH152" i="3"/>
  <c r="BM152" i="3" s="1"/>
  <c r="AG152" i="3"/>
  <c r="AA152" i="3"/>
  <c r="W152" i="3"/>
  <c r="V152" i="3"/>
  <c r="T152" i="3"/>
  <c r="R152" i="3"/>
  <c r="P152" i="3"/>
  <c r="J152" i="3"/>
  <c r="AZ152" i="3" s="1"/>
  <c r="BZ151" i="3"/>
  <c r="BV151" i="3"/>
  <c r="BU151" i="3"/>
  <c r="BW151" i="3" s="1"/>
  <c r="BQ151" i="3"/>
  <c r="BP151" i="3"/>
  <c r="BO151" i="3"/>
  <c r="BN151" i="3"/>
  <c r="BL151" i="3"/>
  <c r="BK151" i="3"/>
  <c r="BJ151" i="3"/>
  <c r="BR151" i="3" s="1"/>
  <c r="BS151" i="3" s="1"/>
  <c r="BT151" i="3" s="1"/>
  <c r="BI151" i="3"/>
  <c r="BH151" i="3"/>
  <c r="BG151" i="3"/>
  <c r="BF151" i="3"/>
  <c r="BE151" i="3"/>
  <c r="BD151" i="3"/>
  <c r="BC151" i="3"/>
  <c r="BB151" i="3"/>
  <c r="BA151" i="3"/>
  <c r="AY151" i="3"/>
  <c r="AX151" i="3"/>
  <c r="AW151" i="3"/>
  <c r="AV151" i="3"/>
  <c r="AU151" i="3"/>
  <c r="AR151" i="3"/>
  <c r="AP151" i="3"/>
  <c r="AN151" i="3"/>
  <c r="AM151" i="3"/>
  <c r="AL151" i="3"/>
  <c r="AI151" i="3"/>
  <c r="AH151" i="3"/>
  <c r="AG151" i="3" s="1"/>
  <c r="AA151" i="3"/>
  <c r="W151" i="3"/>
  <c r="V151" i="3"/>
  <c r="T151" i="3"/>
  <c r="R151" i="3"/>
  <c r="P151" i="3"/>
  <c r="J151" i="3"/>
  <c r="AZ151" i="3" s="1"/>
  <c r="BZ150" i="3"/>
  <c r="BV150" i="3"/>
  <c r="BU150" i="3"/>
  <c r="BW150" i="3" s="1"/>
  <c r="BQ150" i="3"/>
  <c r="BS150" i="3" s="1"/>
  <c r="BT150" i="3" s="1"/>
  <c r="BP150" i="3"/>
  <c r="BO150" i="3"/>
  <c r="BN150" i="3"/>
  <c r="BM150" i="3"/>
  <c r="BL150" i="3"/>
  <c r="BK150" i="3"/>
  <c r="BJ150" i="3"/>
  <c r="BR150" i="3" s="1"/>
  <c r="BI150" i="3"/>
  <c r="BH150" i="3"/>
  <c r="BG150" i="3"/>
  <c r="BF150" i="3"/>
  <c r="BE150" i="3"/>
  <c r="BD150" i="3"/>
  <c r="BC150" i="3"/>
  <c r="BB150" i="3"/>
  <c r="BA150" i="3"/>
  <c r="AY150" i="3"/>
  <c r="AX150" i="3"/>
  <c r="AW150" i="3"/>
  <c r="AV150" i="3"/>
  <c r="AU150" i="3"/>
  <c r="AR150" i="3"/>
  <c r="AP150" i="3"/>
  <c r="AN150" i="3"/>
  <c r="AM150" i="3"/>
  <c r="AL150" i="3"/>
  <c r="AI150" i="3"/>
  <c r="AH150" i="3"/>
  <c r="AG150" i="3"/>
  <c r="AA150" i="3"/>
  <c r="W150" i="3"/>
  <c r="V150" i="3"/>
  <c r="T150" i="3"/>
  <c r="R150" i="3"/>
  <c r="P150" i="3"/>
  <c r="J150" i="3"/>
  <c r="AZ150" i="3" s="1"/>
  <c r="BZ149" i="3"/>
  <c r="BV149" i="3"/>
  <c r="BU149" i="3"/>
  <c r="BW149" i="3" s="1"/>
  <c r="BQ149" i="3"/>
  <c r="BS149" i="3" s="1"/>
  <c r="BT149" i="3" s="1"/>
  <c r="BP149" i="3"/>
  <c r="BO149" i="3"/>
  <c r="BN149" i="3"/>
  <c r="BL149" i="3"/>
  <c r="BK149" i="3"/>
  <c r="BJ149" i="3"/>
  <c r="BR149" i="3" s="1"/>
  <c r="BI149" i="3"/>
  <c r="BH149" i="3"/>
  <c r="BG149" i="3"/>
  <c r="BF149" i="3"/>
  <c r="BE149" i="3"/>
  <c r="BD149" i="3"/>
  <c r="BC149" i="3"/>
  <c r="BB149" i="3"/>
  <c r="BA149" i="3"/>
  <c r="AY149" i="3"/>
  <c r="AX149" i="3"/>
  <c r="AW149" i="3"/>
  <c r="AV149" i="3"/>
  <c r="AU149" i="3"/>
  <c r="AR149" i="3"/>
  <c r="AP149" i="3"/>
  <c r="AM149" i="3"/>
  <c r="AL149" i="3"/>
  <c r="AN149" i="3" s="1"/>
  <c r="AI149" i="3"/>
  <c r="AH149" i="3"/>
  <c r="BM149" i="3" s="1"/>
  <c r="AG149" i="3"/>
  <c r="AA149" i="3"/>
  <c r="W149" i="3"/>
  <c r="V149" i="3"/>
  <c r="T149" i="3"/>
  <c r="R149" i="3"/>
  <c r="P149" i="3"/>
  <c r="J149" i="3"/>
  <c r="AZ149" i="3" s="1"/>
  <c r="BZ148" i="3"/>
  <c r="BW148" i="3"/>
  <c r="BV148" i="3"/>
  <c r="BU148" i="3"/>
  <c r="BQ148" i="3"/>
  <c r="BP148" i="3"/>
  <c r="BO148" i="3"/>
  <c r="BN148" i="3"/>
  <c r="BM148" i="3"/>
  <c r="BL148" i="3"/>
  <c r="BK148" i="3"/>
  <c r="BJ148" i="3"/>
  <c r="BR148" i="3" s="1"/>
  <c r="BS148" i="3" s="1"/>
  <c r="BT148" i="3" s="1"/>
  <c r="BI148" i="3"/>
  <c r="BH148" i="3"/>
  <c r="BG148" i="3"/>
  <c r="BF148" i="3"/>
  <c r="BE148" i="3"/>
  <c r="BD148" i="3"/>
  <c r="BC148" i="3"/>
  <c r="BB148" i="3"/>
  <c r="BA148" i="3"/>
  <c r="AY148" i="3"/>
  <c r="AX148" i="3"/>
  <c r="AW148" i="3"/>
  <c r="AV148" i="3"/>
  <c r="AU148" i="3"/>
  <c r="AR148" i="3"/>
  <c r="AP148" i="3"/>
  <c r="AM148" i="3"/>
  <c r="AL148" i="3"/>
  <c r="AN148" i="3" s="1"/>
  <c r="AI148" i="3"/>
  <c r="AH148" i="3"/>
  <c r="AG148" i="3"/>
  <c r="AA148" i="3"/>
  <c r="W148" i="3"/>
  <c r="V148" i="3"/>
  <c r="T148" i="3"/>
  <c r="R148" i="3"/>
  <c r="P148" i="3"/>
  <c r="J148" i="3"/>
  <c r="AZ148" i="3" s="1"/>
  <c r="BZ147" i="3"/>
  <c r="BV147" i="3"/>
  <c r="BW147" i="3" s="1"/>
  <c r="BU147" i="3"/>
  <c r="BQ147" i="3"/>
  <c r="BP147" i="3"/>
  <c r="BO147" i="3"/>
  <c r="BN147" i="3"/>
  <c r="BL147" i="3"/>
  <c r="BK147" i="3"/>
  <c r="BJ147" i="3"/>
  <c r="BR147" i="3" s="1"/>
  <c r="BS147" i="3" s="1"/>
  <c r="BT147" i="3" s="1"/>
  <c r="BI147" i="3"/>
  <c r="BH147" i="3"/>
  <c r="BG147" i="3"/>
  <c r="BF147" i="3"/>
  <c r="BE147" i="3"/>
  <c r="BD147" i="3"/>
  <c r="BC147" i="3"/>
  <c r="BB147" i="3"/>
  <c r="BA147" i="3"/>
  <c r="AY147" i="3"/>
  <c r="AX147" i="3"/>
  <c r="AW147" i="3"/>
  <c r="AV147" i="3"/>
  <c r="AU147" i="3"/>
  <c r="AR147" i="3"/>
  <c r="AP147" i="3"/>
  <c r="AN147" i="3"/>
  <c r="AM147" i="3"/>
  <c r="AL147" i="3"/>
  <c r="AI147" i="3"/>
  <c r="AH147" i="3"/>
  <c r="BM147" i="3" s="1"/>
  <c r="AG147" i="3"/>
  <c r="AA147" i="3"/>
  <c r="W147" i="3"/>
  <c r="V147" i="3"/>
  <c r="T147" i="3"/>
  <c r="R147" i="3"/>
  <c r="P147" i="3"/>
  <c r="J147" i="3"/>
  <c r="AZ147" i="3" s="1"/>
  <c r="BZ146" i="3"/>
  <c r="BV146" i="3"/>
  <c r="BU146" i="3"/>
  <c r="BW146" i="3" s="1"/>
  <c r="BQ146" i="3"/>
  <c r="BP146" i="3"/>
  <c r="BO146" i="3"/>
  <c r="BN146" i="3"/>
  <c r="BM146" i="3"/>
  <c r="BL146" i="3"/>
  <c r="BK146" i="3"/>
  <c r="BJ146" i="3"/>
  <c r="BR146" i="3" s="1"/>
  <c r="BI146" i="3"/>
  <c r="BH146" i="3"/>
  <c r="BG146" i="3"/>
  <c r="BF146" i="3"/>
  <c r="BE146" i="3"/>
  <c r="BD146" i="3"/>
  <c r="BC146" i="3"/>
  <c r="BB146" i="3"/>
  <c r="BA146" i="3"/>
  <c r="AY146" i="3"/>
  <c r="AX146" i="3"/>
  <c r="AW146" i="3"/>
  <c r="AV146" i="3"/>
  <c r="AU146" i="3"/>
  <c r="AR146" i="3"/>
  <c r="AP146" i="3"/>
  <c r="AM146" i="3"/>
  <c r="AN146" i="3" s="1"/>
  <c r="AL146" i="3"/>
  <c r="AI146" i="3"/>
  <c r="AH146" i="3"/>
  <c r="AG146" i="3"/>
  <c r="AA146" i="3"/>
  <c r="W146" i="3"/>
  <c r="V146" i="3"/>
  <c r="T146" i="3"/>
  <c r="R146" i="3"/>
  <c r="P146" i="3"/>
  <c r="J146" i="3"/>
  <c r="AZ146" i="3" s="1"/>
  <c r="BZ145" i="3"/>
  <c r="BV145" i="3"/>
  <c r="BU145" i="3"/>
  <c r="BW145" i="3" s="1"/>
  <c r="BQ145" i="3"/>
  <c r="BS145" i="3" s="1"/>
  <c r="BT145" i="3" s="1"/>
  <c r="BP145" i="3"/>
  <c r="BO145" i="3"/>
  <c r="BN145" i="3"/>
  <c r="BL145" i="3"/>
  <c r="BK145" i="3"/>
  <c r="BJ145" i="3"/>
  <c r="BR145" i="3" s="1"/>
  <c r="BI145" i="3"/>
  <c r="BH145" i="3"/>
  <c r="BG145" i="3"/>
  <c r="BF145" i="3"/>
  <c r="BE145" i="3"/>
  <c r="BD145" i="3"/>
  <c r="BC145" i="3"/>
  <c r="BB145" i="3"/>
  <c r="BA145" i="3"/>
  <c r="AY145" i="3"/>
  <c r="AX145" i="3"/>
  <c r="AW145" i="3"/>
  <c r="AV145" i="3"/>
  <c r="AU145" i="3"/>
  <c r="AR145" i="3"/>
  <c r="AP145" i="3"/>
  <c r="AM145" i="3"/>
  <c r="AL145" i="3"/>
  <c r="AN145" i="3" s="1"/>
  <c r="AH145" i="3"/>
  <c r="BM145" i="3" s="1"/>
  <c r="AA145" i="3"/>
  <c r="W145" i="3"/>
  <c r="V145" i="3"/>
  <c r="T145" i="3"/>
  <c r="R145" i="3"/>
  <c r="P145" i="3"/>
  <c r="J145" i="3"/>
  <c r="AZ145" i="3" s="1"/>
  <c r="BZ144" i="3"/>
  <c r="BW144" i="3"/>
  <c r="BV144" i="3"/>
  <c r="BU144" i="3"/>
  <c r="BQ144" i="3"/>
  <c r="BP144" i="3"/>
  <c r="BO144" i="3"/>
  <c r="BN144" i="3"/>
  <c r="BM144" i="3"/>
  <c r="BL144" i="3"/>
  <c r="BK144" i="3"/>
  <c r="BJ144" i="3"/>
  <c r="BR144" i="3" s="1"/>
  <c r="BS144" i="3" s="1"/>
  <c r="BT144" i="3" s="1"/>
  <c r="BI144" i="3"/>
  <c r="BH144" i="3"/>
  <c r="BG144" i="3"/>
  <c r="BF144" i="3"/>
  <c r="BE144" i="3"/>
  <c r="BD144" i="3"/>
  <c r="BC144" i="3"/>
  <c r="BB144" i="3"/>
  <c r="BA144" i="3"/>
  <c r="AY144" i="3"/>
  <c r="AX144" i="3"/>
  <c r="AW144" i="3"/>
  <c r="AV144" i="3"/>
  <c r="AU144" i="3"/>
  <c r="AR144" i="3"/>
  <c r="AP144" i="3"/>
  <c r="AM144" i="3"/>
  <c r="AL144" i="3"/>
  <c r="AN144" i="3" s="1"/>
  <c r="AI144" i="3"/>
  <c r="AH144" i="3"/>
  <c r="AG144" i="3"/>
  <c r="AA144" i="3"/>
  <c r="W144" i="3"/>
  <c r="V144" i="3"/>
  <c r="T144" i="3"/>
  <c r="R144" i="3"/>
  <c r="P144" i="3"/>
  <c r="J144" i="3"/>
  <c r="AZ144" i="3" s="1"/>
  <c r="BZ143" i="3"/>
  <c r="BV143" i="3"/>
  <c r="BW143" i="3" s="1"/>
  <c r="BU143" i="3"/>
  <c r="BQ143" i="3"/>
  <c r="BP143" i="3"/>
  <c r="BO143" i="3"/>
  <c r="BN143" i="3"/>
  <c r="BL143" i="3"/>
  <c r="BK143" i="3"/>
  <c r="BJ143" i="3"/>
  <c r="BR143" i="3" s="1"/>
  <c r="BS143" i="3" s="1"/>
  <c r="BT143" i="3" s="1"/>
  <c r="BI143" i="3"/>
  <c r="BH143" i="3"/>
  <c r="BG143" i="3"/>
  <c r="BF143" i="3"/>
  <c r="BE143" i="3"/>
  <c r="BD143" i="3"/>
  <c r="BC143" i="3"/>
  <c r="BB143" i="3"/>
  <c r="BA143" i="3"/>
  <c r="AY143" i="3"/>
  <c r="AX143" i="3"/>
  <c r="AW143" i="3"/>
  <c r="AV143" i="3"/>
  <c r="AU143" i="3"/>
  <c r="AR143" i="3"/>
  <c r="AP143" i="3"/>
  <c r="AN143" i="3"/>
  <c r="AM143" i="3"/>
  <c r="AL143" i="3"/>
  <c r="AH143" i="3"/>
  <c r="AG143" i="3" s="1"/>
  <c r="AA143" i="3"/>
  <c r="W143" i="3"/>
  <c r="V143" i="3"/>
  <c r="T143" i="3"/>
  <c r="R143" i="3"/>
  <c r="P143" i="3"/>
  <c r="J143" i="3"/>
  <c r="AZ143" i="3" s="1"/>
  <c r="BZ142" i="3"/>
  <c r="BV142" i="3"/>
  <c r="BU142" i="3"/>
  <c r="BW142" i="3" s="1"/>
  <c r="BQ142" i="3"/>
  <c r="BP142" i="3"/>
  <c r="BO142" i="3"/>
  <c r="BN142" i="3"/>
  <c r="BM142" i="3"/>
  <c r="BL142" i="3"/>
  <c r="BK142" i="3"/>
  <c r="BJ142" i="3"/>
  <c r="BR142" i="3" s="1"/>
  <c r="BI142" i="3"/>
  <c r="BH142" i="3"/>
  <c r="BG142" i="3"/>
  <c r="BF142" i="3"/>
  <c r="BE142" i="3"/>
  <c r="BD142" i="3"/>
  <c r="BC142" i="3"/>
  <c r="BB142" i="3"/>
  <c r="BA142" i="3"/>
  <c r="AY142" i="3"/>
  <c r="AX142" i="3"/>
  <c r="AW142" i="3"/>
  <c r="AV142" i="3"/>
  <c r="AU142" i="3"/>
  <c r="AR142" i="3"/>
  <c r="AP142" i="3"/>
  <c r="AM142" i="3"/>
  <c r="AN142" i="3" s="1"/>
  <c r="AL142" i="3"/>
  <c r="AI142" i="3"/>
  <c r="AH142" i="3"/>
  <c r="AG142" i="3"/>
  <c r="AA142" i="3"/>
  <c r="W142" i="3"/>
  <c r="V142" i="3"/>
  <c r="T142" i="3"/>
  <c r="R142" i="3"/>
  <c r="P142" i="3"/>
  <c r="J142" i="3"/>
  <c r="AZ142" i="3" s="1"/>
  <c r="BZ141" i="3"/>
  <c r="BV141" i="3"/>
  <c r="BU141" i="3"/>
  <c r="BW141" i="3" s="1"/>
  <c r="BQ141" i="3"/>
  <c r="BS141" i="3" s="1"/>
  <c r="BT141" i="3" s="1"/>
  <c r="BP141" i="3"/>
  <c r="BO141" i="3"/>
  <c r="BN141" i="3"/>
  <c r="BL141" i="3"/>
  <c r="BK141" i="3"/>
  <c r="BJ141" i="3"/>
  <c r="BR141" i="3" s="1"/>
  <c r="BI141" i="3"/>
  <c r="BH141" i="3"/>
  <c r="BG141" i="3"/>
  <c r="BF141" i="3"/>
  <c r="BE141" i="3"/>
  <c r="BD141" i="3"/>
  <c r="BC141" i="3"/>
  <c r="BB141" i="3"/>
  <c r="BA141" i="3"/>
  <c r="AY141" i="3"/>
  <c r="AX141" i="3"/>
  <c r="AW141" i="3"/>
  <c r="AV141" i="3"/>
  <c r="AU141" i="3"/>
  <c r="AR141" i="3"/>
  <c r="AP141" i="3"/>
  <c r="AM141" i="3"/>
  <c r="AL141" i="3"/>
  <c r="AN141" i="3" s="1"/>
  <c r="AH141" i="3"/>
  <c r="BM141" i="3" s="1"/>
  <c r="AG141" i="3"/>
  <c r="AA141" i="3"/>
  <c r="W141" i="3"/>
  <c r="V141" i="3"/>
  <c r="T141" i="3"/>
  <c r="R141" i="3"/>
  <c r="P141" i="3"/>
  <c r="J141" i="3"/>
  <c r="AZ141" i="3" s="1"/>
  <c r="BZ140" i="3"/>
  <c r="BW140" i="3"/>
  <c r="BV140" i="3"/>
  <c r="BU140" i="3"/>
  <c r="BQ140" i="3"/>
  <c r="BP140" i="3"/>
  <c r="BO140" i="3"/>
  <c r="BN140" i="3"/>
  <c r="BM140" i="3"/>
  <c r="BL140" i="3"/>
  <c r="BK140" i="3"/>
  <c r="BJ140" i="3"/>
  <c r="BR140" i="3" s="1"/>
  <c r="BS140" i="3" s="1"/>
  <c r="BT140" i="3" s="1"/>
  <c r="BI140" i="3"/>
  <c r="BH140" i="3"/>
  <c r="BG140" i="3"/>
  <c r="BF140" i="3"/>
  <c r="BE140" i="3"/>
  <c r="BD140" i="3"/>
  <c r="BC140" i="3"/>
  <c r="BB140" i="3"/>
  <c r="BA140" i="3"/>
  <c r="AY140" i="3"/>
  <c r="AX140" i="3"/>
  <c r="AW140" i="3"/>
  <c r="AV140" i="3"/>
  <c r="AU140" i="3"/>
  <c r="AR140" i="3"/>
  <c r="AP140" i="3"/>
  <c r="AM140" i="3"/>
  <c r="AL140" i="3"/>
  <c r="AN140" i="3" s="1"/>
  <c r="AI140" i="3"/>
  <c r="AH140" i="3"/>
  <c r="AG140" i="3"/>
  <c r="AA140" i="3"/>
  <c r="W140" i="3"/>
  <c r="V140" i="3"/>
  <c r="T140" i="3"/>
  <c r="R140" i="3"/>
  <c r="P140" i="3"/>
  <c r="J140" i="3"/>
  <c r="AZ140" i="3" s="1"/>
  <c r="BZ139" i="3"/>
  <c r="BV139" i="3"/>
  <c r="BW139" i="3" s="1"/>
  <c r="BU139" i="3"/>
  <c r="BQ139" i="3"/>
  <c r="BP139" i="3"/>
  <c r="BO139" i="3"/>
  <c r="BN139" i="3"/>
  <c r="BL139" i="3"/>
  <c r="BK139" i="3"/>
  <c r="BJ139" i="3"/>
  <c r="BR139" i="3" s="1"/>
  <c r="BS139" i="3" s="1"/>
  <c r="BT139" i="3" s="1"/>
  <c r="BI139" i="3"/>
  <c r="BH139" i="3"/>
  <c r="BG139" i="3"/>
  <c r="BF139" i="3"/>
  <c r="BE139" i="3"/>
  <c r="BD139" i="3"/>
  <c r="BC139" i="3"/>
  <c r="BB139" i="3"/>
  <c r="BA139" i="3"/>
  <c r="AY139" i="3"/>
  <c r="AX139" i="3"/>
  <c r="AW139" i="3"/>
  <c r="AV139" i="3"/>
  <c r="AU139" i="3"/>
  <c r="AR139" i="3"/>
  <c r="AP139" i="3"/>
  <c r="AN139" i="3"/>
  <c r="AM139" i="3"/>
  <c r="AL139" i="3"/>
  <c r="AI139" i="3"/>
  <c r="AH139" i="3"/>
  <c r="BM139" i="3" s="1"/>
  <c r="AG139" i="3"/>
  <c r="AA139" i="3"/>
  <c r="W139" i="3"/>
  <c r="V139" i="3"/>
  <c r="T139" i="3"/>
  <c r="R139" i="3"/>
  <c r="P139" i="3"/>
  <c r="J139" i="3"/>
  <c r="AZ139" i="3" s="1"/>
  <c r="BZ138" i="3"/>
  <c r="BV138" i="3"/>
  <c r="BU138" i="3"/>
  <c r="BW138" i="3" s="1"/>
  <c r="BQ138" i="3"/>
  <c r="BS138" i="3" s="1"/>
  <c r="BT138" i="3" s="1"/>
  <c r="BP138" i="3"/>
  <c r="BO138" i="3"/>
  <c r="BN138" i="3"/>
  <c r="BM138" i="3"/>
  <c r="BL138" i="3"/>
  <c r="BK138" i="3"/>
  <c r="BJ138" i="3"/>
  <c r="BR138" i="3" s="1"/>
  <c r="BI138" i="3"/>
  <c r="BH138" i="3"/>
  <c r="BG138" i="3"/>
  <c r="BF138" i="3"/>
  <c r="BE138" i="3"/>
  <c r="BD138" i="3"/>
  <c r="BC138" i="3"/>
  <c r="BB138" i="3"/>
  <c r="BA138" i="3"/>
  <c r="AY138" i="3"/>
  <c r="AX138" i="3"/>
  <c r="AW138" i="3"/>
  <c r="AV138" i="3"/>
  <c r="AU138" i="3"/>
  <c r="AR138" i="3"/>
  <c r="AP138" i="3"/>
  <c r="AN138" i="3"/>
  <c r="AM138" i="3"/>
  <c r="AL138" i="3"/>
  <c r="AI138" i="3"/>
  <c r="AH138" i="3"/>
  <c r="AG138" i="3"/>
  <c r="AA138" i="3"/>
  <c r="W138" i="3"/>
  <c r="V138" i="3"/>
  <c r="T138" i="3"/>
  <c r="R138" i="3"/>
  <c r="P138" i="3"/>
  <c r="J138" i="3"/>
  <c r="AZ138" i="3" s="1"/>
  <c r="BZ137" i="3"/>
  <c r="BV137" i="3"/>
  <c r="BU137" i="3"/>
  <c r="BW137" i="3" s="1"/>
  <c r="BQ137" i="3"/>
  <c r="BS137" i="3" s="1"/>
  <c r="BT137" i="3" s="1"/>
  <c r="BP137" i="3"/>
  <c r="BO137" i="3"/>
  <c r="BN137" i="3"/>
  <c r="BL137" i="3"/>
  <c r="BK137" i="3"/>
  <c r="BJ137" i="3"/>
  <c r="BR137" i="3" s="1"/>
  <c r="BI137" i="3"/>
  <c r="BH137" i="3"/>
  <c r="BG137" i="3"/>
  <c r="BF137" i="3"/>
  <c r="BE137" i="3"/>
  <c r="BD137" i="3"/>
  <c r="BC137" i="3"/>
  <c r="BB137" i="3"/>
  <c r="BA137" i="3"/>
  <c r="AY137" i="3"/>
  <c r="AX137" i="3"/>
  <c r="AW137" i="3"/>
  <c r="AV137" i="3"/>
  <c r="AU137" i="3"/>
  <c r="AR137" i="3"/>
  <c r="AP137" i="3"/>
  <c r="AM137" i="3"/>
  <c r="AL137" i="3"/>
  <c r="AN137" i="3" s="1"/>
  <c r="AH137" i="3"/>
  <c r="BM137" i="3" s="1"/>
  <c r="AG137" i="3"/>
  <c r="AA137" i="3"/>
  <c r="W137" i="3"/>
  <c r="V137" i="3"/>
  <c r="T137" i="3"/>
  <c r="R137" i="3"/>
  <c r="P137" i="3"/>
  <c r="J137" i="3"/>
  <c r="AZ137" i="3" s="1"/>
  <c r="BZ136" i="3"/>
  <c r="BW136" i="3"/>
  <c r="BV136" i="3"/>
  <c r="BU136" i="3"/>
  <c r="BQ136" i="3"/>
  <c r="BP136" i="3"/>
  <c r="BO136" i="3"/>
  <c r="BN136" i="3"/>
  <c r="BM136" i="3"/>
  <c r="BL136" i="3"/>
  <c r="BK136" i="3"/>
  <c r="BJ136" i="3"/>
  <c r="BR136" i="3" s="1"/>
  <c r="BS136" i="3" s="1"/>
  <c r="BT136" i="3" s="1"/>
  <c r="BI136" i="3"/>
  <c r="BH136" i="3"/>
  <c r="BG136" i="3"/>
  <c r="BF136" i="3"/>
  <c r="BE136" i="3"/>
  <c r="BD136" i="3"/>
  <c r="BC136" i="3"/>
  <c r="BB136" i="3"/>
  <c r="BA136" i="3"/>
  <c r="AY136" i="3"/>
  <c r="AX136" i="3"/>
  <c r="AW136" i="3"/>
  <c r="AV136" i="3"/>
  <c r="AU136" i="3"/>
  <c r="AR136" i="3"/>
  <c r="AP136" i="3"/>
  <c r="AM136" i="3"/>
  <c r="AL136" i="3"/>
  <c r="AN136" i="3" s="1"/>
  <c r="AI136" i="3"/>
  <c r="AH136" i="3"/>
  <c r="AG136" i="3"/>
  <c r="AA136" i="3"/>
  <c r="W136" i="3"/>
  <c r="V136" i="3"/>
  <c r="T136" i="3"/>
  <c r="R136" i="3"/>
  <c r="P136" i="3"/>
  <c r="J136" i="3"/>
  <c r="AZ136" i="3" s="1"/>
  <c r="BZ135" i="3"/>
  <c r="BV135" i="3"/>
  <c r="BW135" i="3" s="1"/>
  <c r="BU135" i="3"/>
  <c r="BQ135" i="3"/>
  <c r="BP135" i="3"/>
  <c r="BO135" i="3"/>
  <c r="BN135" i="3"/>
  <c r="BL135" i="3"/>
  <c r="BK135" i="3"/>
  <c r="BJ135" i="3"/>
  <c r="BR135" i="3" s="1"/>
  <c r="BS135" i="3" s="1"/>
  <c r="BT135" i="3" s="1"/>
  <c r="BI135" i="3"/>
  <c r="BH135" i="3"/>
  <c r="BG135" i="3"/>
  <c r="BF135" i="3"/>
  <c r="BE135" i="3"/>
  <c r="BD135" i="3"/>
  <c r="BC135" i="3"/>
  <c r="BB135" i="3"/>
  <c r="BA135" i="3"/>
  <c r="AY135" i="3"/>
  <c r="AX135" i="3"/>
  <c r="AW135" i="3"/>
  <c r="AV135" i="3"/>
  <c r="AU135" i="3"/>
  <c r="AR135" i="3"/>
  <c r="AP135" i="3"/>
  <c r="AN135" i="3"/>
  <c r="AM135" i="3"/>
  <c r="AL135" i="3"/>
  <c r="AH135" i="3"/>
  <c r="AG135" i="3" s="1"/>
  <c r="AA135" i="3"/>
  <c r="W135" i="3"/>
  <c r="V135" i="3"/>
  <c r="T135" i="3"/>
  <c r="R135" i="3"/>
  <c r="P135" i="3"/>
  <c r="J135" i="3"/>
  <c r="AZ135" i="3" s="1"/>
  <c r="BZ134" i="3"/>
  <c r="BV134" i="3"/>
  <c r="BU134" i="3"/>
  <c r="BW134" i="3" s="1"/>
  <c r="BQ134" i="3"/>
  <c r="BP134" i="3"/>
  <c r="BO134" i="3"/>
  <c r="BN134" i="3"/>
  <c r="BM134" i="3"/>
  <c r="BL134" i="3"/>
  <c r="BK134" i="3"/>
  <c r="BJ134" i="3"/>
  <c r="BR134" i="3" s="1"/>
  <c r="BI134" i="3"/>
  <c r="BH134" i="3"/>
  <c r="BG134" i="3"/>
  <c r="BF134" i="3"/>
  <c r="BE134" i="3"/>
  <c r="BD134" i="3"/>
  <c r="BC134" i="3"/>
  <c r="BB134" i="3"/>
  <c r="BA134" i="3"/>
  <c r="AY134" i="3"/>
  <c r="AX134" i="3"/>
  <c r="AW134" i="3"/>
  <c r="AV134" i="3"/>
  <c r="AU134" i="3"/>
  <c r="AR134" i="3"/>
  <c r="AP134" i="3"/>
  <c r="AM134" i="3"/>
  <c r="AN134" i="3" s="1"/>
  <c r="AL134" i="3"/>
  <c r="AI134" i="3"/>
  <c r="AH134" i="3"/>
  <c r="AG134" i="3"/>
  <c r="AA134" i="3"/>
  <c r="W134" i="3"/>
  <c r="V134" i="3"/>
  <c r="T134" i="3"/>
  <c r="R134" i="3"/>
  <c r="P134" i="3"/>
  <c r="J134" i="3"/>
  <c r="AZ134" i="3" s="1"/>
  <c r="BZ133" i="3"/>
  <c r="BV133" i="3"/>
  <c r="BU133" i="3"/>
  <c r="BW133" i="3" s="1"/>
  <c r="BQ133" i="3"/>
  <c r="BS133" i="3" s="1"/>
  <c r="BT133" i="3" s="1"/>
  <c r="BP133" i="3"/>
  <c r="BO133" i="3"/>
  <c r="BN133" i="3"/>
  <c r="BL133" i="3"/>
  <c r="BK133" i="3"/>
  <c r="BJ133" i="3"/>
  <c r="BR133" i="3" s="1"/>
  <c r="BI133" i="3"/>
  <c r="BH133" i="3"/>
  <c r="BG133" i="3"/>
  <c r="BF133" i="3"/>
  <c r="BE133" i="3"/>
  <c r="BD133" i="3"/>
  <c r="BC133" i="3"/>
  <c r="BB133" i="3"/>
  <c r="BA133" i="3"/>
  <c r="AY133" i="3"/>
  <c r="AX133" i="3"/>
  <c r="AW133" i="3"/>
  <c r="AV133" i="3"/>
  <c r="AU133" i="3"/>
  <c r="AR133" i="3"/>
  <c r="AP133" i="3"/>
  <c r="AM133" i="3"/>
  <c r="AL133" i="3"/>
  <c r="AN133" i="3" s="1"/>
  <c r="AI133" i="3"/>
  <c r="AH133" i="3"/>
  <c r="BM133" i="3" s="1"/>
  <c r="AA133" i="3"/>
  <c r="W133" i="3"/>
  <c r="V133" i="3"/>
  <c r="T133" i="3"/>
  <c r="R133" i="3"/>
  <c r="P133" i="3"/>
  <c r="J133" i="3"/>
  <c r="AZ133" i="3" s="1"/>
  <c r="BZ132" i="3"/>
  <c r="BW132" i="3"/>
  <c r="BV132" i="3"/>
  <c r="BU132" i="3"/>
  <c r="BQ132" i="3"/>
  <c r="BP132" i="3"/>
  <c r="BO132" i="3"/>
  <c r="BN132" i="3"/>
  <c r="BM132" i="3"/>
  <c r="BL132" i="3"/>
  <c r="BK132" i="3"/>
  <c r="BJ132" i="3"/>
  <c r="BR132" i="3" s="1"/>
  <c r="BS132" i="3" s="1"/>
  <c r="BT132" i="3" s="1"/>
  <c r="BI132" i="3"/>
  <c r="BH132" i="3"/>
  <c r="BG132" i="3"/>
  <c r="BF132" i="3"/>
  <c r="BE132" i="3"/>
  <c r="BD132" i="3"/>
  <c r="BC132" i="3"/>
  <c r="BB132" i="3"/>
  <c r="BA132" i="3"/>
  <c r="AY132" i="3"/>
  <c r="AX132" i="3"/>
  <c r="AW132" i="3"/>
  <c r="AV132" i="3"/>
  <c r="AU132" i="3"/>
  <c r="AR132" i="3"/>
  <c r="AP132" i="3"/>
  <c r="AM132" i="3"/>
  <c r="AL132" i="3"/>
  <c r="AN132" i="3" s="1"/>
  <c r="AI132" i="3"/>
  <c r="AH132" i="3"/>
  <c r="AG132" i="3"/>
  <c r="AA132" i="3"/>
  <c r="W132" i="3"/>
  <c r="V132" i="3"/>
  <c r="T132" i="3"/>
  <c r="R132" i="3"/>
  <c r="P132" i="3"/>
  <c r="J132" i="3"/>
  <c r="AZ132" i="3" s="1"/>
  <c r="BZ131" i="3"/>
  <c r="BV131" i="3"/>
  <c r="BW131" i="3" s="1"/>
  <c r="BU131" i="3"/>
  <c r="BQ131" i="3"/>
  <c r="BP131" i="3"/>
  <c r="BO131" i="3"/>
  <c r="BN131" i="3"/>
  <c r="BL131" i="3"/>
  <c r="BK131" i="3"/>
  <c r="BJ131" i="3"/>
  <c r="BR131" i="3" s="1"/>
  <c r="BS131" i="3" s="1"/>
  <c r="BT131" i="3" s="1"/>
  <c r="BI131" i="3"/>
  <c r="BH131" i="3"/>
  <c r="BG131" i="3"/>
  <c r="BF131" i="3"/>
  <c r="BE131" i="3"/>
  <c r="BD131" i="3"/>
  <c r="BC131" i="3"/>
  <c r="BB131" i="3"/>
  <c r="BA131" i="3"/>
  <c r="AY131" i="3"/>
  <c r="AX131" i="3"/>
  <c r="AW131" i="3"/>
  <c r="AV131" i="3"/>
  <c r="AU131" i="3"/>
  <c r="AR131" i="3"/>
  <c r="AP131" i="3"/>
  <c r="AN131" i="3"/>
  <c r="AM131" i="3"/>
  <c r="AL131" i="3"/>
  <c r="AH131" i="3"/>
  <c r="AG131" i="3" s="1"/>
  <c r="AA131" i="3"/>
  <c r="W131" i="3"/>
  <c r="V131" i="3"/>
  <c r="T131" i="3"/>
  <c r="R131" i="3"/>
  <c r="P131" i="3"/>
  <c r="J131" i="3"/>
  <c r="AZ131" i="3" s="1"/>
  <c r="BZ130" i="3"/>
  <c r="BV130" i="3"/>
  <c r="BU130" i="3"/>
  <c r="BW130" i="3" s="1"/>
  <c r="BQ130" i="3"/>
  <c r="BS130" i="3" s="1"/>
  <c r="BT130" i="3" s="1"/>
  <c r="BP130" i="3"/>
  <c r="BO130" i="3"/>
  <c r="BN130" i="3"/>
  <c r="BM130" i="3"/>
  <c r="BL130" i="3"/>
  <c r="BK130" i="3"/>
  <c r="BJ130" i="3"/>
  <c r="BR130" i="3" s="1"/>
  <c r="BI130" i="3"/>
  <c r="BH130" i="3"/>
  <c r="BG130" i="3"/>
  <c r="BF130" i="3"/>
  <c r="BE130" i="3"/>
  <c r="BD130" i="3"/>
  <c r="BC130" i="3"/>
  <c r="BB130" i="3"/>
  <c r="BA130" i="3"/>
  <c r="AY130" i="3"/>
  <c r="AX130" i="3"/>
  <c r="AW130" i="3"/>
  <c r="AV130" i="3"/>
  <c r="AU130" i="3"/>
  <c r="AR130" i="3"/>
  <c r="AP130" i="3"/>
  <c r="AM130" i="3"/>
  <c r="AN130" i="3" s="1"/>
  <c r="AL130" i="3"/>
  <c r="AI130" i="3"/>
  <c r="AH130" i="3"/>
  <c r="AG130" i="3"/>
  <c r="AA130" i="3"/>
  <c r="W130" i="3"/>
  <c r="V130" i="3"/>
  <c r="T130" i="3"/>
  <c r="R130" i="3"/>
  <c r="P130" i="3"/>
  <c r="J130" i="3"/>
  <c r="AZ130" i="3" s="1"/>
  <c r="BZ129" i="3"/>
  <c r="BV129" i="3"/>
  <c r="BU129" i="3"/>
  <c r="BW129" i="3" s="1"/>
  <c r="BQ129" i="3"/>
  <c r="BP129" i="3"/>
  <c r="BO129" i="3"/>
  <c r="BN129" i="3"/>
  <c r="BL129" i="3"/>
  <c r="BK129" i="3"/>
  <c r="BJ129" i="3"/>
  <c r="BR129" i="3" s="1"/>
  <c r="BI129" i="3"/>
  <c r="BH129" i="3"/>
  <c r="BG129" i="3"/>
  <c r="BF129" i="3"/>
  <c r="BE129" i="3"/>
  <c r="BD129" i="3"/>
  <c r="BC129" i="3"/>
  <c r="BB129" i="3"/>
  <c r="BA129" i="3"/>
  <c r="AY129" i="3"/>
  <c r="AX129" i="3"/>
  <c r="AW129" i="3"/>
  <c r="AV129" i="3"/>
  <c r="AU129" i="3"/>
  <c r="AR129" i="3"/>
  <c r="AP129" i="3"/>
  <c r="AM129" i="3"/>
  <c r="AL129" i="3"/>
  <c r="AN129" i="3" s="1"/>
  <c r="AI129" i="3"/>
  <c r="AH129" i="3"/>
  <c r="BM129" i="3" s="1"/>
  <c r="AG129" i="3"/>
  <c r="AA129" i="3"/>
  <c r="W129" i="3"/>
  <c r="V129" i="3"/>
  <c r="T129" i="3"/>
  <c r="R129" i="3"/>
  <c r="P129" i="3"/>
  <c r="J129" i="3"/>
  <c r="AZ129" i="3" s="1"/>
  <c r="BZ128" i="3"/>
  <c r="BW128" i="3"/>
  <c r="BV128" i="3"/>
  <c r="BU128" i="3"/>
  <c r="BQ128" i="3"/>
  <c r="BP128" i="3"/>
  <c r="BO128" i="3"/>
  <c r="BN128" i="3"/>
  <c r="BM128" i="3"/>
  <c r="BL128" i="3"/>
  <c r="BK128" i="3"/>
  <c r="BJ128" i="3"/>
  <c r="BR128" i="3" s="1"/>
  <c r="BS128" i="3" s="1"/>
  <c r="BT128" i="3" s="1"/>
  <c r="BI128" i="3"/>
  <c r="BH128" i="3"/>
  <c r="BG128" i="3"/>
  <c r="BF128" i="3"/>
  <c r="BE128" i="3"/>
  <c r="BD128" i="3"/>
  <c r="BC128" i="3"/>
  <c r="BB128" i="3"/>
  <c r="BA128" i="3"/>
  <c r="AY128" i="3"/>
  <c r="AX128" i="3"/>
  <c r="AW128" i="3"/>
  <c r="AV128" i="3"/>
  <c r="AU128" i="3"/>
  <c r="AR128" i="3"/>
  <c r="AP128" i="3"/>
  <c r="AM128" i="3"/>
  <c r="AL128" i="3"/>
  <c r="AN128" i="3" s="1"/>
  <c r="AI128" i="3"/>
  <c r="AH128" i="3"/>
  <c r="AG128" i="3"/>
  <c r="AA128" i="3"/>
  <c r="W128" i="3"/>
  <c r="V128" i="3"/>
  <c r="T128" i="3"/>
  <c r="R128" i="3"/>
  <c r="P128" i="3"/>
  <c r="J128" i="3"/>
  <c r="AZ128" i="3" s="1"/>
  <c r="BZ127" i="3"/>
  <c r="BV127" i="3"/>
  <c r="BW127" i="3" s="1"/>
  <c r="BU127" i="3"/>
  <c r="BQ127" i="3"/>
  <c r="BP127" i="3"/>
  <c r="BO127" i="3"/>
  <c r="BN127" i="3"/>
  <c r="BL127" i="3"/>
  <c r="BK127" i="3"/>
  <c r="BJ127" i="3"/>
  <c r="BR127" i="3" s="1"/>
  <c r="BS127" i="3" s="1"/>
  <c r="BT127" i="3" s="1"/>
  <c r="BI127" i="3"/>
  <c r="BH127" i="3"/>
  <c r="BG127" i="3"/>
  <c r="BF127" i="3"/>
  <c r="BE127" i="3"/>
  <c r="BD127" i="3"/>
  <c r="BC127" i="3"/>
  <c r="BB127" i="3"/>
  <c r="BA127" i="3"/>
  <c r="AY127" i="3"/>
  <c r="AX127" i="3"/>
  <c r="AW127" i="3"/>
  <c r="AV127" i="3"/>
  <c r="AU127" i="3"/>
  <c r="AR127" i="3"/>
  <c r="AP127" i="3"/>
  <c r="AN127" i="3"/>
  <c r="AM127" i="3"/>
  <c r="AL127" i="3"/>
  <c r="AH127" i="3"/>
  <c r="AG127" i="3" s="1"/>
  <c r="AA127" i="3"/>
  <c r="W127" i="3"/>
  <c r="V127" i="3"/>
  <c r="T127" i="3"/>
  <c r="R127" i="3"/>
  <c r="P127" i="3"/>
  <c r="J127" i="3"/>
  <c r="AZ127" i="3" s="1"/>
  <c r="BZ126" i="3"/>
  <c r="BV126" i="3"/>
  <c r="BU126" i="3"/>
  <c r="BW126" i="3" s="1"/>
  <c r="BQ126" i="3"/>
  <c r="BP126" i="3"/>
  <c r="BO126" i="3"/>
  <c r="BN126" i="3"/>
  <c r="BM126" i="3"/>
  <c r="BL126" i="3"/>
  <c r="BK126" i="3"/>
  <c r="BJ126" i="3"/>
  <c r="BR126" i="3" s="1"/>
  <c r="BI126" i="3"/>
  <c r="BH126" i="3"/>
  <c r="BG126" i="3"/>
  <c r="BF126" i="3"/>
  <c r="BE126" i="3"/>
  <c r="BD126" i="3"/>
  <c r="BC126" i="3"/>
  <c r="BB126" i="3"/>
  <c r="BA126" i="3"/>
  <c r="AY126" i="3"/>
  <c r="AX126" i="3"/>
  <c r="AW126" i="3"/>
  <c r="AV126" i="3"/>
  <c r="AU126" i="3"/>
  <c r="AR126" i="3"/>
  <c r="AP126" i="3"/>
  <c r="AN126" i="3"/>
  <c r="AM126" i="3"/>
  <c r="AL126" i="3"/>
  <c r="AI126" i="3"/>
  <c r="AH126" i="3"/>
  <c r="AG126" i="3"/>
  <c r="AA126" i="3"/>
  <c r="W126" i="3"/>
  <c r="V126" i="3"/>
  <c r="T126" i="3"/>
  <c r="R126" i="3"/>
  <c r="P126" i="3"/>
  <c r="J126" i="3"/>
  <c r="AZ126" i="3" s="1"/>
  <c r="BZ125" i="3"/>
  <c r="BV125" i="3"/>
  <c r="BU125" i="3"/>
  <c r="BW125" i="3" s="1"/>
  <c r="BQ125" i="3"/>
  <c r="BS125" i="3" s="1"/>
  <c r="BT125" i="3" s="1"/>
  <c r="BP125" i="3"/>
  <c r="BO125" i="3"/>
  <c r="BN125" i="3"/>
  <c r="BL125" i="3"/>
  <c r="BK125" i="3"/>
  <c r="BJ125" i="3"/>
  <c r="BR125" i="3" s="1"/>
  <c r="BI125" i="3"/>
  <c r="BH125" i="3"/>
  <c r="BG125" i="3"/>
  <c r="BF125" i="3"/>
  <c r="BE125" i="3"/>
  <c r="BD125" i="3"/>
  <c r="BC125" i="3"/>
  <c r="BB125" i="3"/>
  <c r="BA125" i="3"/>
  <c r="AY125" i="3"/>
  <c r="AX125" i="3"/>
  <c r="AW125" i="3"/>
  <c r="AV125" i="3"/>
  <c r="AU125" i="3"/>
  <c r="AR125" i="3"/>
  <c r="AP125" i="3"/>
  <c r="AM125" i="3"/>
  <c r="AL125" i="3"/>
  <c r="AN125" i="3" s="1"/>
  <c r="AI125" i="3"/>
  <c r="AH125" i="3"/>
  <c r="BM125" i="3" s="1"/>
  <c r="AG125" i="3"/>
  <c r="AA125" i="3"/>
  <c r="W125" i="3"/>
  <c r="V125" i="3"/>
  <c r="T125" i="3"/>
  <c r="R125" i="3"/>
  <c r="P125" i="3"/>
  <c r="J125" i="3"/>
  <c r="AZ125" i="3" s="1"/>
  <c r="BZ124" i="3"/>
  <c r="BW124" i="3"/>
  <c r="BV124" i="3"/>
  <c r="BU124" i="3"/>
  <c r="BQ124" i="3"/>
  <c r="BP124" i="3"/>
  <c r="BO124" i="3"/>
  <c r="BN124" i="3"/>
  <c r="BM124" i="3"/>
  <c r="BL124" i="3"/>
  <c r="BK124" i="3"/>
  <c r="BJ124" i="3"/>
  <c r="BR124" i="3" s="1"/>
  <c r="BS124" i="3" s="1"/>
  <c r="BT124" i="3" s="1"/>
  <c r="BI124" i="3"/>
  <c r="BH124" i="3"/>
  <c r="BG124" i="3"/>
  <c r="BF124" i="3"/>
  <c r="BE124" i="3"/>
  <c r="BD124" i="3"/>
  <c r="BC124" i="3"/>
  <c r="BB124" i="3"/>
  <c r="BA124" i="3"/>
  <c r="AY124" i="3"/>
  <c r="AX124" i="3"/>
  <c r="AW124" i="3"/>
  <c r="AV124" i="3"/>
  <c r="AU124" i="3"/>
  <c r="AR124" i="3"/>
  <c r="AP124" i="3"/>
  <c r="AM124" i="3"/>
  <c r="AL124" i="3"/>
  <c r="AI124" i="3"/>
  <c r="AH124" i="3"/>
  <c r="AG124" i="3"/>
  <c r="AA124" i="3"/>
  <c r="W124" i="3"/>
  <c r="V124" i="3"/>
  <c r="T124" i="3"/>
  <c r="R124" i="3"/>
  <c r="P124" i="3"/>
  <c r="J124" i="3"/>
  <c r="AZ124" i="3" s="1"/>
  <c r="BZ123" i="3"/>
  <c r="BV123" i="3"/>
  <c r="BW123" i="3" s="1"/>
  <c r="BU123" i="3"/>
  <c r="BT123" i="3"/>
  <c r="BQ123" i="3"/>
  <c r="BP123" i="3"/>
  <c r="BO123" i="3"/>
  <c r="BN123" i="3"/>
  <c r="BL123" i="3"/>
  <c r="BK123" i="3"/>
  <c r="BJ123" i="3"/>
  <c r="BR123" i="3" s="1"/>
  <c r="BS123" i="3" s="1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R123" i="3"/>
  <c r="AP123" i="3"/>
  <c r="AN123" i="3"/>
  <c r="AM123" i="3"/>
  <c r="AL123" i="3"/>
  <c r="AH123" i="3"/>
  <c r="AA123" i="3"/>
  <c r="W123" i="3"/>
  <c r="V123" i="3"/>
  <c r="T123" i="3"/>
  <c r="R123" i="3"/>
  <c r="P123" i="3"/>
  <c r="J123" i="3"/>
  <c r="BZ122" i="3"/>
  <c r="BV122" i="3"/>
  <c r="BU122" i="3"/>
  <c r="BW122" i="3" s="1"/>
  <c r="BQ122" i="3"/>
  <c r="BS122" i="3" s="1"/>
  <c r="BT122" i="3" s="1"/>
  <c r="BP122" i="3"/>
  <c r="BO122" i="3"/>
  <c r="BN122" i="3"/>
  <c r="BM122" i="3"/>
  <c r="BL122" i="3"/>
  <c r="BK122" i="3"/>
  <c r="BJ122" i="3"/>
  <c r="BR122" i="3" s="1"/>
  <c r="BI122" i="3"/>
  <c r="BH122" i="3"/>
  <c r="BG122" i="3"/>
  <c r="BF122" i="3"/>
  <c r="BE122" i="3"/>
  <c r="BD122" i="3"/>
  <c r="BC122" i="3"/>
  <c r="BB122" i="3"/>
  <c r="BA122" i="3"/>
  <c r="AY122" i="3"/>
  <c r="AX122" i="3"/>
  <c r="AW122" i="3"/>
  <c r="AV122" i="3"/>
  <c r="AU122" i="3"/>
  <c r="AR122" i="3"/>
  <c r="AP122" i="3"/>
  <c r="AM122" i="3"/>
  <c r="AN122" i="3" s="1"/>
  <c r="AL122" i="3"/>
  <c r="AI122" i="3"/>
  <c r="AH122" i="3"/>
  <c r="AG122" i="3"/>
  <c r="AA122" i="3"/>
  <c r="W122" i="3"/>
  <c r="V122" i="3"/>
  <c r="T122" i="3"/>
  <c r="R122" i="3"/>
  <c r="P122" i="3"/>
  <c r="J122" i="3"/>
  <c r="AZ122" i="3" s="1"/>
  <c r="BZ121" i="3"/>
  <c r="BV121" i="3"/>
  <c r="BU121" i="3"/>
  <c r="BQ121" i="3"/>
  <c r="BP121" i="3"/>
  <c r="BO121" i="3"/>
  <c r="BN121" i="3"/>
  <c r="BL121" i="3"/>
  <c r="BK121" i="3"/>
  <c r="BJ121" i="3"/>
  <c r="BR121" i="3" s="1"/>
  <c r="BI121" i="3"/>
  <c r="BH121" i="3"/>
  <c r="BG121" i="3"/>
  <c r="BF121" i="3"/>
  <c r="BE121" i="3"/>
  <c r="BD121" i="3"/>
  <c r="BC121" i="3"/>
  <c r="BB121" i="3"/>
  <c r="BA121" i="3"/>
  <c r="AY121" i="3"/>
  <c r="AX121" i="3"/>
  <c r="AW121" i="3"/>
  <c r="AV121" i="3"/>
  <c r="AU121" i="3"/>
  <c r="AR121" i="3"/>
  <c r="AP121" i="3"/>
  <c r="AM121" i="3"/>
  <c r="AL121" i="3"/>
  <c r="AN121" i="3" s="1"/>
  <c r="AH121" i="3"/>
  <c r="BM121" i="3" s="1"/>
  <c r="AA121" i="3"/>
  <c r="W121" i="3"/>
  <c r="V121" i="3"/>
  <c r="T121" i="3"/>
  <c r="R121" i="3"/>
  <c r="P121" i="3"/>
  <c r="J121" i="3"/>
  <c r="AZ121" i="3" s="1"/>
  <c r="BZ120" i="3"/>
  <c r="BW120" i="3"/>
  <c r="BV120" i="3"/>
  <c r="BU120" i="3"/>
  <c r="BQ120" i="3"/>
  <c r="BP120" i="3"/>
  <c r="BO120" i="3"/>
  <c r="BN120" i="3"/>
  <c r="BM120" i="3"/>
  <c r="BL120" i="3"/>
  <c r="BK120" i="3"/>
  <c r="BJ120" i="3"/>
  <c r="BR120" i="3" s="1"/>
  <c r="BS120" i="3" s="1"/>
  <c r="BT120" i="3" s="1"/>
  <c r="BI120" i="3"/>
  <c r="BH120" i="3"/>
  <c r="BG120" i="3"/>
  <c r="BF120" i="3"/>
  <c r="BE120" i="3"/>
  <c r="BD120" i="3"/>
  <c r="BC120" i="3"/>
  <c r="BB120" i="3"/>
  <c r="BA120" i="3"/>
  <c r="AY120" i="3"/>
  <c r="AX120" i="3"/>
  <c r="AW120" i="3"/>
  <c r="AV120" i="3"/>
  <c r="AU120" i="3"/>
  <c r="AR120" i="3"/>
  <c r="AP120" i="3"/>
  <c r="AM120" i="3"/>
  <c r="AL120" i="3"/>
  <c r="AN120" i="3" s="1"/>
  <c r="AI120" i="3"/>
  <c r="AH120" i="3"/>
  <c r="AG120" i="3"/>
  <c r="AA120" i="3"/>
  <c r="W120" i="3"/>
  <c r="V120" i="3"/>
  <c r="T120" i="3"/>
  <c r="R120" i="3"/>
  <c r="P120" i="3"/>
  <c r="J120" i="3"/>
  <c r="AZ120" i="3" s="1"/>
  <c r="BZ119" i="3"/>
  <c r="BV119" i="3"/>
  <c r="BW119" i="3" s="1"/>
  <c r="BU119" i="3"/>
  <c r="BT119" i="3"/>
  <c r="BQ119" i="3"/>
  <c r="BP119" i="3"/>
  <c r="BO119" i="3"/>
  <c r="BN119" i="3"/>
  <c r="BL119" i="3"/>
  <c r="BK119" i="3"/>
  <c r="BJ119" i="3"/>
  <c r="BR119" i="3" s="1"/>
  <c r="BS119" i="3" s="1"/>
  <c r="BI119" i="3"/>
  <c r="BH119" i="3"/>
  <c r="BG119" i="3"/>
  <c r="BF119" i="3"/>
  <c r="BE119" i="3"/>
  <c r="BD119" i="3"/>
  <c r="BC119" i="3"/>
  <c r="BB119" i="3"/>
  <c r="BA119" i="3"/>
  <c r="AY119" i="3"/>
  <c r="AX119" i="3"/>
  <c r="AW119" i="3"/>
  <c r="AV119" i="3"/>
  <c r="AU119" i="3"/>
  <c r="AR119" i="3"/>
  <c r="AP119" i="3"/>
  <c r="AN119" i="3"/>
  <c r="AM119" i="3"/>
  <c r="AL119" i="3"/>
  <c r="AI119" i="3"/>
  <c r="AH119" i="3"/>
  <c r="BM119" i="3" s="1"/>
  <c r="AG119" i="3"/>
  <c r="AA119" i="3"/>
  <c r="W119" i="3"/>
  <c r="V119" i="3"/>
  <c r="T119" i="3"/>
  <c r="R119" i="3"/>
  <c r="P119" i="3"/>
  <c r="J119" i="3"/>
  <c r="AZ119" i="3" s="1"/>
  <c r="BZ118" i="3"/>
  <c r="BV118" i="3"/>
  <c r="BU118" i="3"/>
  <c r="BW118" i="3" s="1"/>
  <c r="BQ118" i="3"/>
  <c r="BS118" i="3" s="1"/>
  <c r="BT118" i="3" s="1"/>
  <c r="BP118" i="3"/>
  <c r="BO118" i="3"/>
  <c r="BN118" i="3"/>
  <c r="BM118" i="3"/>
  <c r="BL118" i="3"/>
  <c r="BK118" i="3"/>
  <c r="BJ118" i="3"/>
  <c r="BR118" i="3" s="1"/>
  <c r="BI118" i="3"/>
  <c r="BH118" i="3"/>
  <c r="BG118" i="3"/>
  <c r="BF118" i="3"/>
  <c r="BE118" i="3"/>
  <c r="BD118" i="3"/>
  <c r="BC118" i="3"/>
  <c r="BB118" i="3"/>
  <c r="BA118" i="3"/>
  <c r="AY118" i="3"/>
  <c r="AX118" i="3"/>
  <c r="AW118" i="3"/>
  <c r="AV118" i="3"/>
  <c r="AU118" i="3"/>
  <c r="AR118" i="3"/>
  <c r="AP118" i="3"/>
  <c r="AM118" i="3"/>
  <c r="AN118" i="3" s="1"/>
  <c r="AL118" i="3"/>
  <c r="AI118" i="3"/>
  <c r="AH118" i="3"/>
  <c r="AG118" i="3"/>
  <c r="AA118" i="3"/>
  <c r="W118" i="3"/>
  <c r="V118" i="3"/>
  <c r="T118" i="3"/>
  <c r="R118" i="3"/>
  <c r="P118" i="3"/>
  <c r="J118" i="3"/>
  <c r="AZ118" i="3" s="1"/>
  <c r="BZ117" i="3"/>
  <c r="BV117" i="3"/>
  <c r="BU117" i="3"/>
  <c r="BR117" i="3"/>
  <c r="BQ117" i="3"/>
  <c r="BS117" i="3" s="1"/>
  <c r="BT117" i="3" s="1"/>
  <c r="BP117" i="3"/>
  <c r="BO117" i="3"/>
  <c r="BN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R117" i="3"/>
  <c r="AP117" i="3"/>
  <c r="AN117" i="3"/>
  <c r="AM117" i="3"/>
  <c r="AL117" i="3"/>
  <c r="AH117" i="3"/>
  <c r="AA117" i="3"/>
  <c r="W117" i="3"/>
  <c r="V117" i="3"/>
  <c r="T117" i="3"/>
  <c r="R117" i="3"/>
  <c r="P117" i="3"/>
  <c r="J117" i="3"/>
  <c r="BZ116" i="3"/>
  <c r="BW116" i="3"/>
  <c r="BV116" i="3"/>
  <c r="BU116" i="3"/>
  <c r="BQ116" i="3"/>
  <c r="BS116" i="3" s="1"/>
  <c r="BT116" i="3" s="1"/>
  <c r="BP116" i="3"/>
  <c r="BO116" i="3"/>
  <c r="BN116" i="3"/>
  <c r="BM116" i="3"/>
  <c r="BL116" i="3"/>
  <c r="BK116" i="3"/>
  <c r="BJ116" i="3"/>
  <c r="BR116" i="3" s="1"/>
  <c r="BI116" i="3"/>
  <c r="BH116" i="3"/>
  <c r="BG116" i="3"/>
  <c r="BF116" i="3"/>
  <c r="BE116" i="3"/>
  <c r="BD116" i="3"/>
  <c r="BC116" i="3"/>
  <c r="BB116" i="3"/>
  <c r="BA116" i="3"/>
  <c r="AY116" i="3"/>
  <c r="AX116" i="3"/>
  <c r="AW116" i="3"/>
  <c r="AV116" i="3"/>
  <c r="AU116" i="3"/>
  <c r="AR116" i="3"/>
  <c r="AP116" i="3"/>
  <c r="AM116" i="3"/>
  <c r="AL116" i="3"/>
  <c r="AI116" i="3"/>
  <c r="AH116" i="3"/>
  <c r="AG116" i="3"/>
  <c r="AA116" i="3"/>
  <c r="W116" i="3"/>
  <c r="V116" i="3"/>
  <c r="T116" i="3"/>
  <c r="R116" i="3"/>
  <c r="P116" i="3"/>
  <c r="J116" i="3"/>
  <c r="AZ116" i="3" s="1"/>
  <c r="BZ115" i="3"/>
  <c r="BV115" i="3"/>
  <c r="BW115" i="3" s="1"/>
  <c r="BU115" i="3"/>
  <c r="BR115" i="3"/>
  <c r="BS115" i="3" s="1"/>
  <c r="BT115" i="3" s="1"/>
  <c r="BQ115" i="3"/>
  <c r="BP115" i="3"/>
  <c r="BO115" i="3"/>
  <c r="BN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Y115" i="3"/>
  <c r="AX115" i="3"/>
  <c r="AW115" i="3"/>
  <c r="AV115" i="3"/>
  <c r="AU115" i="3"/>
  <c r="AR115" i="3"/>
  <c r="AP115" i="3"/>
  <c r="AN115" i="3"/>
  <c r="AM115" i="3"/>
  <c r="AL115" i="3"/>
  <c r="AH115" i="3"/>
  <c r="AA115" i="3"/>
  <c r="W115" i="3"/>
  <c r="V115" i="3"/>
  <c r="T115" i="3"/>
  <c r="R115" i="3"/>
  <c r="P115" i="3"/>
  <c r="J115" i="3"/>
  <c r="AZ115" i="3" s="1"/>
  <c r="BZ114" i="3"/>
  <c r="BW114" i="3"/>
  <c r="BV114" i="3"/>
  <c r="BU114" i="3"/>
  <c r="BQ114" i="3"/>
  <c r="BP114" i="3"/>
  <c r="BO114" i="3"/>
  <c r="BN114" i="3"/>
  <c r="BL114" i="3"/>
  <c r="BK114" i="3"/>
  <c r="BJ114" i="3"/>
  <c r="BR114" i="3" s="1"/>
  <c r="BS114" i="3" s="1"/>
  <c r="BT114" i="3" s="1"/>
  <c r="BI114" i="3"/>
  <c r="BH114" i="3"/>
  <c r="BG114" i="3"/>
  <c r="BF114" i="3"/>
  <c r="BE114" i="3"/>
  <c r="BD114" i="3"/>
  <c r="BC114" i="3"/>
  <c r="BB114" i="3"/>
  <c r="BA114" i="3"/>
  <c r="AY114" i="3"/>
  <c r="AX114" i="3"/>
  <c r="AW114" i="3"/>
  <c r="AV114" i="3"/>
  <c r="AU114" i="3"/>
  <c r="AR114" i="3"/>
  <c r="AP114" i="3"/>
  <c r="AN114" i="3"/>
  <c r="AM114" i="3"/>
  <c r="AL114" i="3"/>
  <c r="AI114" i="3"/>
  <c r="AH114" i="3"/>
  <c r="BM114" i="3" s="1"/>
  <c r="AG114" i="3"/>
  <c r="AA114" i="3"/>
  <c r="W114" i="3"/>
  <c r="V114" i="3"/>
  <c r="T114" i="3"/>
  <c r="R114" i="3"/>
  <c r="P114" i="3"/>
  <c r="J114" i="3"/>
  <c r="AZ114" i="3" s="1"/>
  <c r="BZ113" i="3"/>
  <c r="BV113" i="3"/>
  <c r="BU113" i="3"/>
  <c r="BQ113" i="3"/>
  <c r="BP113" i="3"/>
  <c r="BO113" i="3"/>
  <c r="BN113" i="3"/>
  <c r="BM113" i="3"/>
  <c r="BL113" i="3"/>
  <c r="BK113" i="3"/>
  <c r="BJ113" i="3"/>
  <c r="BR113" i="3" s="1"/>
  <c r="BI113" i="3"/>
  <c r="BH113" i="3"/>
  <c r="BG113" i="3"/>
  <c r="BF113" i="3"/>
  <c r="BE113" i="3"/>
  <c r="BD113" i="3"/>
  <c r="BC113" i="3"/>
  <c r="BB113" i="3"/>
  <c r="BA113" i="3"/>
  <c r="AY113" i="3"/>
  <c r="AX113" i="3"/>
  <c r="AW113" i="3"/>
  <c r="AV113" i="3"/>
  <c r="AU113" i="3"/>
  <c r="AR113" i="3"/>
  <c r="AP113" i="3"/>
  <c r="AM113" i="3"/>
  <c r="AL113" i="3"/>
  <c r="AN113" i="3" s="1"/>
  <c r="AI113" i="3"/>
  <c r="AH113" i="3"/>
  <c r="AG113" i="3" s="1"/>
  <c r="AA113" i="3"/>
  <c r="W113" i="3"/>
  <c r="V113" i="3"/>
  <c r="T113" i="3"/>
  <c r="R113" i="3"/>
  <c r="P113" i="3"/>
  <c r="J113" i="3"/>
  <c r="AZ113" i="3" s="1"/>
  <c r="BZ112" i="3"/>
  <c r="BV112" i="3"/>
  <c r="BU112" i="3"/>
  <c r="BW112" i="3" s="1"/>
  <c r="BQ112" i="3"/>
  <c r="BS112" i="3" s="1"/>
  <c r="BT112" i="3" s="1"/>
  <c r="BP112" i="3"/>
  <c r="BO112" i="3"/>
  <c r="BN112" i="3"/>
  <c r="BM112" i="3"/>
  <c r="BL112" i="3"/>
  <c r="BK112" i="3"/>
  <c r="BJ112" i="3"/>
  <c r="BR112" i="3" s="1"/>
  <c r="BI112" i="3"/>
  <c r="BH112" i="3"/>
  <c r="BG112" i="3"/>
  <c r="BF112" i="3"/>
  <c r="BE112" i="3"/>
  <c r="BD112" i="3"/>
  <c r="BC112" i="3"/>
  <c r="BB112" i="3"/>
  <c r="BA112" i="3"/>
  <c r="AY112" i="3"/>
  <c r="AX112" i="3"/>
  <c r="AW112" i="3"/>
  <c r="AV112" i="3"/>
  <c r="AU112" i="3"/>
  <c r="AR112" i="3"/>
  <c r="AP112" i="3"/>
  <c r="AN112" i="3"/>
  <c r="AM112" i="3"/>
  <c r="AL112" i="3"/>
  <c r="AI112" i="3"/>
  <c r="AH112" i="3"/>
  <c r="AG112" i="3" s="1"/>
  <c r="AA112" i="3"/>
  <c r="W112" i="3"/>
  <c r="V112" i="3"/>
  <c r="T112" i="3"/>
  <c r="R112" i="3"/>
  <c r="P112" i="3"/>
  <c r="J112" i="3"/>
  <c r="AZ112" i="3" s="1"/>
  <c r="BZ111" i="3"/>
  <c r="BV111" i="3"/>
  <c r="BU111" i="3"/>
  <c r="BW111" i="3" s="1"/>
  <c r="BQ111" i="3"/>
  <c r="BP111" i="3"/>
  <c r="BO111" i="3"/>
  <c r="BN111" i="3"/>
  <c r="BM111" i="3"/>
  <c r="BL111" i="3"/>
  <c r="BK111" i="3"/>
  <c r="BJ111" i="3"/>
  <c r="BR111" i="3" s="1"/>
  <c r="BI111" i="3"/>
  <c r="BH111" i="3"/>
  <c r="BG111" i="3"/>
  <c r="BF111" i="3"/>
  <c r="BE111" i="3"/>
  <c r="BD111" i="3"/>
  <c r="BC111" i="3"/>
  <c r="BB111" i="3"/>
  <c r="BA111" i="3"/>
  <c r="AY111" i="3"/>
  <c r="AX111" i="3"/>
  <c r="AW111" i="3"/>
  <c r="AV111" i="3"/>
  <c r="AU111" i="3"/>
  <c r="AR111" i="3"/>
  <c r="AP111" i="3"/>
  <c r="AM111" i="3"/>
  <c r="AL111" i="3"/>
  <c r="AN111" i="3" s="1"/>
  <c r="AI111" i="3"/>
  <c r="AH111" i="3"/>
  <c r="AG111" i="3"/>
  <c r="AA111" i="3"/>
  <c r="W111" i="3"/>
  <c r="V111" i="3"/>
  <c r="T111" i="3"/>
  <c r="R111" i="3"/>
  <c r="P111" i="3"/>
  <c r="J111" i="3"/>
  <c r="AZ111" i="3" s="1"/>
  <c r="BZ110" i="3"/>
  <c r="BW110" i="3"/>
  <c r="BV110" i="3"/>
  <c r="BU110" i="3"/>
  <c r="BQ110" i="3"/>
  <c r="BP110" i="3"/>
  <c r="BO110" i="3"/>
  <c r="BN110" i="3"/>
  <c r="BL110" i="3"/>
  <c r="BK110" i="3"/>
  <c r="BJ110" i="3"/>
  <c r="BR110" i="3" s="1"/>
  <c r="BS110" i="3" s="1"/>
  <c r="BT110" i="3" s="1"/>
  <c r="BI110" i="3"/>
  <c r="BH110" i="3"/>
  <c r="BG110" i="3"/>
  <c r="BF110" i="3"/>
  <c r="BE110" i="3"/>
  <c r="BD110" i="3"/>
  <c r="BC110" i="3"/>
  <c r="BB110" i="3"/>
  <c r="BA110" i="3"/>
  <c r="AY110" i="3"/>
  <c r="AX110" i="3"/>
  <c r="AW110" i="3"/>
  <c r="AV110" i="3"/>
  <c r="AU110" i="3"/>
  <c r="AR110" i="3"/>
  <c r="AP110" i="3"/>
  <c r="AM110" i="3"/>
  <c r="AL110" i="3"/>
  <c r="AN110" i="3" s="1"/>
  <c r="AH110" i="3"/>
  <c r="BM110" i="3" s="1"/>
  <c r="AG110" i="3"/>
  <c r="AA110" i="3"/>
  <c r="W110" i="3"/>
  <c r="V110" i="3"/>
  <c r="T110" i="3"/>
  <c r="R110" i="3"/>
  <c r="P110" i="3"/>
  <c r="J110" i="3"/>
  <c r="AZ110" i="3" s="1"/>
  <c r="BZ109" i="3"/>
  <c r="BW109" i="3"/>
  <c r="BV109" i="3"/>
  <c r="BU109" i="3"/>
  <c r="BQ109" i="3"/>
  <c r="BP109" i="3"/>
  <c r="BO109" i="3"/>
  <c r="BN109" i="3"/>
  <c r="BL109" i="3"/>
  <c r="BK109" i="3"/>
  <c r="BJ109" i="3"/>
  <c r="BR109" i="3" s="1"/>
  <c r="BS109" i="3" s="1"/>
  <c r="BT109" i="3" s="1"/>
  <c r="BI109" i="3"/>
  <c r="BH109" i="3"/>
  <c r="BG109" i="3"/>
  <c r="BF109" i="3"/>
  <c r="BE109" i="3"/>
  <c r="BD109" i="3"/>
  <c r="BC109" i="3"/>
  <c r="BB109" i="3"/>
  <c r="BA109" i="3"/>
  <c r="AY109" i="3"/>
  <c r="AX109" i="3"/>
  <c r="AW109" i="3"/>
  <c r="AV109" i="3"/>
  <c r="AU109" i="3"/>
  <c r="AR109" i="3"/>
  <c r="AP109" i="3"/>
  <c r="AN109" i="3"/>
  <c r="AM109" i="3"/>
  <c r="AL109" i="3"/>
  <c r="AI109" i="3"/>
  <c r="AH109" i="3"/>
  <c r="BM109" i="3" s="1"/>
  <c r="AG109" i="3"/>
  <c r="AA109" i="3"/>
  <c r="W109" i="3"/>
  <c r="V109" i="3"/>
  <c r="T109" i="3"/>
  <c r="R109" i="3"/>
  <c r="P109" i="3"/>
  <c r="J109" i="3"/>
  <c r="AZ109" i="3" s="1"/>
  <c r="BZ107" i="3"/>
  <c r="BV107" i="3"/>
  <c r="BU107" i="3"/>
  <c r="BW107" i="3" s="1"/>
  <c r="BQ107" i="3"/>
  <c r="BS107" i="3" s="1"/>
  <c r="BT107" i="3" s="1"/>
  <c r="BP107" i="3"/>
  <c r="BO107" i="3"/>
  <c r="BN107" i="3"/>
  <c r="BM107" i="3"/>
  <c r="BL107" i="3"/>
  <c r="BK107" i="3"/>
  <c r="BJ107" i="3"/>
  <c r="BR107" i="3" s="1"/>
  <c r="BI107" i="3"/>
  <c r="BH107" i="3"/>
  <c r="BG107" i="3"/>
  <c r="BF107" i="3"/>
  <c r="BE107" i="3"/>
  <c r="BD107" i="3"/>
  <c r="BC107" i="3"/>
  <c r="BB107" i="3"/>
  <c r="BA107" i="3"/>
  <c r="AY107" i="3"/>
  <c r="AX107" i="3"/>
  <c r="AW107" i="3"/>
  <c r="AV107" i="3"/>
  <c r="AU107" i="3"/>
  <c r="AR107" i="3"/>
  <c r="AP107" i="3"/>
  <c r="AN107" i="3"/>
  <c r="AM107" i="3"/>
  <c r="AL107" i="3"/>
  <c r="AI107" i="3"/>
  <c r="AH107" i="3"/>
  <c r="AG107" i="3" s="1"/>
  <c r="AA107" i="3"/>
  <c r="W107" i="3"/>
  <c r="V107" i="3"/>
  <c r="T107" i="3"/>
  <c r="R107" i="3"/>
  <c r="P107" i="3"/>
  <c r="J107" i="3"/>
  <c r="AZ107" i="3" s="1"/>
  <c r="BZ106" i="3"/>
  <c r="BV106" i="3"/>
  <c r="BU106" i="3"/>
  <c r="BW106" i="3" s="1"/>
  <c r="BQ106" i="3"/>
  <c r="BP106" i="3"/>
  <c r="BO106" i="3"/>
  <c r="BN106" i="3"/>
  <c r="BM106" i="3"/>
  <c r="BL106" i="3"/>
  <c r="BK106" i="3"/>
  <c r="BJ106" i="3"/>
  <c r="BR106" i="3" s="1"/>
  <c r="BI106" i="3"/>
  <c r="BH106" i="3"/>
  <c r="BG106" i="3"/>
  <c r="BF106" i="3"/>
  <c r="BE106" i="3"/>
  <c r="BD106" i="3"/>
  <c r="BC106" i="3"/>
  <c r="BB106" i="3"/>
  <c r="BA106" i="3"/>
  <c r="AY106" i="3"/>
  <c r="AX106" i="3"/>
  <c r="AW106" i="3"/>
  <c r="AV106" i="3"/>
  <c r="AU106" i="3"/>
  <c r="AR106" i="3"/>
  <c r="AP106" i="3"/>
  <c r="AM106" i="3"/>
  <c r="AL106" i="3"/>
  <c r="AN106" i="3" s="1"/>
  <c r="AI106" i="3"/>
  <c r="AH106" i="3"/>
  <c r="AG106" i="3"/>
  <c r="AA106" i="3"/>
  <c r="W106" i="3"/>
  <c r="V106" i="3"/>
  <c r="T106" i="3"/>
  <c r="R106" i="3"/>
  <c r="P106" i="3"/>
  <c r="J106" i="3"/>
  <c r="AZ106" i="3" s="1"/>
  <c r="BZ105" i="3"/>
  <c r="BW105" i="3"/>
  <c r="BV105" i="3"/>
  <c r="BU105" i="3"/>
  <c r="BQ105" i="3"/>
  <c r="BP105" i="3"/>
  <c r="BO105" i="3"/>
  <c r="BN105" i="3"/>
  <c r="BL105" i="3"/>
  <c r="BK105" i="3"/>
  <c r="BJ105" i="3"/>
  <c r="BR105" i="3" s="1"/>
  <c r="BS105" i="3" s="1"/>
  <c r="BT105" i="3" s="1"/>
  <c r="BI105" i="3"/>
  <c r="BH105" i="3"/>
  <c r="BG105" i="3"/>
  <c r="BF105" i="3"/>
  <c r="BE105" i="3"/>
  <c r="BD105" i="3"/>
  <c r="BC105" i="3"/>
  <c r="BB105" i="3"/>
  <c r="BA105" i="3"/>
  <c r="AY105" i="3"/>
  <c r="AX105" i="3"/>
  <c r="AW105" i="3"/>
  <c r="AV105" i="3"/>
  <c r="AU105" i="3"/>
  <c r="AR105" i="3"/>
  <c r="AP105" i="3"/>
  <c r="AM105" i="3"/>
  <c r="AL105" i="3"/>
  <c r="AN105" i="3" s="1"/>
  <c r="AI105" i="3"/>
  <c r="AH105" i="3"/>
  <c r="BM105" i="3" s="1"/>
  <c r="AG105" i="3"/>
  <c r="AA105" i="3"/>
  <c r="W105" i="3"/>
  <c r="V105" i="3"/>
  <c r="T105" i="3"/>
  <c r="R105" i="3"/>
  <c r="P105" i="3"/>
  <c r="J105" i="3"/>
  <c r="AZ105" i="3" s="1"/>
  <c r="BZ104" i="3"/>
  <c r="BW104" i="3"/>
  <c r="BV104" i="3"/>
  <c r="BU104" i="3"/>
  <c r="BQ104" i="3"/>
  <c r="BP104" i="3"/>
  <c r="BO104" i="3"/>
  <c r="BN104" i="3"/>
  <c r="BL104" i="3"/>
  <c r="BK104" i="3"/>
  <c r="BJ104" i="3"/>
  <c r="BR104" i="3" s="1"/>
  <c r="BS104" i="3" s="1"/>
  <c r="BT104" i="3" s="1"/>
  <c r="BI104" i="3"/>
  <c r="BH104" i="3"/>
  <c r="BG104" i="3"/>
  <c r="BF104" i="3"/>
  <c r="BE104" i="3"/>
  <c r="BD104" i="3"/>
  <c r="BC104" i="3"/>
  <c r="BB104" i="3"/>
  <c r="BA104" i="3"/>
  <c r="AY104" i="3"/>
  <c r="AX104" i="3"/>
  <c r="AW104" i="3"/>
  <c r="AV104" i="3"/>
  <c r="AU104" i="3"/>
  <c r="AR104" i="3"/>
  <c r="AP104" i="3"/>
  <c r="AN104" i="3"/>
  <c r="AM104" i="3"/>
  <c r="AL104" i="3"/>
  <c r="AH104" i="3"/>
  <c r="AG104" i="3" s="1"/>
  <c r="AA104" i="3"/>
  <c r="W104" i="3"/>
  <c r="V104" i="3"/>
  <c r="T104" i="3"/>
  <c r="R104" i="3"/>
  <c r="P104" i="3"/>
  <c r="J104" i="3"/>
  <c r="AZ104" i="3" s="1"/>
  <c r="BZ103" i="3"/>
  <c r="BV103" i="3"/>
  <c r="BU103" i="3"/>
  <c r="BW103" i="3" s="1"/>
  <c r="BQ103" i="3"/>
  <c r="BP103" i="3"/>
  <c r="BO103" i="3"/>
  <c r="BN103" i="3"/>
  <c r="BM103" i="3"/>
  <c r="BL103" i="3"/>
  <c r="BK103" i="3"/>
  <c r="BJ103" i="3"/>
  <c r="BR103" i="3" s="1"/>
  <c r="BI103" i="3"/>
  <c r="BH103" i="3"/>
  <c r="BG103" i="3"/>
  <c r="BF103" i="3"/>
  <c r="BE103" i="3"/>
  <c r="BD103" i="3"/>
  <c r="BC103" i="3"/>
  <c r="BB103" i="3"/>
  <c r="BA103" i="3"/>
  <c r="AY103" i="3"/>
  <c r="AX103" i="3"/>
  <c r="AW103" i="3"/>
  <c r="AV103" i="3"/>
  <c r="AU103" i="3"/>
  <c r="AR103" i="3"/>
  <c r="AP103" i="3"/>
  <c r="AN103" i="3"/>
  <c r="AM103" i="3"/>
  <c r="AL103" i="3"/>
  <c r="AI103" i="3"/>
  <c r="AH103" i="3"/>
  <c r="AG103" i="3"/>
  <c r="AA103" i="3"/>
  <c r="W103" i="3"/>
  <c r="V103" i="3"/>
  <c r="T103" i="3"/>
  <c r="R103" i="3"/>
  <c r="P103" i="3"/>
  <c r="J103" i="3"/>
  <c r="AZ103" i="3" s="1"/>
  <c r="BZ102" i="3"/>
  <c r="BV102" i="3"/>
  <c r="BU102" i="3"/>
  <c r="BW102" i="3" s="1"/>
  <c r="BQ102" i="3"/>
  <c r="BP102" i="3"/>
  <c r="BO102" i="3"/>
  <c r="BN102" i="3"/>
  <c r="BM102" i="3"/>
  <c r="BL102" i="3"/>
  <c r="BK102" i="3"/>
  <c r="BJ102" i="3"/>
  <c r="BR102" i="3" s="1"/>
  <c r="BI102" i="3"/>
  <c r="BH102" i="3"/>
  <c r="BG102" i="3"/>
  <c r="BF102" i="3"/>
  <c r="BE102" i="3"/>
  <c r="BD102" i="3"/>
  <c r="BC102" i="3"/>
  <c r="BB102" i="3"/>
  <c r="BA102" i="3"/>
  <c r="AY102" i="3"/>
  <c r="AX102" i="3"/>
  <c r="AW102" i="3"/>
  <c r="AV102" i="3"/>
  <c r="AU102" i="3"/>
  <c r="AR102" i="3"/>
  <c r="AP102" i="3"/>
  <c r="AM102" i="3"/>
  <c r="AL102" i="3"/>
  <c r="AN102" i="3" s="1"/>
  <c r="AI102" i="3"/>
  <c r="AH102" i="3"/>
  <c r="AG102" i="3"/>
  <c r="AA102" i="3"/>
  <c r="W102" i="3"/>
  <c r="V102" i="3"/>
  <c r="T102" i="3"/>
  <c r="R102" i="3"/>
  <c r="P102" i="3"/>
  <c r="J102" i="3"/>
  <c r="AZ102" i="3" s="1"/>
  <c r="BZ101" i="3"/>
  <c r="BW101" i="3"/>
  <c r="BV101" i="3"/>
  <c r="BU101" i="3"/>
  <c r="BQ101" i="3"/>
  <c r="BP101" i="3"/>
  <c r="BO101" i="3"/>
  <c r="BN101" i="3"/>
  <c r="BL101" i="3"/>
  <c r="BK101" i="3"/>
  <c r="BJ101" i="3"/>
  <c r="BR101" i="3" s="1"/>
  <c r="BS101" i="3" s="1"/>
  <c r="BT101" i="3" s="1"/>
  <c r="BI101" i="3"/>
  <c r="BH101" i="3"/>
  <c r="BG101" i="3"/>
  <c r="BF101" i="3"/>
  <c r="BE101" i="3"/>
  <c r="BD101" i="3"/>
  <c r="BC101" i="3"/>
  <c r="BB101" i="3"/>
  <c r="BA101" i="3"/>
  <c r="AY101" i="3"/>
  <c r="AX101" i="3"/>
  <c r="AW101" i="3"/>
  <c r="AV101" i="3"/>
  <c r="AU101" i="3"/>
  <c r="AR101" i="3"/>
  <c r="AP101" i="3"/>
  <c r="AM101" i="3"/>
  <c r="AL101" i="3"/>
  <c r="AN101" i="3" s="1"/>
  <c r="AI101" i="3"/>
  <c r="AH101" i="3"/>
  <c r="BM101" i="3" s="1"/>
  <c r="AG101" i="3"/>
  <c r="AA101" i="3"/>
  <c r="W101" i="3"/>
  <c r="V101" i="3"/>
  <c r="T101" i="3"/>
  <c r="R101" i="3"/>
  <c r="P101" i="3"/>
  <c r="J101" i="3"/>
  <c r="AZ101" i="3" s="1"/>
  <c r="BZ100" i="3"/>
  <c r="BW100" i="3"/>
  <c r="BV100" i="3"/>
  <c r="BU100" i="3"/>
  <c r="BQ100" i="3"/>
  <c r="BP100" i="3"/>
  <c r="BO100" i="3"/>
  <c r="BN100" i="3"/>
  <c r="BL100" i="3"/>
  <c r="BK100" i="3"/>
  <c r="BJ100" i="3"/>
  <c r="BR100" i="3" s="1"/>
  <c r="BS100" i="3" s="1"/>
  <c r="BT100" i="3" s="1"/>
  <c r="BI100" i="3"/>
  <c r="BH100" i="3"/>
  <c r="BG100" i="3"/>
  <c r="BF100" i="3"/>
  <c r="BE100" i="3"/>
  <c r="BD100" i="3"/>
  <c r="BC100" i="3"/>
  <c r="BB100" i="3"/>
  <c r="BA100" i="3"/>
  <c r="AY100" i="3"/>
  <c r="AX100" i="3"/>
  <c r="AW100" i="3"/>
  <c r="AV100" i="3"/>
  <c r="AU100" i="3"/>
  <c r="AR100" i="3"/>
  <c r="AP100" i="3"/>
  <c r="AN100" i="3"/>
  <c r="AM100" i="3"/>
  <c r="AL100" i="3"/>
  <c r="AI100" i="3"/>
  <c r="AH100" i="3"/>
  <c r="BM100" i="3" s="1"/>
  <c r="AG100" i="3"/>
  <c r="AA100" i="3"/>
  <c r="W100" i="3"/>
  <c r="V100" i="3"/>
  <c r="T100" i="3"/>
  <c r="R100" i="3"/>
  <c r="P100" i="3"/>
  <c r="J100" i="3"/>
  <c r="AZ100" i="3" s="1"/>
  <c r="BZ99" i="3"/>
  <c r="BV99" i="3"/>
  <c r="BU99" i="3"/>
  <c r="BW99" i="3" s="1"/>
  <c r="BQ99" i="3"/>
  <c r="BS99" i="3" s="1"/>
  <c r="BT99" i="3" s="1"/>
  <c r="BP99" i="3"/>
  <c r="BO99" i="3"/>
  <c r="BN99" i="3"/>
  <c r="BM99" i="3"/>
  <c r="BL99" i="3"/>
  <c r="BK99" i="3"/>
  <c r="BJ99" i="3"/>
  <c r="BR99" i="3" s="1"/>
  <c r="BI99" i="3"/>
  <c r="BH99" i="3"/>
  <c r="BG99" i="3"/>
  <c r="BF99" i="3"/>
  <c r="BE99" i="3"/>
  <c r="BD99" i="3"/>
  <c r="BC99" i="3"/>
  <c r="BB99" i="3"/>
  <c r="BA99" i="3"/>
  <c r="AY99" i="3"/>
  <c r="AX99" i="3"/>
  <c r="AW99" i="3"/>
  <c r="AV99" i="3"/>
  <c r="AU99" i="3"/>
  <c r="AR99" i="3"/>
  <c r="AP99" i="3"/>
  <c r="AN99" i="3"/>
  <c r="AM99" i="3"/>
  <c r="AL99" i="3"/>
  <c r="AI99" i="3"/>
  <c r="AH99" i="3"/>
  <c r="AG99" i="3" s="1"/>
  <c r="AA99" i="3"/>
  <c r="W99" i="3"/>
  <c r="V99" i="3"/>
  <c r="T99" i="3"/>
  <c r="R99" i="3"/>
  <c r="P99" i="3"/>
  <c r="J99" i="3"/>
  <c r="AZ99" i="3" s="1"/>
  <c r="BZ98" i="3"/>
  <c r="BV98" i="3"/>
  <c r="BU98" i="3"/>
  <c r="BW98" i="3" s="1"/>
  <c r="BQ98" i="3"/>
  <c r="BS98" i="3" s="1"/>
  <c r="BT98" i="3" s="1"/>
  <c r="BP98" i="3"/>
  <c r="BO98" i="3"/>
  <c r="BN98" i="3"/>
  <c r="BM98" i="3"/>
  <c r="BL98" i="3"/>
  <c r="BK98" i="3"/>
  <c r="BJ98" i="3"/>
  <c r="BR98" i="3" s="1"/>
  <c r="BI98" i="3"/>
  <c r="BH98" i="3"/>
  <c r="BG98" i="3"/>
  <c r="BF98" i="3"/>
  <c r="BE98" i="3"/>
  <c r="BD98" i="3"/>
  <c r="BC98" i="3"/>
  <c r="BB98" i="3"/>
  <c r="BA98" i="3"/>
  <c r="AY98" i="3"/>
  <c r="AX98" i="3"/>
  <c r="AW98" i="3"/>
  <c r="AV98" i="3"/>
  <c r="AU98" i="3"/>
  <c r="AR98" i="3"/>
  <c r="AP98" i="3"/>
  <c r="AM98" i="3"/>
  <c r="AL98" i="3"/>
  <c r="AN98" i="3" s="1"/>
  <c r="AI98" i="3"/>
  <c r="AH98" i="3"/>
  <c r="AG98" i="3"/>
  <c r="AA98" i="3"/>
  <c r="W98" i="3"/>
  <c r="V98" i="3"/>
  <c r="T98" i="3"/>
  <c r="R98" i="3"/>
  <c r="P98" i="3"/>
  <c r="J98" i="3"/>
  <c r="AZ98" i="3" s="1"/>
  <c r="BZ97" i="3"/>
  <c r="BW97" i="3"/>
  <c r="BV97" i="3"/>
  <c r="BU97" i="3"/>
  <c r="BQ97" i="3"/>
  <c r="BP97" i="3"/>
  <c r="BO97" i="3"/>
  <c r="BN97" i="3"/>
  <c r="BL97" i="3"/>
  <c r="BK97" i="3"/>
  <c r="BJ97" i="3"/>
  <c r="BR97" i="3" s="1"/>
  <c r="BS97" i="3" s="1"/>
  <c r="BT97" i="3" s="1"/>
  <c r="BI97" i="3"/>
  <c r="BH97" i="3"/>
  <c r="BG97" i="3"/>
  <c r="BF97" i="3"/>
  <c r="BE97" i="3"/>
  <c r="BD97" i="3"/>
  <c r="BC97" i="3"/>
  <c r="BB97" i="3"/>
  <c r="BA97" i="3"/>
  <c r="AY97" i="3"/>
  <c r="AX97" i="3"/>
  <c r="AW97" i="3"/>
  <c r="AV97" i="3"/>
  <c r="AU97" i="3"/>
  <c r="AR97" i="3"/>
  <c r="AP97" i="3"/>
  <c r="AM97" i="3"/>
  <c r="AL97" i="3"/>
  <c r="AN97" i="3" s="1"/>
  <c r="AH97" i="3"/>
  <c r="BM97" i="3" s="1"/>
  <c r="AG97" i="3"/>
  <c r="AA97" i="3"/>
  <c r="W97" i="3"/>
  <c r="V97" i="3"/>
  <c r="T97" i="3"/>
  <c r="R97" i="3"/>
  <c r="P97" i="3"/>
  <c r="J97" i="3"/>
  <c r="AZ97" i="3" s="1"/>
  <c r="BZ96" i="3"/>
  <c r="BW96" i="3"/>
  <c r="BV96" i="3"/>
  <c r="BU96" i="3"/>
  <c r="BQ96" i="3"/>
  <c r="BP96" i="3"/>
  <c r="BO96" i="3"/>
  <c r="BN96" i="3"/>
  <c r="BL96" i="3"/>
  <c r="BK96" i="3"/>
  <c r="BJ96" i="3"/>
  <c r="BR96" i="3" s="1"/>
  <c r="BS96" i="3" s="1"/>
  <c r="BT96" i="3" s="1"/>
  <c r="BI96" i="3"/>
  <c r="BH96" i="3"/>
  <c r="BG96" i="3"/>
  <c r="BF96" i="3"/>
  <c r="BE96" i="3"/>
  <c r="BD96" i="3"/>
  <c r="BC96" i="3"/>
  <c r="BB96" i="3"/>
  <c r="BA96" i="3"/>
  <c r="AY96" i="3"/>
  <c r="AX96" i="3"/>
  <c r="AW96" i="3"/>
  <c r="AV96" i="3"/>
  <c r="AU96" i="3"/>
  <c r="AR96" i="3"/>
  <c r="AP96" i="3"/>
  <c r="AN96" i="3"/>
  <c r="AM96" i="3"/>
  <c r="AL96" i="3"/>
  <c r="AI96" i="3"/>
  <c r="AH96" i="3"/>
  <c r="BM96" i="3" s="1"/>
  <c r="AG96" i="3"/>
  <c r="AA96" i="3"/>
  <c r="W96" i="3"/>
  <c r="V96" i="3"/>
  <c r="T96" i="3"/>
  <c r="R96" i="3"/>
  <c r="P96" i="3"/>
  <c r="J96" i="3"/>
  <c r="AZ96" i="3" s="1"/>
  <c r="BZ95" i="3"/>
  <c r="BV95" i="3"/>
  <c r="BU95" i="3"/>
  <c r="BW95" i="3" s="1"/>
  <c r="BQ95" i="3"/>
  <c r="BS95" i="3" s="1"/>
  <c r="BT95" i="3" s="1"/>
  <c r="BP95" i="3"/>
  <c r="BO95" i="3"/>
  <c r="BN95" i="3"/>
  <c r="BM95" i="3"/>
  <c r="BL95" i="3"/>
  <c r="BK95" i="3"/>
  <c r="BJ95" i="3"/>
  <c r="BR95" i="3" s="1"/>
  <c r="BI95" i="3"/>
  <c r="BH95" i="3"/>
  <c r="BG95" i="3"/>
  <c r="BF95" i="3"/>
  <c r="BE95" i="3"/>
  <c r="BD95" i="3"/>
  <c r="BC95" i="3"/>
  <c r="BB95" i="3"/>
  <c r="BA95" i="3"/>
  <c r="AY95" i="3"/>
  <c r="AX95" i="3"/>
  <c r="AW95" i="3"/>
  <c r="AV95" i="3"/>
  <c r="AU95" i="3"/>
  <c r="AR95" i="3"/>
  <c r="AP95" i="3"/>
  <c r="AN95" i="3"/>
  <c r="AM95" i="3"/>
  <c r="AL95" i="3"/>
  <c r="AI95" i="3"/>
  <c r="AH95" i="3"/>
  <c r="AG95" i="3" s="1"/>
  <c r="AA95" i="3"/>
  <c r="W95" i="3"/>
  <c r="V95" i="3"/>
  <c r="T95" i="3"/>
  <c r="R95" i="3"/>
  <c r="P95" i="3"/>
  <c r="J95" i="3"/>
  <c r="AZ95" i="3" s="1"/>
  <c r="BZ94" i="3"/>
  <c r="BV94" i="3"/>
  <c r="BU94" i="3"/>
  <c r="BW94" i="3" s="1"/>
  <c r="BQ94" i="3"/>
  <c r="BS94" i="3" s="1"/>
  <c r="BT94" i="3" s="1"/>
  <c r="BP94" i="3"/>
  <c r="BO94" i="3"/>
  <c r="BN94" i="3"/>
  <c r="BM94" i="3"/>
  <c r="BL94" i="3"/>
  <c r="BK94" i="3"/>
  <c r="BJ94" i="3"/>
  <c r="BR94" i="3" s="1"/>
  <c r="BI94" i="3"/>
  <c r="BH94" i="3"/>
  <c r="BG94" i="3"/>
  <c r="BF94" i="3"/>
  <c r="BE94" i="3"/>
  <c r="BD94" i="3"/>
  <c r="BC94" i="3"/>
  <c r="BB94" i="3"/>
  <c r="BA94" i="3"/>
  <c r="AY94" i="3"/>
  <c r="AX94" i="3"/>
  <c r="AW94" i="3"/>
  <c r="AV94" i="3"/>
  <c r="AU94" i="3"/>
  <c r="AR94" i="3"/>
  <c r="AP94" i="3"/>
  <c r="AM94" i="3"/>
  <c r="AL94" i="3"/>
  <c r="AN94" i="3" s="1"/>
  <c r="AI94" i="3"/>
  <c r="AH94" i="3"/>
  <c r="AG94" i="3"/>
  <c r="AA94" i="3"/>
  <c r="W94" i="3"/>
  <c r="V94" i="3"/>
  <c r="T94" i="3"/>
  <c r="R94" i="3"/>
  <c r="P94" i="3"/>
  <c r="J94" i="3"/>
  <c r="AZ94" i="3" s="1"/>
  <c r="BZ93" i="3"/>
  <c r="BW93" i="3"/>
  <c r="BV93" i="3"/>
  <c r="BU93" i="3"/>
  <c r="BQ93" i="3"/>
  <c r="BP93" i="3"/>
  <c r="BO93" i="3"/>
  <c r="BN93" i="3"/>
  <c r="BL93" i="3"/>
  <c r="BK93" i="3"/>
  <c r="BJ93" i="3"/>
  <c r="BR93" i="3" s="1"/>
  <c r="BS93" i="3" s="1"/>
  <c r="BT93" i="3" s="1"/>
  <c r="BI93" i="3"/>
  <c r="BH93" i="3"/>
  <c r="BG93" i="3"/>
  <c r="BF93" i="3"/>
  <c r="BE93" i="3"/>
  <c r="BD93" i="3"/>
  <c r="BC93" i="3"/>
  <c r="BB93" i="3"/>
  <c r="BA93" i="3"/>
  <c r="AY93" i="3"/>
  <c r="AX93" i="3"/>
  <c r="AW93" i="3"/>
  <c r="AV93" i="3"/>
  <c r="AU93" i="3"/>
  <c r="AR93" i="3"/>
  <c r="AP93" i="3"/>
  <c r="AM93" i="3"/>
  <c r="AL93" i="3"/>
  <c r="AN93" i="3" s="1"/>
  <c r="AH93" i="3"/>
  <c r="BM93" i="3" s="1"/>
  <c r="AG93" i="3"/>
  <c r="AA93" i="3"/>
  <c r="W93" i="3"/>
  <c r="V93" i="3"/>
  <c r="T93" i="3"/>
  <c r="R93" i="3"/>
  <c r="P93" i="3"/>
  <c r="J93" i="3"/>
  <c r="AZ93" i="3" s="1"/>
  <c r="BZ92" i="3"/>
  <c r="BW92" i="3"/>
  <c r="BV92" i="3"/>
  <c r="BU92" i="3"/>
  <c r="BQ92" i="3"/>
  <c r="BP92" i="3"/>
  <c r="BO92" i="3"/>
  <c r="BN92" i="3"/>
  <c r="BL92" i="3"/>
  <c r="BK92" i="3"/>
  <c r="BJ92" i="3"/>
  <c r="BR92" i="3" s="1"/>
  <c r="BS92" i="3" s="1"/>
  <c r="BT92" i="3" s="1"/>
  <c r="BI92" i="3"/>
  <c r="BH92" i="3"/>
  <c r="BG92" i="3"/>
  <c r="BF92" i="3"/>
  <c r="BE92" i="3"/>
  <c r="BD92" i="3"/>
  <c r="BC92" i="3"/>
  <c r="BB92" i="3"/>
  <c r="BA92" i="3"/>
  <c r="AY92" i="3"/>
  <c r="AX92" i="3"/>
  <c r="AW92" i="3"/>
  <c r="AV92" i="3"/>
  <c r="AU92" i="3"/>
  <c r="AR92" i="3"/>
  <c r="AP92" i="3"/>
  <c r="AN92" i="3"/>
  <c r="AM92" i="3"/>
  <c r="AL92" i="3"/>
  <c r="AI92" i="3"/>
  <c r="AH92" i="3"/>
  <c r="BM92" i="3" s="1"/>
  <c r="AG92" i="3"/>
  <c r="AA92" i="3"/>
  <c r="W92" i="3"/>
  <c r="V92" i="3"/>
  <c r="T92" i="3"/>
  <c r="R92" i="3"/>
  <c r="P92" i="3"/>
  <c r="J92" i="3"/>
  <c r="AZ92" i="3" s="1"/>
  <c r="BZ91" i="3"/>
  <c r="BV91" i="3"/>
  <c r="BU91" i="3"/>
  <c r="BW91" i="3" s="1"/>
  <c r="BQ91" i="3"/>
  <c r="BS91" i="3" s="1"/>
  <c r="BT91" i="3" s="1"/>
  <c r="BP91" i="3"/>
  <c r="BO91" i="3"/>
  <c r="BN91" i="3"/>
  <c r="BM91" i="3"/>
  <c r="BL91" i="3"/>
  <c r="BK91" i="3"/>
  <c r="BJ91" i="3"/>
  <c r="BR91" i="3" s="1"/>
  <c r="BI91" i="3"/>
  <c r="BH91" i="3"/>
  <c r="BG91" i="3"/>
  <c r="BF91" i="3"/>
  <c r="BE91" i="3"/>
  <c r="BD91" i="3"/>
  <c r="BC91" i="3"/>
  <c r="BB91" i="3"/>
  <c r="BA91" i="3"/>
  <c r="AY91" i="3"/>
  <c r="AX91" i="3"/>
  <c r="AW91" i="3"/>
  <c r="AV91" i="3"/>
  <c r="AU91" i="3"/>
  <c r="AR91" i="3"/>
  <c r="AP91" i="3"/>
  <c r="AN91" i="3"/>
  <c r="AM91" i="3"/>
  <c r="AL91" i="3"/>
  <c r="AI91" i="3"/>
  <c r="AH91" i="3"/>
  <c r="AG91" i="3" s="1"/>
  <c r="AA91" i="3"/>
  <c r="W91" i="3"/>
  <c r="V91" i="3"/>
  <c r="T91" i="3"/>
  <c r="R91" i="3"/>
  <c r="P91" i="3"/>
  <c r="J91" i="3"/>
  <c r="AZ91" i="3" s="1"/>
  <c r="BZ90" i="3"/>
  <c r="BV90" i="3"/>
  <c r="BU90" i="3"/>
  <c r="BW90" i="3" s="1"/>
  <c r="BQ90" i="3"/>
  <c r="BS90" i="3" s="1"/>
  <c r="BT90" i="3" s="1"/>
  <c r="BP90" i="3"/>
  <c r="BO90" i="3"/>
  <c r="BN90" i="3"/>
  <c r="BM90" i="3"/>
  <c r="BL90" i="3"/>
  <c r="BK90" i="3"/>
  <c r="BJ90" i="3"/>
  <c r="BR90" i="3" s="1"/>
  <c r="BI90" i="3"/>
  <c r="BH90" i="3"/>
  <c r="BG90" i="3"/>
  <c r="BF90" i="3"/>
  <c r="BE90" i="3"/>
  <c r="BD90" i="3"/>
  <c r="BC90" i="3"/>
  <c r="BB90" i="3"/>
  <c r="BA90" i="3"/>
  <c r="AY90" i="3"/>
  <c r="AX90" i="3"/>
  <c r="AW90" i="3"/>
  <c r="AV90" i="3"/>
  <c r="AU90" i="3"/>
  <c r="AR90" i="3"/>
  <c r="AP90" i="3"/>
  <c r="AM90" i="3"/>
  <c r="AL90" i="3"/>
  <c r="AN90" i="3" s="1"/>
  <c r="AI90" i="3"/>
  <c r="AH90" i="3"/>
  <c r="AG90" i="3"/>
  <c r="AA90" i="3"/>
  <c r="W90" i="3"/>
  <c r="V90" i="3"/>
  <c r="T90" i="3"/>
  <c r="R90" i="3"/>
  <c r="P90" i="3"/>
  <c r="J90" i="3"/>
  <c r="AZ90" i="3" s="1"/>
  <c r="BZ89" i="3"/>
  <c r="BW89" i="3"/>
  <c r="BV89" i="3"/>
  <c r="BU89" i="3"/>
  <c r="BQ89" i="3"/>
  <c r="BP89" i="3"/>
  <c r="BO89" i="3"/>
  <c r="BN89" i="3"/>
  <c r="BL89" i="3"/>
  <c r="BK89" i="3"/>
  <c r="BJ89" i="3"/>
  <c r="BR89" i="3" s="1"/>
  <c r="BS89" i="3" s="1"/>
  <c r="BT89" i="3" s="1"/>
  <c r="BI89" i="3"/>
  <c r="BH89" i="3"/>
  <c r="BG89" i="3"/>
  <c r="BF89" i="3"/>
  <c r="BE89" i="3"/>
  <c r="BD89" i="3"/>
  <c r="BC89" i="3"/>
  <c r="BB89" i="3"/>
  <c r="BA89" i="3"/>
  <c r="AY89" i="3"/>
  <c r="AX89" i="3"/>
  <c r="AW89" i="3"/>
  <c r="AV89" i="3"/>
  <c r="AU89" i="3"/>
  <c r="AR89" i="3"/>
  <c r="AP89" i="3"/>
  <c r="AM89" i="3"/>
  <c r="AL89" i="3"/>
  <c r="AN89" i="3" s="1"/>
  <c r="AI89" i="3"/>
  <c r="AH89" i="3"/>
  <c r="BM89" i="3" s="1"/>
  <c r="AG89" i="3"/>
  <c r="AA89" i="3"/>
  <c r="W89" i="3"/>
  <c r="V89" i="3"/>
  <c r="T89" i="3"/>
  <c r="R89" i="3"/>
  <c r="P89" i="3"/>
  <c r="J89" i="3"/>
  <c r="AZ89" i="3" s="1"/>
  <c r="BZ88" i="3"/>
  <c r="BW88" i="3"/>
  <c r="BV88" i="3"/>
  <c r="BU88" i="3"/>
  <c r="BQ88" i="3"/>
  <c r="BP88" i="3"/>
  <c r="BO88" i="3"/>
  <c r="BN88" i="3"/>
  <c r="BL88" i="3"/>
  <c r="BK88" i="3"/>
  <c r="BJ88" i="3"/>
  <c r="BR88" i="3" s="1"/>
  <c r="BS88" i="3" s="1"/>
  <c r="BT88" i="3" s="1"/>
  <c r="BI88" i="3"/>
  <c r="BH88" i="3"/>
  <c r="BG88" i="3"/>
  <c r="BF88" i="3"/>
  <c r="BE88" i="3"/>
  <c r="BD88" i="3"/>
  <c r="BC88" i="3"/>
  <c r="BB88" i="3"/>
  <c r="BA88" i="3"/>
  <c r="AY88" i="3"/>
  <c r="AX88" i="3"/>
  <c r="AW88" i="3"/>
  <c r="AV88" i="3"/>
  <c r="AU88" i="3"/>
  <c r="AR88" i="3"/>
  <c r="AP88" i="3"/>
  <c r="AN88" i="3"/>
  <c r="AM88" i="3"/>
  <c r="AL88" i="3"/>
  <c r="AH88" i="3"/>
  <c r="AG88" i="3" s="1"/>
  <c r="AA88" i="3"/>
  <c r="W88" i="3"/>
  <c r="V88" i="3"/>
  <c r="T88" i="3"/>
  <c r="R88" i="3"/>
  <c r="P88" i="3"/>
  <c r="J88" i="3"/>
  <c r="AZ88" i="3" s="1"/>
  <c r="BZ87" i="3"/>
  <c r="BV87" i="3"/>
  <c r="BU87" i="3"/>
  <c r="BW87" i="3" s="1"/>
  <c r="BQ87" i="3"/>
  <c r="BS87" i="3" s="1"/>
  <c r="BT87" i="3" s="1"/>
  <c r="BP87" i="3"/>
  <c r="BO87" i="3"/>
  <c r="BN87" i="3"/>
  <c r="BM87" i="3"/>
  <c r="BL87" i="3"/>
  <c r="BK87" i="3"/>
  <c r="BJ87" i="3"/>
  <c r="BR87" i="3" s="1"/>
  <c r="BI87" i="3"/>
  <c r="BH87" i="3"/>
  <c r="BG87" i="3"/>
  <c r="BF87" i="3"/>
  <c r="BE87" i="3"/>
  <c r="BD87" i="3"/>
  <c r="BC87" i="3"/>
  <c r="BB87" i="3"/>
  <c r="BA87" i="3"/>
  <c r="AY87" i="3"/>
  <c r="AX87" i="3"/>
  <c r="AW87" i="3"/>
  <c r="AV87" i="3"/>
  <c r="AU87" i="3"/>
  <c r="AR87" i="3"/>
  <c r="AP87" i="3"/>
  <c r="AN87" i="3"/>
  <c r="AM87" i="3"/>
  <c r="AL87" i="3"/>
  <c r="AI87" i="3"/>
  <c r="AH87" i="3"/>
  <c r="AG87" i="3" s="1"/>
  <c r="AA87" i="3"/>
  <c r="W87" i="3"/>
  <c r="V87" i="3"/>
  <c r="T87" i="3"/>
  <c r="R87" i="3"/>
  <c r="P87" i="3"/>
  <c r="J87" i="3"/>
  <c r="AZ87" i="3" s="1"/>
  <c r="BZ86" i="3"/>
  <c r="BV86" i="3"/>
  <c r="BU86" i="3"/>
  <c r="BW86" i="3" s="1"/>
  <c r="BQ86" i="3"/>
  <c r="BP86" i="3"/>
  <c r="BO86" i="3"/>
  <c r="BN86" i="3"/>
  <c r="BM86" i="3"/>
  <c r="BL86" i="3"/>
  <c r="BK86" i="3"/>
  <c r="BJ86" i="3"/>
  <c r="BR86" i="3" s="1"/>
  <c r="BI86" i="3"/>
  <c r="BH86" i="3"/>
  <c r="BG86" i="3"/>
  <c r="BF86" i="3"/>
  <c r="BE86" i="3"/>
  <c r="BD86" i="3"/>
  <c r="BC86" i="3"/>
  <c r="BB86" i="3"/>
  <c r="BA86" i="3"/>
  <c r="AY86" i="3"/>
  <c r="AX86" i="3"/>
  <c r="AW86" i="3"/>
  <c r="AV86" i="3"/>
  <c r="AU86" i="3"/>
  <c r="AR86" i="3"/>
  <c r="AP86" i="3"/>
  <c r="AM86" i="3"/>
  <c r="AL86" i="3"/>
  <c r="AN86" i="3" s="1"/>
  <c r="AI86" i="3"/>
  <c r="AH86" i="3"/>
  <c r="AG86" i="3"/>
  <c r="AA86" i="3"/>
  <c r="W86" i="3"/>
  <c r="V86" i="3"/>
  <c r="T86" i="3"/>
  <c r="R86" i="3"/>
  <c r="P86" i="3"/>
  <c r="J86" i="3"/>
  <c r="AZ86" i="3" s="1"/>
  <c r="BZ85" i="3"/>
  <c r="BW85" i="3"/>
  <c r="BV85" i="3"/>
  <c r="BU85" i="3"/>
  <c r="BQ85" i="3"/>
  <c r="BP85" i="3"/>
  <c r="BO85" i="3"/>
  <c r="BN85" i="3"/>
  <c r="BL85" i="3"/>
  <c r="BK85" i="3"/>
  <c r="BJ85" i="3"/>
  <c r="BR85" i="3" s="1"/>
  <c r="BS85" i="3" s="1"/>
  <c r="BT85" i="3" s="1"/>
  <c r="BI85" i="3"/>
  <c r="BH85" i="3"/>
  <c r="BG85" i="3"/>
  <c r="BF85" i="3"/>
  <c r="BE85" i="3"/>
  <c r="BD85" i="3"/>
  <c r="BC85" i="3"/>
  <c r="BB85" i="3"/>
  <c r="BA85" i="3"/>
  <c r="AY85" i="3"/>
  <c r="AX85" i="3"/>
  <c r="AW85" i="3"/>
  <c r="AV85" i="3"/>
  <c r="AU85" i="3"/>
  <c r="AR85" i="3"/>
  <c r="AP85" i="3"/>
  <c r="AM85" i="3"/>
  <c r="AL85" i="3"/>
  <c r="AN85" i="3" s="1"/>
  <c r="AH85" i="3"/>
  <c r="BM85" i="3" s="1"/>
  <c r="AG85" i="3"/>
  <c r="AA85" i="3"/>
  <c r="W85" i="3"/>
  <c r="V85" i="3"/>
  <c r="T85" i="3"/>
  <c r="R85" i="3"/>
  <c r="P85" i="3"/>
  <c r="J85" i="3"/>
  <c r="AZ85" i="3" s="1"/>
  <c r="BZ84" i="3"/>
  <c r="BW84" i="3"/>
  <c r="BV84" i="3"/>
  <c r="BU84" i="3"/>
  <c r="BQ84" i="3"/>
  <c r="BP84" i="3"/>
  <c r="BO84" i="3"/>
  <c r="BN84" i="3"/>
  <c r="BL84" i="3"/>
  <c r="BK84" i="3"/>
  <c r="BJ84" i="3"/>
  <c r="BR84" i="3" s="1"/>
  <c r="BS84" i="3" s="1"/>
  <c r="BT84" i="3" s="1"/>
  <c r="BI84" i="3"/>
  <c r="BH84" i="3"/>
  <c r="BG84" i="3"/>
  <c r="BF84" i="3"/>
  <c r="BE84" i="3"/>
  <c r="BD84" i="3"/>
  <c r="BC84" i="3"/>
  <c r="BB84" i="3"/>
  <c r="BA84" i="3"/>
  <c r="AY84" i="3"/>
  <c r="AX84" i="3"/>
  <c r="AW84" i="3"/>
  <c r="AV84" i="3"/>
  <c r="AU84" i="3"/>
  <c r="AR84" i="3"/>
  <c r="AP84" i="3"/>
  <c r="AN84" i="3"/>
  <c r="AM84" i="3"/>
  <c r="AL84" i="3"/>
  <c r="AH84" i="3"/>
  <c r="BM84" i="3" s="1"/>
  <c r="AG84" i="3"/>
  <c r="AA84" i="3"/>
  <c r="W84" i="3"/>
  <c r="V84" i="3"/>
  <c r="T84" i="3"/>
  <c r="R84" i="3"/>
  <c r="P84" i="3"/>
  <c r="J84" i="3"/>
  <c r="AZ84" i="3" s="1"/>
  <c r="BZ83" i="3"/>
  <c r="BV83" i="3"/>
  <c r="BU83" i="3"/>
  <c r="BW83" i="3" s="1"/>
  <c r="BQ83" i="3"/>
  <c r="BS83" i="3" s="1"/>
  <c r="BT83" i="3" s="1"/>
  <c r="BP83" i="3"/>
  <c r="BO83" i="3"/>
  <c r="BN83" i="3"/>
  <c r="BM83" i="3"/>
  <c r="BL83" i="3"/>
  <c r="BK83" i="3"/>
  <c r="BJ83" i="3"/>
  <c r="BR83" i="3" s="1"/>
  <c r="BI83" i="3"/>
  <c r="BH83" i="3"/>
  <c r="BG83" i="3"/>
  <c r="BF83" i="3"/>
  <c r="BE83" i="3"/>
  <c r="BD83" i="3"/>
  <c r="BC83" i="3"/>
  <c r="BB83" i="3"/>
  <c r="BA83" i="3"/>
  <c r="AY83" i="3"/>
  <c r="AX83" i="3"/>
  <c r="AW83" i="3"/>
  <c r="AV83" i="3"/>
  <c r="AU83" i="3"/>
  <c r="AR83" i="3"/>
  <c r="AP83" i="3"/>
  <c r="AN83" i="3"/>
  <c r="AM83" i="3"/>
  <c r="AL83" i="3"/>
  <c r="AI83" i="3"/>
  <c r="AH83" i="3"/>
  <c r="AG83" i="3" s="1"/>
  <c r="AA83" i="3"/>
  <c r="W83" i="3"/>
  <c r="V83" i="3"/>
  <c r="T83" i="3"/>
  <c r="R83" i="3"/>
  <c r="P83" i="3"/>
  <c r="J83" i="3"/>
  <c r="AZ83" i="3" s="1"/>
  <c r="BZ82" i="3"/>
  <c r="BV82" i="3"/>
  <c r="BU82" i="3"/>
  <c r="BW82" i="3" s="1"/>
  <c r="BQ82" i="3"/>
  <c r="BP82" i="3"/>
  <c r="BO82" i="3"/>
  <c r="BN82" i="3"/>
  <c r="BM82" i="3"/>
  <c r="BL82" i="3"/>
  <c r="BK82" i="3"/>
  <c r="BJ82" i="3"/>
  <c r="BR82" i="3" s="1"/>
  <c r="BI82" i="3"/>
  <c r="BH82" i="3"/>
  <c r="BG82" i="3"/>
  <c r="BF82" i="3"/>
  <c r="BE82" i="3"/>
  <c r="BD82" i="3"/>
  <c r="BC82" i="3"/>
  <c r="BB82" i="3"/>
  <c r="BA82" i="3"/>
  <c r="AY82" i="3"/>
  <c r="AX82" i="3"/>
  <c r="AW82" i="3"/>
  <c r="AV82" i="3"/>
  <c r="AU82" i="3"/>
  <c r="AR82" i="3"/>
  <c r="AP82" i="3"/>
  <c r="AM82" i="3"/>
  <c r="AL82" i="3"/>
  <c r="AN82" i="3" s="1"/>
  <c r="AI82" i="3"/>
  <c r="AH82" i="3"/>
  <c r="AG82" i="3"/>
  <c r="AA82" i="3"/>
  <c r="W82" i="3"/>
  <c r="V82" i="3"/>
  <c r="T82" i="3"/>
  <c r="R82" i="3"/>
  <c r="P82" i="3"/>
  <c r="J82" i="3"/>
  <c r="AZ82" i="3" s="1"/>
  <c r="BZ81" i="3"/>
  <c r="BW81" i="3"/>
  <c r="BV81" i="3"/>
  <c r="BU81" i="3"/>
  <c r="BQ81" i="3"/>
  <c r="BP81" i="3"/>
  <c r="BO81" i="3"/>
  <c r="BN81" i="3"/>
  <c r="BL81" i="3"/>
  <c r="BK81" i="3"/>
  <c r="BJ81" i="3"/>
  <c r="BR81" i="3" s="1"/>
  <c r="BS81" i="3" s="1"/>
  <c r="BT81" i="3" s="1"/>
  <c r="BI81" i="3"/>
  <c r="BH81" i="3"/>
  <c r="BG81" i="3"/>
  <c r="BF81" i="3"/>
  <c r="BE81" i="3"/>
  <c r="BD81" i="3"/>
  <c r="BC81" i="3"/>
  <c r="BB81" i="3"/>
  <c r="BA81" i="3"/>
  <c r="AY81" i="3"/>
  <c r="AX81" i="3"/>
  <c r="AW81" i="3"/>
  <c r="AV81" i="3"/>
  <c r="AU81" i="3"/>
  <c r="AR81" i="3"/>
  <c r="AP81" i="3"/>
  <c r="AN81" i="3"/>
  <c r="AM81" i="3"/>
  <c r="AL81" i="3"/>
  <c r="AH81" i="3"/>
  <c r="BM81" i="3" s="1"/>
  <c r="AG81" i="3"/>
  <c r="AA81" i="3"/>
  <c r="W81" i="3"/>
  <c r="V81" i="3"/>
  <c r="T81" i="3"/>
  <c r="R81" i="3"/>
  <c r="P81" i="3"/>
  <c r="J81" i="3"/>
  <c r="AZ81" i="3" s="1"/>
  <c r="BZ80" i="3"/>
  <c r="BV80" i="3"/>
  <c r="BU80" i="3"/>
  <c r="BW80" i="3" s="1"/>
  <c r="BQ80" i="3"/>
  <c r="BS80" i="3" s="1"/>
  <c r="BT80" i="3" s="1"/>
  <c r="BP80" i="3"/>
  <c r="BO80" i="3"/>
  <c r="BN80" i="3"/>
  <c r="BL80" i="3"/>
  <c r="BK80" i="3"/>
  <c r="BJ80" i="3"/>
  <c r="BR80" i="3" s="1"/>
  <c r="BI80" i="3"/>
  <c r="BH80" i="3"/>
  <c r="BG80" i="3"/>
  <c r="BF80" i="3"/>
  <c r="BE80" i="3"/>
  <c r="BD80" i="3"/>
  <c r="BC80" i="3"/>
  <c r="BB80" i="3"/>
  <c r="BA80" i="3"/>
  <c r="AY80" i="3"/>
  <c r="AX80" i="3"/>
  <c r="AW80" i="3"/>
  <c r="AV80" i="3"/>
  <c r="AU80" i="3"/>
  <c r="AR80" i="3"/>
  <c r="AP80" i="3"/>
  <c r="AN80" i="3"/>
  <c r="AM80" i="3"/>
  <c r="AL80" i="3"/>
  <c r="AH80" i="3"/>
  <c r="AG80" i="3" s="1"/>
  <c r="AA80" i="3"/>
  <c r="W80" i="3"/>
  <c r="V80" i="3"/>
  <c r="T80" i="3"/>
  <c r="R80" i="3"/>
  <c r="P80" i="3"/>
  <c r="J80" i="3"/>
  <c r="AZ80" i="3" s="1"/>
  <c r="BZ79" i="3"/>
  <c r="BV79" i="3"/>
  <c r="BU79" i="3"/>
  <c r="BW79" i="3" s="1"/>
  <c r="BQ79" i="3"/>
  <c r="BS79" i="3" s="1"/>
  <c r="BT79" i="3" s="1"/>
  <c r="BP79" i="3"/>
  <c r="BO79" i="3"/>
  <c r="BN79" i="3"/>
  <c r="BM79" i="3"/>
  <c r="BL79" i="3"/>
  <c r="BK79" i="3"/>
  <c r="BJ79" i="3"/>
  <c r="BR79" i="3" s="1"/>
  <c r="BI79" i="3"/>
  <c r="BH79" i="3"/>
  <c r="BG79" i="3"/>
  <c r="BF79" i="3"/>
  <c r="BE79" i="3"/>
  <c r="BD79" i="3"/>
  <c r="BC79" i="3"/>
  <c r="BB79" i="3"/>
  <c r="BA79" i="3"/>
  <c r="AY79" i="3"/>
  <c r="AX79" i="3"/>
  <c r="AW79" i="3"/>
  <c r="AV79" i="3"/>
  <c r="AU79" i="3"/>
  <c r="AR79" i="3"/>
  <c r="AP79" i="3"/>
  <c r="AM79" i="3"/>
  <c r="AL79" i="3"/>
  <c r="AN79" i="3" s="1"/>
  <c r="AI79" i="3"/>
  <c r="AH79" i="3"/>
  <c r="AG79" i="3"/>
  <c r="AA79" i="3"/>
  <c r="W79" i="3"/>
  <c r="V79" i="3"/>
  <c r="T79" i="3"/>
  <c r="R79" i="3"/>
  <c r="P79" i="3"/>
  <c r="J79" i="3"/>
  <c r="AZ79" i="3" s="1"/>
  <c r="BZ78" i="3"/>
  <c r="BV78" i="3"/>
  <c r="BW78" i="3" s="1"/>
  <c r="BU78" i="3"/>
  <c r="BQ78" i="3"/>
  <c r="BP78" i="3"/>
  <c r="BO78" i="3"/>
  <c r="BN78" i="3"/>
  <c r="BM78" i="3"/>
  <c r="BL78" i="3"/>
  <c r="BK78" i="3"/>
  <c r="BJ78" i="3"/>
  <c r="BR78" i="3" s="1"/>
  <c r="BS78" i="3" s="1"/>
  <c r="BT78" i="3" s="1"/>
  <c r="BI78" i="3"/>
  <c r="BH78" i="3"/>
  <c r="BG78" i="3"/>
  <c r="BF78" i="3"/>
  <c r="BE78" i="3"/>
  <c r="BD78" i="3"/>
  <c r="BC78" i="3"/>
  <c r="BB78" i="3"/>
  <c r="BA78" i="3"/>
  <c r="AY78" i="3"/>
  <c r="AX78" i="3"/>
  <c r="AW78" i="3"/>
  <c r="AV78" i="3"/>
  <c r="AU78" i="3"/>
  <c r="AR78" i="3"/>
  <c r="AP78" i="3"/>
  <c r="AM78" i="3"/>
  <c r="AL78" i="3"/>
  <c r="AN78" i="3" s="1"/>
  <c r="AI78" i="3"/>
  <c r="AH78" i="3"/>
  <c r="AG78" i="3"/>
  <c r="AA78" i="3"/>
  <c r="W78" i="3"/>
  <c r="V78" i="3"/>
  <c r="T78" i="3"/>
  <c r="R78" i="3"/>
  <c r="P78" i="3"/>
  <c r="J78" i="3"/>
  <c r="AZ78" i="3" s="1"/>
  <c r="BZ77" i="3"/>
  <c r="BW77" i="3"/>
  <c r="BV77" i="3"/>
  <c r="BU77" i="3"/>
  <c r="BS77" i="3"/>
  <c r="BT77" i="3" s="1"/>
  <c r="BQ77" i="3"/>
  <c r="BP77" i="3"/>
  <c r="BO77" i="3"/>
  <c r="BN77" i="3"/>
  <c r="BL77" i="3"/>
  <c r="BK77" i="3"/>
  <c r="BJ77" i="3"/>
  <c r="BR77" i="3" s="1"/>
  <c r="BI77" i="3"/>
  <c r="BH77" i="3"/>
  <c r="BG77" i="3"/>
  <c r="BF77" i="3"/>
  <c r="BE77" i="3"/>
  <c r="BD77" i="3"/>
  <c r="BC77" i="3"/>
  <c r="BB77" i="3"/>
  <c r="BA77" i="3"/>
  <c r="AY77" i="3"/>
  <c r="AX77" i="3"/>
  <c r="AW77" i="3"/>
  <c r="AV77" i="3"/>
  <c r="AU77" i="3"/>
  <c r="AR77" i="3"/>
  <c r="AP77" i="3"/>
  <c r="AM77" i="3"/>
  <c r="AL77" i="3"/>
  <c r="AN77" i="3" s="1"/>
  <c r="AI77" i="3"/>
  <c r="AH77" i="3"/>
  <c r="BM77" i="3" s="1"/>
  <c r="AG77" i="3"/>
  <c r="AA77" i="3"/>
  <c r="W77" i="3"/>
  <c r="V77" i="3"/>
  <c r="T77" i="3"/>
  <c r="R77" i="3"/>
  <c r="P77" i="3"/>
  <c r="J77" i="3"/>
  <c r="AZ77" i="3" s="1"/>
  <c r="BZ76" i="3"/>
  <c r="BW76" i="3"/>
  <c r="BV76" i="3"/>
  <c r="BU76" i="3"/>
  <c r="BT76" i="3"/>
  <c r="BQ76" i="3"/>
  <c r="BP76" i="3"/>
  <c r="BO76" i="3"/>
  <c r="BN76" i="3"/>
  <c r="BL76" i="3"/>
  <c r="BK76" i="3"/>
  <c r="BJ76" i="3"/>
  <c r="BR76" i="3" s="1"/>
  <c r="BS76" i="3" s="1"/>
  <c r="BI76" i="3"/>
  <c r="BH76" i="3"/>
  <c r="BG76" i="3"/>
  <c r="BF76" i="3"/>
  <c r="BE76" i="3"/>
  <c r="BD76" i="3"/>
  <c r="BC76" i="3"/>
  <c r="BB76" i="3"/>
  <c r="BA76" i="3"/>
  <c r="AY76" i="3"/>
  <c r="AX76" i="3"/>
  <c r="AW76" i="3"/>
  <c r="AV76" i="3"/>
  <c r="AU76" i="3"/>
  <c r="AR76" i="3"/>
  <c r="AP76" i="3"/>
  <c r="AN76" i="3"/>
  <c r="AM76" i="3"/>
  <c r="AL76" i="3"/>
  <c r="AI76" i="3"/>
  <c r="AH76" i="3"/>
  <c r="BM76" i="3" s="1"/>
  <c r="AG76" i="3"/>
  <c r="AA76" i="3"/>
  <c r="W76" i="3"/>
  <c r="V76" i="3"/>
  <c r="T76" i="3"/>
  <c r="R76" i="3"/>
  <c r="P76" i="3"/>
  <c r="J76" i="3"/>
  <c r="AZ76" i="3" s="1"/>
  <c r="BZ75" i="3"/>
  <c r="BV75" i="3"/>
  <c r="BU75" i="3"/>
  <c r="BW75" i="3" s="1"/>
  <c r="BQ75" i="3"/>
  <c r="BP75" i="3"/>
  <c r="BO75" i="3"/>
  <c r="BN75" i="3"/>
  <c r="BM75" i="3"/>
  <c r="BL75" i="3"/>
  <c r="BK75" i="3"/>
  <c r="BJ75" i="3"/>
  <c r="BR75" i="3" s="1"/>
  <c r="BI75" i="3"/>
  <c r="BH75" i="3"/>
  <c r="BG75" i="3"/>
  <c r="BF75" i="3"/>
  <c r="BE75" i="3"/>
  <c r="BD75" i="3"/>
  <c r="BC75" i="3"/>
  <c r="BB75" i="3"/>
  <c r="BA75" i="3"/>
  <c r="AY75" i="3"/>
  <c r="AX75" i="3"/>
  <c r="AW75" i="3"/>
  <c r="AV75" i="3"/>
  <c r="AU75" i="3"/>
  <c r="AR75" i="3"/>
  <c r="AP75" i="3"/>
  <c r="AN75" i="3"/>
  <c r="AM75" i="3"/>
  <c r="AL75" i="3"/>
  <c r="AI75" i="3"/>
  <c r="AH75" i="3"/>
  <c r="AG75" i="3"/>
  <c r="AA75" i="3"/>
  <c r="W75" i="3"/>
  <c r="V75" i="3"/>
  <c r="T75" i="3"/>
  <c r="R75" i="3"/>
  <c r="P75" i="3"/>
  <c r="J75" i="3"/>
  <c r="AZ75" i="3" s="1"/>
  <c r="BZ74" i="3"/>
  <c r="BV74" i="3"/>
  <c r="BU74" i="3"/>
  <c r="BW74" i="3" s="1"/>
  <c r="BQ74" i="3"/>
  <c r="BP74" i="3"/>
  <c r="BO74" i="3"/>
  <c r="BN74" i="3"/>
  <c r="BM74" i="3"/>
  <c r="BL74" i="3"/>
  <c r="BK74" i="3"/>
  <c r="BJ74" i="3"/>
  <c r="BR74" i="3" s="1"/>
  <c r="BI74" i="3"/>
  <c r="BH74" i="3"/>
  <c r="BG74" i="3"/>
  <c r="BF74" i="3"/>
  <c r="BE74" i="3"/>
  <c r="BD74" i="3"/>
  <c r="BC74" i="3"/>
  <c r="BB74" i="3"/>
  <c r="BA74" i="3"/>
  <c r="AY74" i="3"/>
  <c r="AX74" i="3"/>
  <c r="AW74" i="3"/>
  <c r="AV74" i="3"/>
  <c r="AU74" i="3"/>
  <c r="AR74" i="3"/>
  <c r="AP74" i="3"/>
  <c r="AM74" i="3"/>
  <c r="AL74" i="3"/>
  <c r="AN74" i="3" s="1"/>
  <c r="AI74" i="3"/>
  <c r="AH74" i="3"/>
  <c r="AG74" i="3"/>
  <c r="AA74" i="3"/>
  <c r="W74" i="3"/>
  <c r="V74" i="3"/>
  <c r="T74" i="3"/>
  <c r="R74" i="3"/>
  <c r="P74" i="3"/>
  <c r="J74" i="3"/>
  <c r="AZ74" i="3" s="1"/>
  <c r="BZ73" i="3"/>
  <c r="BW73" i="3"/>
  <c r="BV73" i="3"/>
  <c r="BU73" i="3"/>
  <c r="BQ73" i="3"/>
  <c r="BP73" i="3"/>
  <c r="BO73" i="3"/>
  <c r="BN73" i="3"/>
  <c r="BL73" i="3"/>
  <c r="BK73" i="3"/>
  <c r="BJ73" i="3"/>
  <c r="BR73" i="3" s="1"/>
  <c r="BS73" i="3" s="1"/>
  <c r="BT73" i="3" s="1"/>
  <c r="BI73" i="3"/>
  <c r="BH73" i="3"/>
  <c r="BG73" i="3"/>
  <c r="BF73" i="3"/>
  <c r="BE73" i="3"/>
  <c r="BD73" i="3"/>
  <c r="BC73" i="3"/>
  <c r="BB73" i="3"/>
  <c r="BA73" i="3"/>
  <c r="AY73" i="3"/>
  <c r="AX73" i="3"/>
  <c r="AW73" i="3"/>
  <c r="AV73" i="3"/>
  <c r="AU73" i="3"/>
  <c r="AR73" i="3"/>
  <c r="AP73" i="3"/>
  <c r="AM73" i="3"/>
  <c r="AL73" i="3"/>
  <c r="AN73" i="3" s="1"/>
  <c r="AI73" i="3"/>
  <c r="AH73" i="3"/>
  <c r="BM73" i="3" s="1"/>
  <c r="AG73" i="3"/>
  <c r="AA73" i="3"/>
  <c r="W73" i="3"/>
  <c r="V73" i="3"/>
  <c r="T73" i="3"/>
  <c r="R73" i="3"/>
  <c r="P73" i="3"/>
  <c r="J73" i="3"/>
  <c r="AZ73" i="3" s="1"/>
  <c r="BZ72" i="3"/>
  <c r="BW72" i="3"/>
  <c r="BV72" i="3"/>
  <c r="BU72" i="3"/>
  <c r="BQ72" i="3"/>
  <c r="BP72" i="3"/>
  <c r="BO72" i="3"/>
  <c r="BN72" i="3"/>
  <c r="BL72" i="3"/>
  <c r="BK72" i="3"/>
  <c r="BJ72" i="3"/>
  <c r="BR72" i="3" s="1"/>
  <c r="BS72" i="3" s="1"/>
  <c r="BT72" i="3" s="1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R72" i="3"/>
  <c r="AP72" i="3"/>
  <c r="AN72" i="3"/>
  <c r="AM72" i="3"/>
  <c r="AL72" i="3"/>
  <c r="AH72" i="3"/>
  <c r="AA72" i="3"/>
  <c r="W72" i="3"/>
  <c r="V72" i="3"/>
  <c r="T72" i="3"/>
  <c r="R72" i="3"/>
  <c r="P72" i="3"/>
  <c r="J72" i="3"/>
  <c r="BZ71" i="3"/>
  <c r="BV71" i="3"/>
  <c r="BU71" i="3"/>
  <c r="BW71" i="3" s="1"/>
  <c r="BQ71" i="3"/>
  <c r="BP71" i="3"/>
  <c r="BO71" i="3"/>
  <c r="BN71" i="3"/>
  <c r="BM71" i="3"/>
  <c r="BL71" i="3"/>
  <c r="BK71" i="3"/>
  <c r="BJ71" i="3"/>
  <c r="BR71" i="3" s="1"/>
  <c r="BI71" i="3"/>
  <c r="BH71" i="3"/>
  <c r="BG71" i="3"/>
  <c r="BF71" i="3"/>
  <c r="BE71" i="3"/>
  <c r="BD71" i="3"/>
  <c r="BC71" i="3"/>
  <c r="BB71" i="3"/>
  <c r="BA71" i="3"/>
  <c r="AY71" i="3"/>
  <c r="AX71" i="3"/>
  <c r="AW71" i="3"/>
  <c r="AV71" i="3"/>
  <c r="AU71" i="3"/>
  <c r="AR71" i="3"/>
  <c r="AP71" i="3"/>
  <c r="AN71" i="3"/>
  <c r="AM71" i="3"/>
  <c r="AL71" i="3"/>
  <c r="AI71" i="3"/>
  <c r="AH71" i="3"/>
  <c r="AG71" i="3"/>
  <c r="AA71" i="3"/>
  <c r="W71" i="3"/>
  <c r="V71" i="3"/>
  <c r="T71" i="3"/>
  <c r="R71" i="3"/>
  <c r="P71" i="3"/>
  <c r="J71" i="3"/>
  <c r="AZ71" i="3" s="1"/>
  <c r="BZ70" i="3"/>
  <c r="BV70" i="3"/>
  <c r="BU70" i="3"/>
  <c r="BW70" i="3" s="1"/>
  <c r="BQ70" i="3"/>
  <c r="BP70" i="3"/>
  <c r="BO70" i="3"/>
  <c r="BN70" i="3"/>
  <c r="BM70" i="3"/>
  <c r="BL70" i="3"/>
  <c r="BK70" i="3"/>
  <c r="BJ70" i="3"/>
  <c r="BR70" i="3" s="1"/>
  <c r="BI70" i="3"/>
  <c r="BH70" i="3"/>
  <c r="BG70" i="3"/>
  <c r="BF70" i="3"/>
  <c r="BE70" i="3"/>
  <c r="BD70" i="3"/>
  <c r="BC70" i="3"/>
  <c r="BB70" i="3"/>
  <c r="BA70" i="3"/>
  <c r="AY70" i="3"/>
  <c r="AX70" i="3"/>
  <c r="AW70" i="3"/>
  <c r="AV70" i="3"/>
  <c r="AU70" i="3"/>
  <c r="AR70" i="3"/>
  <c r="AP70" i="3"/>
  <c r="AM70" i="3"/>
  <c r="AL70" i="3"/>
  <c r="AN70" i="3" s="1"/>
  <c r="AI70" i="3"/>
  <c r="AH70" i="3"/>
  <c r="AG70" i="3"/>
  <c r="AA70" i="3"/>
  <c r="W70" i="3"/>
  <c r="V70" i="3"/>
  <c r="T70" i="3"/>
  <c r="R70" i="3"/>
  <c r="P70" i="3"/>
  <c r="J70" i="3"/>
  <c r="AZ70" i="3" s="1"/>
  <c r="BZ69" i="3"/>
  <c r="BW69" i="3"/>
  <c r="BV69" i="3"/>
  <c r="BU69" i="3"/>
  <c r="BQ69" i="3"/>
  <c r="BP69" i="3"/>
  <c r="BO69" i="3"/>
  <c r="BN69" i="3"/>
  <c r="BL69" i="3"/>
  <c r="BK69" i="3"/>
  <c r="BJ69" i="3"/>
  <c r="BR69" i="3" s="1"/>
  <c r="BS69" i="3" s="1"/>
  <c r="BT69" i="3" s="1"/>
  <c r="BI69" i="3"/>
  <c r="BH69" i="3"/>
  <c r="BG69" i="3"/>
  <c r="BF69" i="3"/>
  <c r="BE69" i="3"/>
  <c r="BD69" i="3"/>
  <c r="BC69" i="3"/>
  <c r="BB69" i="3"/>
  <c r="BA69" i="3"/>
  <c r="AY69" i="3"/>
  <c r="AX69" i="3"/>
  <c r="AW69" i="3"/>
  <c r="AV69" i="3"/>
  <c r="AU69" i="3"/>
  <c r="AR69" i="3"/>
  <c r="AP69" i="3"/>
  <c r="AM69" i="3"/>
  <c r="AL69" i="3"/>
  <c r="AN69" i="3" s="1"/>
  <c r="AH69" i="3"/>
  <c r="BM69" i="3" s="1"/>
  <c r="AG69" i="3"/>
  <c r="AA69" i="3"/>
  <c r="W69" i="3"/>
  <c r="V69" i="3"/>
  <c r="T69" i="3"/>
  <c r="R69" i="3"/>
  <c r="P69" i="3"/>
  <c r="J69" i="3"/>
  <c r="AZ69" i="3" s="1"/>
  <c r="BZ68" i="3"/>
  <c r="BW68" i="3"/>
  <c r="BV68" i="3"/>
  <c r="BU68" i="3"/>
  <c r="BQ68" i="3"/>
  <c r="BP68" i="3"/>
  <c r="BO68" i="3"/>
  <c r="BN68" i="3"/>
  <c r="BL68" i="3"/>
  <c r="BK68" i="3"/>
  <c r="BJ68" i="3"/>
  <c r="BR68" i="3" s="1"/>
  <c r="BS68" i="3" s="1"/>
  <c r="BT68" i="3" s="1"/>
  <c r="BI68" i="3"/>
  <c r="BH68" i="3"/>
  <c r="BG68" i="3"/>
  <c r="BF68" i="3"/>
  <c r="BE68" i="3"/>
  <c r="BD68" i="3"/>
  <c r="BC68" i="3"/>
  <c r="BB68" i="3"/>
  <c r="BA68" i="3"/>
  <c r="AY68" i="3"/>
  <c r="AX68" i="3"/>
  <c r="AW68" i="3"/>
  <c r="AV68" i="3"/>
  <c r="AU68" i="3"/>
  <c r="AR68" i="3"/>
  <c r="AP68" i="3"/>
  <c r="AN68" i="3"/>
  <c r="AM68" i="3"/>
  <c r="AL68" i="3"/>
  <c r="AH68" i="3"/>
  <c r="AA68" i="3"/>
  <c r="W68" i="3"/>
  <c r="V68" i="3"/>
  <c r="T68" i="3"/>
  <c r="R68" i="3"/>
  <c r="P68" i="3"/>
  <c r="J68" i="3"/>
  <c r="AZ68" i="3" s="1"/>
  <c r="BZ67" i="3"/>
  <c r="BV67" i="3"/>
  <c r="BU67" i="3"/>
  <c r="BW67" i="3" s="1"/>
  <c r="BQ67" i="3"/>
  <c r="BS67" i="3" s="1"/>
  <c r="BT67" i="3" s="1"/>
  <c r="BP67" i="3"/>
  <c r="BO67" i="3"/>
  <c r="BN67" i="3"/>
  <c r="BM67" i="3"/>
  <c r="BL67" i="3"/>
  <c r="BK67" i="3"/>
  <c r="BJ67" i="3"/>
  <c r="BR67" i="3" s="1"/>
  <c r="BI67" i="3"/>
  <c r="BH67" i="3"/>
  <c r="BG67" i="3"/>
  <c r="BF67" i="3"/>
  <c r="BE67" i="3"/>
  <c r="BD67" i="3"/>
  <c r="BC67" i="3"/>
  <c r="BB67" i="3"/>
  <c r="BA67" i="3"/>
  <c r="AY67" i="3"/>
  <c r="AX67" i="3"/>
  <c r="AW67" i="3"/>
  <c r="AV67" i="3"/>
  <c r="AU67" i="3"/>
  <c r="AR67" i="3"/>
  <c r="AP67" i="3"/>
  <c r="AN67" i="3"/>
  <c r="AM67" i="3"/>
  <c r="AL67" i="3"/>
  <c r="AI67" i="3"/>
  <c r="AH67" i="3"/>
  <c r="AG67" i="3"/>
  <c r="AA67" i="3"/>
  <c r="W67" i="3"/>
  <c r="V67" i="3"/>
  <c r="T67" i="3"/>
  <c r="R67" i="3"/>
  <c r="P67" i="3"/>
  <c r="J67" i="3"/>
  <c r="AZ67" i="3" s="1"/>
  <c r="BZ66" i="3"/>
  <c r="BV66" i="3"/>
  <c r="BU66" i="3"/>
  <c r="BW66" i="3" s="1"/>
  <c r="BQ66" i="3"/>
  <c r="BP66" i="3"/>
  <c r="BO66" i="3"/>
  <c r="BN66" i="3"/>
  <c r="BM66" i="3"/>
  <c r="BL66" i="3"/>
  <c r="BK66" i="3"/>
  <c r="BJ66" i="3"/>
  <c r="BR66" i="3" s="1"/>
  <c r="BI66" i="3"/>
  <c r="BH66" i="3"/>
  <c r="BG66" i="3"/>
  <c r="BF66" i="3"/>
  <c r="BE66" i="3"/>
  <c r="BD66" i="3"/>
  <c r="BC66" i="3"/>
  <c r="BB66" i="3"/>
  <c r="BA66" i="3"/>
  <c r="AY66" i="3"/>
  <c r="AX66" i="3"/>
  <c r="AW66" i="3"/>
  <c r="AV66" i="3"/>
  <c r="AU66" i="3"/>
  <c r="AR66" i="3"/>
  <c r="AP66" i="3"/>
  <c r="AM66" i="3"/>
  <c r="AL66" i="3"/>
  <c r="AN66" i="3" s="1"/>
  <c r="AI66" i="3"/>
  <c r="AH66" i="3"/>
  <c r="AG66" i="3"/>
  <c r="AA66" i="3"/>
  <c r="W66" i="3"/>
  <c r="V66" i="3"/>
  <c r="T66" i="3"/>
  <c r="R66" i="3"/>
  <c r="P66" i="3"/>
  <c r="J66" i="3"/>
  <c r="AZ66" i="3" s="1"/>
  <c r="BZ65" i="3"/>
  <c r="BW65" i="3"/>
  <c r="BV65" i="3"/>
  <c r="BU65" i="3"/>
  <c r="BQ65" i="3"/>
  <c r="BP65" i="3"/>
  <c r="BO65" i="3"/>
  <c r="BN65" i="3"/>
  <c r="BL65" i="3"/>
  <c r="BK65" i="3"/>
  <c r="BJ65" i="3"/>
  <c r="BR65" i="3" s="1"/>
  <c r="BS65" i="3" s="1"/>
  <c r="BT65" i="3" s="1"/>
  <c r="BI65" i="3"/>
  <c r="BH65" i="3"/>
  <c r="BG65" i="3"/>
  <c r="BF65" i="3"/>
  <c r="BE65" i="3"/>
  <c r="BD65" i="3"/>
  <c r="BC65" i="3"/>
  <c r="BB65" i="3"/>
  <c r="BA65" i="3"/>
  <c r="AY65" i="3"/>
  <c r="AX65" i="3"/>
  <c r="AW65" i="3"/>
  <c r="AV65" i="3"/>
  <c r="AU65" i="3"/>
  <c r="AR65" i="3"/>
  <c r="AP65" i="3"/>
  <c r="AM65" i="3"/>
  <c r="AL65" i="3"/>
  <c r="AI65" i="3"/>
  <c r="AH65" i="3"/>
  <c r="BM65" i="3" s="1"/>
  <c r="AG65" i="3"/>
  <c r="AA65" i="3"/>
  <c r="W65" i="3"/>
  <c r="V65" i="3"/>
  <c r="T65" i="3"/>
  <c r="R65" i="3"/>
  <c r="P65" i="3"/>
  <c r="J65" i="3"/>
  <c r="AZ65" i="3" s="1"/>
  <c r="BZ64" i="3"/>
  <c r="BW64" i="3"/>
  <c r="BV64" i="3"/>
  <c r="BU64" i="3"/>
  <c r="BQ64" i="3"/>
  <c r="BP64" i="3"/>
  <c r="BO64" i="3"/>
  <c r="BN64" i="3"/>
  <c r="BL64" i="3"/>
  <c r="BK64" i="3"/>
  <c r="BJ64" i="3"/>
  <c r="BR64" i="3" s="1"/>
  <c r="BS64" i="3" s="1"/>
  <c r="BT64" i="3" s="1"/>
  <c r="BI64" i="3"/>
  <c r="BH64" i="3"/>
  <c r="BG64" i="3"/>
  <c r="BF64" i="3"/>
  <c r="BE64" i="3"/>
  <c r="BD64" i="3"/>
  <c r="BC64" i="3"/>
  <c r="BB64" i="3"/>
  <c r="BA64" i="3"/>
  <c r="AY64" i="3"/>
  <c r="AX64" i="3"/>
  <c r="AW64" i="3"/>
  <c r="AV64" i="3"/>
  <c r="AU64" i="3"/>
  <c r="AR64" i="3"/>
  <c r="AP64" i="3"/>
  <c r="AN64" i="3"/>
  <c r="AM64" i="3"/>
  <c r="AL64" i="3"/>
  <c r="AI64" i="3"/>
  <c r="AH64" i="3"/>
  <c r="BM64" i="3" s="1"/>
  <c r="AG64" i="3"/>
  <c r="AA64" i="3"/>
  <c r="W64" i="3"/>
  <c r="V64" i="3"/>
  <c r="T64" i="3"/>
  <c r="R64" i="3"/>
  <c r="P64" i="3"/>
  <c r="J64" i="3"/>
  <c r="AZ64" i="3" s="1"/>
  <c r="BZ63" i="3"/>
  <c r="BV63" i="3"/>
  <c r="BU63" i="3"/>
  <c r="BW63" i="3" s="1"/>
  <c r="BQ63" i="3"/>
  <c r="BP63" i="3"/>
  <c r="BO63" i="3"/>
  <c r="BN63" i="3"/>
  <c r="BM63" i="3"/>
  <c r="BL63" i="3"/>
  <c r="BK63" i="3"/>
  <c r="BJ63" i="3"/>
  <c r="BR63" i="3" s="1"/>
  <c r="BI63" i="3"/>
  <c r="BH63" i="3"/>
  <c r="BG63" i="3"/>
  <c r="BF63" i="3"/>
  <c r="BE63" i="3"/>
  <c r="BD63" i="3"/>
  <c r="BC63" i="3"/>
  <c r="BB63" i="3"/>
  <c r="BA63" i="3"/>
  <c r="AY63" i="3"/>
  <c r="AX63" i="3"/>
  <c r="AW63" i="3"/>
  <c r="AV63" i="3"/>
  <c r="AU63" i="3"/>
  <c r="AR63" i="3"/>
  <c r="AP63" i="3"/>
  <c r="AN63" i="3"/>
  <c r="AM63" i="3"/>
  <c r="AL63" i="3"/>
  <c r="AI63" i="3"/>
  <c r="AH63" i="3"/>
  <c r="AG63" i="3" s="1"/>
  <c r="AA63" i="3"/>
  <c r="W63" i="3"/>
  <c r="V63" i="3"/>
  <c r="T63" i="3"/>
  <c r="R63" i="3"/>
  <c r="P63" i="3"/>
  <c r="J63" i="3"/>
  <c r="AZ63" i="3" s="1"/>
  <c r="BZ62" i="3"/>
  <c r="BV62" i="3"/>
  <c r="BU62" i="3"/>
  <c r="BW62" i="3" s="1"/>
  <c r="BQ62" i="3"/>
  <c r="BP62" i="3"/>
  <c r="BO62" i="3"/>
  <c r="BN62" i="3"/>
  <c r="BM62" i="3"/>
  <c r="BL62" i="3"/>
  <c r="BK62" i="3"/>
  <c r="BJ62" i="3"/>
  <c r="BR62" i="3" s="1"/>
  <c r="BI62" i="3"/>
  <c r="BH62" i="3"/>
  <c r="BG62" i="3"/>
  <c r="BF62" i="3"/>
  <c r="BE62" i="3"/>
  <c r="BD62" i="3"/>
  <c r="BC62" i="3"/>
  <c r="BB62" i="3"/>
  <c r="BA62" i="3"/>
  <c r="AY62" i="3"/>
  <c r="AX62" i="3"/>
  <c r="AW62" i="3"/>
  <c r="AV62" i="3"/>
  <c r="AU62" i="3"/>
  <c r="AR62" i="3"/>
  <c r="AP62" i="3"/>
  <c r="AM62" i="3"/>
  <c r="AL62" i="3"/>
  <c r="AN62" i="3" s="1"/>
  <c r="AI62" i="3"/>
  <c r="AH62" i="3"/>
  <c r="AG62" i="3"/>
  <c r="AA62" i="3"/>
  <c r="W62" i="3"/>
  <c r="V62" i="3"/>
  <c r="T62" i="3"/>
  <c r="R62" i="3"/>
  <c r="P62" i="3"/>
  <c r="J62" i="3"/>
  <c r="AZ62" i="3" s="1"/>
  <c r="BZ61" i="3"/>
  <c r="BW61" i="3"/>
  <c r="BV61" i="3"/>
  <c r="BU61" i="3"/>
  <c r="BQ61" i="3"/>
  <c r="BP61" i="3"/>
  <c r="BO61" i="3"/>
  <c r="BN61" i="3"/>
  <c r="BL61" i="3"/>
  <c r="BK61" i="3"/>
  <c r="BJ61" i="3"/>
  <c r="BR61" i="3" s="1"/>
  <c r="BS61" i="3" s="1"/>
  <c r="BT61" i="3" s="1"/>
  <c r="BI61" i="3"/>
  <c r="BH61" i="3"/>
  <c r="BG61" i="3"/>
  <c r="BF61" i="3"/>
  <c r="BE61" i="3"/>
  <c r="BD61" i="3"/>
  <c r="BC61" i="3"/>
  <c r="BB61" i="3"/>
  <c r="BA61" i="3"/>
  <c r="AY61" i="3"/>
  <c r="AX61" i="3"/>
  <c r="AW61" i="3"/>
  <c r="AV61" i="3"/>
  <c r="AU61" i="3"/>
  <c r="AR61" i="3"/>
  <c r="AP61" i="3"/>
  <c r="AM61" i="3"/>
  <c r="AL61" i="3"/>
  <c r="AN61" i="3" s="1"/>
  <c r="AI61" i="3"/>
  <c r="AH61" i="3"/>
  <c r="BM61" i="3" s="1"/>
  <c r="AG61" i="3"/>
  <c r="AA61" i="3"/>
  <c r="W61" i="3"/>
  <c r="V61" i="3"/>
  <c r="T61" i="3"/>
  <c r="R61" i="3"/>
  <c r="P61" i="3"/>
  <c r="J61" i="3"/>
  <c r="AZ61" i="3" s="1"/>
  <c r="BZ60" i="3"/>
  <c r="BW60" i="3"/>
  <c r="BV60" i="3"/>
  <c r="BU60" i="3"/>
  <c r="BQ60" i="3"/>
  <c r="BP60" i="3"/>
  <c r="BO60" i="3"/>
  <c r="BN60" i="3"/>
  <c r="BL60" i="3"/>
  <c r="BK60" i="3"/>
  <c r="BJ60" i="3"/>
  <c r="BR60" i="3" s="1"/>
  <c r="BS60" i="3" s="1"/>
  <c r="BT60" i="3" s="1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R60" i="3"/>
  <c r="AP60" i="3"/>
  <c r="AN60" i="3"/>
  <c r="AM60" i="3"/>
  <c r="AL60" i="3"/>
  <c r="AH60" i="3"/>
  <c r="AG60" i="3"/>
  <c r="AA60" i="3"/>
  <c r="W60" i="3"/>
  <c r="V60" i="3"/>
  <c r="T60" i="3"/>
  <c r="R60" i="3"/>
  <c r="P60" i="3"/>
  <c r="J60" i="3"/>
  <c r="BZ59" i="3"/>
  <c r="BV59" i="3"/>
  <c r="BU59" i="3"/>
  <c r="BW59" i="3" s="1"/>
  <c r="BQ59" i="3"/>
  <c r="BP59" i="3"/>
  <c r="BO59" i="3"/>
  <c r="BN59" i="3"/>
  <c r="BM59" i="3"/>
  <c r="BL59" i="3"/>
  <c r="BK59" i="3"/>
  <c r="BJ59" i="3"/>
  <c r="BR59" i="3" s="1"/>
  <c r="BI59" i="3"/>
  <c r="BH59" i="3"/>
  <c r="BG59" i="3"/>
  <c r="BF59" i="3"/>
  <c r="BE59" i="3"/>
  <c r="BD59" i="3"/>
  <c r="BC59" i="3"/>
  <c r="BB59" i="3"/>
  <c r="BA59" i="3"/>
  <c r="AY59" i="3"/>
  <c r="AX59" i="3"/>
  <c r="AW59" i="3"/>
  <c r="AV59" i="3"/>
  <c r="AU59" i="3"/>
  <c r="AR59" i="3"/>
  <c r="AP59" i="3"/>
  <c r="AN59" i="3"/>
  <c r="AM59" i="3"/>
  <c r="AL59" i="3"/>
  <c r="AI59" i="3"/>
  <c r="AH59" i="3"/>
  <c r="AG59" i="3"/>
  <c r="AA59" i="3"/>
  <c r="W59" i="3"/>
  <c r="V59" i="3"/>
  <c r="T59" i="3"/>
  <c r="R59" i="3"/>
  <c r="P59" i="3"/>
  <c r="J59" i="3"/>
  <c r="AZ59" i="3" s="1"/>
  <c r="BZ58" i="3"/>
  <c r="BV58" i="3"/>
  <c r="BU58" i="3"/>
  <c r="BQ58" i="3"/>
  <c r="BP58" i="3"/>
  <c r="BO58" i="3"/>
  <c r="BN58" i="3"/>
  <c r="BM58" i="3"/>
  <c r="BL58" i="3"/>
  <c r="BK58" i="3"/>
  <c r="BJ58" i="3"/>
  <c r="BR58" i="3" s="1"/>
  <c r="BI58" i="3"/>
  <c r="BH58" i="3"/>
  <c r="BG58" i="3"/>
  <c r="BF58" i="3"/>
  <c r="BE58" i="3"/>
  <c r="BD58" i="3"/>
  <c r="BC58" i="3"/>
  <c r="BB58" i="3"/>
  <c r="BA58" i="3"/>
  <c r="AY58" i="3"/>
  <c r="AX58" i="3"/>
  <c r="AW58" i="3"/>
  <c r="AV58" i="3"/>
  <c r="AU58" i="3"/>
  <c r="AR58" i="3"/>
  <c r="AP58" i="3"/>
  <c r="AM58" i="3"/>
  <c r="AL58" i="3"/>
  <c r="AN58" i="3" s="1"/>
  <c r="AI58" i="3"/>
  <c r="AH58" i="3"/>
  <c r="AG58" i="3"/>
  <c r="AA58" i="3"/>
  <c r="W58" i="3"/>
  <c r="V58" i="3"/>
  <c r="T58" i="3"/>
  <c r="R58" i="3"/>
  <c r="P58" i="3"/>
  <c r="J58" i="3"/>
  <c r="AZ58" i="3" s="1"/>
  <c r="BZ57" i="3"/>
  <c r="BW57" i="3"/>
  <c r="BV57" i="3"/>
  <c r="BU57" i="3"/>
  <c r="BS57" i="3"/>
  <c r="BT57" i="3" s="1"/>
  <c r="BQ57" i="3"/>
  <c r="BP57" i="3"/>
  <c r="BO57" i="3"/>
  <c r="BN57" i="3"/>
  <c r="BL57" i="3"/>
  <c r="BK57" i="3"/>
  <c r="BJ57" i="3"/>
  <c r="BR57" i="3" s="1"/>
  <c r="BI57" i="3"/>
  <c r="BH57" i="3"/>
  <c r="BG57" i="3"/>
  <c r="BF57" i="3"/>
  <c r="BE57" i="3"/>
  <c r="BD57" i="3"/>
  <c r="BC57" i="3"/>
  <c r="BB57" i="3"/>
  <c r="BA57" i="3"/>
  <c r="AY57" i="3"/>
  <c r="AX57" i="3"/>
  <c r="AW57" i="3"/>
  <c r="AV57" i="3"/>
  <c r="AU57" i="3"/>
  <c r="AR57" i="3"/>
  <c r="AP57" i="3"/>
  <c r="AM57" i="3"/>
  <c r="AL57" i="3"/>
  <c r="AN57" i="3" s="1"/>
  <c r="AI57" i="3"/>
  <c r="AH57" i="3"/>
  <c r="BM57" i="3" s="1"/>
  <c r="AG57" i="3"/>
  <c r="AA57" i="3"/>
  <c r="W57" i="3"/>
  <c r="V57" i="3"/>
  <c r="T57" i="3"/>
  <c r="R57" i="3"/>
  <c r="P57" i="3"/>
  <c r="J57" i="3"/>
  <c r="AZ57" i="3" s="1"/>
  <c r="BZ56" i="3"/>
  <c r="BW56" i="3"/>
  <c r="BV56" i="3"/>
  <c r="BU56" i="3"/>
  <c r="BT56" i="3"/>
  <c r="BQ56" i="3"/>
  <c r="BP56" i="3"/>
  <c r="BO56" i="3"/>
  <c r="BN56" i="3"/>
  <c r="BL56" i="3"/>
  <c r="BK56" i="3"/>
  <c r="BJ56" i="3"/>
  <c r="BR56" i="3" s="1"/>
  <c r="BS56" i="3" s="1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R56" i="3"/>
  <c r="AP56" i="3"/>
  <c r="AN56" i="3"/>
  <c r="AM56" i="3"/>
  <c r="AL56" i="3"/>
  <c r="AI56" i="3"/>
  <c r="AH56" i="3"/>
  <c r="AA56" i="3"/>
  <c r="W56" i="3"/>
  <c r="V56" i="3"/>
  <c r="T56" i="3"/>
  <c r="R56" i="3"/>
  <c r="P56" i="3"/>
  <c r="J56" i="3"/>
  <c r="BZ55" i="3"/>
  <c r="BV55" i="3"/>
  <c r="BU55" i="3"/>
  <c r="BW55" i="3" s="1"/>
  <c r="BQ55" i="3"/>
  <c r="BS55" i="3" s="1"/>
  <c r="BT55" i="3" s="1"/>
  <c r="BP55" i="3"/>
  <c r="BO55" i="3"/>
  <c r="BN55" i="3"/>
  <c r="BM55" i="3"/>
  <c r="BL55" i="3"/>
  <c r="BK55" i="3"/>
  <c r="BJ55" i="3"/>
  <c r="BR55" i="3" s="1"/>
  <c r="BI55" i="3"/>
  <c r="BH55" i="3"/>
  <c r="BG55" i="3"/>
  <c r="BF55" i="3"/>
  <c r="BE55" i="3"/>
  <c r="BD55" i="3"/>
  <c r="BC55" i="3"/>
  <c r="BB55" i="3"/>
  <c r="BA55" i="3"/>
  <c r="AY55" i="3"/>
  <c r="AX55" i="3"/>
  <c r="AW55" i="3"/>
  <c r="AV55" i="3"/>
  <c r="AU55" i="3"/>
  <c r="AR55" i="3"/>
  <c r="AP55" i="3"/>
  <c r="AN55" i="3"/>
  <c r="AM55" i="3"/>
  <c r="AL55" i="3"/>
  <c r="AI55" i="3"/>
  <c r="AH55" i="3"/>
  <c r="AG55" i="3"/>
  <c r="AA55" i="3"/>
  <c r="W55" i="3"/>
  <c r="V55" i="3"/>
  <c r="T55" i="3"/>
  <c r="R55" i="3"/>
  <c r="P55" i="3"/>
  <c r="J55" i="3"/>
  <c r="AZ55" i="3" s="1"/>
  <c r="BZ54" i="3"/>
  <c r="BV54" i="3"/>
  <c r="BU54" i="3"/>
  <c r="BQ54" i="3"/>
  <c r="BP54" i="3"/>
  <c r="BO54" i="3"/>
  <c r="BN54" i="3"/>
  <c r="BM54" i="3"/>
  <c r="BL54" i="3"/>
  <c r="BK54" i="3"/>
  <c r="BJ54" i="3"/>
  <c r="BR54" i="3" s="1"/>
  <c r="BI54" i="3"/>
  <c r="BH54" i="3"/>
  <c r="BG54" i="3"/>
  <c r="BF54" i="3"/>
  <c r="BE54" i="3"/>
  <c r="BD54" i="3"/>
  <c r="BC54" i="3"/>
  <c r="BB54" i="3"/>
  <c r="BA54" i="3"/>
  <c r="AY54" i="3"/>
  <c r="AX54" i="3"/>
  <c r="AW54" i="3"/>
  <c r="AV54" i="3"/>
  <c r="AU54" i="3"/>
  <c r="AR54" i="3"/>
  <c r="AP54" i="3"/>
  <c r="AM54" i="3"/>
  <c r="AL54" i="3"/>
  <c r="AN54" i="3" s="1"/>
  <c r="AI54" i="3"/>
  <c r="AH54" i="3"/>
  <c r="AG54" i="3"/>
  <c r="AA54" i="3"/>
  <c r="W54" i="3"/>
  <c r="V54" i="3"/>
  <c r="T54" i="3"/>
  <c r="R54" i="3"/>
  <c r="P54" i="3"/>
  <c r="J54" i="3"/>
  <c r="AZ54" i="3" s="1"/>
  <c r="BZ53" i="3"/>
  <c r="BW53" i="3"/>
  <c r="BV53" i="3"/>
  <c r="BU53" i="3"/>
  <c r="BS53" i="3"/>
  <c r="BT53" i="3" s="1"/>
  <c r="BQ53" i="3"/>
  <c r="BP53" i="3"/>
  <c r="BO53" i="3"/>
  <c r="BN53" i="3"/>
  <c r="BL53" i="3"/>
  <c r="BK53" i="3"/>
  <c r="BJ53" i="3"/>
  <c r="BR53" i="3" s="1"/>
  <c r="BI53" i="3"/>
  <c r="BH53" i="3"/>
  <c r="BG53" i="3"/>
  <c r="BF53" i="3"/>
  <c r="BE53" i="3"/>
  <c r="BD53" i="3"/>
  <c r="BC53" i="3"/>
  <c r="BB53" i="3"/>
  <c r="BA53" i="3"/>
  <c r="AY53" i="3"/>
  <c r="AX53" i="3"/>
  <c r="AW53" i="3"/>
  <c r="AV53" i="3"/>
  <c r="AU53" i="3"/>
  <c r="AR53" i="3"/>
  <c r="AP53" i="3"/>
  <c r="AM53" i="3"/>
  <c r="AL53" i="3"/>
  <c r="AH53" i="3"/>
  <c r="BM53" i="3" s="1"/>
  <c r="AG53" i="3"/>
  <c r="AA53" i="3"/>
  <c r="W53" i="3"/>
  <c r="V53" i="3"/>
  <c r="T53" i="3"/>
  <c r="R53" i="3"/>
  <c r="P53" i="3"/>
  <c r="J53" i="3"/>
  <c r="AZ53" i="3" s="1"/>
  <c r="BZ52" i="3"/>
  <c r="BW52" i="3"/>
  <c r="BV52" i="3"/>
  <c r="BU52" i="3"/>
  <c r="BT52" i="3"/>
  <c r="BQ52" i="3"/>
  <c r="BP52" i="3"/>
  <c r="BO52" i="3"/>
  <c r="BN52" i="3"/>
  <c r="BL52" i="3"/>
  <c r="BK52" i="3"/>
  <c r="BJ52" i="3"/>
  <c r="BR52" i="3" s="1"/>
  <c r="BS52" i="3" s="1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R52" i="3"/>
  <c r="AP52" i="3"/>
  <c r="AN52" i="3"/>
  <c r="AM52" i="3"/>
  <c r="AL52" i="3"/>
  <c r="AH52" i="3"/>
  <c r="AA52" i="3"/>
  <c r="W52" i="3"/>
  <c r="V52" i="3"/>
  <c r="T52" i="3"/>
  <c r="R52" i="3"/>
  <c r="P52" i="3"/>
  <c r="J52" i="3"/>
  <c r="BZ51" i="3"/>
  <c r="BV51" i="3"/>
  <c r="BU51" i="3"/>
  <c r="BW51" i="3" s="1"/>
  <c r="BQ51" i="3"/>
  <c r="BP51" i="3"/>
  <c r="BO51" i="3"/>
  <c r="BN51" i="3"/>
  <c r="BM51" i="3"/>
  <c r="BL51" i="3"/>
  <c r="BK51" i="3"/>
  <c r="BJ51" i="3"/>
  <c r="BR51" i="3" s="1"/>
  <c r="BI51" i="3"/>
  <c r="BH51" i="3"/>
  <c r="BG51" i="3"/>
  <c r="BF51" i="3"/>
  <c r="BE51" i="3"/>
  <c r="BD51" i="3"/>
  <c r="BC51" i="3"/>
  <c r="BB51" i="3"/>
  <c r="BA51" i="3"/>
  <c r="AY51" i="3"/>
  <c r="AX51" i="3"/>
  <c r="AW51" i="3"/>
  <c r="AV51" i="3"/>
  <c r="AU51" i="3"/>
  <c r="AR51" i="3"/>
  <c r="AP51" i="3"/>
  <c r="AN51" i="3"/>
  <c r="AM51" i="3"/>
  <c r="AL51" i="3"/>
  <c r="AI51" i="3"/>
  <c r="AH51" i="3"/>
  <c r="AG51" i="3" s="1"/>
  <c r="AA51" i="3"/>
  <c r="W51" i="3"/>
  <c r="V51" i="3"/>
  <c r="T51" i="3"/>
  <c r="R51" i="3"/>
  <c r="P51" i="3"/>
  <c r="J51" i="3"/>
  <c r="AZ51" i="3" s="1"/>
  <c r="BZ50" i="3"/>
  <c r="BV50" i="3"/>
  <c r="BU50" i="3"/>
  <c r="BW50" i="3" s="1"/>
  <c r="BQ50" i="3"/>
  <c r="BP50" i="3"/>
  <c r="BO50" i="3"/>
  <c r="BN50" i="3"/>
  <c r="BM50" i="3"/>
  <c r="BL50" i="3"/>
  <c r="BK50" i="3"/>
  <c r="BJ50" i="3"/>
  <c r="BR50" i="3" s="1"/>
  <c r="BI50" i="3"/>
  <c r="BH50" i="3"/>
  <c r="BG50" i="3"/>
  <c r="BF50" i="3"/>
  <c r="BE50" i="3"/>
  <c r="BD50" i="3"/>
  <c r="BC50" i="3"/>
  <c r="BB50" i="3"/>
  <c r="BA50" i="3"/>
  <c r="AY50" i="3"/>
  <c r="AX50" i="3"/>
  <c r="AW50" i="3"/>
  <c r="AV50" i="3"/>
  <c r="AU50" i="3"/>
  <c r="AR50" i="3"/>
  <c r="AP50" i="3"/>
  <c r="AM50" i="3"/>
  <c r="AL50" i="3"/>
  <c r="AN50" i="3" s="1"/>
  <c r="AI50" i="3"/>
  <c r="AH50" i="3"/>
  <c r="AG50" i="3"/>
  <c r="AA50" i="3"/>
  <c r="W50" i="3"/>
  <c r="V50" i="3"/>
  <c r="T50" i="3"/>
  <c r="R50" i="3"/>
  <c r="P50" i="3"/>
  <c r="J50" i="3"/>
  <c r="AZ50" i="3" s="1"/>
  <c r="BZ49" i="3"/>
  <c r="BV49" i="3"/>
  <c r="BW49" i="3" s="1"/>
  <c r="BU49" i="3"/>
  <c r="BR49" i="3"/>
  <c r="BS49" i="3" s="1"/>
  <c r="BT49" i="3" s="1"/>
  <c r="BQ49" i="3"/>
  <c r="BP49" i="3"/>
  <c r="BO49" i="3"/>
  <c r="BN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Y49" i="3"/>
  <c r="AX49" i="3"/>
  <c r="AW49" i="3"/>
  <c r="AV49" i="3"/>
  <c r="AU49" i="3"/>
  <c r="AR49" i="3"/>
  <c r="AP49" i="3"/>
  <c r="AM49" i="3"/>
  <c r="AL49" i="3"/>
  <c r="AN49" i="3" s="1"/>
  <c r="AH49" i="3"/>
  <c r="BM49" i="3" s="1"/>
  <c r="AG49" i="3"/>
  <c r="AA49" i="3"/>
  <c r="W49" i="3"/>
  <c r="V49" i="3"/>
  <c r="T49" i="3"/>
  <c r="R49" i="3"/>
  <c r="P49" i="3"/>
  <c r="J49" i="3"/>
  <c r="AZ49" i="3" s="1"/>
  <c r="BZ48" i="3"/>
  <c r="BW48" i="3"/>
  <c r="BV48" i="3"/>
  <c r="BU48" i="3"/>
  <c r="BS48" i="3"/>
  <c r="BT48" i="3" s="1"/>
  <c r="BQ48" i="3"/>
  <c r="BP48" i="3"/>
  <c r="BO48" i="3"/>
  <c r="BN48" i="3"/>
  <c r="BL48" i="3"/>
  <c r="BK48" i="3"/>
  <c r="BJ48" i="3"/>
  <c r="BR48" i="3" s="1"/>
  <c r="BI48" i="3"/>
  <c r="BH48" i="3"/>
  <c r="BG48" i="3"/>
  <c r="BF48" i="3"/>
  <c r="BE48" i="3"/>
  <c r="BD48" i="3"/>
  <c r="BC48" i="3"/>
  <c r="BB48" i="3"/>
  <c r="BA48" i="3"/>
  <c r="AY48" i="3"/>
  <c r="AX48" i="3"/>
  <c r="AW48" i="3"/>
  <c r="AV48" i="3"/>
  <c r="AU48" i="3"/>
  <c r="AR48" i="3"/>
  <c r="AP48" i="3"/>
  <c r="AN48" i="3"/>
  <c r="AM48" i="3"/>
  <c r="AL48" i="3"/>
  <c r="AI48" i="3"/>
  <c r="AH48" i="3"/>
  <c r="BM48" i="3" s="1"/>
  <c r="AG48" i="3"/>
  <c r="AA48" i="3"/>
  <c r="W48" i="3"/>
  <c r="V48" i="3"/>
  <c r="T48" i="3"/>
  <c r="R48" i="3"/>
  <c r="P48" i="3"/>
  <c r="J48" i="3"/>
  <c r="AZ48" i="3" s="1"/>
  <c r="BZ47" i="3"/>
  <c r="BV47" i="3"/>
  <c r="BU47" i="3"/>
  <c r="BW47" i="3" s="1"/>
  <c r="BQ47" i="3"/>
  <c r="BP47" i="3"/>
  <c r="BO47" i="3"/>
  <c r="BN47" i="3"/>
  <c r="BM47" i="3"/>
  <c r="BL47" i="3"/>
  <c r="BK47" i="3"/>
  <c r="BJ47" i="3"/>
  <c r="BR47" i="3" s="1"/>
  <c r="BI47" i="3"/>
  <c r="BH47" i="3"/>
  <c r="BG47" i="3"/>
  <c r="BF47" i="3"/>
  <c r="BE47" i="3"/>
  <c r="BD47" i="3"/>
  <c r="BC47" i="3"/>
  <c r="BB47" i="3"/>
  <c r="BA47" i="3"/>
  <c r="AY47" i="3"/>
  <c r="AX47" i="3"/>
  <c r="AW47" i="3"/>
  <c r="AV47" i="3"/>
  <c r="AU47" i="3"/>
  <c r="AR47" i="3"/>
  <c r="AP47" i="3"/>
  <c r="AN47" i="3"/>
  <c r="AM47" i="3"/>
  <c r="AL47" i="3"/>
  <c r="AI47" i="3"/>
  <c r="AH47" i="3"/>
  <c r="AG47" i="3" s="1"/>
  <c r="AA47" i="3"/>
  <c r="W47" i="3"/>
  <c r="V47" i="3"/>
  <c r="T47" i="3"/>
  <c r="R47" i="3"/>
  <c r="P47" i="3"/>
  <c r="J47" i="3"/>
  <c r="AZ47" i="3" s="1"/>
  <c r="BZ46" i="3"/>
  <c r="BV46" i="3"/>
  <c r="BU46" i="3"/>
  <c r="BW46" i="3" s="1"/>
  <c r="BQ46" i="3"/>
  <c r="BP46" i="3"/>
  <c r="BO46" i="3"/>
  <c r="BN46" i="3"/>
  <c r="BM46" i="3"/>
  <c r="BL46" i="3"/>
  <c r="BK46" i="3"/>
  <c r="BJ46" i="3"/>
  <c r="BR46" i="3" s="1"/>
  <c r="BI46" i="3"/>
  <c r="BH46" i="3"/>
  <c r="BG46" i="3"/>
  <c r="BF46" i="3"/>
  <c r="BE46" i="3"/>
  <c r="BD46" i="3"/>
  <c r="BC46" i="3"/>
  <c r="BB46" i="3"/>
  <c r="BA46" i="3"/>
  <c r="AY46" i="3"/>
  <c r="AX46" i="3"/>
  <c r="AW46" i="3"/>
  <c r="AV46" i="3"/>
  <c r="AU46" i="3"/>
  <c r="AR46" i="3"/>
  <c r="AP46" i="3"/>
  <c r="AM46" i="3"/>
  <c r="AL46" i="3"/>
  <c r="AN46" i="3" s="1"/>
  <c r="AI46" i="3"/>
  <c r="AH46" i="3"/>
  <c r="AG46" i="3"/>
  <c r="AA46" i="3"/>
  <c r="W46" i="3"/>
  <c r="V46" i="3"/>
  <c r="T46" i="3"/>
  <c r="R46" i="3"/>
  <c r="P46" i="3"/>
  <c r="J46" i="3"/>
  <c r="AZ46" i="3" s="1"/>
  <c r="BZ45" i="3"/>
  <c r="BV45" i="3"/>
  <c r="BW45" i="3" s="1"/>
  <c r="BU45" i="3"/>
  <c r="BR45" i="3"/>
  <c r="BS45" i="3" s="1"/>
  <c r="BT45" i="3" s="1"/>
  <c r="BQ45" i="3"/>
  <c r="BP45" i="3"/>
  <c r="BO45" i="3"/>
  <c r="BN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Y45" i="3"/>
  <c r="AX45" i="3"/>
  <c r="AW45" i="3"/>
  <c r="AV45" i="3"/>
  <c r="AU45" i="3"/>
  <c r="AR45" i="3"/>
  <c r="AP45" i="3"/>
  <c r="AM45" i="3"/>
  <c r="AL45" i="3"/>
  <c r="AN45" i="3" s="1"/>
  <c r="AH45" i="3"/>
  <c r="BM45" i="3" s="1"/>
  <c r="AG45" i="3"/>
  <c r="AA45" i="3"/>
  <c r="W45" i="3"/>
  <c r="V45" i="3"/>
  <c r="T45" i="3"/>
  <c r="R45" i="3"/>
  <c r="P45" i="3"/>
  <c r="J45" i="3"/>
  <c r="AZ45" i="3" s="1"/>
  <c r="BZ44" i="3"/>
  <c r="BW44" i="3"/>
  <c r="BV44" i="3"/>
  <c r="BU44" i="3"/>
  <c r="BS44" i="3"/>
  <c r="BT44" i="3" s="1"/>
  <c r="BQ44" i="3"/>
  <c r="BP44" i="3"/>
  <c r="BO44" i="3"/>
  <c r="BN44" i="3"/>
  <c r="BL44" i="3"/>
  <c r="BK44" i="3"/>
  <c r="BJ44" i="3"/>
  <c r="BR44" i="3" s="1"/>
  <c r="BI44" i="3"/>
  <c r="BH44" i="3"/>
  <c r="BG44" i="3"/>
  <c r="BF44" i="3"/>
  <c r="BE44" i="3"/>
  <c r="BD44" i="3"/>
  <c r="BC44" i="3"/>
  <c r="BB44" i="3"/>
  <c r="BA44" i="3"/>
  <c r="AY44" i="3"/>
  <c r="AX44" i="3"/>
  <c r="AW44" i="3"/>
  <c r="AV44" i="3"/>
  <c r="AU44" i="3"/>
  <c r="AR44" i="3"/>
  <c r="AP44" i="3"/>
  <c r="AN44" i="3"/>
  <c r="AM44" i="3"/>
  <c r="AL44" i="3"/>
  <c r="AI44" i="3"/>
  <c r="AH44" i="3"/>
  <c r="BM44" i="3" s="1"/>
  <c r="AG44" i="3"/>
  <c r="AA44" i="3"/>
  <c r="W44" i="3"/>
  <c r="V44" i="3"/>
  <c r="T44" i="3"/>
  <c r="R44" i="3"/>
  <c r="P44" i="3"/>
  <c r="J44" i="3"/>
  <c r="AZ44" i="3" s="1"/>
  <c r="BZ43" i="3"/>
  <c r="BV43" i="3"/>
  <c r="BU43" i="3"/>
  <c r="BW43" i="3" s="1"/>
  <c r="BQ43" i="3"/>
  <c r="BP43" i="3"/>
  <c r="BO43" i="3"/>
  <c r="BN43" i="3"/>
  <c r="BM43" i="3"/>
  <c r="BL43" i="3"/>
  <c r="BK43" i="3"/>
  <c r="BJ43" i="3"/>
  <c r="BR43" i="3" s="1"/>
  <c r="BI43" i="3"/>
  <c r="BH43" i="3"/>
  <c r="BG43" i="3"/>
  <c r="BF43" i="3"/>
  <c r="BE43" i="3"/>
  <c r="BD43" i="3"/>
  <c r="BC43" i="3"/>
  <c r="BB43" i="3"/>
  <c r="BA43" i="3"/>
  <c r="AY43" i="3"/>
  <c r="AX43" i="3"/>
  <c r="AW43" i="3"/>
  <c r="AV43" i="3"/>
  <c r="AU43" i="3"/>
  <c r="AR43" i="3"/>
  <c r="AP43" i="3"/>
  <c r="AN43" i="3"/>
  <c r="AM43" i="3"/>
  <c r="AL43" i="3"/>
  <c r="AI43" i="3"/>
  <c r="AH43" i="3"/>
  <c r="AG43" i="3" s="1"/>
  <c r="AA43" i="3"/>
  <c r="W43" i="3"/>
  <c r="V43" i="3"/>
  <c r="T43" i="3"/>
  <c r="R43" i="3"/>
  <c r="P43" i="3"/>
  <c r="J43" i="3"/>
  <c r="AZ43" i="3" s="1"/>
  <c r="BZ42" i="3"/>
  <c r="BV42" i="3"/>
  <c r="BU42" i="3"/>
  <c r="BW42" i="3" s="1"/>
  <c r="BQ42" i="3"/>
  <c r="BP42" i="3"/>
  <c r="BO42" i="3"/>
  <c r="BN42" i="3"/>
  <c r="BM42" i="3"/>
  <c r="BL42" i="3"/>
  <c r="BK42" i="3"/>
  <c r="BJ42" i="3"/>
  <c r="BR42" i="3" s="1"/>
  <c r="BI42" i="3"/>
  <c r="BH42" i="3"/>
  <c r="BG42" i="3"/>
  <c r="BF42" i="3"/>
  <c r="BE42" i="3"/>
  <c r="BD42" i="3"/>
  <c r="BC42" i="3"/>
  <c r="BB42" i="3"/>
  <c r="BA42" i="3"/>
  <c r="AY42" i="3"/>
  <c r="AX42" i="3"/>
  <c r="AW42" i="3"/>
  <c r="AV42" i="3"/>
  <c r="AU42" i="3"/>
  <c r="AR42" i="3"/>
  <c r="AP42" i="3"/>
  <c r="AM42" i="3"/>
  <c r="AL42" i="3"/>
  <c r="AN42" i="3" s="1"/>
  <c r="AI42" i="3"/>
  <c r="AH42" i="3"/>
  <c r="AG42" i="3"/>
  <c r="AA42" i="3"/>
  <c r="W42" i="3"/>
  <c r="V42" i="3"/>
  <c r="T42" i="3"/>
  <c r="R42" i="3"/>
  <c r="P42" i="3"/>
  <c r="J42" i="3"/>
  <c r="AZ42" i="3" s="1"/>
  <c r="BZ41" i="3"/>
  <c r="BV41" i="3"/>
  <c r="BW41" i="3" s="1"/>
  <c r="BU41" i="3"/>
  <c r="BR41" i="3"/>
  <c r="BS41" i="3" s="1"/>
  <c r="BT41" i="3" s="1"/>
  <c r="BQ41" i="3"/>
  <c r="BP41" i="3"/>
  <c r="BO41" i="3"/>
  <c r="BN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Y41" i="3"/>
  <c r="AX41" i="3"/>
  <c r="AW41" i="3"/>
  <c r="AV41" i="3"/>
  <c r="AU41" i="3"/>
  <c r="AR41" i="3"/>
  <c r="AP41" i="3"/>
  <c r="AM41" i="3"/>
  <c r="AL41" i="3"/>
  <c r="AN41" i="3" s="1"/>
  <c r="AH41" i="3"/>
  <c r="BM41" i="3" s="1"/>
  <c r="AG41" i="3"/>
  <c r="AA41" i="3"/>
  <c r="W41" i="3"/>
  <c r="V41" i="3"/>
  <c r="T41" i="3"/>
  <c r="R41" i="3"/>
  <c r="P41" i="3"/>
  <c r="J41" i="3"/>
  <c r="AZ41" i="3" s="1"/>
  <c r="BZ40" i="3"/>
  <c r="BW40" i="3"/>
  <c r="BV40" i="3"/>
  <c r="BU40" i="3"/>
  <c r="BS40" i="3"/>
  <c r="BT40" i="3" s="1"/>
  <c r="BQ40" i="3"/>
  <c r="BP40" i="3"/>
  <c r="BO40" i="3"/>
  <c r="BN40" i="3"/>
  <c r="BL40" i="3"/>
  <c r="BK40" i="3"/>
  <c r="BJ40" i="3"/>
  <c r="BR40" i="3" s="1"/>
  <c r="BI40" i="3"/>
  <c r="BH40" i="3"/>
  <c r="BG40" i="3"/>
  <c r="BF40" i="3"/>
  <c r="BE40" i="3"/>
  <c r="BD40" i="3"/>
  <c r="BC40" i="3"/>
  <c r="BB40" i="3"/>
  <c r="BA40" i="3"/>
  <c r="AY40" i="3"/>
  <c r="AX40" i="3"/>
  <c r="AW40" i="3"/>
  <c r="AV40" i="3"/>
  <c r="AU40" i="3"/>
  <c r="AR40" i="3"/>
  <c r="AP40" i="3"/>
  <c r="AN40" i="3"/>
  <c r="AM40" i="3"/>
  <c r="AL40" i="3"/>
  <c r="AI40" i="3"/>
  <c r="AH40" i="3"/>
  <c r="BM40" i="3" s="1"/>
  <c r="AA40" i="3"/>
  <c r="W40" i="3"/>
  <c r="V40" i="3"/>
  <c r="T40" i="3"/>
  <c r="R40" i="3"/>
  <c r="P40" i="3"/>
  <c r="J40" i="3"/>
  <c r="AZ40" i="3" s="1"/>
  <c r="BZ39" i="3"/>
  <c r="BV39" i="3"/>
  <c r="BU39" i="3"/>
  <c r="BW39" i="3" s="1"/>
  <c r="BQ39" i="3"/>
  <c r="BP39" i="3"/>
  <c r="BO39" i="3"/>
  <c r="BN39" i="3"/>
  <c r="BM39" i="3"/>
  <c r="BL39" i="3"/>
  <c r="BK39" i="3"/>
  <c r="BJ39" i="3"/>
  <c r="BR39" i="3" s="1"/>
  <c r="BI39" i="3"/>
  <c r="BH39" i="3"/>
  <c r="BG39" i="3"/>
  <c r="BF39" i="3"/>
  <c r="BE39" i="3"/>
  <c r="BD39" i="3"/>
  <c r="BC39" i="3"/>
  <c r="BB39" i="3"/>
  <c r="BA39" i="3"/>
  <c r="AY39" i="3"/>
  <c r="AX39" i="3"/>
  <c r="AW39" i="3"/>
  <c r="AV39" i="3"/>
  <c r="AU39" i="3"/>
  <c r="AR39" i="3"/>
  <c r="AP39" i="3"/>
  <c r="AN39" i="3"/>
  <c r="AM39" i="3"/>
  <c r="AL39" i="3"/>
  <c r="AI39" i="3"/>
  <c r="AH39" i="3"/>
  <c r="AG39" i="3" s="1"/>
  <c r="AA39" i="3"/>
  <c r="W39" i="3"/>
  <c r="V39" i="3"/>
  <c r="T39" i="3"/>
  <c r="R39" i="3"/>
  <c r="P39" i="3"/>
  <c r="J39" i="3"/>
  <c r="AZ39" i="3" s="1"/>
  <c r="BZ38" i="3"/>
  <c r="BV38" i="3"/>
  <c r="BU38" i="3"/>
  <c r="BW38" i="3" s="1"/>
  <c r="BQ38" i="3"/>
  <c r="BP38" i="3"/>
  <c r="BO38" i="3"/>
  <c r="BN38" i="3"/>
  <c r="BM38" i="3"/>
  <c r="BL38" i="3"/>
  <c r="BK38" i="3"/>
  <c r="BJ38" i="3"/>
  <c r="BR38" i="3" s="1"/>
  <c r="BI38" i="3"/>
  <c r="BH38" i="3"/>
  <c r="BG38" i="3"/>
  <c r="BF38" i="3"/>
  <c r="BE38" i="3"/>
  <c r="BD38" i="3"/>
  <c r="BC38" i="3"/>
  <c r="BB38" i="3"/>
  <c r="BA38" i="3"/>
  <c r="AY38" i="3"/>
  <c r="AX38" i="3"/>
  <c r="AW38" i="3"/>
  <c r="AV38" i="3"/>
  <c r="AU38" i="3"/>
  <c r="AR38" i="3"/>
  <c r="AP38" i="3"/>
  <c r="AM38" i="3"/>
  <c r="AL38" i="3"/>
  <c r="AN38" i="3" s="1"/>
  <c r="AI38" i="3"/>
  <c r="AH38" i="3"/>
  <c r="AG38" i="3"/>
  <c r="AA38" i="3"/>
  <c r="W38" i="3"/>
  <c r="V38" i="3"/>
  <c r="T38" i="3"/>
  <c r="R38" i="3"/>
  <c r="P38" i="3"/>
  <c r="J38" i="3"/>
  <c r="AZ38" i="3" s="1"/>
  <c r="BZ37" i="3"/>
  <c r="BV37" i="3"/>
  <c r="BW37" i="3" s="1"/>
  <c r="BU37" i="3"/>
  <c r="BR37" i="3"/>
  <c r="BS37" i="3" s="1"/>
  <c r="BT37" i="3" s="1"/>
  <c r="BQ37" i="3"/>
  <c r="BP37" i="3"/>
  <c r="BO37" i="3"/>
  <c r="BN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Y37" i="3"/>
  <c r="AX37" i="3"/>
  <c r="AW37" i="3"/>
  <c r="AV37" i="3"/>
  <c r="AU37" i="3"/>
  <c r="AR37" i="3"/>
  <c r="AP37" i="3"/>
  <c r="AM37" i="3"/>
  <c r="AL37" i="3"/>
  <c r="AN37" i="3" s="1"/>
  <c r="AH37" i="3"/>
  <c r="BM37" i="3" s="1"/>
  <c r="AG37" i="3"/>
  <c r="AA37" i="3"/>
  <c r="W37" i="3"/>
  <c r="V37" i="3"/>
  <c r="T37" i="3"/>
  <c r="R37" i="3"/>
  <c r="P37" i="3"/>
  <c r="J37" i="3"/>
  <c r="AZ37" i="3" s="1"/>
  <c r="BZ36" i="3"/>
  <c r="BW36" i="3"/>
  <c r="BV36" i="3"/>
  <c r="BU36" i="3"/>
  <c r="BQ36" i="3"/>
  <c r="BS36" i="3" s="1"/>
  <c r="BT36" i="3" s="1"/>
  <c r="BP36" i="3"/>
  <c r="BO36" i="3"/>
  <c r="BN36" i="3"/>
  <c r="BM36" i="3"/>
  <c r="BL36" i="3"/>
  <c r="BK36" i="3"/>
  <c r="BJ36" i="3"/>
  <c r="BR36" i="3" s="1"/>
  <c r="BI36" i="3"/>
  <c r="BH36" i="3"/>
  <c r="BG36" i="3"/>
  <c r="BF36" i="3"/>
  <c r="BE36" i="3"/>
  <c r="BD36" i="3"/>
  <c r="BC36" i="3"/>
  <c r="BB36" i="3"/>
  <c r="BA36" i="3"/>
  <c r="AY36" i="3"/>
  <c r="AX36" i="3"/>
  <c r="AW36" i="3"/>
  <c r="AV36" i="3"/>
  <c r="AU36" i="3"/>
  <c r="AR36" i="3"/>
  <c r="AP36" i="3"/>
  <c r="AN36" i="3"/>
  <c r="AM36" i="3"/>
  <c r="AL36" i="3"/>
  <c r="AI36" i="3"/>
  <c r="AH36" i="3"/>
  <c r="AG36" i="3"/>
  <c r="AA36" i="3"/>
  <c r="W36" i="3"/>
  <c r="V36" i="3"/>
  <c r="T36" i="3"/>
  <c r="R36" i="3"/>
  <c r="P36" i="3"/>
  <c r="J36" i="3"/>
  <c r="AZ36" i="3" s="1"/>
  <c r="BZ35" i="3"/>
  <c r="BV35" i="3"/>
  <c r="BU35" i="3"/>
  <c r="BW35" i="3" s="1"/>
  <c r="BQ35" i="3"/>
  <c r="BP35" i="3"/>
  <c r="BO35" i="3"/>
  <c r="BN35" i="3"/>
  <c r="BL35" i="3"/>
  <c r="BK35" i="3"/>
  <c r="BJ35" i="3"/>
  <c r="BR35" i="3" s="1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R35" i="3"/>
  <c r="AP35" i="3"/>
  <c r="AN35" i="3"/>
  <c r="AM35" i="3"/>
  <c r="AL35" i="3"/>
  <c r="AH35" i="3"/>
  <c r="AG35" i="3" s="1"/>
  <c r="AA35" i="3"/>
  <c r="W35" i="3"/>
  <c r="V35" i="3"/>
  <c r="T35" i="3"/>
  <c r="R35" i="3"/>
  <c r="P35" i="3"/>
  <c r="J35" i="3"/>
  <c r="BZ34" i="3"/>
  <c r="BV34" i="3"/>
  <c r="BU34" i="3"/>
  <c r="BW34" i="3" s="1"/>
  <c r="BQ34" i="3"/>
  <c r="BP34" i="3"/>
  <c r="BO34" i="3"/>
  <c r="BN34" i="3"/>
  <c r="BL34" i="3"/>
  <c r="BK34" i="3"/>
  <c r="BJ34" i="3"/>
  <c r="BR34" i="3" s="1"/>
  <c r="BS34" i="3" s="1"/>
  <c r="BT34" i="3" s="1"/>
  <c r="BI34" i="3"/>
  <c r="BH34" i="3"/>
  <c r="BG34" i="3"/>
  <c r="BF34" i="3"/>
  <c r="BE34" i="3"/>
  <c r="BD34" i="3"/>
  <c r="BC34" i="3"/>
  <c r="BB34" i="3"/>
  <c r="BA34" i="3"/>
  <c r="AY34" i="3"/>
  <c r="AX34" i="3"/>
  <c r="AW34" i="3"/>
  <c r="AV34" i="3"/>
  <c r="AU34" i="3"/>
  <c r="AR34" i="3"/>
  <c r="AP34" i="3"/>
  <c r="AM34" i="3"/>
  <c r="AL34" i="3"/>
  <c r="AN34" i="3" s="1"/>
  <c r="AI34" i="3"/>
  <c r="AH34" i="3"/>
  <c r="BM34" i="3" s="1"/>
  <c r="AG34" i="3"/>
  <c r="AA34" i="3"/>
  <c r="W34" i="3"/>
  <c r="V34" i="3"/>
  <c r="T34" i="3"/>
  <c r="R34" i="3"/>
  <c r="P34" i="3"/>
  <c r="J34" i="3"/>
  <c r="AZ34" i="3" s="1"/>
  <c r="BZ33" i="3"/>
  <c r="BW33" i="3"/>
  <c r="BV33" i="3"/>
  <c r="BU33" i="3"/>
  <c r="BQ33" i="3"/>
  <c r="BP33" i="3"/>
  <c r="BO33" i="3"/>
  <c r="BN33" i="3"/>
  <c r="BL33" i="3"/>
  <c r="BK33" i="3"/>
  <c r="BJ33" i="3"/>
  <c r="BR33" i="3" s="1"/>
  <c r="BS33" i="3" s="1"/>
  <c r="BT33" i="3" s="1"/>
  <c r="BI33" i="3"/>
  <c r="BH33" i="3"/>
  <c r="BG33" i="3"/>
  <c r="BF33" i="3"/>
  <c r="BE33" i="3"/>
  <c r="BD33" i="3"/>
  <c r="BC33" i="3"/>
  <c r="BB33" i="3"/>
  <c r="BA33" i="3"/>
  <c r="AY33" i="3"/>
  <c r="AX33" i="3"/>
  <c r="AW33" i="3"/>
  <c r="AV33" i="3"/>
  <c r="AU33" i="3"/>
  <c r="AR33" i="3"/>
  <c r="AP33" i="3"/>
  <c r="AM33" i="3"/>
  <c r="AN33" i="3" s="1"/>
  <c r="AL33" i="3"/>
  <c r="AH33" i="3"/>
  <c r="BM33" i="3" s="1"/>
  <c r="AG33" i="3"/>
  <c r="AA33" i="3"/>
  <c r="W33" i="3"/>
  <c r="V33" i="3"/>
  <c r="T33" i="3"/>
  <c r="R33" i="3"/>
  <c r="P33" i="3"/>
  <c r="J33" i="3"/>
  <c r="AZ33" i="3" s="1"/>
  <c r="BZ32" i="3"/>
  <c r="BV32" i="3"/>
  <c r="BU32" i="3"/>
  <c r="BW32" i="3" s="1"/>
  <c r="BQ32" i="3"/>
  <c r="BS32" i="3" s="1"/>
  <c r="BT32" i="3" s="1"/>
  <c r="BP32" i="3"/>
  <c r="BO32" i="3"/>
  <c r="BN32" i="3"/>
  <c r="BL32" i="3"/>
  <c r="BK32" i="3"/>
  <c r="BJ32" i="3"/>
  <c r="BR32" i="3" s="1"/>
  <c r="BI32" i="3"/>
  <c r="BH32" i="3"/>
  <c r="BG32" i="3"/>
  <c r="BF32" i="3"/>
  <c r="BE32" i="3"/>
  <c r="BD32" i="3"/>
  <c r="BC32" i="3"/>
  <c r="BB32" i="3"/>
  <c r="BA32" i="3"/>
  <c r="AY32" i="3"/>
  <c r="AX32" i="3"/>
  <c r="AW32" i="3"/>
  <c r="AV32" i="3"/>
  <c r="AU32" i="3"/>
  <c r="AR32" i="3"/>
  <c r="AP32" i="3"/>
  <c r="AN32" i="3"/>
  <c r="AM32" i="3"/>
  <c r="AL32" i="3"/>
  <c r="AH32" i="3"/>
  <c r="AG32" i="3" s="1"/>
  <c r="AA32" i="3"/>
  <c r="W32" i="3"/>
  <c r="V32" i="3"/>
  <c r="T32" i="3"/>
  <c r="R32" i="3"/>
  <c r="P32" i="3"/>
  <c r="J32" i="3"/>
  <c r="AZ32" i="3" s="1"/>
  <c r="BZ31" i="3"/>
  <c r="BV31" i="3"/>
  <c r="BU31" i="3"/>
  <c r="BW31" i="3" s="1"/>
  <c r="BQ31" i="3"/>
  <c r="BS31" i="3" s="1"/>
  <c r="BT31" i="3" s="1"/>
  <c r="BP31" i="3"/>
  <c r="BO31" i="3"/>
  <c r="BN31" i="3"/>
  <c r="BM31" i="3"/>
  <c r="BL31" i="3"/>
  <c r="BK31" i="3"/>
  <c r="BJ31" i="3"/>
  <c r="BR31" i="3" s="1"/>
  <c r="BI31" i="3"/>
  <c r="BH31" i="3"/>
  <c r="BG31" i="3"/>
  <c r="BF31" i="3"/>
  <c r="BE31" i="3"/>
  <c r="BD31" i="3"/>
  <c r="BC31" i="3"/>
  <c r="BB31" i="3"/>
  <c r="BA31" i="3"/>
  <c r="AY31" i="3"/>
  <c r="AX31" i="3"/>
  <c r="AW31" i="3"/>
  <c r="AV31" i="3"/>
  <c r="AU31" i="3"/>
  <c r="AR31" i="3"/>
  <c r="AP31" i="3"/>
  <c r="AM31" i="3"/>
  <c r="AL31" i="3"/>
  <c r="AN31" i="3" s="1"/>
  <c r="AI31" i="3"/>
  <c r="AH31" i="3"/>
  <c r="AG31" i="3"/>
  <c r="AA31" i="3"/>
  <c r="W31" i="3"/>
  <c r="V31" i="3"/>
  <c r="T31" i="3"/>
  <c r="R31" i="3"/>
  <c r="P31" i="3"/>
  <c r="J31" i="3"/>
  <c r="AZ31" i="3" s="1"/>
  <c r="BZ30" i="3"/>
  <c r="BV30" i="3"/>
  <c r="BW30" i="3" s="1"/>
  <c r="BU30" i="3"/>
  <c r="BQ30" i="3"/>
  <c r="BP30" i="3"/>
  <c r="BO30" i="3"/>
  <c r="BN30" i="3"/>
  <c r="BM30" i="3"/>
  <c r="BL30" i="3"/>
  <c r="BK30" i="3"/>
  <c r="BJ30" i="3"/>
  <c r="BR30" i="3" s="1"/>
  <c r="BS30" i="3" s="1"/>
  <c r="BT30" i="3" s="1"/>
  <c r="BI30" i="3"/>
  <c r="BH30" i="3"/>
  <c r="BG30" i="3"/>
  <c r="BF30" i="3"/>
  <c r="BE30" i="3"/>
  <c r="BD30" i="3"/>
  <c r="BC30" i="3"/>
  <c r="BB30" i="3"/>
  <c r="BA30" i="3"/>
  <c r="AY30" i="3"/>
  <c r="AX30" i="3"/>
  <c r="AW30" i="3"/>
  <c r="AV30" i="3"/>
  <c r="AU30" i="3"/>
  <c r="AR30" i="3"/>
  <c r="AP30" i="3"/>
  <c r="AM30" i="3"/>
  <c r="AL30" i="3"/>
  <c r="AN30" i="3" s="1"/>
  <c r="AI30" i="3"/>
  <c r="AH30" i="3"/>
  <c r="AG30" i="3"/>
  <c r="AA30" i="3"/>
  <c r="W30" i="3"/>
  <c r="V30" i="3"/>
  <c r="T30" i="3"/>
  <c r="R30" i="3"/>
  <c r="P30" i="3"/>
  <c r="J30" i="3"/>
  <c r="AZ30" i="3" s="1"/>
  <c r="BZ29" i="3"/>
  <c r="BW29" i="3"/>
  <c r="BV29" i="3"/>
  <c r="BU29" i="3"/>
  <c r="BQ29" i="3"/>
  <c r="BP29" i="3"/>
  <c r="BO29" i="3"/>
  <c r="BN29" i="3"/>
  <c r="BL29" i="3"/>
  <c r="BK29" i="3"/>
  <c r="BJ29" i="3"/>
  <c r="BR29" i="3" s="1"/>
  <c r="BS29" i="3" s="1"/>
  <c r="BT29" i="3" s="1"/>
  <c r="BI29" i="3"/>
  <c r="BH29" i="3"/>
  <c r="BG29" i="3"/>
  <c r="BF29" i="3"/>
  <c r="BE29" i="3"/>
  <c r="BD29" i="3"/>
  <c r="BC29" i="3"/>
  <c r="BB29" i="3"/>
  <c r="BA29" i="3"/>
  <c r="AY29" i="3"/>
  <c r="AX29" i="3"/>
  <c r="AW29" i="3"/>
  <c r="AV29" i="3"/>
  <c r="AU29" i="3"/>
  <c r="AR29" i="3"/>
  <c r="AP29" i="3"/>
  <c r="AN29" i="3"/>
  <c r="AM29" i="3"/>
  <c r="AL29" i="3"/>
  <c r="AI29" i="3"/>
  <c r="AH29" i="3"/>
  <c r="BM29" i="3" s="1"/>
  <c r="AG29" i="3"/>
  <c r="AA29" i="3"/>
  <c r="W29" i="3"/>
  <c r="V29" i="3"/>
  <c r="T29" i="3"/>
  <c r="R29" i="3"/>
  <c r="P29" i="3"/>
  <c r="J29" i="3"/>
  <c r="AZ29" i="3" s="1"/>
  <c r="BZ28" i="3"/>
  <c r="BV28" i="3"/>
  <c r="BU28" i="3"/>
  <c r="BW28" i="3" s="1"/>
  <c r="BQ28" i="3"/>
  <c r="BP28" i="3"/>
  <c r="BO28" i="3"/>
  <c r="BN28" i="3"/>
  <c r="BL28" i="3"/>
  <c r="BK28" i="3"/>
  <c r="BJ28" i="3"/>
  <c r="BR28" i="3" s="1"/>
  <c r="BI28" i="3"/>
  <c r="BH28" i="3"/>
  <c r="BG28" i="3"/>
  <c r="BF28" i="3"/>
  <c r="BE28" i="3"/>
  <c r="BD28" i="3"/>
  <c r="BC28" i="3"/>
  <c r="BB28" i="3"/>
  <c r="BA28" i="3"/>
  <c r="AY28" i="3"/>
  <c r="AX28" i="3"/>
  <c r="AW28" i="3"/>
  <c r="AV28" i="3"/>
  <c r="AU28" i="3"/>
  <c r="AR28" i="3"/>
  <c r="AP28" i="3"/>
  <c r="AN28" i="3"/>
  <c r="AM28" i="3"/>
  <c r="AL28" i="3"/>
  <c r="AH28" i="3"/>
  <c r="AG28" i="3" s="1"/>
  <c r="AA28" i="3"/>
  <c r="W28" i="3"/>
  <c r="V28" i="3"/>
  <c r="T28" i="3"/>
  <c r="R28" i="3"/>
  <c r="P28" i="3"/>
  <c r="J28" i="3"/>
  <c r="AZ28" i="3" s="1"/>
  <c r="BZ27" i="3"/>
  <c r="BV27" i="3"/>
  <c r="BU27" i="3"/>
  <c r="BW27" i="3" s="1"/>
  <c r="BQ27" i="3"/>
  <c r="BP27" i="3"/>
  <c r="BO27" i="3"/>
  <c r="BN27" i="3"/>
  <c r="BM27" i="3"/>
  <c r="BL27" i="3"/>
  <c r="BK27" i="3"/>
  <c r="BJ27" i="3"/>
  <c r="BR27" i="3" s="1"/>
  <c r="BI27" i="3"/>
  <c r="BH27" i="3"/>
  <c r="BG27" i="3"/>
  <c r="BF27" i="3"/>
  <c r="BE27" i="3"/>
  <c r="BD27" i="3"/>
  <c r="BC27" i="3"/>
  <c r="BB27" i="3"/>
  <c r="BA27" i="3"/>
  <c r="AY27" i="3"/>
  <c r="AX27" i="3"/>
  <c r="AW27" i="3"/>
  <c r="AV27" i="3"/>
  <c r="AU27" i="3"/>
  <c r="AR27" i="3"/>
  <c r="AP27" i="3"/>
  <c r="AM27" i="3"/>
  <c r="AL27" i="3"/>
  <c r="AN27" i="3" s="1"/>
  <c r="AI27" i="3"/>
  <c r="AH27" i="3"/>
  <c r="AG27" i="3"/>
  <c r="AA27" i="3"/>
  <c r="W27" i="3"/>
  <c r="V27" i="3"/>
  <c r="T27" i="3"/>
  <c r="R27" i="3"/>
  <c r="P27" i="3"/>
  <c r="J27" i="3"/>
  <c r="AZ27" i="3" s="1"/>
  <c r="BZ26" i="3"/>
  <c r="BV26" i="3"/>
  <c r="BW26" i="3" s="1"/>
  <c r="BU26" i="3"/>
  <c r="BQ26" i="3"/>
  <c r="BP26" i="3"/>
  <c r="BO26" i="3"/>
  <c r="BN26" i="3"/>
  <c r="BM26" i="3"/>
  <c r="BL26" i="3"/>
  <c r="BK26" i="3"/>
  <c r="BJ26" i="3"/>
  <c r="BR26" i="3" s="1"/>
  <c r="BS26" i="3" s="1"/>
  <c r="BT26" i="3" s="1"/>
  <c r="BI26" i="3"/>
  <c r="BH26" i="3"/>
  <c r="BG26" i="3"/>
  <c r="BF26" i="3"/>
  <c r="BE26" i="3"/>
  <c r="BD26" i="3"/>
  <c r="BC26" i="3"/>
  <c r="BB26" i="3"/>
  <c r="BA26" i="3"/>
  <c r="AY26" i="3"/>
  <c r="AX26" i="3"/>
  <c r="AW26" i="3"/>
  <c r="AV26" i="3"/>
  <c r="AU26" i="3"/>
  <c r="AR26" i="3"/>
  <c r="AP26" i="3"/>
  <c r="AM26" i="3"/>
  <c r="AL26" i="3"/>
  <c r="AN26" i="3" s="1"/>
  <c r="AI26" i="3"/>
  <c r="AH26" i="3"/>
  <c r="AG26" i="3"/>
  <c r="AA26" i="3"/>
  <c r="W26" i="3"/>
  <c r="V26" i="3"/>
  <c r="T26" i="3"/>
  <c r="R26" i="3"/>
  <c r="P26" i="3"/>
  <c r="J26" i="3"/>
  <c r="AZ26" i="3" s="1"/>
  <c r="BZ25" i="3"/>
  <c r="BW25" i="3"/>
  <c r="BV25" i="3"/>
  <c r="BU25" i="3"/>
  <c r="BQ25" i="3"/>
  <c r="BP25" i="3"/>
  <c r="BO25" i="3"/>
  <c r="BN25" i="3"/>
  <c r="BL25" i="3"/>
  <c r="BK25" i="3"/>
  <c r="BJ25" i="3"/>
  <c r="BR25" i="3" s="1"/>
  <c r="BS25" i="3" s="1"/>
  <c r="BT25" i="3" s="1"/>
  <c r="BI25" i="3"/>
  <c r="BH25" i="3"/>
  <c r="BG25" i="3"/>
  <c r="BF25" i="3"/>
  <c r="BE25" i="3"/>
  <c r="BD25" i="3"/>
  <c r="BC25" i="3"/>
  <c r="BB25" i="3"/>
  <c r="BA25" i="3"/>
  <c r="AY25" i="3"/>
  <c r="AX25" i="3"/>
  <c r="AW25" i="3"/>
  <c r="AV25" i="3"/>
  <c r="AU25" i="3"/>
  <c r="AR25" i="3"/>
  <c r="AP25" i="3"/>
  <c r="AN25" i="3"/>
  <c r="AM25" i="3"/>
  <c r="AL25" i="3"/>
  <c r="AH25" i="3"/>
  <c r="BM25" i="3" s="1"/>
  <c r="AG25" i="3"/>
  <c r="AA25" i="3"/>
  <c r="W25" i="3"/>
  <c r="V25" i="3"/>
  <c r="T25" i="3"/>
  <c r="R25" i="3"/>
  <c r="P25" i="3"/>
  <c r="J25" i="3"/>
  <c r="AZ25" i="3" s="1"/>
  <c r="BZ24" i="3"/>
  <c r="BV24" i="3"/>
  <c r="BU24" i="3"/>
  <c r="BW24" i="3" s="1"/>
  <c r="BQ24" i="3"/>
  <c r="BS24" i="3" s="1"/>
  <c r="BT24" i="3" s="1"/>
  <c r="BP24" i="3"/>
  <c r="BO24" i="3"/>
  <c r="BN24" i="3"/>
  <c r="BL24" i="3"/>
  <c r="BK24" i="3"/>
  <c r="BJ24" i="3"/>
  <c r="BR24" i="3" s="1"/>
  <c r="BI24" i="3"/>
  <c r="BH24" i="3"/>
  <c r="BG24" i="3"/>
  <c r="BF24" i="3"/>
  <c r="BE24" i="3"/>
  <c r="BD24" i="3"/>
  <c r="BC24" i="3"/>
  <c r="BB24" i="3"/>
  <c r="BA24" i="3"/>
  <c r="AY24" i="3"/>
  <c r="AX24" i="3"/>
  <c r="AW24" i="3"/>
  <c r="AV24" i="3"/>
  <c r="AU24" i="3"/>
  <c r="AR24" i="3"/>
  <c r="AP24" i="3"/>
  <c r="AN24" i="3"/>
  <c r="AM24" i="3"/>
  <c r="AL24" i="3"/>
  <c r="AI24" i="3"/>
  <c r="AH24" i="3"/>
  <c r="BM24" i="3" s="1"/>
  <c r="AG24" i="3"/>
  <c r="AA24" i="3"/>
  <c r="W24" i="3"/>
  <c r="V24" i="3"/>
  <c r="T24" i="3"/>
  <c r="R24" i="3"/>
  <c r="P24" i="3"/>
  <c r="J24" i="3"/>
  <c r="AZ24" i="3" s="1"/>
  <c r="BZ23" i="3"/>
  <c r="BV23" i="3"/>
  <c r="BU23" i="3"/>
  <c r="BW23" i="3" s="1"/>
  <c r="BQ23" i="3"/>
  <c r="BS23" i="3" s="1"/>
  <c r="BT23" i="3" s="1"/>
  <c r="BP23" i="3"/>
  <c r="BO23" i="3"/>
  <c r="BN23" i="3"/>
  <c r="BM23" i="3"/>
  <c r="BL23" i="3"/>
  <c r="BK23" i="3"/>
  <c r="BJ23" i="3"/>
  <c r="BR23" i="3" s="1"/>
  <c r="BI23" i="3"/>
  <c r="BH23" i="3"/>
  <c r="BG23" i="3"/>
  <c r="BF23" i="3"/>
  <c r="BE23" i="3"/>
  <c r="BD23" i="3"/>
  <c r="BC23" i="3"/>
  <c r="BB23" i="3"/>
  <c r="BA23" i="3"/>
  <c r="AY23" i="3"/>
  <c r="AX23" i="3"/>
  <c r="AW23" i="3"/>
  <c r="AV23" i="3"/>
  <c r="AU23" i="3"/>
  <c r="AR23" i="3"/>
  <c r="AP23" i="3"/>
  <c r="AM23" i="3"/>
  <c r="AL23" i="3"/>
  <c r="AN23" i="3" s="1"/>
  <c r="AI23" i="3"/>
  <c r="AH23" i="3"/>
  <c r="AG23" i="3"/>
  <c r="AA23" i="3"/>
  <c r="W23" i="3"/>
  <c r="V23" i="3"/>
  <c r="T23" i="3"/>
  <c r="R23" i="3"/>
  <c r="P23" i="3"/>
  <c r="J23" i="3"/>
  <c r="AZ23" i="3" s="1"/>
  <c r="BZ22" i="3"/>
  <c r="BV22" i="3"/>
  <c r="BW22" i="3" s="1"/>
  <c r="BU22" i="3"/>
  <c r="BQ22" i="3"/>
  <c r="BP22" i="3"/>
  <c r="BO22" i="3"/>
  <c r="BN22" i="3"/>
  <c r="BM22" i="3"/>
  <c r="BL22" i="3"/>
  <c r="BK22" i="3"/>
  <c r="BJ22" i="3"/>
  <c r="BR22" i="3" s="1"/>
  <c r="BS22" i="3" s="1"/>
  <c r="BT22" i="3" s="1"/>
  <c r="BI22" i="3"/>
  <c r="BH22" i="3"/>
  <c r="BG22" i="3"/>
  <c r="BF22" i="3"/>
  <c r="BE22" i="3"/>
  <c r="BD22" i="3"/>
  <c r="BC22" i="3"/>
  <c r="BB22" i="3"/>
  <c r="BA22" i="3"/>
  <c r="AY22" i="3"/>
  <c r="AX22" i="3"/>
  <c r="AW22" i="3"/>
  <c r="AV22" i="3"/>
  <c r="AU22" i="3"/>
  <c r="AR22" i="3"/>
  <c r="AP22" i="3"/>
  <c r="AM22" i="3"/>
  <c r="AL22" i="3"/>
  <c r="AN22" i="3" s="1"/>
  <c r="AI22" i="3"/>
  <c r="AH22" i="3"/>
  <c r="AG22" i="3"/>
  <c r="AA22" i="3"/>
  <c r="W22" i="3"/>
  <c r="V22" i="3"/>
  <c r="T22" i="3"/>
  <c r="R22" i="3"/>
  <c r="P22" i="3"/>
  <c r="J22" i="3"/>
  <c r="AZ22" i="3" s="1"/>
  <c r="BZ21" i="3"/>
  <c r="BW21" i="3"/>
  <c r="BV21" i="3"/>
  <c r="BU21" i="3"/>
  <c r="BQ21" i="3"/>
  <c r="BP21" i="3"/>
  <c r="BO21" i="3"/>
  <c r="BN21" i="3"/>
  <c r="BL21" i="3"/>
  <c r="BK21" i="3"/>
  <c r="BJ21" i="3"/>
  <c r="BR21" i="3" s="1"/>
  <c r="BS21" i="3" s="1"/>
  <c r="BT21" i="3" s="1"/>
  <c r="BI21" i="3"/>
  <c r="BH21" i="3"/>
  <c r="BG21" i="3"/>
  <c r="BF21" i="3"/>
  <c r="BE21" i="3"/>
  <c r="BD21" i="3"/>
  <c r="BC21" i="3"/>
  <c r="BB21" i="3"/>
  <c r="BA21" i="3"/>
  <c r="AY21" i="3"/>
  <c r="AX21" i="3"/>
  <c r="AW21" i="3"/>
  <c r="AV21" i="3"/>
  <c r="AU21" i="3"/>
  <c r="AR21" i="3"/>
  <c r="AP21" i="3"/>
  <c r="AM21" i="3"/>
  <c r="AN21" i="3" s="1"/>
  <c r="AL21" i="3"/>
  <c r="AH21" i="3"/>
  <c r="BM21" i="3" s="1"/>
  <c r="AG21" i="3"/>
  <c r="AA21" i="3"/>
  <c r="W21" i="3"/>
  <c r="V21" i="3"/>
  <c r="T21" i="3"/>
  <c r="R21" i="3"/>
  <c r="P21" i="3"/>
  <c r="J21" i="3"/>
  <c r="AZ21" i="3" s="1"/>
  <c r="BZ20" i="3"/>
  <c r="BV20" i="3"/>
  <c r="BU20" i="3"/>
  <c r="BW20" i="3" s="1"/>
  <c r="BQ20" i="3"/>
  <c r="BP20" i="3"/>
  <c r="BO20" i="3"/>
  <c r="BN20" i="3"/>
  <c r="BL20" i="3"/>
  <c r="BK20" i="3"/>
  <c r="BJ20" i="3"/>
  <c r="BR20" i="3" s="1"/>
  <c r="BI20" i="3"/>
  <c r="BH20" i="3"/>
  <c r="BG20" i="3"/>
  <c r="BF20" i="3"/>
  <c r="BE20" i="3"/>
  <c r="BD20" i="3"/>
  <c r="BC20" i="3"/>
  <c r="BB20" i="3"/>
  <c r="BA20" i="3"/>
  <c r="AY20" i="3"/>
  <c r="AX20" i="3"/>
  <c r="AW20" i="3"/>
  <c r="AV20" i="3"/>
  <c r="AU20" i="3"/>
  <c r="AR20" i="3"/>
  <c r="AP20" i="3"/>
  <c r="AN20" i="3"/>
  <c r="AM20" i="3"/>
  <c r="AL20" i="3"/>
  <c r="AI20" i="3"/>
  <c r="AH20" i="3"/>
  <c r="BM20" i="3" s="1"/>
  <c r="AG20" i="3"/>
  <c r="AA20" i="3"/>
  <c r="W20" i="3"/>
  <c r="V20" i="3"/>
  <c r="T20" i="3"/>
  <c r="R20" i="3"/>
  <c r="P20" i="3"/>
  <c r="J20" i="3"/>
  <c r="AZ20" i="3" s="1"/>
  <c r="BZ19" i="3"/>
  <c r="BV19" i="3"/>
  <c r="BU19" i="3"/>
  <c r="BW19" i="3" s="1"/>
  <c r="BQ19" i="3"/>
  <c r="BP19" i="3"/>
  <c r="BO19" i="3"/>
  <c r="BN19" i="3"/>
  <c r="BM19" i="3"/>
  <c r="BL19" i="3"/>
  <c r="BK19" i="3"/>
  <c r="BJ19" i="3"/>
  <c r="BR19" i="3" s="1"/>
  <c r="BI19" i="3"/>
  <c r="BH19" i="3"/>
  <c r="BG19" i="3"/>
  <c r="BF19" i="3"/>
  <c r="BE19" i="3"/>
  <c r="BD19" i="3"/>
  <c r="BC19" i="3"/>
  <c r="BB19" i="3"/>
  <c r="BA19" i="3"/>
  <c r="AY19" i="3"/>
  <c r="AX19" i="3"/>
  <c r="AW19" i="3"/>
  <c r="AV19" i="3"/>
  <c r="AU19" i="3"/>
  <c r="AR19" i="3"/>
  <c r="AP19" i="3"/>
  <c r="AM19" i="3"/>
  <c r="AL19" i="3"/>
  <c r="AN19" i="3" s="1"/>
  <c r="AI19" i="3"/>
  <c r="AH19" i="3"/>
  <c r="AG19" i="3" s="1"/>
  <c r="AA19" i="3"/>
  <c r="W19" i="3"/>
  <c r="V19" i="3"/>
  <c r="T19" i="3"/>
  <c r="R19" i="3"/>
  <c r="P19" i="3"/>
  <c r="J19" i="3"/>
  <c r="AZ19" i="3" s="1"/>
  <c r="BZ18" i="3"/>
  <c r="BV18" i="3"/>
  <c r="BW18" i="3" s="1"/>
  <c r="BU18" i="3"/>
  <c r="BQ18" i="3"/>
  <c r="BP18" i="3"/>
  <c r="BO18" i="3"/>
  <c r="BN18" i="3"/>
  <c r="BM18" i="3"/>
  <c r="BL18" i="3"/>
  <c r="BK18" i="3"/>
  <c r="BJ18" i="3"/>
  <c r="BR18" i="3" s="1"/>
  <c r="BS18" i="3" s="1"/>
  <c r="BT18" i="3" s="1"/>
  <c r="BI18" i="3"/>
  <c r="BH18" i="3"/>
  <c r="BG18" i="3"/>
  <c r="BF18" i="3"/>
  <c r="BE18" i="3"/>
  <c r="BD18" i="3"/>
  <c r="BC18" i="3"/>
  <c r="BB18" i="3"/>
  <c r="BA18" i="3"/>
  <c r="AY18" i="3"/>
  <c r="AX18" i="3"/>
  <c r="AW18" i="3"/>
  <c r="AV18" i="3"/>
  <c r="AU18" i="3"/>
  <c r="AR18" i="3"/>
  <c r="AP18" i="3"/>
  <c r="AM18" i="3"/>
  <c r="AL18" i="3"/>
  <c r="AN18" i="3" s="1"/>
  <c r="AI18" i="3"/>
  <c r="AH18" i="3"/>
  <c r="AG18" i="3"/>
  <c r="AA18" i="3"/>
  <c r="W18" i="3"/>
  <c r="V18" i="3"/>
  <c r="T18" i="3"/>
  <c r="R18" i="3"/>
  <c r="P18" i="3"/>
  <c r="J18" i="3"/>
  <c r="AZ18" i="3" s="1"/>
  <c r="BZ17" i="3"/>
  <c r="BW17" i="3"/>
  <c r="BV17" i="3"/>
  <c r="BU17" i="3"/>
  <c r="BQ17" i="3"/>
  <c r="BP17" i="3"/>
  <c r="BO17" i="3"/>
  <c r="BN17" i="3"/>
  <c r="BL17" i="3"/>
  <c r="BK17" i="3"/>
  <c r="BJ17" i="3"/>
  <c r="BR17" i="3" s="1"/>
  <c r="BS17" i="3" s="1"/>
  <c r="BT17" i="3" s="1"/>
  <c r="BI17" i="3"/>
  <c r="BH17" i="3"/>
  <c r="BG17" i="3"/>
  <c r="BF17" i="3"/>
  <c r="BE17" i="3"/>
  <c r="BD17" i="3"/>
  <c r="BC17" i="3"/>
  <c r="BB17" i="3"/>
  <c r="BA17" i="3"/>
  <c r="AY17" i="3"/>
  <c r="AX17" i="3"/>
  <c r="AW17" i="3"/>
  <c r="AV17" i="3"/>
  <c r="AU17" i="3"/>
  <c r="AR17" i="3"/>
  <c r="AP17" i="3"/>
  <c r="AM17" i="3"/>
  <c r="AN17" i="3" s="1"/>
  <c r="AL17" i="3"/>
  <c r="AI17" i="3"/>
  <c r="AH17" i="3"/>
  <c r="BM17" i="3" s="1"/>
  <c r="AG17" i="3"/>
  <c r="AA17" i="3"/>
  <c r="W17" i="3"/>
  <c r="V17" i="3"/>
  <c r="T17" i="3"/>
  <c r="R17" i="3"/>
  <c r="P17" i="3"/>
  <c r="J17" i="3"/>
  <c r="AZ17" i="3" s="1"/>
  <c r="BZ16" i="3"/>
  <c r="BV16" i="3"/>
  <c r="BU16" i="3"/>
  <c r="BW16" i="3" s="1"/>
  <c r="BQ16" i="3"/>
  <c r="BP16" i="3"/>
  <c r="BO16" i="3"/>
  <c r="BN16" i="3"/>
  <c r="BL16" i="3"/>
  <c r="BK16" i="3"/>
  <c r="BJ16" i="3"/>
  <c r="BR16" i="3" s="1"/>
  <c r="BI16" i="3"/>
  <c r="BH16" i="3"/>
  <c r="BG16" i="3"/>
  <c r="BF16" i="3"/>
  <c r="BE16" i="3"/>
  <c r="BD16" i="3"/>
  <c r="BC16" i="3"/>
  <c r="BB16" i="3"/>
  <c r="BA16" i="3"/>
  <c r="AY16" i="3"/>
  <c r="AX16" i="3"/>
  <c r="AW16" i="3"/>
  <c r="AV16" i="3"/>
  <c r="AU16" i="3"/>
  <c r="AR16" i="3"/>
  <c r="AP16" i="3"/>
  <c r="AN16" i="3"/>
  <c r="AM16" i="3"/>
  <c r="AL16" i="3"/>
  <c r="AH16" i="3"/>
  <c r="AG16" i="3" s="1"/>
  <c r="AA16" i="3"/>
  <c r="W16" i="3"/>
  <c r="V16" i="3"/>
  <c r="T16" i="3"/>
  <c r="R16" i="3"/>
  <c r="P16" i="3"/>
  <c r="J16" i="3"/>
  <c r="AZ16" i="3" s="1"/>
  <c r="BZ15" i="3"/>
  <c r="BV15" i="3"/>
  <c r="BU15" i="3"/>
  <c r="BW15" i="3" s="1"/>
  <c r="BQ15" i="3"/>
  <c r="BS15" i="3" s="1"/>
  <c r="BT15" i="3" s="1"/>
  <c r="BP15" i="3"/>
  <c r="BO15" i="3"/>
  <c r="BN15" i="3"/>
  <c r="BM15" i="3"/>
  <c r="BL15" i="3"/>
  <c r="BK15" i="3"/>
  <c r="BJ15" i="3"/>
  <c r="BR15" i="3" s="1"/>
  <c r="BI15" i="3"/>
  <c r="BH15" i="3"/>
  <c r="BG15" i="3"/>
  <c r="BF15" i="3"/>
  <c r="BE15" i="3"/>
  <c r="BD15" i="3"/>
  <c r="BC15" i="3"/>
  <c r="BB15" i="3"/>
  <c r="BA15" i="3"/>
  <c r="AY15" i="3"/>
  <c r="AX15" i="3"/>
  <c r="AW15" i="3"/>
  <c r="AV15" i="3"/>
  <c r="AU15" i="3"/>
  <c r="AR15" i="3"/>
  <c r="AP15" i="3"/>
  <c r="AM15" i="3"/>
  <c r="AL15" i="3"/>
  <c r="AN15" i="3" s="1"/>
  <c r="AI15" i="3"/>
  <c r="AH15" i="3"/>
  <c r="AG15" i="3" s="1"/>
  <c r="AA15" i="3"/>
  <c r="W15" i="3"/>
  <c r="V15" i="3"/>
  <c r="T15" i="3"/>
  <c r="R15" i="3"/>
  <c r="P15" i="3"/>
  <c r="J15" i="3"/>
  <c r="AZ15" i="3" s="1"/>
  <c r="BZ14" i="3"/>
  <c r="BV14" i="3"/>
  <c r="BW14" i="3" s="1"/>
  <c r="BU14" i="3"/>
  <c r="BQ14" i="3"/>
  <c r="BP14" i="3"/>
  <c r="BO14" i="3"/>
  <c r="BN14" i="3"/>
  <c r="BM14" i="3"/>
  <c r="BL14" i="3"/>
  <c r="BK14" i="3"/>
  <c r="BJ14" i="3"/>
  <c r="BR14" i="3" s="1"/>
  <c r="BS14" i="3" s="1"/>
  <c r="BT14" i="3" s="1"/>
  <c r="BI14" i="3"/>
  <c r="BH14" i="3"/>
  <c r="BG14" i="3"/>
  <c r="BF14" i="3"/>
  <c r="BE14" i="3"/>
  <c r="BD14" i="3"/>
  <c r="BC14" i="3"/>
  <c r="BB14" i="3"/>
  <c r="BA14" i="3"/>
  <c r="AY14" i="3"/>
  <c r="AX14" i="3"/>
  <c r="AW14" i="3"/>
  <c r="AV14" i="3"/>
  <c r="AU14" i="3"/>
  <c r="AR14" i="3"/>
  <c r="AP14" i="3"/>
  <c r="AM14" i="3"/>
  <c r="AL14" i="3"/>
  <c r="AN14" i="3" s="1"/>
  <c r="AI14" i="3"/>
  <c r="AH14" i="3"/>
  <c r="AG14" i="3"/>
  <c r="AA14" i="3"/>
  <c r="W14" i="3"/>
  <c r="V14" i="3"/>
  <c r="T14" i="3"/>
  <c r="R14" i="3"/>
  <c r="P14" i="3"/>
  <c r="J14" i="3"/>
  <c r="AZ14" i="3" s="1"/>
  <c r="BZ13" i="3"/>
  <c r="BW13" i="3"/>
  <c r="BV13" i="3"/>
  <c r="BU13" i="3"/>
  <c r="BQ13" i="3"/>
  <c r="BP13" i="3"/>
  <c r="BO13" i="3"/>
  <c r="BN13" i="3"/>
  <c r="BL13" i="3"/>
  <c r="BK13" i="3"/>
  <c r="BJ13" i="3"/>
  <c r="BR13" i="3" s="1"/>
  <c r="BS13" i="3" s="1"/>
  <c r="BT13" i="3" s="1"/>
  <c r="BI13" i="3"/>
  <c r="BH13" i="3"/>
  <c r="BG13" i="3"/>
  <c r="BF13" i="3"/>
  <c r="BE13" i="3"/>
  <c r="BD13" i="3"/>
  <c r="BC13" i="3"/>
  <c r="BB13" i="3"/>
  <c r="BA13" i="3"/>
  <c r="AY13" i="3"/>
  <c r="AX13" i="3"/>
  <c r="AW13" i="3"/>
  <c r="AV13" i="3"/>
  <c r="AU13" i="3"/>
  <c r="AR13" i="3"/>
  <c r="AP13" i="3"/>
  <c r="AN13" i="3"/>
  <c r="AM13" i="3"/>
  <c r="AL13" i="3"/>
  <c r="AI13" i="3"/>
  <c r="AH13" i="3"/>
  <c r="BM13" i="3" s="1"/>
  <c r="AG13" i="3"/>
  <c r="AA13" i="3"/>
  <c r="W13" i="3"/>
  <c r="V13" i="3"/>
  <c r="T13" i="3"/>
  <c r="R13" i="3"/>
  <c r="P13" i="3"/>
  <c r="J13" i="3"/>
  <c r="AZ13" i="3" s="1"/>
  <c r="BZ12" i="3"/>
  <c r="BV12" i="3"/>
  <c r="BU12" i="3"/>
  <c r="BW12" i="3" s="1"/>
  <c r="BQ12" i="3"/>
  <c r="BS12" i="3" s="1"/>
  <c r="BT12" i="3" s="1"/>
  <c r="BP12" i="3"/>
  <c r="BO12" i="3"/>
  <c r="BN12" i="3"/>
  <c r="BL12" i="3"/>
  <c r="BK12" i="3"/>
  <c r="BJ12" i="3"/>
  <c r="BR12" i="3" s="1"/>
  <c r="BI12" i="3"/>
  <c r="BH12" i="3"/>
  <c r="BG12" i="3"/>
  <c r="BF12" i="3"/>
  <c r="BE12" i="3"/>
  <c r="BD12" i="3"/>
  <c r="BC12" i="3"/>
  <c r="BB12" i="3"/>
  <c r="BA12" i="3"/>
  <c r="AY12" i="3"/>
  <c r="AX12" i="3"/>
  <c r="AW12" i="3"/>
  <c r="AV12" i="3"/>
  <c r="AU12" i="3"/>
  <c r="AR12" i="3"/>
  <c r="AP12" i="3"/>
  <c r="AN12" i="3"/>
  <c r="AM12" i="3"/>
  <c r="AL12" i="3"/>
  <c r="AI12" i="3"/>
  <c r="AH12" i="3"/>
  <c r="AG12" i="3" s="1"/>
  <c r="AA12" i="3"/>
  <c r="W12" i="3"/>
  <c r="V12" i="3"/>
  <c r="T12" i="3"/>
  <c r="R12" i="3"/>
  <c r="P12" i="3"/>
  <c r="J12" i="3"/>
  <c r="AZ12" i="3" s="1"/>
  <c r="BZ11" i="3"/>
  <c r="BV11" i="3"/>
  <c r="BU11" i="3"/>
  <c r="BW11" i="3" s="1"/>
  <c r="BQ11" i="3"/>
  <c r="BS11" i="3" s="1"/>
  <c r="BT11" i="3" s="1"/>
  <c r="BP11" i="3"/>
  <c r="BO11" i="3"/>
  <c r="BN11" i="3"/>
  <c r="BM11" i="3"/>
  <c r="BL11" i="3"/>
  <c r="BK11" i="3"/>
  <c r="BJ11" i="3"/>
  <c r="BR11" i="3" s="1"/>
  <c r="BI11" i="3"/>
  <c r="BH11" i="3"/>
  <c r="BG11" i="3"/>
  <c r="BF11" i="3"/>
  <c r="BE11" i="3"/>
  <c r="BD11" i="3"/>
  <c r="BC11" i="3"/>
  <c r="BB11" i="3"/>
  <c r="BA11" i="3"/>
  <c r="AY11" i="3"/>
  <c r="AX11" i="3"/>
  <c r="AW11" i="3"/>
  <c r="AV11" i="3"/>
  <c r="AU11" i="3"/>
  <c r="AR11" i="3"/>
  <c r="AP11" i="3"/>
  <c r="AM11" i="3"/>
  <c r="AL11" i="3"/>
  <c r="AN11" i="3" s="1"/>
  <c r="AI11" i="3"/>
  <c r="AH11" i="3"/>
  <c r="AG11" i="3"/>
  <c r="AA11" i="3"/>
  <c r="W11" i="3"/>
  <c r="V11" i="3"/>
  <c r="T11" i="3"/>
  <c r="R11" i="3"/>
  <c r="P11" i="3"/>
  <c r="J11" i="3"/>
  <c r="AZ11" i="3" s="1"/>
  <c r="BZ10" i="3"/>
  <c r="BV10" i="3"/>
  <c r="BW10" i="3" s="1"/>
  <c r="BU10" i="3"/>
  <c r="BQ10" i="3"/>
  <c r="BP10" i="3"/>
  <c r="BO10" i="3"/>
  <c r="BN10" i="3"/>
  <c r="BM10" i="3"/>
  <c r="BL10" i="3"/>
  <c r="BK10" i="3"/>
  <c r="BJ10" i="3"/>
  <c r="BR10" i="3" s="1"/>
  <c r="BS10" i="3" s="1"/>
  <c r="BT10" i="3" s="1"/>
  <c r="BI10" i="3"/>
  <c r="BH10" i="3"/>
  <c r="BG10" i="3"/>
  <c r="BF10" i="3"/>
  <c r="BE10" i="3"/>
  <c r="BD10" i="3"/>
  <c r="BC10" i="3"/>
  <c r="BB10" i="3"/>
  <c r="BA10" i="3"/>
  <c r="AY10" i="3"/>
  <c r="AX10" i="3"/>
  <c r="AW10" i="3"/>
  <c r="AV10" i="3"/>
  <c r="AU10" i="3"/>
  <c r="AR10" i="3"/>
  <c r="AP10" i="3"/>
  <c r="AM10" i="3"/>
  <c r="AL10" i="3"/>
  <c r="AN10" i="3" s="1"/>
  <c r="AI10" i="3"/>
  <c r="AH10" i="3"/>
  <c r="AG10" i="3"/>
  <c r="AA10" i="3"/>
  <c r="W10" i="3"/>
  <c r="V10" i="3"/>
  <c r="T10" i="3"/>
  <c r="R10" i="3"/>
  <c r="P10" i="3"/>
  <c r="J10" i="3"/>
  <c r="AZ10" i="3" s="1"/>
  <c r="BZ9" i="3"/>
  <c r="BW9" i="3"/>
  <c r="BV9" i="3"/>
  <c r="BU9" i="3"/>
  <c r="BQ9" i="3"/>
  <c r="BP9" i="3"/>
  <c r="BO9" i="3"/>
  <c r="BN9" i="3"/>
  <c r="BL9" i="3"/>
  <c r="BK9" i="3"/>
  <c r="BJ9" i="3"/>
  <c r="BR9" i="3" s="1"/>
  <c r="BS9" i="3" s="1"/>
  <c r="BT9" i="3" s="1"/>
  <c r="BI9" i="3"/>
  <c r="BH9" i="3"/>
  <c r="BG9" i="3"/>
  <c r="BF9" i="3"/>
  <c r="BE9" i="3"/>
  <c r="BD9" i="3"/>
  <c r="BC9" i="3"/>
  <c r="BB9" i="3"/>
  <c r="BA9" i="3"/>
  <c r="AY9" i="3"/>
  <c r="AX9" i="3"/>
  <c r="AW9" i="3"/>
  <c r="AV9" i="3"/>
  <c r="AU9" i="3"/>
  <c r="AR9" i="3"/>
  <c r="AP9" i="3"/>
  <c r="AN9" i="3"/>
  <c r="AM9" i="3"/>
  <c r="AL9" i="3"/>
  <c r="AI9" i="3"/>
  <c r="AH9" i="3"/>
  <c r="BM9" i="3" s="1"/>
  <c r="AG9" i="3"/>
  <c r="AA9" i="3"/>
  <c r="W9" i="3"/>
  <c r="V9" i="3"/>
  <c r="T9" i="3"/>
  <c r="R9" i="3"/>
  <c r="P9" i="3"/>
  <c r="J9" i="3"/>
  <c r="AZ9" i="3" s="1"/>
  <c r="BZ8" i="3"/>
  <c r="BV8" i="3"/>
  <c r="BU8" i="3"/>
  <c r="BW8" i="3" s="1"/>
  <c r="BQ8" i="3"/>
  <c r="BS8" i="3" s="1"/>
  <c r="BT8" i="3" s="1"/>
  <c r="BP8" i="3"/>
  <c r="BO8" i="3"/>
  <c r="BN8" i="3"/>
  <c r="BL8" i="3"/>
  <c r="BK8" i="3"/>
  <c r="BJ8" i="3"/>
  <c r="BR8" i="3" s="1"/>
  <c r="BI8" i="3"/>
  <c r="BH8" i="3"/>
  <c r="BG8" i="3"/>
  <c r="BF8" i="3"/>
  <c r="BE8" i="3"/>
  <c r="BD8" i="3"/>
  <c r="BC8" i="3"/>
  <c r="BB8" i="3"/>
  <c r="BA8" i="3"/>
  <c r="AY8" i="3"/>
  <c r="AX8" i="3"/>
  <c r="AW8" i="3"/>
  <c r="AV8" i="3"/>
  <c r="AU8" i="3"/>
  <c r="AR8" i="3"/>
  <c r="AP8" i="3"/>
  <c r="AN8" i="3"/>
  <c r="AM8" i="3"/>
  <c r="AL8" i="3"/>
  <c r="AI8" i="3"/>
  <c r="AH8" i="3"/>
  <c r="AG8" i="3" s="1"/>
  <c r="AA8" i="3"/>
  <c r="W8" i="3"/>
  <c r="V8" i="3"/>
  <c r="T8" i="3"/>
  <c r="R8" i="3"/>
  <c r="P8" i="3"/>
  <c r="J8" i="3"/>
  <c r="AZ8" i="3" s="1"/>
  <c r="BZ7" i="3"/>
  <c r="BV7" i="3"/>
  <c r="BU7" i="3"/>
  <c r="BW7" i="3" s="1"/>
  <c r="BQ7" i="3"/>
  <c r="BS7" i="3" s="1"/>
  <c r="BT7" i="3" s="1"/>
  <c r="BP7" i="3"/>
  <c r="BO7" i="3"/>
  <c r="BN7" i="3"/>
  <c r="BM7" i="3"/>
  <c r="BL7" i="3"/>
  <c r="BK7" i="3"/>
  <c r="BJ7" i="3"/>
  <c r="BR7" i="3" s="1"/>
  <c r="BI7" i="3"/>
  <c r="BH7" i="3"/>
  <c r="BG7" i="3"/>
  <c r="BF7" i="3"/>
  <c r="BE7" i="3"/>
  <c r="BD7" i="3"/>
  <c r="BC7" i="3"/>
  <c r="BB7" i="3"/>
  <c r="BA7" i="3"/>
  <c r="AY7" i="3"/>
  <c r="AX7" i="3"/>
  <c r="AW7" i="3"/>
  <c r="AV7" i="3"/>
  <c r="AU7" i="3"/>
  <c r="AR7" i="3"/>
  <c r="AP7" i="3"/>
  <c r="AM7" i="3"/>
  <c r="AL7" i="3"/>
  <c r="AN7" i="3" s="1"/>
  <c r="AI7" i="3"/>
  <c r="AH7" i="3"/>
  <c r="AG7" i="3" s="1"/>
  <c r="AA7" i="3"/>
  <c r="W7" i="3"/>
  <c r="V7" i="3"/>
  <c r="T7" i="3"/>
  <c r="R7" i="3"/>
  <c r="P7" i="3"/>
  <c r="J7" i="3"/>
  <c r="AZ7" i="3" s="1"/>
  <c r="BZ6" i="3"/>
  <c r="BV6" i="3"/>
  <c r="BW6" i="3" s="1"/>
  <c r="BU6" i="3"/>
  <c r="BQ6" i="3"/>
  <c r="BP6" i="3"/>
  <c r="BO6" i="3"/>
  <c r="BN6" i="3"/>
  <c r="BM6" i="3"/>
  <c r="BL6" i="3"/>
  <c r="BK6" i="3"/>
  <c r="BJ6" i="3"/>
  <c r="BR6" i="3" s="1"/>
  <c r="BS6" i="3" s="1"/>
  <c r="BT6" i="3" s="1"/>
  <c r="BI6" i="3"/>
  <c r="BH6" i="3"/>
  <c r="BG6" i="3"/>
  <c r="BF6" i="3"/>
  <c r="BE6" i="3"/>
  <c r="BD6" i="3"/>
  <c r="BC6" i="3"/>
  <c r="BB6" i="3"/>
  <c r="BA6" i="3"/>
  <c r="AY6" i="3"/>
  <c r="AX6" i="3"/>
  <c r="AW6" i="3"/>
  <c r="AV6" i="3"/>
  <c r="AU6" i="3"/>
  <c r="AR6" i="3"/>
  <c r="AP6" i="3"/>
  <c r="AM6" i="3"/>
  <c r="AL6" i="3"/>
  <c r="AN6" i="3" s="1"/>
  <c r="AI6" i="3"/>
  <c r="AH6" i="3"/>
  <c r="AG6" i="3"/>
  <c r="AA6" i="3"/>
  <c r="W6" i="3"/>
  <c r="V6" i="3"/>
  <c r="T6" i="3"/>
  <c r="R6" i="3"/>
  <c r="P6" i="3"/>
  <c r="J6" i="3"/>
  <c r="AZ6" i="3" s="1"/>
  <c r="BZ5" i="3"/>
  <c r="BW5" i="3"/>
  <c r="BV5" i="3"/>
  <c r="BU5" i="3"/>
  <c r="BQ5" i="3"/>
  <c r="BP5" i="3"/>
  <c r="BO5" i="3"/>
  <c r="BN5" i="3"/>
  <c r="BL5" i="3"/>
  <c r="BK5" i="3"/>
  <c r="BJ5" i="3"/>
  <c r="BR5" i="3" s="1"/>
  <c r="BS5" i="3" s="1"/>
  <c r="BT5" i="3" s="1"/>
  <c r="BI5" i="3"/>
  <c r="BH5" i="3"/>
  <c r="BG5" i="3"/>
  <c r="BF5" i="3"/>
  <c r="BE5" i="3"/>
  <c r="BD5" i="3"/>
  <c r="BC5" i="3"/>
  <c r="BB5" i="3"/>
  <c r="BA5" i="3"/>
  <c r="AY5" i="3"/>
  <c r="AX5" i="3"/>
  <c r="AW5" i="3"/>
  <c r="AV5" i="3"/>
  <c r="AU5" i="3"/>
  <c r="AR5" i="3"/>
  <c r="AP5" i="3"/>
  <c r="AN5" i="3"/>
  <c r="AM5" i="3"/>
  <c r="AL5" i="3"/>
  <c r="AH5" i="3"/>
  <c r="BM5" i="3" s="1"/>
  <c r="AG5" i="3"/>
  <c r="AA5" i="3"/>
  <c r="W5" i="3"/>
  <c r="V5" i="3"/>
  <c r="T5" i="3"/>
  <c r="R5" i="3"/>
  <c r="P5" i="3"/>
  <c r="J5" i="3"/>
  <c r="AZ5" i="3" s="1"/>
  <c r="BZ4" i="3"/>
  <c r="BV4" i="3"/>
  <c r="BU4" i="3"/>
  <c r="BW4" i="3" s="1"/>
  <c r="BQ4" i="3"/>
  <c r="BP4" i="3"/>
  <c r="BO4" i="3"/>
  <c r="BN4" i="3"/>
  <c r="BL4" i="3"/>
  <c r="BK4" i="3"/>
  <c r="BJ4" i="3"/>
  <c r="BR4" i="3" s="1"/>
  <c r="BI4" i="3"/>
  <c r="BH4" i="3"/>
  <c r="BG4" i="3"/>
  <c r="BF4" i="3"/>
  <c r="BE4" i="3"/>
  <c r="BD4" i="3"/>
  <c r="BC4" i="3"/>
  <c r="BB4" i="3"/>
  <c r="BA4" i="3"/>
  <c r="AY4" i="3"/>
  <c r="AX4" i="3"/>
  <c r="AW4" i="3"/>
  <c r="AV4" i="3"/>
  <c r="AU4" i="3"/>
  <c r="AR4" i="3"/>
  <c r="AP4" i="3"/>
  <c r="AN4" i="3"/>
  <c r="AM4" i="3"/>
  <c r="AL4" i="3"/>
  <c r="AI4" i="3"/>
  <c r="AH4" i="3"/>
  <c r="BM4" i="3" s="1"/>
  <c r="AG4" i="3"/>
  <c r="AA4" i="3"/>
  <c r="W4" i="3"/>
  <c r="V4" i="3"/>
  <c r="T4" i="3"/>
  <c r="R4" i="3"/>
  <c r="P4" i="3"/>
  <c r="J4" i="3"/>
  <c r="AZ4" i="3" s="1"/>
  <c r="BZ3" i="3"/>
  <c r="BV3" i="3"/>
  <c r="BU3" i="3"/>
  <c r="BW3" i="3" s="1"/>
  <c r="BQ3" i="3"/>
  <c r="BP3" i="3"/>
  <c r="BO3" i="3"/>
  <c r="BN3" i="3"/>
  <c r="BM3" i="3"/>
  <c r="BL3" i="3"/>
  <c r="BK3" i="3"/>
  <c r="BJ3" i="3"/>
  <c r="BR3" i="3" s="1"/>
  <c r="BI3" i="3"/>
  <c r="BH3" i="3"/>
  <c r="BG3" i="3"/>
  <c r="BF3" i="3"/>
  <c r="BE3" i="3"/>
  <c r="BD3" i="3"/>
  <c r="BC3" i="3"/>
  <c r="BB3" i="3"/>
  <c r="BA3" i="3"/>
  <c r="AY3" i="3"/>
  <c r="AX3" i="3"/>
  <c r="AW3" i="3"/>
  <c r="AV3" i="3"/>
  <c r="AU3" i="3"/>
  <c r="AR3" i="3"/>
  <c r="AP3" i="3"/>
  <c r="AM3" i="3"/>
  <c r="AL3" i="3"/>
  <c r="AN3" i="3" s="1"/>
  <c r="AI3" i="3"/>
  <c r="AH3" i="3"/>
  <c r="AG3" i="3"/>
  <c r="AA3" i="3"/>
  <c r="W3" i="3"/>
  <c r="V3" i="3"/>
  <c r="T3" i="3"/>
  <c r="R3" i="3"/>
  <c r="P3" i="3"/>
  <c r="J3" i="3"/>
  <c r="AZ3" i="3" s="1"/>
  <c r="BZ2" i="3"/>
  <c r="BV2" i="3"/>
  <c r="BW2" i="3" s="1"/>
  <c r="BU2" i="3"/>
  <c r="BQ2" i="3"/>
  <c r="BP2" i="3"/>
  <c r="BO2" i="3"/>
  <c r="BN2" i="3"/>
  <c r="BM2" i="3"/>
  <c r="BL2" i="3"/>
  <c r="BK2" i="3"/>
  <c r="BJ2" i="3"/>
  <c r="BR2" i="3" s="1"/>
  <c r="BS2" i="3" s="1"/>
  <c r="BT2" i="3" s="1"/>
  <c r="BI2" i="3"/>
  <c r="BH2" i="3"/>
  <c r="BG2" i="3"/>
  <c r="BF2" i="3"/>
  <c r="BE2" i="3"/>
  <c r="BD2" i="3"/>
  <c r="BC2" i="3"/>
  <c r="BB2" i="3"/>
  <c r="BA2" i="3"/>
  <c r="AY2" i="3"/>
  <c r="AX2" i="3"/>
  <c r="AW2" i="3"/>
  <c r="AV2" i="3"/>
  <c r="AU2" i="3"/>
  <c r="AR2" i="3"/>
  <c r="AP2" i="3"/>
  <c r="AM2" i="3"/>
  <c r="AL2" i="3"/>
  <c r="AN2" i="3" s="1"/>
  <c r="AI2" i="3"/>
  <c r="AH2" i="3"/>
  <c r="AG2" i="3"/>
  <c r="AA2" i="3"/>
  <c r="W2" i="3"/>
  <c r="V2" i="3"/>
  <c r="T2" i="3"/>
  <c r="R2" i="3"/>
  <c r="P2" i="3"/>
  <c r="J2" i="3"/>
  <c r="AZ2" i="3" s="1"/>
  <c r="BZ165" i="2"/>
  <c r="BV165" i="2"/>
  <c r="BW165" i="2" s="1"/>
  <c r="BU165" i="2"/>
  <c r="BQ165" i="2"/>
  <c r="BP165" i="2"/>
  <c r="BO165" i="2"/>
  <c r="BN165" i="2"/>
  <c r="BL165" i="2"/>
  <c r="BK165" i="2"/>
  <c r="BJ165" i="2"/>
  <c r="BR165" i="2" s="1"/>
  <c r="BS165" i="2" s="1"/>
  <c r="BT165" i="2" s="1"/>
  <c r="BI165" i="2"/>
  <c r="BH165" i="2"/>
  <c r="BG165" i="2"/>
  <c r="BF165" i="2"/>
  <c r="BE165" i="2"/>
  <c r="BD165" i="2"/>
  <c r="BC165" i="2"/>
  <c r="BB165" i="2"/>
  <c r="BA165" i="2"/>
  <c r="AY165" i="2"/>
  <c r="AX165" i="2"/>
  <c r="AW165" i="2"/>
  <c r="AV165" i="2"/>
  <c r="AU165" i="2"/>
  <c r="AR165" i="2"/>
  <c r="AP165" i="2"/>
  <c r="AM165" i="2"/>
  <c r="AL165" i="2"/>
  <c r="AN165" i="2" s="1"/>
  <c r="AI165" i="2"/>
  <c r="AH165" i="2"/>
  <c r="BM165" i="2" s="1"/>
  <c r="AG165" i="2"/>
  <c r="AA165" i="2"/>
  <c r="W165" i="2"/>
  <c r="V165" i="2"/>
  <c r="T165" i="2"/>
  <c r="R165" i="2"/>
  <c r="P165" i="2"/>
  <c r="J165" i="2"/>
  <c r="AZ165" i="2" s="1"/>
  <c r="BZ164" i="2"/>
  <c r="BV164" i="2"/>
  <c r="BU164" i="2"/>
  <c r="BW164" i="2" s="1"/>
  <c r="BQ164" i="2"/>
  <c r="BP164" i="2"/>
  <c r="BO164" i="2"/>
  <c r="BN164" i="2"/>
  <c r="BL164" i="2"/>
  <c r="BK164" i="2"/>
  <c r="BJ164" i="2"/>
  <c r="BR164" i="2" s="1"/>
  <c r="BI164" i="2"/>
  <c r="BH164" i="2"/>
  <c r="BG164" i="2"/>
  <c r="BF164" i="2"/>
  <c r="BE164" i="2"/>
  <c r="BD164" i="2"/>
  <c r="BC164" i="2"/>
  <c r="BB164" i="2"/>
  <c r="BA164" i="2"/>
  <c r="AY164" i="2"/>
  <c r="AX164" i="2"/>
  <c r="AW164" i="2"/>
  <c r="AV164" i="2"/>
  <c r="AU164" i="2"/>
  <c r="AR164" i="2"/>
  <c r="AP164" i="2"/>
  <c r="AM164" i="2"/>
  <c r="AL164" i="2"/>
  <c r="AN164" i="2" s="1"/>
  <c r="AI164" i="2"/>
  <c r="AH164" i="2"/>
  <c r="BM164" i="2" s="1"/>
  <c r="AG164" i="2"/>
  <c r="AA164" i="2"/>
  <c r="W164" i="2"/>
  <c r="V164" i="2"/>
  <c r="T164" i="2"/>
  <c r="R164" i="2"/>
  <c r="P164" i="2"/>
  <c r="J164" i="2"/>
  <c r="AZ164" i="2" s="1"/>
  <c r="BZ163" i="2"/>
  <c r="BV163" i="2"/>
  <c r="BU163" i="2"/>
  <c r="BQ163" i="2"/>
  <c r="BP163" i="2"/>
  <c r="BO163" i="2"/>
  <c r="BN163" i="2"/>
  <c r="BL163" i="2"/>
  <c r="BK163" i="2"/>
  <c r="BJ163" i="2"/>
  <c r="BR163" i="2" s="1"/>
  <c r="BI163" i="2"/>
  <c r="BH163" i="2"/>
  <c r="BG163" i="2"/>
  <c r="BF163" i="2"/>
  <c r="BE163" i="2"/>
  <c r="BD163" i="2"/>
  <c r="BC163" i="2"/>
  <c r="BB163" i="2"/>
  <c r="BA163" i="2"/>
  <c r="AY163" i="2"/>
  <c r="AX163" i="2"/>
  <c r="AW163" i="2"/>
  <c r="AV163" i="2"/>
  <c r="AU163" i="2"/>
  <c r="AR163" i="2"/>
  <c r="AP163" i="2"/>
  <c r="AM163" i="2"/>
  <c r="AL163" i="2"/>
  <c r="AN163" i="2" s="1"/>
  <c r="AH163" i="2"/>
  <c r="AG163" i="2"/>
  <c r="AA163" i="2"/>
  <c r="W163" i="2"/>
  <c r="V163" i="2"/>
  <c r="T163" i="2"/>
  <c r="R163" i="2"/>
  <c r="P163" i="2"/>
  <c r="J163" i="2"/>
  <c r="AZ163" i="2" s="1"/>
  <c r="BZ162" i="2"/>
  <c r="BV162" i="2"/>
  <c r="BU162" i="2"/>
  <c r="BW162" i="2" s="1"/>
  <c r="BQ162" i="2"/>
  <c r="BP162" i="2"/>
  <c r="BO162" i="2"/>
  <c r="BN162" i="2"/>
  <c r="BL162" i="2"/>
  <c r="BK162" i="2"/>
  <c r="BJ162" i="2"/>
  <c r="BR162" i="2" s="1"/>
  <c r="BS162" i="2" s="1"/>
  <c r="BT162" i="2" s="1"/>
  <c r="BI162" i="2"/>
  <c r="BH162" i="2"/>
  <c r="BG162" i="2"/>
  <c r="BF162" i="2"/>
  <c r="BE162" i="2"/>
  <c r="BD162" i="2"/>
  <c r="BC162" i="2"/>
  <c r="BB162" i="2"/>
  <c r="BA162" i="2"/>
  <c r="AY162" i="2"/>
  <c r="AX162" i="2"/>
  <c r="AW162" i="2"/>
  <c r="AV162" i="2"/>
  <c r="AU162" i="2"/>
  <c r="AR162" i="2"/>
  <c r="AP162" i="2"/>
  <c r="AM162" i="2"/>
  <c r="AL162" i="2"/>
  <c r="AN162" i="2" s="1"/>
  <c r="AI162" i="2"/>
  <c r="AH162" i="2"/>
  <c r="BM162" i="2" s="1"/>
  <c r="AG162" i="2"/>
  <c r="AA162" i="2"/>
  <c r="W162" i="2"/>
  <c r="V162" i="2"/>
  <c r="T162" i="2"/>
  <c r="R162" i="2"/>
  <c r="P162" i="2"/>
  <c r="J162" i="2"/>
  <c r="AZ162" i="2" s="1"/>
  <c r="BZ161" i="2"/>
  <c r="BV161" i="2"/>
  <c r="BU161" i="2"/>
  <c r="BW161" i="2" s="1"/>
  <c r="BQ161" i="2"/>
  <c r="BP161" i="2"/>
  <c r="BO161" i="2"/>
  <c r="BN161" i="2"/>
  <c r="BL161" i="2"/>
  <c r="BK161" i="2"/>
  <c r="BJ161" i="2"/>
  <c r="BR161" i="2" s="1"/>
  <c r="BS161" i="2" s="1"/>
  <c r="BT161" i="2" s="1"/>
  <c r="BI161" i="2"/>
  <c r="BH161" i="2"/>
  <c r="BG161" i="2"/>
  <c r="BF161" i="2"/>
  <c r="BE161" i="2"/>
  <c r="BD161" i="2"/>
  <c r="BC161" i="2"/>
  <c r="BB161" i="2"/>
  <c r="BA161" i="2"/>
  <c r="AY161" i="2"/>
  <c r="AX161" i="2"/>
  <c r="AW161" i="2"/>
  <c r="AV161" i="2"/>
  <c r="AU161" i="2"/>
  <c r="AR161" i="2"/>
  <c r="AP161" i="2"/>
  <c r="AM161" i="2"/>
  <c r="AL161" i="2"/>
  <c r="AN161" i="2" s="1"/>
  <c r="AH161" i="2"/>
  <c r="BM161" i="2" s="1"/>
  <c r="AG161" i="2"/>
  <c r="AA161" i="2"/>
  <c r="W161" i="2"/>
  <c r="V161" i="2"/>
  <c r="T161" i="2"/>
  <c r="R161" i="2"/>
  <c r="P161" i="2"/>
  <c r="J161" i="2"/>
  <c r="AZ161" i="2" s="1"/>
  <c r="BZ160" i="2"/>
  <c r="BV160" i="2"/>
  <c r="BU160" i="2"/>
  <c r="BW160" i="2" s="1"/>
  <c r="BQ160" i="2"/>
  <c r="BP160" i="2"/>
  <c r="BO160" i="2"/>
  <c r="BN160" i="2"/>
  <c r="BL160" i="2"/>
  <c r="BK160" i="2"/>
  <c r="BJ160" i="2"/>
  <c r="BR160" i="2" s="1"/>
  <c r="BI160" i="2"/>
  <c r="BH160" i="2"/>
  <c r="BG160" i="2"/>
  <c r="BF160" i="2"/>
  <c r="BE160" i="2"/>
  <c r="BD160" i="2"/>
  <c r="BC160" i="2"/>
  <c r="BB160" i="2"/>
  <c r="BA160" i="2"/>
  <c r="AY160" i="2"/>
  <c r="AX160" i="2"/>
  <c r="AW160" i="2"/>
  <c r="AV160" i="2"/>
  <c r="AU160" i="2"/>
  <c r="AR160" i="2"/>
  <c r="AP160" i="2"/>
  <c r="AN160" i="2"/>
  <c r="AM160" i="2"/>
  <c r="AL160" i="2"/>
  <c r="AI160" i="2"/>
  <c r="AH160" i="2"/>
  <c r="BM160" i="2" s="1"/>
  <c r="AG160" i="2"/>
  <c r="AA160" i="2"/>
  <c r="W160" i="2"/>
  <c r="V160" i="2"/>
  <c r="T160" i="2"/>
  <c r="R160" i="2"/>
  <c r="P160" i="2"/>
  <c r="J160" i="2"/>
  <c r="AZ160" i="2" s="1"/>
  <c r="BZ159" i="2"/>
  <c r="BV159" i="2"/>
  <c r="BU159" i="2"/>
  <c r="BQ159" i="2"/>
  <c r="BP159" i="2"/>
  <c r="BO159" i="2"/>
  <c r="BN159" i="2"/>
  <c r="BL159" i="2"/>
  <c r="BK159" i="2"/>
  <c r="BJ159" i="2"/>
  <c r="BR159" i="2" s="1"/>
  <c r="BI159" i="2"/>
  <c r="BH159" i="2"/>
  <c r="BG159" i="2"/>
  <c r="BF159" i="2"/>
  <c r="BE159" i="2"/>
  <c r="BD159" i="2"/>
  <c r="BC159" i="2"/>
  <c r="BB159" i="2"/>
  <c r="BA159" i="2"/>
  <c r="AY159" i="2"/>
  <c r="AX159" i="2"/>
  <c r="AW159" i="2"/>
  <c r="AV159" i="2"/>
  <c r="AU159" i="2"/>
  <c r="AR159" i="2"/>
  <c r="AP159" i="2"/>
  <c r="AM159" i="2"/>
  <c r="AL159" i="2"/>
  <c r="AN159" i="2" s="1"/>
  <c r="AI159" i="2"/>
  <c r="AH159" i="2"/>
  <c r="BM159" i="2" s="1"/>
  <c r="AA159" i="2"/>
  <c r="W159" i="2"/>
  <c r="V159" i="2"/>
  <c r="T159" i="2"/>
  <c r="R159" i="2"/>
  <c r="P159" i="2"/>
  <c r="J159" i="2"/>
  <c r="AZ159" i="2" s="1"/>
  <c r="BZ158" i="2"/>
  <c r="BV158" i="2"/>
  <c r="BU158" i="2"/>
  <c r="BW158" i="2" s="1"/>
  <c r="BQ158" i="2"/>
  <c r="BP158" i="2"/>
  <c r="BO158" i="2"/>
  <c r="BN158" i="2"/>
  <c r="BL158" i="2"/>
  <c r="BK158" i="2"/>
  <c r="BJ158" i="2"/>
  <c r="BR158" i="2" s="1"/>
  <c r="BI158" i="2"/>
  <c r="BH158" i="2"/>
  <c r="BG158" i="2"/>
  <c r="BF158" i="2"/>
  <c r="BE158" i="2"/>
  <c r="BD158" i="2"/>
  <c r="BC158" i="2"/>
  <c r="BB158" i="2"/>
  <c r="BA158" i="2"/>
  <c r="AY158" i="2"/>
  <c r="AX158" i="2"/>
  <c r="AW158" i="2"/>
  <c r="AV158" i="2"/>
  <c r="AU158" i="2"/>
  <c r="AR158" i="2"/>
  <c r="AP158" i="2"/>
  <c r="AM158" i="2"/>
  <c r="AL158" i="2"/>
  <c r="AN158" i="2" s="1"/>
  <c r="AI158" i="2"/>
  <c r="AH158" i="2"/>
  <c r="BM158" i="2" s="1"/>
  <c r="AG158" i="2"/>
  <c r="AA158" i="2"/>
  <c r="W158" i="2"/>
  <c r="V158" i="2"/>
  <c r="T158" i="2"/>
  <c r="R158" i="2"/>
  <c r="P158" i="2"/>
  <c r="J158" i="2"/>
  <c r="AZ158" i="2" s="1"/>
  <c r="BZ157" i="2"/>
  <c r="BV157" i="2"/>
  <c r="BU157" i="2"/>
  <c r="BW157" i="2" s="1"/>
  <c r="BQ157" i="2"/>
  <c r="BP157" i="2"/>
  <c r="BO157" i="2"/>
  <c r="BN157" i="2"/>
  <c r="BL157" i="2"/>
  <c r="BK157" i="2"/>
  <c r="BJ157" i="2"/>
  <c r="BR157" i="2" s="1"/>
  <c r="BS157" i="2" s="1"/>
  <c r="BT157" i="2" s="1"/>
  <c r="BI157" i="2"/>
  <c r="BH157" i="2"/>
  <c r="BG157" i="2"/>
  <c r="BF157" i="2"/>
  <c r="BE157" i="2"/>
  <c r="BD157" i="2"/>
  <c r="BC157" i="2"/>
  <c r="BB157" i="2"/>
  <c r="BA157" i="2"/>
  <c r="AY157" i="2"/>
  <c r="AX157" i="2"/>
  <c r="AW157" i="2"/>
  <c r="AV157" i="2"/>
  <c r="AU157" i="2"/>
  <c r="AR157" i="2"/>
  <c r="AP157" i="2"/>
  <c r="AM157" i="2"/>
  <c r="AL157" i="2"/>
  <c r="AN157" i="2" s="1"/>
  <c r="AI157" i="2"/>
  <c r="AH157" i="2"/>
  <c r="BM157" i="2" s="1"/>
  <c r="AG157" i="2"/>
  <c r="AA157" i="2"/>
  <c r="W157" i="2"/>
  <c r="V157" i="2"/>
  <c r="T157" i="2"/>
  <c r="R157" i="2"/>
  <c r="P157" i="2"/>
  <c r="J157" i="2"/>
  <c r="AZ157" i="2" s="1"/>
  <c r="BZ156" i="2"/>
  <c r="BV156" i="2"/>
  <c r="BU156" i="2"/>
  <c r="BW156" i="2" s="1"/>
  <c r="BQ156" i="2"/>
  <c r="BP156" i="2"/>
  <c r="BO156" i="2"/>
  <c r="BN156" i="2"/>
  <c r="BL156" i="2"/>
  <c r="BK156" i="2"/>
  <c r="BJ156" i="2"/>
  <c r="BR156" i="2" s="1"/>
  <c r="BI156" i="2"/>
  <c r="BH156" i="2"/>
  <c r="BG156" i="2"/>
  <c r="BF156" i="2"/>
  <c r="BE156" i="2"/>
  <c r="BD156" i="2"/>
  <c r="BC156" i="2"/>
  <c r="BB156" i="2"/>
  <c r="BA156" i="2"/>
  <c r="AY156" i="2"/>
  <c r="AX156" i="2"/>
  <c r="AW156" i="2"/>
  <c r="AV156" i="2"/>
  <c r="AU156" i="2"/>
  <c r="AR156" i="2"/>
  <c r="AP156" i="2"/>
  <c r="AN156" i="2"/>
  <c r="AM156" i="2"/>
  <c r="AL156" i="2"/>
  <c r="AH156" i="2"/>
  <c r="BM156" i="2" s="1"/>
  <c r="AA156" i="2"/>
  <c r="W156" i="2"/>
  <c r="V156" i="2"/>
  <c r="T156" i="2"/>
  <c r="R156" i="2"/>
  <c r="P156" i="2"/>
  <c r="J156" i="2"/>
  <c r="AZ156" i="2" s="1"/>
  <c r="BZ155" i="2"/>
  <c r="BV155" i="2"/>
  <c r="BU155" i="2"/>
  <c r="BQ155" i="2"/>
  <c r="BP155" i="2"/>
  <c r="BO155" i="2"/>
  <c r="BN155" i="2"/>
  <c r="BL155" i="2"/>
  <c r="BK155" i="2"/>
  <c r="BJ155" i="2"/>
  <c r="BR155" i="2" s="1"/>
  <c r="BI155" i="2"/>
  <c r="BH155" i="2"/>
  <c r="BG155" i="2"/>
  <c r="BF155" i="2"/>
  <c r="BE155" i="2"/>
  <c r="BD155" i="2"/>
  <c r="BC155" i="2"/>
  <c r="BB155" i="2"/>
  <c r="BA155" i="2"/>
  <c r="AY155" i="2"/>
  <c r="AX155" i="2"/>
  <c r="AW155" i="2"/>
  <c r="AV155" i="2"/>
  <c r="AU155" i="2"/>
  <c r="AR155" i="2"/>
  <c r="AP155" i="2"/>
  <c r="AM155" i="2"/>
  <c r="AL155" i="2"/>
  <c r="AN155" i="2" s="1"/>
  <c r="AI155" i="2"/>
  <c r="AH155" i="2"/>
  <c r="BM155" i="2" s="1"/>
  <c r="AG155" i="2"/>
  <c r="AA155" i="2"/>
  <c r="W155" i="2"/>
  <c r="V155" i="2"/>
  <c r="T155" i="2"/>
  <c r="R155" i="2"/>
  <c r="P155" i="2"/>
  <c r="J155" i="2"/>
  <c r="AZ155" i="2" s="1"/>
  <c r="BZ154" i="2"/>
  <c r="BV154" i="2"/>
  <c r="BU154" i="2"/>
  <c r="BW154" i="2" s="1"/>
  <c r="BQ154" i="2"/>
  <c r="BP154" i="2"/>
  <c r="BO154" i="2"/>
  <c r="BN154" i="2"/>
  <c r="BL154" i="2"/>
  <c r="BK154" i="2"/>
  <c r="BJ154" i="2"/>
  <c r="BR154" i="2" s="1"/>
  <c r="BI154" i="2"/>
  <c r="BH154" i="2"/>
  <c r="BG154" i="2"/>
  <c r="BF154" i="2"/>
  <c r="BE154" i="2"/>
  <c r="BD154" i="2"/>
  <c r="BC154" i="2"/>
  <c r="BB154" i="2"/>
  <c r="BA154" i="2"/>
  <c r="AY154" i="2"/>
  <c r="AX154" i="2"/>
  <c r="AW154" i="2"/>
  <c r="AV154" i="2"/>
  <c r="AU154" i="2"/>
  <c r="AR154" i="2"/>
  <c r="AP154" i="2"/>
  <c r="AM154" i="2"/>
  <c r="AL154" i="2"/>
  <c r="AN154" i="2" s="1"/>
  <c r="AI154" i="2"/>
  <c r="AH154" i="2"/>
  <c r="BM154" i="2" s="1"/>
  <c r="AG154" i="2"/>
  <c r="AA154" i="2"/>
  <c r="W154" i="2"/>
  <c r="V154" i="2"/>
  <c r="T154" i="2"/>
  <c r="R154" i="2"/>
  <c r="P154" i="2"/>
  <c r="J154" i="2"/>
  <c r="AZ154" i="2" s="1"/>
  <c r="BZ153" i="2"/>
  <c r="BV153" i="2"/>
  <c r="BU153" i="2"/>
  <c r="BQ153" i="2"/>
  <c r="BP153" i="2"/>
  <c r="BO153" i="2"/>
  <c r="BN153" i="2"/>
  <c r="BL153" i="2"/>
  <c r="BK153" i="2"/>
  <c r="BJ153" i="2"/>
  <c r="BR153" i="2" s="1"/>
  <c r="BS153" i="2" s="1"/>
  <c r="BT153" i="2" s="1"/>
  <c r="BI153" i="2"/>
  <c r="BH153" i="2"/>
  <c r="BG153" i="2"/>
  <c r="BF153" i="2"/>
  <c r="BE153" i="2"/>
  <c r="BD153" i="2"/>
  <c r="BC153" i="2"/>
  <c r="BB153" i="2"/>
  <c r="BA153" i="2"/>
  <c r="AY153" i="2"/>
  <c r="AX153" i="2"/>
  <c r="AW153" i="2"/>
  <c r="AV153" i="2"/>
  <c r="AU153" i="2"/>
  <c r="AR153" i="2"/>
  <c r="AP153" i="2"/>
  <c r="AM153" i="2"/>
  <c r="AL153" i="2"/>
  <c r="AN153" i="2" s="1"/>
  <c r="AI153" i="2"/>
  <c r="AH153" i="2"/>
  <c r="BM153" i="2" s="1"/>
  <c r="AG153" i="2"/>
  <c r="AA153" i="2"/>
  <c r="W153" i="2"/>
  <c r="V153" i="2"/>
  <c r="T153" i="2"/>
  <c r="R153" i="2"/>
  <c r="P153" i="2"/>
  <c r="J153" i="2"/>
  <c r="AZ153" i="2" s="1"/>
  <c r="BZ152" i="2"/>
  <c r="BV152" i="2"/>
  <c r="BU152" i="2"/>
  <c r="BW152" i="2" s="1"/>
  <c r="BQ152" i="2"/>
  <c r="BP152" i="2"/>
  <c r="BO152" i="2"/>
  <c r="BN152" i="2"/>
  <c r="BL152" i="2"/>
  <c r="BK152" i="2"/>
  <c r="BJ152" i="2"/>
  <c r="BR152" i="2" s="1"/>
  <c r="BI152" i="2"/>
  <c r="BH152" i="2"/>
  <c r="BG152" i="2"/>
  <c r="BF152" i="2"/>
  <c r="BE152" i="2"/>
  <c r="BD152" i="2"/>
  <c r="BC152" i="2"/>
  <c r="BB152" i="2"/>
  <c r="BA152" i="2"/>
  <c r="AY152" i="2"/>
  <c r="AX152" i="2"/>
  <c r="AW152" i="2"/>
  <c r="AV152" i="2"/>
  <c r="AU152" i="2"/>
  <c r="AR152" i="2"/>
  <c r="AP152" i="2"/>
  <c r="AN152" i="2"/>
  <c r="AM152" i="2"/>
  <c r="AL152" i="2"/>
  <c r="AI152" i="2"/>
  <c r="AH152" i="2"/>
  <c r="BM152" i="2" s="1"/>
  <c r="AG152" i="2"/>
  <c r="AA152" i="2"/>
  <c r="W152" i="2"/>
  <c r="V152" i="2"/>
  <c r="T152" i="2"/>
  <c r="R152" i="2"/>
  <c r="P152" i="2"/>
  <c r="J152" i="2"/>
  <c r="AZ152" i="2" s="1"/>
  <c r="BZ151" i="2"/>
  <c r="BV151" i="2"/>
  <c r="BU151" i="2"/>
  <c r="BQ151" i="2"/>
  <c r="BS151" i="2" s="1"/>
  <c r="BT151" i="2" s="1"/>
  <c r="BP151" i="2"/>
  <c r="BO151" i="2"/>
  <c r="BN151" i="2"/>
  <c r="BL151" i="2"/>
  <c r="BK151" i="2"/>
  <c r="BJ151" i="2"/>
  <c r="BR151" i="2" s="1"/>
  <c r="BI151" i="2"/>
  <c r="BH151" i="2"/>
  <c r="BG151" i="2"/>
  <c r="BF151" i="2"/>
  <c r="BE151" i="2"/>
  <c r="BD151" i="2"/>
  <c r="BC151" i="2"/>
  <c r="BB151" i="2"/>
  <c r="BA151" i="2"/>
  <c r="AY151" i="2"/>
  <c r="AX151" i="2"/>
  <c r="AW151" i="2"/>
  <c r="AV151" i="2"/>
  <c r="AU151" i="2"/>
  <c r="AR151" i="2"/>
  <c r="AP151" i="2"/>
  <c r="AN151" i="2"/>
  <c r="AM151" i="2"/>
  <c r="AL151" i="2"/>
  <c r="AI151" i="2"/>
  <c r="AH151" i="2"/>
  <c r="BM151" i="2" s="1"/>
  <c r="AG151" i="2"/>
  <c r="AA151" i="2"/>
  <c r="W151" i="2"/>
  <c r="V151" i="2"/>
  <c r="T151" i="2"/>
  <c r="R151" i="2"/>
  <c r="P151" i="2"/>
  <c r="J151" i="2"/>
  <c r="AZ151" i="2" s="1"/>
  <c r="BZ150" i="2"/>
  <c r="BV150" i="2"/>
  <c r="BU150" i="2"/>
  <c r="BQ150" i="2"/>
  <c r="BS150" i="2" s="1"/>
  <c r="BT150" i="2" s="1"/>
  <c r="BP150" i="2"/>
  <c r="BO150" i="2"/>
  <c r="BN150" i="2"/>
  <c r="BM150" i="2"/>
  <c r="BL150" i="2"/>
  <c r="BK150" i="2"/>
  <c r="BJ150" i="2"/>
  <c r="BR150" i="2" s="1"/>
  <c r="BI150" i="2"/>
  <c r="BH150" i="2"/>
  <c r="BG150" i="2"/>
  <c r="BF150" i="2"/>
  <c r="BE150" i="2"/>
  <c r="BD150" i="2"/>
  <c r="BC150" i="2"/>
  <c r="BB150" i="2"/>
  <c r="BA150" i="2"/>
  <c r="AY150" i="2"/>
  <c r="AX150" i="2"/>
  <c r="AW150" i="2"/>
  <c r="AV150" i="2"/>
  <c r="AU150" i="2"/>
  <c r="AR150" i="2"/>
  <c r="AP150" i="2"/>
  <c r="AM150" i="2"/>
  <c r="AL150" i="2"/>
  <c r="AN150" i="2" s="1"/>
  <c r="AI150" i="2"/>
  <c r="AH150" i="2"/>
  <c r="AG150" i="2"/>
  <c r="AA150" i="2"/>
  <c r="W150" i="2"/>
  <c r="V150" i="2"/>
  <c r="T150" i="2"/>
  <c r="R150" i="2"/>
  <c r="P150" i="2"/>
  <c r="J150" i="2"/>
  <c r="AZ150" i="2" s="1"/>
  <c r="BZ149" i="2"/>
  <c r="BW149" i="2"/>
  <c r="BV149" i="2"/>
  <c r="BU149" i="2"/>
  <c r="BQ149" i="2"/>
  <c r="BP149" i="2"/>
  <c r="BO149" i="2"/>
  <c r="BN149" i="2"/>
  <c r="BL149" i="2"/>
  <c r="BK149" i="2"/>
  <c r="BJ149" i="2"/>
  <c r="BR149" i="2" s="1"/>
  <c r="BI149" i="2"/>
  <c r="BH149" i="2"/>
  <c r="BG149" i="2"/>
  <c r="BF149" i="2"/>
  <c r="BE149" i="2"/>
  <c r="BD149" i="2"/>
  <c r="BC149" i="2"/>
  <c r="BB149" i="2"/>
  <c r="BA149" i="2"/>
  <c r="AY149" i="2"/>
  <c r="AX149" i="2"/>
  <c r="AW149" i="2"/>
  <c r="AV149" i="2"/>
  <c r="AU149" i="2"/>
  <c r="AR149" i="2"/>
  <c r="AP149" i="2"/>
  <c r="AM149" i="2"/>
  <c r="AL149" i="2"/>
  <c r="AN149" i="2" s="1"/>
  <c r="AI149" i="2"/>
  <c r="AH149" i="2"/>
  <c r="BM149" i="2" s="1"/>
  <c r="AG149" i="2"/>
  <c r="AA149" i="2"/>
  <c r="W149" i="2"/>
  <c r="V149" i="2"/>
  <c r="T149" i="2"/>
  <c r="R149" i="2"/>
  <c r="P149" i="2"/>
  <c r="J149" i="2"/>
  <c r="AZ149" i="2" s="1"/>
  <c r="BZ148" i="2"/>
  <c r="BV148" i="2"/>
  <c r="BW148" i="2" s="1"/>
  <c r="BU148" i="2"/>
  <c r="BQ148" i="2"/>
  <c r="BP148" i="2"/>
  <c r="BO148" i="2"/>
  <c r="BN148" i="2"/>
  <c r="BL148" i="2"/>
  <c r="BK148" i="2"/>
  <c r="BJ148" i="2"/>
  <c r="BR148" i="2" s="1"/>
  <c r="BS148" i="2" s="1"/>
  <c r="BT148" i="2" s="1"/>
  <c r="BI148" i="2"/>
  <c r="BH148" i="2"/>
  <c r="BG148" i="2"/>
  <c r="BF148" i="2"/>
  <c r="BE148" i="2"/>
  <c r="BD148" i="2"/>
  <c r="BC148" i="2"/>
  <c r="BB148" i="2"/>
  <c r="BA148" i="2"/>
  <c r="AY148" i="2"/>
  <c r="AX148" i="2"/>
  <c r="AW148" i="2"/>
  <c r="AV148" i="2"/>
  <c r="AU148" i="2"/>
  <c r="AR148" i="2"/>
  <c r="AP148" i="2"/>
  <c r="AM148" i="2"/>
  <c r="AL148" i="2"/>
  <c r="AN148" i="2" s="1"/>
  <c r="AI148" i="2"/>
  <c r="AH148" i="2"/>
  <c r="BM148" i="2" s="1"/>
  <c r="AG148" i="2"/>
  <c r="AA148" i="2"/>
  <c r="W148" i="2"/>
  <c r="V148" i="2"/>
  <c r="T148" i="2"/>
  <c r="R148" i="2"/>
  <c r="P148" i="2"/>
  <c r="J148" i="2"/>
  <c r="AZ148" i="2" s="1"/>
  <c r="BZ147" i="2"/>
  <c r="BV147" i="2"/>
  <c r="BU147" i="2"/>
  <c r="BW147" i="2" s="1"/>
  <c r="BQ147" i="2"/>
  <c r="BP147" i="2"/>
  <c r="BO147" i="2"/>
  <c r="BN147" i="2"/>
  <c r="BL147" i="2"/>
  <c r="BK147" i="2"/>
  <c r="BJ147" i="2"/>
  <c r="BR147" i="2" s="1"/>
  <c r="BI147" i="2"/>
  <c r="BH147" i="2"/>
  <c r="BG147" i="2"/>
  <c r="BF147" i="2"/>
  <c r="BE147" i="2"/>
  <c r="BD147" i="2"/>
  <c r="BC147" i="2"/>
  <c r="BB147" i="2"/>
  <c r="BA147" i="2"/>
  <c r="AY147" i="2"/>
  <c r="AX147" i="2"/>
  <c r="AW147" i="2"/>
  <c r="AV147" i="2"/>
  <c r="AU147" i="2"/>
  <c r="AR147" i="2"/>
  <c r="AP147" i="2"/>
  <c r="AM147" i="2"/>
  <c r="AL147" i="2"/>
  <c r="AN147" i="2" s="1"/>
  <c r="AI147" i="2"/>
  <c r="AH147" i="2"/>
  <c r="AG147" i="2" s="1"/>
  <c r="AA147" i="2"/>
  <c r="W147" i="2"/>
  <c r="V147" i="2"/>
  <c r="T147" i="2"/>
  <c r="R147" i="2"/>
  <c r="P147" i="2"/>
  <c r="J147" i="2"/>
  <c r="AZ147" i="2" s="1"/>
  <c r="BZ146" i="2"/>
  <c r="BV146" i="2"/>
  <c r="BU146" i="2"/>
  <c r="BW146" i="2" s="1"/>
  <c r="BQ146" i="2"/>
  <c r="BP146" i="2"/>
  <c r="BO146" i="2"/>
  <c r="BN146" i="2"/>
  <c r="BL146" i="2"/>
  <c r="BK146" i="2"/>
  <c r="BJ146" i="2"/>
  <c r="BR146" i="2" s="1"/>
  <c r="BI146" i="2"/>
  <c r="BH146" i="2"/>
  <c r="BG146" i="2"/>
  <c r="BF146" i="2"/>
  <c r="BE146" i="2"/>
  <c r="BD146" i="2"/>
  <c r="BC146" i="2"/>
  <c r="BB146" i="2"/>
  <c r="BA146" i="2"/>
  <c r="AY146" i="2"/>
  <c r="AX146" i="2"/>
  <c r="AW146" i="2"/>
  <c r="AV146" i="2"/>
  <c r="AU146" i="2"/>
  <c r="AR146" i="2"/>
  <c r="AP146" i="2"/>
  <c r="AM146" i="2"/>
  <c r="AL146" i="2"/>
  <c r="AH146" i="2"/>
  <c r="AI146" i="2" s="1"/>
  <c r="AG146" i="2"/>
  <c r="AA146" i="2"/>
  <c r="W146" i="2"/>
  <c r="V146" i="2"/>
  <c r="T146" i="2"/>
  <c r="R146" i="2"/>
  <c r="P146" i="2"/>
  <c r="J146" i="2"/>
  <c r="AZ146" i="2" s="1"/>
  <c r="BZ145" i="2"/>
  <c r="BV145" i="2"/>
  <c r="BU145" i="2"/>
  <c r="BW145" i="2" s="1"/>
  <c r="BQ145" i="2"/>
  <c r="BP145" i="2"/>
  <c r="BO145" i="2"/>
  <c r="BN145" i="2"/>
  <c r="BL145" i="2"/>
  <c r="BK145" i="2"/>
  <c r="BJ145" i="2"/>
  <c r="BR145" i="2" s="1"/>
  <c r="BI145" i="2"/>
  <c r="BH145" i="2"/>
  <c r="BG145" i="2"/>
  <c r="BF145" i="2"/>
  <c r="BE145" i="2"/>
  <c r="BD145" i="2"/>
  <c r="BC145" i="2"/>
  <c r="BB145" i="2"/>
  <c r="BA145" i="2"/>
  <c r="AY145" i="2"/>
  <c r="AX145" i="2"/>
  <c r="AW145" i="2"/>
  <c r="AV145" i="2"/>
  <c r="AU145" i="2"/>
  <c r="AR145" i="2"/>
  <c r="AP145" i="2"/>
  <c r="AM145" i="2"/>
  <c r="AL145" i="2"/>
  <c r="AN145" i="2" s="1"/>
  <c r="AI145" i="2"/>
  <c r="AH145" i="2"/>
  <c r="BM145" i="2" s="1"/>
  <c r="AG145" i="2"/>
  <c r="AA145" i="2"/>
  <c r="W145" i="2"/>
  <c r="V145" i="2"/>
  <c r="T145" i="2"/>
  <c r="R145" i="2"/>
  <c r="P145" i="2"/>
  <c r="J145" i="2"/>
  <c r="AZ145" i="2" s="1"/>
  <c r="BZ144" i="2"/>
  <c r="BW144" i="2"/>
  <c r="BV144" i="2"/>
  <c r="BU144" i="2"/>
  <c r="BQ144" i="2"/>
  <c r="BP144" i="2"/>
  <c r="BO144" i="2"/>
  <c r="BN144" i="2"/>
  <c r="BL144" i="2"/>
  <c r="BK144" i="2"/>
  <c r="BJ144" i="2"/>
  <c r="BR144" i="2" s="1"/>
  <c r="BI144" i="2"/>
  <c r="BH144" i="2"/>
  <c r="BG144" i="2"/>
  <c r="BF144" i="2"/>
  <c r="BE144" i="2"/>
  <c r="BD144" i="2"/>
  <c r="BC144" i="2"/>
  <c r="BB144" i="2"/>
  <c r="BA144" i="2"/>
  <c r="AY144" i="2"/>
  <c r="AX144" i="2"/>
  <c r="AW144" i="2"/>
  <c r="AV144" i="2"/>
  <c r="AU144" i="2"/>
  <c r="AR144" i="2"/>
  <c r="AP144" i="2"/>
  <c r="AM144" i="2"/>
  <c r="AL144" i="2"/>
  <c r="AN144" i="2" s="1"/>
  <c r="AH144" i="2"/>
  <c r="BM144" i="2" s="1"/>
  <c r="AA144" i="2"/>
  <c r="W144" i="2"/>
  <c r="V144" i="2"/>
  <c r="T144" i="2"/>
  <c r="R144" i="2"/>
  <c r="P144" i="2"/>
  <c r="J144" i="2"/>
  <c r="AZ144" i="2" s="1"/>
  <c r="BZ143" i="2"/>
  <c r="BV143" i="2"/>
  <c r="BU143" i="2"/>
  <c r="BW143" i="2" s="1"/>
  <c r="BQ143" i="2"/>
  <c r="BS143" i="2" s="1"/>
  <c r="BT143" i="2" s="1"/>
  <c r="BP143" i="2"/>
  <c r="BO143" i="2"/>
  <c r="BN143" i="2"/>
  <c r="BL143" i="2"/>
  <c r="BK143" i="2"/>
  <c r="BJ143" i="2"/>
  <c r="BR143" i="2" s="1"/>
  <c r="BI143" i="2"/>
  <c r="BH143" i="2"/>
  <c r="BG143" i="2"/>
  <c r="BF143" i="2"/>
  <c r="BE143" i="2"/>
  <c r="BD143" i="2"/>
  <c r="BC143" i="2"/>
  <c r="BB143" i="2"/>
  <c r="BA143" i="2"/>
  <c r="AY143" i="2"/>
  <c r="AX143" i="2"/>
  <c r="AW143" i="2"/>
  <c r="AV143" i="2"/>
  <c r="AU143" i="2"/>
  <c r="AR143" i="2"/>
  <c r="AP143" i="2"/>
  <c r="AN143" i="2"/>
  <c r="AM143" i="2"/>
  <c r="AL143" i="2"/>
  <c r="AI143" i="2"/>
  <c r="AH143" i="2"/>
  <c r="BM143" i="2" s="1"/>
  <c r="AG143" i="2"/>
  <c r="AA143" i="2"/>
  <c r="W143" i="2"/>
  <c r="V143" i="2"/>
  <c r="T143" i="2"/>
  <c r="R143" i="2"/>
  <c r="P143" i="2"/>
  <c r="J143" i="2"/>
  <c r="AZ143" i="2" s="1"/>
  <c r="BZ142" i="2"/>
  <c r="BV142" i="2"/>
  <c r="BU142" i="2"/>
  <c r="BW142" i="2" s="1"/>
  <c r="BQ142" i="2"/>
  <c r="BS142" i="2" s="1"/>
  <c r="BT142" i="2" s="1"/>
  <c r="BP142" i="2"/>
  <c r="BO142" i="2"/>
  <c r="BN142" i="2"/>
  <c r="BL142" i="2"/>
  <c r="BK142" i="2"/>
  <c r="BJ142" i="2"/>
  <c r="BR142" i="2" s="1"/>
  <c r="BI142" i="2"/>
  <c r="BH142" i="2"/>
  <c r="BG142" i="2"/>
  <c r="BF142" i="2"/>
  <c r="BE142" i="2"/>
  <c r="BD142" i="2"/>
  <c r="BC142" i="2"/>
  <c r="BB142" i="2"/>
  <c r="BA142" i="2"/>
  <c r="AY142" i="2"/>
  <c r="AX142" i="2"/>
  <c r="AW142" i="2"/>
  <c r="AV142" i="2"/>
  <c r="AU142" i="2"/>
  <c r="AR142" i="2"/>
  <c r="AP142" i="2"/>
  <c r="AM142" i="2"/>
  <c r="AL142" i="2"/>
  <c r="AH142" i="2"/>
  <c r="AI142" i="2" s="1"/>
  <c r="AA142" i="2"/>
  <c r="W142" i="2"/>
  <c r="V142" i="2"/>
  <c r="T142" i="2"/>
  <c r="R142" i="2"/>
  <c r="P142" i="2"/>
  <c r="J142" i="2"/>
  <c r="AZ142" i="2" s="1"/>
  <c r="BZ141" i="2"/>
  <c r="BV141" i="2"/>
  <c r="BU141" i="2"/>
  <c r="BW141" i="2" s="1"/>
  <c r="BQ141" i="2"/>
  <c r="BP141" i="2"/>
  <c r="BO141" i="2"/>
  <c r="BN141" i="2"/>
  <c r="BL141" i="2"/>
  <c r="BK141" i="2"/>
  <c r="BJ141" i="2"/>
  <c r="BR141" i="2" s="1"/>
  <c r="BI141" i="2"/>
  <c r="BH141" i="2"/>
  <c r="BG141" i="2"/>
  <c r="BF141" i="2"/>
  <c r="BE141" i="2"/>
  <c r="BD141" i="2"/>
  <c r="BC141" i="2"/>
  <c r="BB141" i="2"/>
  <c r="BA141" i="2"/>
  <c r="AY141" i="2"/>
  <c r="AX141" i="2"/>
  <c r="AW141" i="2"/>
  <c r="AV141" i="2"/>
  <c r="AU141" i="2"/>
  <c r="AR141" i="2"/>
  <c r="AP141" i="2"/>
  <c r="AM141" i="2"/>
  <c r="AL141" i="2"/>
  <c r="AN141" i="2" s="1"/>
  <c r="AI141" i="2"/>
  <c r="AH141" i="2"/>
  <c r="BM141" i="2" s="1"/>
  <c r="AG141" i="2"/>
  <c r="AA141" i="2"/>
  <c r="W141" i="2"/>
  <c r="V141" i="2"/>
  <c r="T141" i="2"/>
  <c r="R141" i="2"/>
  <c r="P141" i="2"/>
  <c r="J141" i="2"/>
  <c r="AZ141" i="2" s="1"/>
  <c r="BZ140" i="2"/>
  <c r="BW140" i="2"/>
  <c r="BV140" i="2"/>
  <c r="BU140" i="2"/>
  <c r="BQ140" i="2"/>
  <c r="BP140" i="2"/>
  <c r="BO140" i="2"/>
  <c r="BN140" i="2"/>
  <c r="BL140" i="2"/>
  <c r="BK140" i="2"/>
  <c r="BJ140" i="2"/>
  <c r="BR140" i="2" s="1"/>
  <c r="BI140" i="2"/>
  <c r="BH140" i="2"/>
  <c r="BG140" i="2"/>
  <c r="BF140" i="2"/>
  <c r="BE140" i="2"/>
  <c r="BD140" i="2"/>
  <c r="BC140" i="2"/>
  <c r="BB140" i="2"/>
  <c r="BA140" i="2"/>
  <c r="AY140" i="2"/>
  <c r="AX140" i="2"/>
  <c r="AW140" i="2"/>
  <c r="AV140" i="2"/>
  <c r="AU140" i="2"/>
  <c r="AR140" i="2"/>
  <c r="AP140" i="2"/>
  <c r="AM140" i="2"/>
  <c r="AL140" i="2"/>
  <c r="AN140" i="2" s="1"/>
  <c r="AI140" i="2"/>
  <c r="AH140" i="2"/>
  <c r="BM140" i="2" s="1"/>
  <c r="AG140" i="2"/>
  <c r="AA140" i="2"/>
  <c r="W140" i="2"/>
  <c r="V140" i="2"/>
  <c r="T140" i="2"/>
  <c r="R140" i="2"/>
  <c r="P140" i="2"/>
  <c r="J140" i="2"/>
  <c r="AZ140" i="2" s="1"/>
  <c r="BZ139" i="2"/>
  <c r="BV139" i="2"/>
  <c r="BU139" i="2"/>
  <c r="BQ139" i="2"/>
  <c r="BP139" i="2"/>
  <c r="BO139" i="2"/>
  <c r="BN139" i="2"/>
  <c r="BL139" i="2"/>
  <c r="BK139" i="2"/>
  <c r="BJ139" i="2"/>
  <c r="BR139" i="2" s="1"/>
  <c r="BI139" i="2"/>
  <c r="BH139" i="2"/>
  <c r="BG139" i="2"/>
  <c r="BF139" i="2"/>
  <c r="BE139" i="2"/>
  <c r="BD139" i="2"/>
  <c r="BC139" i="2"/>
  <c r="BB139" i="2"/>
  <c r="BA139" i="2"/>
  <c r="AY139" i="2"/>
  <c r="AX139" i="2"/>
  <c r="AW139" i="2"/>
  <c r="AV139" i="2"/>
  <c r="AU139" i="2"/>
  <c r="AR139" i="2"/>
  <c r="AP139" i="2"/>
  <c r="AM139" i="2"/>
  <c r="AL139" i="2"/>
  <c r="AN139" i="2" s="1"/>
  <c r="AI139" i="2"/>
  <c r="AH139" i="2"/>
  <c r="BM139" i="2" s="1"/>
  <c r="AG139" i="2"/>
  <c r="AA139" i="2"/>
  <c r="W139" i="2"/>
  <c r="V139" i="2"/>
  <c r="T139" i="2"/>
  <c r="R139" i="2"/>
  <c r="P139" i="2"/>
  <c r="J139" i="2"/>
  <c r="AZ139" i="2" s="1"/>
  <c r="BZ138" i="2"/>
  <c r="BV138" i="2"/>
  <c r="BU138" i="2"/>
  <c r="BQ138" i="2"/>
  <c r="BP138" i="2"/>
  <c r="BO138" i="2"/>
  <c r="BN138" i="2"/>
  <c r="BL138" i="2"/>
  <c r="BK138" i="2"/>
  <c r="BJ138" i="2"/>
  <c r="BR138" i="2" s="1"/>
  <c r="BI138" i="2"/>
  <c r="BH138" i="2"/>
  <c r="BG138" i="2"/>
  <c r="BF138" i="2"/>
  <c r="BE138" i="2"/>
  <c r="BD138" i="2"/>
  <c r="BC138" i="2"/>
  <c r="BB138" i="2"/>
  <c r="BA138" i="2"/>
  <c r="AY138" i="2"/>
  <c r="AX138" i="2"/>
  <c r="AW138" i="2"/>
  <c r="AV138" i="2"/>
  <c r="AU138" i="2"/>
  <c r="AR138" i="2"/>
  <c r="AP138" i="2"/>
  <c r="AM138" i="2"/>
  <c r="AL138" i="2"/>
  <c r="AN138" i="2" s="1"/>
  <c r="AI138" i="2"/>
  <c r="AH138" i="2"/>
  <c r="BM138" i="2" s="1"/>
  <c r="AG138" i="2"/>
  <c r="AA138" i="2"/>
  <c r="W138" i="2"/>
  <c r="V138" i="2"/>
  <c r="T138" i="2"/>
  <c r="R138" i="2"/>
  <c r="P138" i="2"/>
  <c r="J138" i="2"/>
  <c r="AZ138" i="2" s="1"/>
  <c r="BZ137" i="2"/>
  <c r="BV137" i="2"/>
  <c r="BW137" i="2" s="1"/>
  <c r="BU137" i="2"/>
  <c r="BQ137" i="2"/>
  <c r="BP137" i="2"/>
  <c r="BO137" i="2"/>
  <c r="BN137" i="2"/>
  <c r="BL137" i="2"/>
  <c r="BK137" i="2"/>
  <c r="BJ137" i="2"/>
  <c r="BR137" i="2" s="1"/>
  <c r="BS137" i="2" s="1"/>
  <c r="BT137" i="2" s="1"/>
  <c r="BI137" i="2"/>
  <c r="BH137" i="2"/>
  <c r="BG137" i="2"/>
  <c r="BF137" i="2"/>
  <c r="BE137" i="2"/>
  <c r="BD137" i="2"/>
  <c r="BC137" i="2"/>
  <c r="BB137" i="2"/>
  <c r="BA137" i="2"/>
  <c r="AY137" i="2"/>
  <c r="AX137" i="2"/>
  <c r="AW137" i="2"/>
  <c r="AV137" i="2"/>
  <c r="AU137" i="2"/>
  <c r="AR137" i="2"/>
  <c r="AP137" i="2"/>
  <c r="AM137" i="2"/>
  <c r="AL137" i="2"/>
  <c r="AH137" i="2"/>
  <c r="BM137" i="2" s="1"/>
  <c r="AG137" i="2"/>
  <c r="AA137" i="2"/>
  <c r="W137" i="2"/>
  <c r="V137" i="2"/>
  <c r="T137" i="2"/>
  <c r="R137" i="2"/>
  <c r="P137" i="2"/>
  <c r="J137" i="2"/>
  <c r="AZ137" i="2" s="1"/>
  <c r="BZ136" i="2"/>
  <c r="BV136" i="2"/>
  <c r="BU136" i="2"/>
  <c r="BW136" i="2" s="1"/>
  <c r="BQ136" i="2"/>
  <c r="BP136" i="2"/>
  <c r="BO136" i="2"/>
  <c r="BN136" i="2"/>
  <c r="BL136" i="2"/>
  <c r="BK136" i="2"/>
  <c r="BJ136" i="2"/>
  <c r="BR136" i="2" s="1"/>
  <c r="BI136" i="2"/>
  <c r="BH136" i="2"/>
  <c r="BG136" i="2"/>
  <c r="BF136" i="2"/>
  <c r="BE136" i="2"/>
  <c r="BD136" i="2"/>
  <c r="BC136" i="2"/>
  <c r="BB136" i="2"/>
  <c r="BA136" i="2"/>
  <c r="AY136" i="2"/>
  <c r="AX136" i="2"/>
  <c r="AW136" i="2"/>
  <c r="AV136" i="2"/>
  <c r="AU136" i="2"/>
  <c r="AR136" i="2"/>
  <c r="AP136" i="2"/>
  <c r="AN136" i="2"/>
  <c r="AM136" i="2"/>
  <c r="AL136" i="2"/>
  <c r="AI136" i="2"/>
  <c r="AH136" i="2"/>
  <c r="BM136" i="2" s="1"/>
  <c r="AG136" i="2"/>
  <c r="AA136" i="2"/>
  <c r="W136" i="2"/>
  <c r="V136" i="2"/>
  <c r="T136" i="2"/>
  <c r="R136" i="2"/>
  <c r="P136" i="2"/>
  <c r="J136" i="2"/>
  <c r="AZ136" i="2" s="1"/>
  <c r="BZ135" i="2"/>
  <c r="BV135" i="2"/>
  <c r="BU135" i="2"/>
  <c r="BQ135" i="2"/>
  <c r="BP135" i="2"/>
  <c r="BO135" i="2"/>
  <c r="BN135" i="2"/>
  <c r="BL135" i="2"/>
  <c r="BK135" i="2"/>
  <c r="BJ135" i="2"/>
  <c r="BR135" i="2" s="1"/>
  <c r="BI135" i="2"/>
  <c r="BH135" i="2"/>
  <c r="BG135" i="2"/>
  <c r="BF135" i="2"/>
  <c r="BE135" i="2"/>
  <c r="BD135" i="2"/>
  <c r="BC135" i="2"/>
  <c r="BB135" i="2"/>
  <c r="BA135" i="2"/>
  <c r="AY135" i="2"/>
  <c r="AX135" i="2"/>
  <c r="AW135" i="2"/>
  <c r="AV135" i="2"/>
  <c r="AU135" i="2"/>
  <c r="AR135" i="2"/>
  <c r="AP135" i="2"/>
  <c r="AN135" i="2"/>
  <c r="AM135" i="2"/>
  <c r="AL135" i="2"/>
  <c r="AI135" i="2"/>
  <c r="AH135" i="2"/>
  <c r="BM135" i="2" s="1"/>
  <c r="AG135" i="2"/>
  <c r="AA135" i="2"/>
  <c r="W135" i="2"/>
  <c r="V135" i="2"/>
  <c r="T135" i="2"/>
  <c r="R135" i="2"/>
  <c r="P135" i="2"/>
  <c r="J135" i="2"/>
  <c r="AZ135" i="2" s="1"/>
  <c r="BZ134" i="2"/>
  <c r="BV134" i="2"/>
  <c r="BU134" i="2"/>
  <c r="BQ134" i="2"/>
  <c r="BP134" i="2"/>
  <c r="BO134" i="2"/>
  <c r="BN134" i="2"/>
  <c r="BM134" i="2"/>
  <c r="BL134" i="2"/>
  <c r="BK134" i="2"/>
  <c r="BJ134" i="2"/>
  <c r="BR134" i="2" s="1"/>
  <c r="BI134" i="2"/>
  <c r="BH134" i="2"/>
  <c r="BG134" i="2"/>
  <c r="BF134" i="2"/>
  <c r="BE134" i="2"/>
  <c r="BD134" i="2"/>
  <c r="BC134" i="2"/>
  <c r="BB134" i="2"/>
  <c r="BA134" i="2"/>
  <c r="AY134" i="2"/>
  <c r="AX134" i="2"/>
  <c r="AW134" i="2"/>
  <c r="AV134" i="2"/>
  <c r="AU134" i="2"/>
  <c r="AR134" i="2"/>
  <c r="AP134" i="2"/>
  <c r="AM134" i="2"/>
  <c r="AL134" i="2"/>
  <c r="AN134" i="2" s="1"/>
  <c r="AI134" i="2"/>
  <c r="AH134" i="2"/>
  <c r="AG134" i="2"/>
  <c r="AA134" i="2"/>
  <c r="W134" i="2"/>
  <c r="V134" i="2"/>
  <c r="T134" i="2"/>
  <c r="R134" i="2"/>
  <c r="P134" i="2"/>
  <c r="J134" i="2"/>
  <c r="AZ134" i="2" s="1"/>
  <c r="BZ133" i="2"/>
  <c r="BW133" i="2"/>
  <c r="BV133" i="2"/>
  <c r="BU133" i="2"/>
  <c r="BQ133" i="2"/>
  <c r="BP133" i="2"/>
  <c r="BO133" i="2"/>
  <c r="BN133" i="2"/>
  <c r="BL133" i="2"/>
  <c r="BK133" i="2"/>
  <c r="BJ133" i="2"/>
  <c r="BR133" i="2" s="1"/>
  <c r="BI133" i="2"/>
  <c r="BH133" i="2"/>
  <c r="BG133" i="2"/>
  <c r="BF133" i="2"/>
  <c r="BE133" i="2"/>
  <c r="BD133" i="2"/>
  <c r="BC133" i="2"/>
  <c r="BB133" i="2"/>
  <c r="BA133" i="2"/>
  <c r="AY133" i="2"/>
  <c r="AX133" i="2"/>
  <c r="AW133" i="2"/>
  <c r="AV133" i="2"/>
  <c r="AU133" i="2"/>
  <c r="AR133" i="2"/>
  <c r="AP133" i="2"/>
  <c r="AM133" i="2"/>
  <c r="AL133" i="2"/>
  <c r="AN133" i="2" s="1"/>
  <c r="AH133" i="2"/>
  <c r="AA133" i="2"/>
  <c r="W133" i="2"/>
  <c r="V133" i="2"/>
  <c r="T133" i="2"/>
  <c r="R133" i="2"/>
  <c r="P133" i="2"/>
  <c r="J133" i="2"/>
  <c r="AZ133" i="2" s="1"/>
  <c r="BZ132" i="2"/>
  <c r="BV132" i="2"/>
  <c r="BU132" i="2"/>
  <c r="BQ132" i="2"/>
  <c r="BP132" i="2"/>
  <c r="BO132" i="2"/>
  <c r="BN132" i="2"/>
  <c r="BL132" i="2"/>
  <c r="BK132" i="2"/>
  <c r="BJ132" i="2"/>
  <c r="BR132" i="2" s="1"/>
  <c r="BS132" i="2" s="1"/>
  <c r="BT132" i="2" s="1"/>
  <c r="BI132" i="2"/>
  <c r="BH132" i="2"/>
  <c r="BG132" i="2"/>
  <c r="BF132" i="2"/>
  <c r="BE132" i="2"/>
  <c r="BD132" i="2"/>
  <c r="BC132" i="2"/>
  <c r="BB132" i="2"/>
  <c r="BA132" i="2"/>
  <c r="AY132" i="2"/>
  <c r="AX132" i="2"/>
  <c r="AW132" i="2"/>
  <c r="AV132" i="2"/>
  <c r="AU132" i="2"/>
  <c r="AR132" i="2"/>
  <c r="AP132" i="2"/>
  <c r="AN132" i="2"/>
  <c r="AM132" i="2"/>
  <c r="AL132" i="2"/>
  <c r="AI132" i="2"/>
  <c r="AH132" i="2"/>
  <c r="BM132" i="2" s="1"/>
  <c r="AG132" i="2"/>
  <c r="AA132" i="2"/>
  <c r="W132" i="2"/>
  <c r="V132" i="2"/>
  <c r="T132" i="2"/>
  <c r="R132" i="2"/>
  <c r="P132" i="2"/>
  <c r="J132" i="2"/>
  <c r="AZ132" i="2" s="1"/>
  <c r="BZ131" i="2"/>
  <c r="BV131" i="2"/>
  <c r="BU131" i="2"/>
  <c r="BW131" i="2" s="1"/>
  <c r="BQ131" i="2"/>
  <c r="BP131" i="2"/>
  <c r="BO131" i="2"/>
  <c r="BN131" i="2"/>
  <c r="BL131" i="2"/>
  <c r="BK131" i="2"/>
  <c r="BJ131" i="2"/>
  <c r="BR131" i="2" s="1"/>
  <c r="BI131" i="2"/>
  <c r="BH131" i="2"/>
  <c r="BG131" i="2"/>
  <c r="BF131" i="2"/>
  <c r="BE131" i="2"/>
  <c r="BD131" i="2"/>
  <c r="BC131" i="2"/>
  <c r="BB131" i="2"/>
  <c r="BA131" i="2"/>
  <c r="AY131" i="2"/>
  <c r="AX131" i="2"/>
  <c r="AW131" i="2"/>
  <c r="AV131" i="2"/>
  <c r="AU131" i="2"/>
  <c r="AR131" i="2"/>
  <c r="AP131" i="2"/>
  <c r="AN131" i="2"/>
  <c r="AM131" i="2"/>
  <c r="AL131" i="2"/>
  <c r="AI131" i="2"/>
  <c r="AH131" i="2"/>
  <c r="AG131" i="2" s="1"/>
  <c r="AA131" i="2"/>
  <c r="W131" i="2"/>
  <c r="V131" i="2"/>
  <c r="T131" i="2"/>
  <c r="R131" i="2"/>
  <c r="P131" i="2"/>
  <c r="J131" i="2"/>
  <c r="AZ131" i="2" s="1"/>
  <c r="BZ130" i="2"/>
  <c r="BV130" i="2"/>
  <c r="BU130" i="2"/>
  <c r="BQ130" i="2"/>
  <c r="BS130" i="2" s="1"/>
  <c r="BT130" i="2" s="1"/>
  <c r="BP130" i="2"/>
  <c r="BO130" i="2"/>
  <c r="BN130" i="2"/>
  <c r="BM130" i="2"/>
  <c r="BL130" i="2"/>
  <c r="BK130" i="2"/>
  <c r="BJ130" i="2"/>
  <c r="BR130" i="2" s="1"/>
  <c r="BI130" i="2"/>
  <c r="BH130" i="2"/>
  <c r="BG130" i="2"/>
  <c r="BF130" i="2"/>
  <c r="BE130" i="2"/>
  <c r="BD130" i="2"/>
  <c r="BC130" i="2"/>
  <c r="BB130" i="2"/>
  <c r="BA130" i="2"/>
  <c r="AY130" i="2"/>
  <c r="AX130" i="2"/>
  <c r="AW130" i="2"/>
  <c r="AV130" i="2"/>
  <c r="AU130" i="2"/>
  <c r="AR130" i="2"/>
  <c r="AP130" i="2"/>
  <c r="AM130" i="2"/>
  <c r="AL130" i="2"/>
  <c r="AI130" i="2"/>
  <c r="AH130" i="2"/>
  <c r="AG130" i="2"/>
  <c r="AA130" i="2"/>
  <c r="W130" i="2"/>
  <c r="V130" i="2"/>
  <c r="T130" i="2"/>
  <c r="R130" i="2"/>
  <c r="P130" i="2"/>
  <c r="J130" i="2"/>
  <c r="AZ130" i="2" s="1"/>
  <c r="BZ129" i="2"/>
  <c r="BW129" i="2"/>
  <c r="BV129" i="2"/>
  <c r="BU129" i="2"/>
  <c r="BQ129" i="2"/>
  <c r="BP129" i="2"/>
  <c r="BO129" i="2"/>
  <c r="BN129" i="2"/>
  <c r="BL129" i="2"/>
  <c r="BK129" i="2"/>
  <c r="BJ129" i="2"/>
  <c r="BR129" i="2" s="1"/>
  <c r="BI129" i="2"/>
  <c r="BH129" i="2"/>
  <c r="BG129" i="2"/>
  <c r="BF129" i="2"/>
  <c r="BE129" i="2"/>
  <c r="BD129" i="2"/>
  <c r="BC129" i="2"/>
  <c r="BB129" i="2"/>
  <c r="BA129" i="2"/>
  <c r="AY129" i="2"/>
  <c r="AX129" i="2"/>
  <c r="AW129" i="2"/>
  <c r="AV129" i="2"/>
  <c r="AU129" i="2"/>
  <c r="AR129" i="2"/>
  <c r="AP129" i="2"/>
  <c r="AM129" i="2"/>
  <c r="AL129" i="2"/>
  <c r="AN129" i="2" s="1"/>
  <c r="AI129" i="2"/>
  <c r="AH129" i="2"/>
  <c r="BM129" i="2" s="1"/>
  <c r="AG129" i="2"/>
  <c r="AA129" i="2"/>
  <c r="W129" i="2"/>
  <c r="V129" i="2"/>
  <c r="T129" i="2"/>
  <c r="R129" i="2"/>
  <c r="P129" i="2"/>
  <c r="J129" i="2"/>
  <c r="AZ129" i="2" s="1"/>
  <c r="BZ128" i="2"/>
  <c r="BW128" i="2"/>
  <c r="BV128" i="2"/>
  <c r="BU128" i="2"/>
  <c r="BQ128" i="2"/>
  <c r="BP128" i="2"/>
  <c r="BO128" i="2"/>
  <c r="BN128" i="2"/>
  <c r="BL128" i="2"/>
  <c r="BK128" i="2"/>
  <c r="BJ128" i="2"/>
  <c r="BR128" i="2" s="1"/>
  <c r="BS128" i="2" s="1"/>
  <c r="BT128" i="2" s="1"/>
  <c r="BI128" i="2"/>
  <c r="BH128" i="2"/>
  <c r="BG128" i="2"/>
  <c r="BF128" i="2"/>
  <c r="BE128" i="2"/>
  <c r="BD128" i="2"/>
  <c r="BC128" i="2"/>
  <c r="BB128" i="2"/>
  <c r="BA128" i="2"/>
  <c r="AY128" i="2"/>
  <c r="AX128" i="2"/>
  <c r="AW128" i="2"/>
  <c r="AV128" i="2"/>
  <c r="AU128" i="2"/>
  <c r="AR128" i="2"/>
  <c r="AP128" i="2"/>
  <c r="AM128" i="2"/>
  <c r="AL128" i="2"/>
  <c r="AN128" i="2" s="1"/>
  <c r="AH128" i="2"/>
  <c r="BM128" i="2" s="1"/>
  <c r="AA128" i="2"/>
  <c r="W128" i="2"/>
  <c r="V128" i="2"/>
  <c r="T128" i="2"/>
  <c r="R128" i="2"/>
  <c r="P128" i="2"/>
  <c r="J128" i="2"/>
  <c r="AZ128" i="2" s="1"/>
  <c r="BZ127" i="2"/>
  <c r="BV127" i="2"/>
  <c r="BU127" i="2"/>
  <c r="BQ127" i="2"/>
  <c r="BS127" i="2" s="1"/>
  <c r="BT127" i="2" s="1"/>
  <c r="BP127" i="2"/>
  <c r="BO127" i="2"/>
  <c r="BN127" i="2"/>
  <c r="BM127" i="2"/>
  <c r="BL127" i="2"/>
  <c r="BK127" i="2"/>
  <c r="BJ127" i="2"/>
  <c r="BR127" i="2" s="1"/>
  <c r="BI127" i="2"/>
  <c r="BH127" i="2"/>
  <c r="BG127" i="2"/>
  <c r="BF127" i="2"/>
  <c r="BE127" i="2"/>
  <c r="BD127" i="2"/>
  <c r="BC127" i="2"/>
  <c r="BB127" i="2"/>
  <c r="BA127" i="2"/>
  <c r="AY127" i="2"/>
  <c r="AX127" i="2"/>
  <c r="AW127" i="2"/>
  <c r="AV127" i="2"/>
  <c r="AU127" i="2"/>
  <c r="AR127" i="2"/>
  <c r="AP127" i="2"/>
  <c r="AN127" i="2"/>
  <c r="AM127" i="2"/>
  <c r="AL127" i="2"/>
  <c r="AH127" i="2"/>
  <c r="AI127" i="2" s="1"/>
  <c r="AG127" i="2"/>
  <c r="AA127" i="2"/>
  <c r="W127" i="2"/>
  <c r="V127" i="2"/>
  <c r="T127" i="2"/>
  <c r="R127" i="2"/>
  <c r="P127" i="2"/>
  <c r="J127" i="2"/>
  <c r="AZ127" i="2" s="1"/>
  <c r="BZ126" i="2"/>
  <c r="BV126" i="2"/>
  <c r="BU126" i="2"/>
  <c r="BQ126" i="2"/>
  <c r="BS126" i="2" s="1"/>
  <c r="BT126" i="2" s="1"/>
  <c r="BP126" i="2"/>
  <c r="BO126" i="2"/>
  <c r="BN126" i="2"/>
  <c r="BM126" i="2"/>
  <c r="BL126" i="2"/>
  <c r="BK126" i="2"/>
  <c r="BJ126" i="2"/>
  <c r="BR126" i="2" s="1"/>
  <c r="BI126" i="2"/>
  <c r="BH126" i="2"/>
  <c r="BG126" i="2"/>
  <c r="BF126" i="2"/>
  <c r="BE126" i="2"/>
  <c r="BD126" i="2"/>
  <c r="BC126" i="2"/>
  <c r="BB126" i="2"/>
  <c r="BA126" i="2"/>
  <c r="AY126" i="2"/>
  <c r="AX126" i="2"/>
  <c r="AW126" i="2"/>
  <c r="AV126" i="2"/>
  <c r="AU126" i="2"/>
  <c r="AR126" i="2"/>
  <c r="AP126" i="2"/>
  <c r="AM126" i="2"/>
  <c r="AL126" i="2"/>
  <c r="AN126" i="2" s="1"/>
  <c r="AI126" i="2"/>
  <c r="AH126" i="2"/>
  <c r="AG126" i="2"/>
  <c r="AA126" i="2"/>
  <c r="W126" i="2"/>
  <c r="V126" i="2"/>
  <c r="T126" i="2"/>
  <c r="R126" i="2"/>
  <c r="P126" i="2"/>
  <c r="J126" i="2"/>
  <c r="AZ126" i="2" s="1"/>
  <c r="BZ125" i="2"/>
  <c r="BW125" i="2"/>
  <c r="BV125" i="2"/>
  <c r="BU125" i="2"/>
  <c r="BQ125" i="2"/>
  <c r="BP125" i="2"/>
  <c r="BO125" i="2"/>
  <c r="BN125" i="2"/>
  <c r="BL125" i="2"/>
  <c r="BK125" i="2"/>
  <c r="BJ125" i="2"/>
  <c r="BR125" i="2" s="1"/>
  <c r="BI125" i="2"/>
  <c r="BH125" i="2"/>
  <c r="BG125" i="2"/>
  <c r="BF125" i="2"/>
  <c r="BE125" i="2"/>
  <c r="BD125" i="2"/>
  <c r="BC125" i="2"/>
  <c r="BB125" i="2"/>
  <c r="BA125" i="2"/>
  <c r="AY125" i="2"/>
  <c r="AX125" i="2"/>
  <c r="AW125" i="2"/>
  <c r="AV125" i="2"/>
  <c r="AU125" i="2"/>
  <c r="AR125" i="2"/>
  <c r="AP125" i="2"/>
  <c r="AM125" i="2"/>
  <c r="AL125" i="2"/>
  <c r="AN125" i="2" s="1"/>
  <c r="AI125" i="2"/>
  <c r="AH125" i="2"/>
  <c r="BM125" i="2" s="1"/>
  <c r="AG125" i="2"/>
  <c r="AA125" i="2"/>
  <c r="W125" i="2"/>
  <c r="V125" i="2"/>
  <c r="T125" i="2"/>
  <c r="R125" i="2"/>
  <c r="P125" i="2"/>
  <c r="J125" i="2"/>
  <c r="AZ125" i="2" s="1"/>
  <c r="BZ124" i="2"/>
  <c r="BV124" i="2"/>
  <c r="BW124" i="2" s="1"/>
  <c r="BU124" i="2"/>
  <c r="BQ124" i="2"/>
  <c r="BP124" i="2"/>
  <c r="BO124" i="2"/>
  <c r="BN124" i="2"/>
  <c r="BL124" i="2"/>
  <c r="BK124" i="2"/>
  <c r="BJ124" i="2"/>
  <c r="BR124" i="2" s="1"/>
  <c r="BS124" i="2" s="1"/>
  <c r="BT124" i="2" s="1"/>
  <c r="BI124" i="2"/>
  <c r="BH124" i="2"/>
  <c r="BG124" i="2"/>
  <c r="BF124" i="2"/>
  <c r="BE124" i="2"/>
  <c r="BD124" i="2"/>
  <c r="BC124" i="2"/>
  <c r="BB124" i="2"/>
  <c r="BA124" i="2"/>
  <c r="AY124" i="2"/>
  <c r="AX124" i="2"/>
  <c r="AW124" i="2"/>
  <c r="AV124" i="2"/>
  <c r="AU124" i="2"/>
  <c r="AR124" i="2"/>
  <c r="AP124" i="2"/>
  <c r="AM124" i="2"/>
  <c r="AL124" i="2"/>
  <c r="AN124" i="2" s="1"/>
  <c r="AI124" i="2"/>
  <c r="AH124" i="2"/>
  <c r="BM124" i="2" s="1"/>
  <c r="AG124" i="2"/>
  <c r="AA124" i="2"/>
  <c r="W124" i="2"/>
  <c r="V124" i="2"/>
  <c r="T124" i="2"/>
  <c r="R124" i="2"/>
  <c r="P124" i="2"/>
  <c r="J124" i="2"/>
  <c r="AZ124" i="2" s="1"/>
  <c r="BZ123" i="2"/>
  <c r="BV123" i="2"/>
  <c r="BU123" i="2"/>
  <c r="BW123" i="2" s="1"/>
  <c r="BQ123" i="2"/>
  <c r="BP123" i="2"/>
  <c r="BO123" i="2"/>
  <c r="BN123" i="2"/>
  <c r="BL123" i="2"/>
  <c r="BK123" i="2"/>
  <c r="BJ123" i="2"/>
  <c r="BR123" i="2" s="1"/>
  <c r="BI123" i="2"/>
  <c r="BH123" i="2"/>
  <c r="BG123" i="2"/>
  <c r="BF123" i="2"/>
  <c r="BE123" i="2"/>
  <c r="BD123" i="2"/>
  <c r="BC123" i="2"/>
  <c r="BB123" i="2"/>
  <c r="BA123" i="2"/>
  <c r="AY123" i="2"/>
  <c r="AX123" i="2"/>
  <c r="AW123" i="2"/>
  <c r="AV123" i="2"/>
  <c r="AU123" i="2"/>
  <c r="AR123" i="2"/>
  <c r="AP123" i="2"/>
  <c r="AM123" i="2"/>
  <c r="AL123" i="2"/>
  <c r="AN123" i="2" s="1"/>
  <c r="AI123" i="2"/>
  <c r="AH123" i="2"/>
  <c r="BM123" i="2" s="1"/>
  <c r="AG123" i="2"/>
  <c r="AA123" i="2"/>
  <c r="W123" i="2"/>
  <c r="V123" i="2"/>
  <c r="T123" i="2"/>
  <c r="R123" i="2"/>
  <c r="P123" i="2"/>
  <c r="J123" i="2"/>
  <c r="AZ123" i="2" s="1"/>
  <c r="BZ122" i="2"/>
  <c r="BV122" i="2"/>
  <c r="BU122" i="2"/>
  <c r="BW122" i="2" s="1"/>
  <c r="BQ122" i="2"/>
  <c r="BP122" i="2"/>
  <c r="BO122" i="2"/>
  <c r="BN122" i="2"/>
  <c r="BL122" i="2"/>
  <c r="BK122" i="2"/>
  <c r="BJ122" i="2"/>
  <c r="BR122" i="2" s="1"/>
  <c r="BI122" i="2"/>
  <c r="BH122" i="2"/>
  <c r="BG122" i="2"/>
  <c r="BF122" i="2"/>
  <c r="BE122" i="2"/>
  <c r="BD122" i="2"/>
  <c r="BC122" i="2"/>
  <c r="BB122" i="2"/>
  <c r="BA122" i="2"/>
  <c r="AY122" i="2"/>
  <c r="AX122" i="2"/>
  <c r="AW122" i="2"/>
  <c r="AV122" i="2"/>
  <c r="AU122" i="2"/>
  <c r="AR122" i="2"/>
  <c r="AP122" i="2"/>
  <c r="AM122" i="2"/>
  <c r="AL122" i="2"/>
  <c r="AN122" i="2" s="1"/>
  <c r="AI122" i="2"/>
  <c r="AH122" i="2"/>
  <c r="BM122" i="2" s="1"/>
  <c r="AG122" i="2"/>
  <c r="AA122" i="2"/>
  <c r="W122" i="2"/>
  <c r="V122" i="2"/>
  <c r="T122" i="2"/>
  <c r="R122" i="2"/>
  <c r="P122" i="2"/>
  <c r="J122" i="2"/>
  <c r="AZ122" i="2" s="1"/>
  <c r="BZ121" i="2"/>
  <c r="BV121" i="2"/>
  <c r="BU121" i="2"/>
  <c r="BW121" i="2" s="1"/>
  <c r="BQ121" i="2"/>
  <c r="BP121" i="2"/>
  <c r="BO121" i="2"/>
  <c r="BN121" i="2"/>
  <c r="BL121" i="2"/>
  <c r="BK121" i="2"/>
  <c r="BJ121" i="2"/>
  <c r="BR121" i="2" s="1"/>
  <c r="BS121" i="2" s="1"/>
  <c r="BT121" i="2" s="1"/>
  <c r="BI121" i="2"/>
  <c r="BH121" i="2"/>
  <c r="BG121" i="2"/>
  <c r="BF121" i="2"/>
  <c r="BE121" i="2"/>
  <c r="BD121" i="2"/>
  <c r="BC121" i="2"/>
  <c r="BB121" i="2"/>
  <c r="BA121" i="2"/>
  <c r="AY121" i="2"/>
  <c r="AX121" i="2"/>
  <c r="AW121" i="2"/>
  <c r="AV121" i="2"/>
  <c r="AU121" i="2"/>
  <c r="AR121" i="2"/>
  <c r="AP121" i="2"/>
  <c r="AM121" i="2"/>
  <c r="AL121" i="2"/>
  <c r="AN121" i="2" s="1"/>
  <c r="AI121" i="2"/>
  <c r="AH121" i="2"/>
  <c r="BM121" i="2" s="1"/>
  <c r="AG121" i="2"/>
  <c r="AA121" i="2"/>
  <c r="W121" i="2"/>
  <c r="V121" i="2"/>
  <c r="T121" i="2"/>
  <c r="R121" i="2"/>
  <c r="P121" i="2"/>
  <c r="J121" i="2"/>
  <c r="AZ121" i="2" s="1"/>
  <c r="BZ120" i="2"/>
  <c r="BV120" i="2"/>
  <c r="BU120" i="2"/>
  <c r="BW120" i="2" s="1"/>
  <c r="BQ120" i="2"/>
  <c r="BP120" i="2"/>
  <c r="BO120" i="2"/>
  <c r="BN120" i="2"/>
  <c r="BL120" i="2"/>
  <c r="BK120" i="2"/>
  <c r="BJ120" i="2"/>
  <c r="BR120" i="2" s="1"/>
  <c r="BI120" i="2"/>
  <c r="BH120" i="2"/>
  <c r="BG120" i="2"/>
  <c r="BF120" i="2"/>
  <c r="BE120" i="2"/>
  <c r="BD120" i="2"/>
  <c r="BC120" i="2"/>
  <c r="BB120" i="2"/>
  <c r="BA120" i="2"/>
  <c r="AY120" i="2"/>
  <c r="AX120" i="2"/>
  <c r="AW120" i="2"/>
  <c r="AV120" i="2"/>
  <c r="AU120" i="2"/>
  <c r="AR120" i="2"/>
  <c r="AP120" i="2"/>
  <c r="AN120" i="2"/>
  <c r="AM120" i="2"/>
  <c r="AL120" i="2"/>
  <c r="AH120" i="2"/>
  <c r="AG120" i="2" s="1"/>
  <c r="AA120" i="2"/>
  <c r="W120" i="2"/>
  <c r="V120" i="2"/>
  <c r="T120" i="2"/>
  <c r="R120" i="2"/>
  <c r="P120" i="2"/>
  <c r="J120" i="2"/>
  <c r="AZ120" i="2" s="1"/>
  <c r="BZ119" i="2"/>
  <c r="BV119" i="2"/>
  <c r="BU119" i="2"/>
  <c r="BQ119" i="2"/>
  <c r="BP119" i="2"/>
  <c r="BO119" i="2"/>
  <c r="BN119" i="2"/>
  <c r="BL119" i="2"/>
  <c r="BK119" i="2"/>
  <c r="BJ119" i="2"/>
  <c r="BR119" i="2" s="1"/>
  <c r="BI119" i="2"/>
  <c r="BH119" i="2"/>
  <c r="BG119" i="2"/>
  <c r="BF119" i="2"/>
  <c r="BE119" i="2"/>
  <c r="BD119" i="2"/>
  <c r="BC119" i="2"/>
  <c r="BB119" i="2"/>
  <c r="BA119" i="2"/>
  <c r="AY119" i="2"/>
  <c r="AX119" i="2"/>
  <c r="AW119" i="2"/>
  <c r="AV119" i="2"/>
  <c r="AU119" i="2"/>
  <c r="AR119" i="2"/>
  <c r="AP119" i="2"/>
  <c r="AM119" i="2"/>
  <c r="AN119" i="2" s="1"/>
  <c r="AL119" i="2"/>
  <c r="AH119" i="2"/>
  <c r="BM119" i="2" s="1"/>
  <c r="AG119" i="2"/>
  <c r="AA119" i="2"/>
  <c r="W119" i="2"/>
  <c r="V119" i="2"/>
  <c r="T119" i="2"/>
  <c r="R119" i="2"/>
  <c r="P119" i="2"/>
  <c r="J119" i="2"/>
  <c r="AZ119" i="2" s="1"/>
  <c r="BZ118" i="2"/>
  <c r="BV118" i="2"/>
  <c r="BU118" i="2"/>
  <c r="BQ118" i="2"/>
  <c r="BP118" i="2"/>
  <c r="BO118" i="2"/>
  <c r="BN118" i="2"/>
  <c r="BL118" i="2"/>
  <c r="BK118" i="2"/>
  <c r="BJ118" i="2"/>
  <c r="BR118" i="2" s="1"/>
  <c r="BI118" i="2"/>
  <c r="BH118" i="2"/>
  <c r="BG118" i="2"/>
  <c r="BF118" i="2"/>
  <c r="BE118" i="2"/>
  <c r="BD118" i="2"/>
  <c r="BC118" i="2"/>
  <c r="BB118" i="2"/>
  <c r="BA118" i="2"/>
  <c r="AY118" i="2"/>
  <c r="AX118" i="2"/>
  <c r="AW118" i="2"/>
  <c r="AV118" i="2"/>
  <c r="AU118" i="2"/>
  <c r="AR118" i="2"/>
  <c r="AP118" i="2"/>
  <c r="AM118" i="2"/>
  <c r="AL118" i="2"/>
  <c r="AN118" i="2" s="1"/>
  <c r="AH118" i="2"/>
  <c r="BM118" i="2" s="1"/>
  <c r="AG118" i="2"/>
  <c r="AA118" i="2"/>
  <c r="W118" i="2"/>
  <c r="V118" i="2"/>
  <c r="T118" i="2"/>
  <c r="R118" i="2"/>
  <c r="P118" i="2"/>
  <c r="J118" i="2"/>
  <c r="AZ118" i="2" s="1"/>
  <c r="BZ117" i="2"/>
  <c r="BV117" i="2"/>
  <c r="BU117" i="2"/>
  <c r="BW117" i="2" s="1"/>
  <c r="BQ117" i="2"/>
  <c r="BP117" i="2"/>
  <c r="BO117" i="2"/>
  <c r="BN117" i="2"/>
  <c r="BM117" i="2"/>
  <c r="BL117" i="2"/>
  <c r="BK117" i="2"/>
  <c r="BJ117" i="2"/>
  <c r="BR117" i="2" s="1"/>
  <c r="BI117" i="2"/>
  <c r="BH117" i="2"/>
  <c r="BG117" i="2"/>
  <c r="BF117" i="2"/>
  <c r="BE117" i="2"/>
  <c r="BD117" i="2"/>
  <c r="BC117" i="2"/>
  <c r="BB117" i="2"/>
  <c r="BA117" i="2"/>
  <c r="AY117" i="2"/>
  <c r="AX117" i="2"/>
  <c r="AW117" i="2"/>
  <c r="AV117" i="2"/>
  <c r="AU117" i="2"/>
  <c r="AR117" i="2"/>
  <c r="AP117" i="2"/>
  <c r="AM117" i="2"/>
  <c r="AL117" i="2"/>
  <c r="AI117" i="2"/>
  <c r="AH117" i="2"/>
  <c r="AG117" i="2"/>
  <c r="AA117" i="2"/>
  <c r="W117" i="2"/>
  <c r="V117" i="2"/>
  <c r="T117" i="2"/>
  <c r="R117" i="2"/>
  <c r="P117" i="2"/>
  <c r="J117" i="2"/>
  <c r="AZ117" i="2" s="1"/>
  <c r="BZ116" i="2"/>
  <c r="BV116" i="2"/>
  <c r="BW116" i="2" s="1"/>
  <c r="BU116" i="2"/>
  <c r="BQ116" i="2"/>
  <c r="BP116" i="2"/>
  <c r="BO116" i="2"/>
  <c r="BN116" i="2"/>
  <c r="BL116" i="2"/>
  <c r="BK116" i="2"/>
  <c r="BJ116" i="2"/>
  <c r="BR116" i="2" s="1"/>
  <c r="BI116" i="2"/>
  <c r="BH116" i="2"/>
  <c r="BG116" i="2"/>
  <c r="BF116" i="2"/>
  <c r="BE116" i="2"/>
  <c r="BD116" i="2"/>
  <c r="BC116" i="2"/>
  <c r="BB116" i="2"/>
  <c r="BA116" i="2"/>
  <c r="AY116" i="2"/>
  <c r="AX116" i="2"/>
  <c r="AW116" i="2"/>
  <c r="AV116" i="2"/>
  <c r="AU116" i="2"/>
  <c r="AR116" i="2"/>
  <c r="AP116" i="2"/>
  <c r="AM116" i="2"/>
  <c r="AL116" i="2"/>
  <c r="AN116" i="2" s="1"/>
  <c r="AH116" i="2"/>
  <c r="AA116" i="2"/>
  <c r="W116" i="2"/>
  <c r="V116" i="2"/>
  <c r="T116" i="2"/>
  <c r="R116" i="2"/>
  <c r="P116" i="2"/>
  <c r="J116" i="2"/>
  <c r="AZ116" i="2" s="1"/>
  <c r="BZ115" i="2"/>
  <c r="BV115" i="2"/>
  <c r="BU115" i="2"/>
  <c r="BQ115" i="2"/>
  <c r="BP115" i="2"/>
  <c r="BO115" i="2"/>
  <c r="BN115" i="2"/>
  <c r="BL115" i="2"/>
  <c r="BK115" i="2"/>
  <c r="BJ115" i="2"/>
  <c r="BR115" i="2" s="1"/>
  <c r="BS115" i="2" s="1"/>
  <c r="BT115" i="2" s="1"/>
  <c r="BI115" i="2"/>
  <c r="BH115" i="2"/>
  <c r="BG115" i="2"/>
  <c r="BF115" i="2"/>
  <c r="BE115" i="2"/>
  <c r="BD115" i="2"/>
  <c r="BC115" i="2"/>
  <c r="BB115" i="2"/>
  <c r="BA115" i="2"/>
  <c r="AY115" i="2"/>
  <c r="AX115" i="2"/>
  <c r="AW115" i="2"/>
  <c r="AV115" i="2"/>
  <c r="AU115" i="2"/>
  <c r="AR115" i="2"/>
  <c r="AP115" i="2"/>
  <c r="AN115" i="2"/>
  <c r="AM115" i="2"/>
  <c r="AL115" i="2"/>
  <c r="AI115" i="2"/>
  <c r="AH115" i="2"/>
  <c r="BM115" i="2" s="1"/>
  <c r="AG115" i="2"/>
  <c r="AA115" i="2"/>
  <c r="W115" i="2"/>
  <c r="V115" i="2"/>
  <c r="T115" i="2"/>
  <c r="R115" i="2"/>
  <c r="P115" i="2"/>
  <c r="J115" i="2"/>
  <c r="AZ115" i="2" s="1"/>
  <c r="BZ114" i="2"/>
  <c r="BV114" i="2"/>
  <c r="BU114" i="2"/>
  <c r="BW114" i="2" s="1"/>
  <c r="BQ114" i="2"/>
  <c r="BP114" i="2"/>
  <c r="BO114" i="2"/>
  <c r="BN114" i="2"/>
  <c r="BL114" i="2"/>
  <c r="BK114" i="2"/>
  <c r="BJ114" i="2"/>
  <c r="BR114" i="2" s="1"/>
  <c r="BI114" i="2"/>
  <c r="BH114" i="2"/>
  <c r="BG114" i="2"/>
  <c r="BF114" i="2"/>
  <c r="BE114" i="2"/>
  <c r="BD114" i="2"/>
  <c r="BC114" i="2"/>
  <c r="BB114" i="2"/>
  <c r="BA114" i="2"/>
  <c r="AY114" i="2"/>
  <c r="AX114" i="2"/>
  <c r="AW114" i="2"/>
  <c r="AV114" i="2"/>
  <c r="AU114" i="2"/>
  <c r="AR114" i="2"/>
  <c r="AP114" i="2"/>
  <c r="AN114" i="2"/>
  <c r="AM114" i="2"/>
  <c r="AL114" i="2"/>
  <c r="AH114" i="2"/>
  <c r="BM114" i="2" s="1"/>
  <c r="AG114" i="2"/>
  <c r="AA114" i="2"/>
  <c r="W114" i="2"/>
  <c r="V114" i="2"/>
  <c r="T114" i="2"/>
  <c r="R114" i="2"/>
  <c r="P114" i="2"/>
  <c r="J114" i="2"/>
  <c r="AZ114" i="2" s="1"/>
  <c r="BZ113" i="2"/>
  <c r="BV113" i="2"/>
  <c r="BU113" i="2"/>
  <c r="BQ113" i="2"/>
  <c r="BP113" i="2"/>
  <c r="BO113" i="2"/>
  <c r="BN113" i="2"/>
  <c r="BL113" i="2"/>
  <c r="BK113" i="2"/>
  <c r="BJ113" i="2"/>
  <c r="BR113" i="2" s="1"/>
  <c r="BI113" i="2"/>
  <c r="BH113" i="2"/>
  <c r="BG113" i="2"/>
  <c r="BF113" i="2"/>
  <c r="BE113" i="2"/>
  <c r="BD113" i="2"/>
  <c r="BC113" i="2"/>
  <c r="BB113" i="2"/>
  <c r="BA113" i="2"/>
  <c r="AY113" i="2"/>
  <c r="AX113" i="2"/>
  <c r="AW113" i="2"/>
  <c r="AV113" i="2"/>
  <c r="AU113" i="2"/>
  <c r="AR113" i="2"/>
  <c r="AP113" i="2"/>
  <c r="AM113" i="2"/>
  <c r="AL113" i="2"/>
  <c r="AN113" i="2" s="1"/>
  <c r="AI113" i="2"/>
  <c r="AH113" i="2"/>
  <c r="BM113" i="2" s="1"/>
  <c r="AA113" i="2"/>
  <c r="W113" i="2"/>
  <c r="V113" i="2"/>
  <c r="T113" i="2"/>
  <c r="R113" i="2"/>
  <c r="P113" i="2"/>
  <c r="J113" i="2"/>
  <c r="AZ113" i="2" s="1"/>
  <c r="BZ112" i="2"/>
  <c r="BV112" i="2"/>
  <c r="BU112" i="2"/>
  <c r="BQ112" i="2"/>
  <c r="BP112" i="2"/>
  <c r="BO112" i="2"/>
  <c r="BN112" i="2"/>
  <c r="BL112" i="2"/>
  <c r="BK112" i="2"/>
  <c r="BJ112" i="2"/>
  <c r="BR112" i="2" s="1"/>
  <c r="BS112" i="2" s="1"/>
  <c r="BT112" i="2" s="1"/>
  <c r="BI112" i="2"/>
  <c r="BH112" i="2"/>
  <c r="BG112" i="2"/>
  <c r="BF112" i="2"/>
  <c r="BE112" i="2"/>
  <c r="BD112" i="2"/>
  <c r="BC112" i="2"/>
  <c r="BB112" i="2"/>
  <c r="BA112" i="2"/>
  <c r="AY112" i="2"/>
  <c r="AX112" i="2"/>
  <c r="AW112" i="2"/>
  <c r="AV112" i="2"/>
  <c r="AU112" i="2"/>
  <c r="AR112" i="2"/>
  <c r="AP112" i="2"/>
  <c r="AM112" i="2"/>
  <c r="AL112" i="2"/>
  <c r="AN112" i="2" s="1"/>
  <c r="AI112" i="2"/>
  <c r="AH112" i="2"/>
  <c r="BM112" i="2" s="1"/>
  <c r="AG112" i="2"/>
  <c r="AA112" i="2"/>
  <c r="W112" i="2"/>
  <c r="V112" i="2"/>
  <c r="T112" i="2"/>
  <c r="R112" i="2"/>
  <c r="P112" i="2"/>
  <c r="J112" i="2"/>
  <c r="AZ112" i="2" s="1"/>
  <c r="BZ111" i="2"/>
  <c r="BV111" i="2"/>
  <c r="BU111" i="2"/>
  <c r="BW111" i="2" s="1"/>
  <c r="BQ111" i="2"/>
  <c r="BP111" i="2"/>
  <c r="BO111" i="2"/>
  <c r="BN111" i="2"/>
  <c r="BL111" i="2"/>
  <c r="BK111" i="2"/>
  <c r="BJ111" i="2"/>
  <c r="BR111" i="2" s="1"/>
  <c r="BI111" i="2"/>
  <c r="BH111" i="2"/>
  <c r="BG111" i="2"/>
  <c r="BF111" i="2"/>
  <c r="BE111" i="2"/>
  <c r="BD111" i="2"/>
  <c r="BC111" i="2"/>
  <c r="BB111" i="2"/>
  <c r="BA111" i="2"/>
  <c r="AY111" i="2"/>
  <c r="AX111" i="2"/>
  <c r="AW111" i="2"/>
  <c r="AV111" i="2"/>
  <c r="AU111" i="2"/>
  <c r="AR111" i="2"/>
  <c r="AP111" i="2"/>
  <c r="AN111" i="2"/>
  <c r="AM111" i="2"/>
  <c r="AL111" i="2"/>
  <c r="AI111" i="2"/>
  <c r="AH111" i="2"/>
  <c r="BM111" i="2" s="1"/>
  <c r="AG111" i="2"/>
  <c r="AA111" i="2"/>
  <c r="W111" i="2"/>
  <c r="V111" i="2"/>
  <c r="T111" i="2"/>
  <c r="R111" i="2"/>
  <c r="P111" i="2"/>
  <c r="J111" i="2"/>
  <c r="AZ111" i="2" s="1"/>
  <c r="BZ110" i="2"/>
  <c r="BV110" i="2"/>
  <c r="BU110" i="2"/>
  <c r="BQ110" i="2"/>
  <c r="BS110" i="2" s="1"/>
  <c r="BT110" i="2" s="1"/>
  <c r="BP110" i="2"/>
  <c r="BO110" i="2"/>
  <c r="BN110" i="2"/>
  <c r="BL110" i="2"/>
  <c r="BK110" i="2"/>
  <c r="BJ110" i="2"/>
  <c r="BR110" i="2" s="1"/>
  <c r="BI110" i="2"/>
  <c r="BH110" i="2"/>
  <c r="BG110" i="2"/>
  <c r="BF110" i="2"/>
  <c r="BE110" i="2"/>
  <c r="BD110" i="2"/>
  <c r="BC110" i="2"/>
  <c r="BB110" i="2"/>
  <c r="BA110" i="2"/>
  <c r="AY110" i="2"/>
  <c r="AX110" i="2"/>
  <c r="AW110" i="2"/>
  <c r="AV110" i="2"/>
  <c r="AU110" i="2"/>
  <c r="AR110" i="2"/>
  <c r="AP110" i="2"/>
  <c r="AM110" i="2"/>
  <c r="AL110" i="2"/>
  <c r="AH110" i="2"/>
  <c r="AG110" i="2" s="1"/>
  <c r="AA110" i="2"/>
  <c r="W110" i="2"/>
  <c r="V110" i="2"/>
  <c r="T110" i="2"/>
  <c r="R110" i="2"/>
  <c r="P110" i="2"/>
  <c r="J110" i="2"/>
  <c r="AZ110" i="2" s="1"/>
  <c r="BZ109" i="2"/>
  <c r="BV109" i="2"/>
  <c r="BU109" i="2"/>
  <c r="BW109" i="2" s="1"/>
  <c r="BQ109" i="2"/>
  <c r="BP109" i="2"/>
  <c r="BO109" i="2"/>
  <c r="BN109" i="2"/>
  <c r="BL109" i="2"/>
  <c r="BK109" i="2"/>
  <c r="BJ109" i="2"/>
  <c r="BR109" i="2" s="1"/>
  <c r="BI109" i="2"/>
  <c r="BH109" i="2"/>
  <c r="BG109" i="2"/>
  <c r="BF109" i="2"/>
  <c r="BE109" i="2"/>
  <c r="BD109" i="2"/>
  <c r="BC109" i="2"/>
  <c r="BB109" i="2"/>
  <c r="BA109" i="2"/>
  <c r="AY109" i="2"/>
  <c r="AX109" i="2"/>
  <c r="AW109" i="2"/>
  <c r="AV109" i="2"/>
  <c r="AU109" i="2"/>
  <c r="AR109" i="2"/>
  <c r="AP109" i="2"/>
  <c r="AM109" i="2"/>
  <c r="AL109" i="2"/>
  <c r="AI109" i="2"/>
  <c r="AH109" i="2"/>
  <c r="BM109" i="2" s="1"/>
  <c r="AA109" i="2"/>
  <c r="W109" i="2"/>
  <c r="V109" i="2"/>
  <c r="T109" i="2"/>
  <c r="R109" i="2"/>
  <c r="P109" i="2"/>
  <c r="J109" i="2"/>
  <c r="AZ109" i="2" s="1"/>
  <c r="BZ108" i="2"/>
  <c r="BV108" i="2"/>
  <c r="BW108" i="2" s="1"/>
  <c r="BU108" i="2"/>
  <c r="BQ108" i="2"/>
  <c r="BP108" i="2"/>
  <c r="BO108" i="2"/>
  <c r="BN108" i="2"/>
  <c r="BL108" i="2"/>
  <c r="BK108" i="2"/>
  <c r="BJ108" i="2"/>
  <c r="BR108" i="2" s="1"/>
  <c r="BI108" i="2"/>
  <c r="BH108" i="2"/>
  <c r="BG108" i="2"/>
  <c r="BF108" i="2"/>
  <c r="BE108" i="2"/>
  <c r="BD108" i="2"/>
  <c r="BC108" i="2"/>
  <c r="BB108" i="2"/>
  <c r="BA108" i="2"/>
  <c r="AY108" i="2"/>
  <c r="AX108" i="2"/>
  <c r="AW108" i="2"/>
  <c r="AV108" i="2"/>
  <c r="AU108" i="2"/>
  <c r="AR108" i="2"/>
  <c r="AP108" i="2"/>
  <c r="AM108" i="2"/>
  <c r="AL108" i="2"/>
  <c r="AN108" i="2" s="1"/>
  <c r="AI108" i="2"/>
  <c r="AH108" i="2"/>
  <c r="BM108" i="2" s="1"/>
  <c r="AA108" i="2"/>
  <c r="W108" i="2"/>
  <c r="V108" i="2"/>
  <c r="T108" i="2"/>
  <c r="R108" i="2"/>
  <c r="P108" i="2"/>
  <c r="J108" i="2"/>
  <c r="AZ108" i="2" s="1"/>
  <c r="BZ107" i="2"/>
  <c r="BW107" i="2"/>
  <c r="BV107" i="2"/>
  <c r="BU107" i="2"/>
  <c r="BQ107" i="2"/>
  <c r="BP107" i="2"/>
  <c r="BO107" i="2"/>
  <c r="BN107" i="2"/>
  <c r="BL107" i="2"/>
  <c r="BK107" i="2"/>
  <c r="BJ107" i="2"/>
  <c r="BR107" i="2" s="1"/>
  <c r="BS107" i="2" s="1"/>
  <c r="BT107" i="2" s="1"/>
  <c r="BI107" i="2"/>
  <c r="BH107" i="2"/>
  <c r="BG107" i="2"/>
  <c r="BF107" i="2"/>
  <c r="BE107" i="2"/>
  <c r="BD107" i="2"/>
  <c r="BC107" i="2"/>
  <c r="BB107" i="2"/>
  <c r="BA107" i="2"/>
  <c r="AY107" i="2"/>
  <c r="AX107" i="2"/>
  <c r="AW107" i="2"/>
  <c r="AV107" i="2"/>
  <c r="AU107" i="2"/>
  <c r="AR107" i="2"/>
  <c r="AP107" i="2"/>
  <c r="AM107" i="2"/>
  <c r="AN107" i="2" s="1"/>
  <c r="AL107" i="2"/>
  <c r="AI107" i="2"/>
  <c r="AH107" i="2"/>
  <c r="AA107" i="2"/>
  <c r="W107" i="2"/>
  <c r="V107" i="2"/>
  <c r="T107" i="2"/>
  <c r="R107" i="2"/>
  <c r="P107" i="2"/>
  <c r="J107" i="2"/>
  <c r="AZ107" i="2" s="1"/>
  <c r="BZ106" i="2"/>
  <c r="BV106" i="2"/>
  <c r="BU106" i="2"/>
  <c r="BW106" i="2" s="1"/>
  <c r="BQ106" i="2"/>
  <c r="BP106" i="2"/>
  <c r="BO106" i="2"/>
  <c r="BN106" i="2"/>
  <c r="BL106" i="2"/>
  <c r="BK106" i="2"/>
  <c r="BJ106" i="2"/>
  <c r="BR106" i="2" s="1"/>
  <c r="BI106" i="2"/>
  <c r="BH106" i="2"/>
  <c r="BG106" i="2"/>
  <c r="BF106" i="2"/>
  <c r="BE106" i="2"/>
  <c r="BD106" i="2"/>
  <c r="BC106" i="2"/>
  <c r="BB106" i="2"/>
  <c r="BA106" i="2"/>
  <c r="AY106" i="2"/>
  <c r="AX106" i="2"/>
  <c r="AW106" i="2"/>
  <c r="AV106" i="2"/>
  <c r="AU106" i="2"/>
  <c r="AR106" i="2"/>
  <c r="AP106" i="2"/>
  <c r="AM106" i="2"/>
  <c r="AN106" i="2" s="1"/>
  <c r="AL106" i="2"/>
  <c r="AI106" i="2"/>
  <c r="AH106" i="2"/>
  <c r="AG106" i="2" s="1"/>
  <c r="AA106" i="2"/>
  <c r="W106" i="2"/>
  <c r="V106" i="2"/>
  <c r="T106" i="2"/>
  <c r="R106" i="2"/>
  <c r="P106" i="2"/>
  <c r="J106" i="2"/>
  <c r="AZ106" i="2" s="1"/>
  <c r="BZ105" i="2"/>
  <c r="BV105" i="2"/>
  <c r="BU105" i="2"/>
  <c r="BQ105" i="2"/>
  <c r="BP105" i="2"/>
  <c r="BO105" i="2"/>
  <c r="BN105" i="2"/>
  <c r="BL105" i="2"/>
  <c r="BK105" i="2"/>
  <c r="BJ105" i="2"/>
  <c r="BR105" i="2" s="1"/>
  <c r="BI105" i="2"/>
  <c r="BH105" i="2"/>
  <c r="BG105" i="2"/>
  <c r="BF105" i="2"/>
  <c r="BE105" i="2"/>
  <c r="BD105" i="2"/>
  <c r="BC105" i="2"/>
  <c r="BB105" i="2"/>
  <c r="BA105" i="2"/>
  <c r="AY105" i="2"/>
  <c r="AX105" i="2"/>
  <c r="AW105" i="2"/>
  <c r="AV105" i="2"/>
  <c r="AU105" i="2"/>
  <c r="AR105" i="2"/>
  <c r="AP105" i="2"/>
  <c r="AM105" i="2"/>
  <c r="AL105" i="2"/>
  <c r="AN105" i="2" s="1"/>
  <c r="AI105" i="2"/>
  <c r="AH105" i="2"/>
  <c r="BM105" i="2" s="1"/>
  <c r="AA105" i="2"/>
  <c r="W105" i="2"/>
  <c r="V105" i="2"/>
  <c r="T105" i="2"/>
  <c r="R105" i="2"/>
  <c r="P105" i="2"/>
  <c r="J105" i="2"/>
  <c r="AZ105" i="2" s="1"/>
  <c r="BZ104" i="2"/>
  <c r="BV104" i="2"/>
  <c r="BW104" i="2" s="1"/>
  <c r="BU104" i="2"/>
  <c r="BQ104" i="2"/>
  <c r="BP104" i="2"/>
  <c r="BO104" i="2"/>
  <c r="BN104" i="2"/>
  <c r="BL104" i="2"/>
  <c r="BK104" i="2"/>
  <c r="BJ104" i="2"/>
  <c r="BR104" i="2" s="1"/>
  <c r="BS104" i="2" s="1"/>
  <c r="BT104" i="2" s="1"/>
  <c r="BI104" i="2"/>
  <c r="BH104" i="2"/>
  <c r="BG104" i="2"/>
  <c r="BF104" i="2"/>
  <c r="BE104" i="2"/>
  <c r="BD104" i="2"/>
  <c r="BC104" i="2"/>
  <c r="BB104" i="2"/>
  <c r="BA104" i="2"/>
  <c r="AY104" i="2"/>
  <c r="AX104" i="2"/>
  <c r="AW104" i="2"/>
  <c r="AV104" i="2"/>
  <c r="AU104" i="2"/>
  <c r="AR104" i="2"/>
  <c r="AP104" i="2"/>
  <c r="AM104" i="2"/>
  <c r="AL104" i="2"/>
  <c r="AN104" i="2" s="1"/>
  <c r="AI104" i="2"/>
  <c r="AH104" i="2"/>
  <c r="BM104" i="2" s="1"/>
  <c r="AG104" i="2"/>
  <c r="AA104" i="2"/>
  <c r="W104" i="2"/>
  <c r="V104" i="2"/>
  <c r="T104" i="2"/>
  <c r="R104" i="2"/>
  <c r="P104" i="2"/>
  <c r="J104" i="2"/>
  <c r="AZ104" i="2" s="1"/>
  <c r="BZ103" i="2"/>
  <c r="BV103" i="2"/>
  <c r="BU103" i="2"/>
  <c r="BW103" i="2" s="1"/>
  <c r="BQ103" i="2"/>
  <c r="BP103" i="2"/>
  <c r="BO103" i="2"/>
  <c r="BN103" i="2"/>
  <c r="BL103" i="2"/>
  <c r="BK103" i="2"/>
  <c r="BJ103" i="2"/>
  <c r="BR103" i="2" s="1"/>
  <c r="BI103" i="2"/>
  <c r="BH103" i="2"/>
  <c r="BG103" i="2"/>
  <c r="BF103" i="2"/>
  <c r="BE103" i="2"/>
  <c r="BD103" i="2"/>
  <c r="BC103" i="2"/>
  <c r="BB103" i="2"/>
  <c r="BA103" i="2"/>
  <c r="AY103" i="2"/>
  <c r="AX103" i="2"/>
  <c r="AW103" i="2"/>
  <c r="AV103" i="2"/>
  <c r="AU103" i="2"/>
  <c r="AR103" i="2"/>
  <c r="AP103" i="2"/>
  <c r="AN103" i="2"/>
  <c r="AM103" i="2"/>
  <c r="AL103" i="2"/>
  <c r="AI103" i="2"/>
  <c r="AH103" i="2"/>
  <c r="BM103" i="2" s="1"/>
  <c r="AG103" i="2"/>
  <c r="AA103" i="2"/>
  <c r="W103" i="2"/>
  <c r="V103" i="2"/>
  <c r="T103" i="2"/>
  <c r="R103" i="2"/>
  <c r="P103" i="2"/>
  <c r="J103" i="2"/>
  <c r="AZ103" i="2" s="1"/>
  <c r="BZ102" i="2"/>
  <c r="BV102" i="2"/>
  <c r="BU102" i="2"/>
  <c r="BQ102" i="2"/>
  <c r="BS102" i="2" s="1"/>
  <c r="BT102" i="2" s="1"/>
  <c r="BP102" i="2"/>
  <c r="BO102" i="2"/>
  <c r="BN102" i="2"/>
  <c r="BL102" i="2"/>
  <c r="BK102" i="2"/>
  <c r="BJ102" i="2"/>
  <c r="BR102" i="2" s="1"/>
  <c r="BI102" i="2"/>
  <c r="BH102" i="2"/>
  <c r="BG102" i="2"/>
  <c r="BF102" i="2"/>
  <c r="BE102" i="2"/>
  <c r="BD102" i="2"/>
  <c r="BC102" i="2"/>
  <c r="BB102" i="2"/>
  <c r="BA102" i="2"/>
  <c r="AY102" i="2"/>
  <c r="AX102" i="2"/>
  <c r="AW102" i="2"/>
  <c r="AV102" i="2"/>
  <c r="AU102" i="2"/>
  <c r="AR102" i="2"/>
  <c r="AP102" i="2"/>
  <c r="AM102" i="2"/>
  <c r="AL102" i="2"/>
  <c r="AN102" i="2" s="1"/>
  <c r="AI102" i="2"/>
  <c r="AH102" i="2"/>
  <c r="BM102" i="2" s="1"/>
  <c r="AG102" i="2"/>
  <c r="AA102" i="2"/>
  <c r="W102" i="2"/>
  <c r="V102" i="2"/>
  <c r="T102" i="2"/>
  <c r="R102" i="2"/>
  <c r="P102" i="2"/>
  <c r="J102" i="2"/>
  <c r="AZ102" i="2" s="1"/>
  <c r="BZ101" i="2"/>
  <c r="BV101" i="2"/>
  <c r="BU101" i="2"/>
  <c r="BQ101" i="2"/>
  <c r="BP101" i="2"/>
  <c r="BO101" i="2"/>
  <c r="BN101" i="2"/>
  <c r="BL101" i="2"/>
  <c r="BK101" i="2"/>
  <c r="BJ101" i="2"/>
  <c r="BR101" i="2" s="1"/>
  <c r="BI101" i="2"/>
  <c r="BH101" i="2"/>
  <c r="BG101" i="2"/>
  <c r="BF101" i="2"/>
  <c r="BE101" i="2"/>
  <c r="BD101" i="2"/>
  <c r="BC101" i="2"/>
  <c r="BB101" i="2"/>
  <c r="BA101" i="2"/>
  <c r="AY101" i="2"/>
  <c r="AX101" i="2"/>
  <c r="AW101" i="2"/>
  <c r="AV101" i="2"/>
  <c r="AU101" i="2"/>
  <c r="AR101" i="2"/>
  <c r="AP101" i="2"/>
  <c r="AM101" i="2"/>
  <c r="AL101" i="2"/>
  <c r="AN101" i="2" s="1"/>
  <c r="AI101" i="2"/>
  <c r="AH101" i="2"/>
  <c r="BM101" i="2" s="1"/>
  <c r="AG101" i="2"/>
  <c r="AA101" i="2"/>
  <c r="W101" i="2"/>
  <c r="V101" i="2"/>
  <c r="T101" i="2"/>
  <c r="R101" i="2"/>
  <c r="P101" i="2"/>
  <c r="J101" i="2"/>
  <c r="AZ101" i="2" s="1"/>
  <c r="BZ100" i="2"/>
  <c r="BV100" i="2"/>
  <c r="BU100" i="2"/>
  <c r="BQ100" i="2"/>
  <c r="BP100" i="2"/>
  <c r="BO100" i="2"/>
  <c r="BN100" i="2"/>
  <c r="BL100" i="2"/>
  <c r="BK100" i="2"/>
  <c r="BJ100" i="2"/>
  <c r="BR100" i="2" s="1"/>
  <c r="BS100" i="2" s="1"/>
  <c r="BT100" i="2" s="1"/>
  <c r="BI100" i="2"/>
  <c r="BH100" i="2"/>
  <c r="BG100" i="2"/>
  <c r="BF100" i="2"/>
  <c r="BE100" i="2"/>
  <c r="BD100" i="2"/>
  <c r="BC100" i="2"/>
  <c r="BB100" i="2"/>
  <c r="BA100" i="2"/>
  <c r="AY100" i="2"/>
  <c r="AX100" i="2"/>
  <c r="AW100" i="2"/>
  <c r="AV100" i="2"/>
  <c r="AU100" i="2"/>
  <c r="AR100" i="2"/>
  <c r="AP100" i="2"/>
  <c r="AM100" i="2"/>
  <c r="AL100" i="2"/>
  <c r="AN100" i="2" s="1"/>
  <c r="AI100" i="2"/>
  <c r="AH100" i="2"/>
  <c r="BM100" i="2" s="1"/>
  <c r="AG100" i="2"/>
  <c r="AA100" i="2"/>
  <c r="W100" i="2"/>
  <c r="V100" i="2"/>
  <c r="T100" i="2"/>
  <c r="R100" i="2"/>
  <c r="P100" i="2"/>
  <c r="J100" i="2"/>
  <c r="AZ100" i="2" s="1"/>
  <c r="BZ99" i="2"/>
  <c r="BV99" i="2"/>
  <c r="BU99" i="2"/>
  <c r="BW99" i="2" s="1"/>
  <c r="BQ99" i="2"/>
  <c r="BP99" i="2"/>
  <c r="BO99" i="2"/>
  <c r="BN99" i="2"/>
  <c r="BL99" i="2"/>
  <c r="BK99" i="2"/>
  <c r="BJ99" i="2"/>
  <c r="BR99" i="2" s="1"/>
  <c r="BI99" i="2"/>
  <c r="BH99" i="2"/>
  <c r="BG99" i="2"/>
  <c r="BF99" i="2"/>
  <c r="BE99" i="2"/>
  <c r="BD99" i="2"/>
  <c r="BC99" i="2"/>
  <c r="BB99" i="2"/>
  <c r="BA99" i="2"/>
  <c r="AY99" i="2"/>
  <c r="AX99" i="2"/>
  <c r="AW99" i="2"/>
  <c r="AV99" i="2"/>
  <c r="AU99" i="2"/>
  <c r="AR99" i="2"/>
  <c r="AP99" i="2"/>
  <c r="AM99" i="2"/>
  <c r="AN99" i="2" s="1"/>
  <c r="AL99" i="2"/>
  <c r="AI99" i="2"/>
  <c r="AH99" i="2"/>
  <c r="BM99" i="2" s="1"/>
  <c r="AG99" i="2"/>
  <c r="AA99" i="2"/>
  <c r="W99" i="2"/>
  <c r="V99" i="2"/>
  <c r="T99" i="2"/>
  <c r="R99" i="2"/>
  <c r="P99" i="2"/>
  <c r="J99" i="2"/>
  <c r="AZ99" i="2" s="1"/>
  <c r="BZ98" i="2"/>
  <c r="BV98" i="2"/>
  <c r="BU98" i="2"/>
  <c r="BQ98" i="2"/>
  <c r="BP98" i="2"/>
  <c r="BO98" i="2"/>
  <c r="BN98" i="2"/>
  <c r="BL98" i="2"/>
  <c r="BK98" i="2"/>
  <c r="BJ98" i="2"/>
  <c r="BR98" i="2" s="1"/>
  <c r="BI98" i="2"/>
  <c r="BH98" i="2"/>
  <c r="BG98" i="2"/>
  <c r="BF98" i="2"/>
  <c r="BE98" i="2"/>
  <c r="BD98" i="2"/>
  <c r="BC98" i="2"/>
  <c r="BB98" i="2"/>
  <c r="BA98" i="2"/>
  <c r="AY98" i="2"/>
  <c r="AX98" i="2"/>
  <c r="AW98" i="2"/>
  <c r="AV98" i="2"/>
  <c r="AU98" i="2"/>
  <c r="AR98" i="2"/>
  <c r="AP98" i="2"/>
  <c r="AM98" i="2"/>
  <c r="AL98" i="2"/>
  <c r="AN98" i="2" s="1"/>
  <c r="AI98" i="2"/>
  <c r="AH98" i="2"/>
  <c r="BM98" i="2" s="1"/>
  <c r="AG98" i="2"/>
  <c r="AA98" i="2"/>
  <c r="W98" i="2"/>
  <c r="V98" i="2"/>
  <c r="T98" i="2"/>
  <c r="R98" i="2"/>
  <c r="P98" i="2"/>
  <c r="J98" i="2"/>
  <c r="AZ98" i="2" s="1"/>
  <c r="BZ97" i="2"/>
  <c r="BV97" i="2"/>
  <c r="BU97" i="2"/>
  <c r="BQ97" i="2"/>
  <c r="BP97" i="2"/>
  <c r="BO97" i="2"/>
  <c r="BN97" i="2"/>
  <c r="BL97" i="2"/>
  <c r="BK97" i="2"/>
  <c r="BJ97" i="2"/>
  <c r="BR97" i="2" s="1"/>
  <c r="BI97" i="2"/>
  <c r="BH97" i="2"/>
  <c r="BG97" i="2"/>
  <c r="BF97" i="2"/>
  <c r="BE97" i="2"/>
  <c r="BD97" i="2"/>
  <c r="BC97" i="2"/>
  <c r="BB97" i="2"/>
  <c r="BA97" i="2"/>
  <c r="AY97" i="2"/>
  <c r="AX97" i="2"/>
  <c r="AW97" i="2"/>
  <c r="AV97" i="2"/>
  <c r="AU97" i="2"/>
  <c r="AR97" i="2"/>
  <c r="AP97" i="2"/>
  <c r="AM97" i="2"/>
  <c r="AL97" i="2"/>
  <c r="AH97" i="2"/>
  <c r="AA97" i="2"/>
  <c r="W97" i="2"/>
  <c r="V97" i="2"/>
  <c r="T97" i="2"/>
  <c r="R97" i="2"/>
  <c r="P97" i="2"/>
  <c r="J97" i="2"/>
  <c r="AZ97" i="2" s="1"/>
  <c r="BZ96" i="2"/>
  <c r="BV96" i="2"/>
  <c r="BU96" i="2"/>
  <c r="BQ96" i="2"/>
  <c r="BP96" i="2"/>
  <c r="BO96" i="2"/>
  <c r="BN96" i="2"/>
  <c r="BL96" i="2"/>
  <c r="BK96" i="2"/>
  <c r="BJ96" i="2"/>
  <c r="BR96" i="2" s="1"/>
  <c r="BI96" i="2"/>
  <c r="BH96" i="2"/>
  <c r="BG96" i="2"/>
  <c r="BF96" i="2"/>
  <c r="BE96" i="2"/>
  <c r="BD96" i="2"/>
  <c r="BC96" i="2"/>
  <c r="BB96" i="2"/>
  <c r="BA96" i="2"/>
  <c r="AY96" i="2"/>
  <c r="AX96" i="2"/>
  <c r="AW96" i="2"/>
  <c r="AV96" i="2"/>
  <c r="AU96" i="2"/>
  <c r="AR96" i="2"/>
  <c r="AP96" i="2"/>
  <c r="AM96" i="2"/>
  <c r="AL96" i="2"/>
  <c r="AN96" i="2" s="1"/>
  <c r="AI96" i="2"/>
  <c r="AH96" i="2"/>
  <c r="BM96" i="2" s="1"/>
  <c r="AG96" i="2"/>
  <c r="AA96" i="2"/>
  <c r="W96" i="2"/>
  <c r="V96" i="2"/>
  <c r="T96" i="2"/>
  <c r="R96" i="2"/>
  <c r="P96" i="2"/>
  <c r="J96" i="2"/>
  <c r="AZ96" i="2" s="1"/>
  <c r="BZ95" i="2"/>
  <c r="BW95" i="2"/>
  <c r="BV95" i="2"/>
  <c r="BU95" i="2"/>
  <c r="BQ95" i="2"/>
  <c r="BP95" i="2"/>
  <c r="BO95" i="2"/>
  <c r="BN95" i="2"/>
  <c r="BL95" i="2"/>
  <c r="BK95" i="2"/>
  <c r="BJ95" i="2"/>
  <c r="BR95" i="2" s="1"/>
  <c r="BI95" i="2"/>
  <c r="BH95" i="2"/>
  <c r="BG95" i="2"/>
  <c r="BF95" i="2"/>
  <c r="BE95" i="2"/>
  <c r="BD95" i="2"/>
  <c r="BC95" i="2"/>
  <c r="BB95" i="2"/>
  <c r="BA95" i="2"/>
  <c r="AY95" i="2"/>
  <c r="AX95" i="2"/>
  <c r="AW95" i="2"/>
  <c r="AV95" i="2"/>
  <c r="AU95" i="2"/>
  <c r="AR95" i="2"/>
  <c r="AP95" i="2"/>
  <c r="AM95" i="2"/>
  <c r="AL95" i="2"/>
  <c r="AI95" i="2"/>
  <c r="AH95" i="2"/>
  <c r="BM95" i="2" s="1"/>
  <c r="AA95" i="2"/>
  <c r="W95" i="2"/>
  <c r="V95" i="2"/>
  <c r="T95" i="2"/>
  <c r="R95" i="2"/>
  <c r="P95" i="2"/>
  <c r="J95" i="2"/>
  <c r="AZ95" i="2" s="1"/>
  <c r="BZ94" i="2"/>
  <c r="BV94" i="2"/>
  <c r="BU94" i="2"/>
  <c r="BQ94" i="2"/>
  <c r="BP94" i="2"/>
  <c r="BO94" i="2"/>
  <c r="BN94" i="2"/>
  <c r="BL94" i="2"/>
  <c r="BK94" i="2"/>
  <c r="BJ94" i="2"/>
  <c r="BR94" i="2" s="1"/>
  <c r="BI94" i="2"/>
  <c r="BH94" i="2"/>
  <c r="BG94" i="2"/>
  <c r="BF94" i="2"/>
  <c r="BE94" i="2"/>
  <c r="BD94" i="2"/>
  <c r="BC94" i="2"/>
  <c r="BB94" i="2"/>
  <c r="BA94" i="2"/>
  <c r="AY94" i="2"/>
  <c r="AX94" i="2"/>
  <c r="AW94" i="2"/>
  <c r="AV94" i="2"/>
  <c r="AU94" i="2"/>
  <c r="AR94" i="2"/>
  <c r="AP94" i="2"/>
  <c r="AN94" i="2"/>
  <c r="AM94" i="2"/>
  <c r="AL94" i="2"/>
  <c r="AH94" i="2"/>
  <c r="AG94" i="2" s="1"/>
  <c r="AA94" i="2"/>
  <c r="W94" i="2"/>
  <c r="V94" i="2"/>
  <c r="T94" i="2"/>
  <c r="R94" i="2"/>
  <c r="P94" i="2"/>
  <c r="J94" i="2"/>
  <c r="AZ94" i="2" s="1"/>
  <c r="BZ93" i="2"/>
  <c r="BV93" i="2"/>
  <c r="BU93" i="2"/>
  <c r="BQ93" i="2"/>
  <c r="BP93" i="2"/>
  <c r="BO93" i="2"/>
  <c r="BN93" i="2"/>
  <c r="BL93" i="2"/>
  <c r="BK93" i="2"/>
  <c r="BJ93" i="2"/>
  <c r="BR93" i="2" s="1"/>
  <c r="BI93" i="2"/>
  <c r="BH93" i="2"/>
  <c r="BG93" i="2"/>
  <c r="BF93" i="2"/>
  <c r="BE93" i="2"/>
  <c r="BD93" i="2"/>
  <c r="BC93" i="2"/>
  <c r="BB93" i="2"/>
  <c r="BA93" i="2"/>
  <c r="AY93" i="2"/>
  <c r="AX93" i="2"/>
  <c r="AW93" i="2"/>
  <c r="AV93" i="2"/>
  <c r="AU93" i="2"/>
  <c r="AR93" i="2"/>
  <c r="AP93" i="2"/>
  <c r="AM93" i="2"/>
  <c r="AL93" i="2"/>
  <c r="AN93" i="2" s="1"/>
  <c r="AI93" i="2"/>
  <c r="AH93" i="2"/>
  <c r="BM93" i="2" s="1"/>
  <c r="AA93" i="2"/>
  <c r="W93" i="2"/>
  <c r="V93" i="2"/>
  <c r="T93" i="2"/>
  <c r="R93" i="2"/>
  <c r="P93" i="2"/>
  <c r="J93" i="2"/>
  <c r="AZ93" i="2" s="1"/>
  <c r="BZ92" i="2"/>
  <c r="BV92" i="2"/>
  <c r="BU92" i="2"/>
  <c r="BQ92" i="2"/>
  <c r="BP92" i="2"/>
  <c r="BO92" i="2"/>
  <c r="BN92" i="2"/>
  <c r="BL92" i="2"/>
  <c r="BK92" i="2"/>
  <c r="BJ92" i="2"/>
  <c r="BR92" i="2" s="1"/>
  <c r="BS92" i="2" s="1"/>
  <c r="BT92" i="2" s="1"/>
  <c r="BI92" i="2"/>
  <c r="BH92" i="2"/>
  <c r="BG92" i="2"/>
  <c r="BF92" i="2"/>
  <c r="BE92" i="2"/>
  <c r="BD92" i="2"/>
  <c r="BC92" i="2"/>
  <c r="BB92" i="2"/>
  <c r="BA92" i="2"/>
  <c r="AY92" i="2"/>
  <c r="AX92" i="2"/>
  <c r="AW92" i="2"/>
  <c r="AV92" i="2"/>
  <c r="AU92" i="2"/>
  <c r="AR92" i="2"/>
  <c r="AP92" i="2"/>
  <c r="AM92" i="2"/>
  <c r="AL92" i="2"/>
  <c r="AN92" i="2" s="1"/>
  <c r="AH92" i="2"/>
  <c r="AG92" i="2"/>
  <c r="AA92" i="2"/>
  <c r="W92" i="2"/>
  <c r="V92" i="2"/>
  <c r="T92" i="2"/>
  <c r="R92" i="2"/>
  <c r="P92" i="2"/>
  <c r="J92" i="2"/>
  <c r="AZ92" i="2" s="1"/>
  <c r="BZ91" i="2"/>
  <c r="BV91" i="2"/>
  <c r="BU91" i="2"/>
  <c r="BW91" i="2" s="1"/>
  <c r="BQ91" i="2"/>
  <c r="BP91" i="2"/>
  <c r="BO91" i="2"/>
  <c r="BN91" i="2"/>
  <c r="BL91" i="2"/>
  <c r="BK91" i="2"/>
  <c r="BJ91" i="2"/>
  <c r="BR91" i="2" s="1"/>
  <c r="BI91" i="2"/>
  <c r="BH91" i="2"/>
  <c r="BG91" i="2"/>
  <c r="BF91" i="2"/>
  <c r="BE91" i="2"/>
  <c r="BD91" i="2"/>
  <c r="BC91" i="2"/>
  <c r="BB91" i="2"/>
  <c r="BA91" i="2"/>
  <c r="AY91" i="2"/>
  <c r="AX91" i="2"/>
  <c r="AW91" i="2"/>
  <c r="AV91" i="2"/>
  <c r="AU91" i="2"/>
  <c r="AR91" i="2"/>
  <c r="AP91" i="2"/>
  <c r="AM91" i="2"/>
  <c r="AN91" i="2" s="1"/>
  <c r="AL91" i="2"/>
  <c r="AH91" i="2"/>
  <c r="BM91" i="2" s="1"/>
  <c r="AA91" i="2"/>
  <c r="W91" i="2"/>
  <c r="V91" i="2"/>
  <c r="T91" i="2"/>
  <c r="R91" i="2"/>
  <c r="P91" i="2"/>
  <c r="J91" i="2"/>
  <c r="AZ91" i="2" s="1"/>
  <c r="BZ90" i="2"/>
  <c r="BV90" i="2"/>
  <c r="BU90" i="2"/>
  <c r="BQ90" i="2"/>
  <c r="BP90" i="2"/>
  <c r="BO90" i="2"/>
  <c r="BN90" i="2"/>
  <c r="BL90" i="2"/>
  <c r="BK90" i="2"/>
  <c r="BJ90" i="2"/>
  <c r="BR90" i="2" s="1"/>
  <c r="BI90" i="2"/>
  <c r="BH90" i="2"/>
  <c r="BG90" i="2"/>
  <c r="BF90" i="2"/>
  <c r="BE90" i="2"/>
  <c r="BD90" i="2"/>
  <c r="BC90" i="2"/>
  <c r="BB90" i="2"/>
  <c r="BA90" i="2"/>
  <c r="AY90" i="2"/>
  <c r="AX90" i="2"/>
  <c r="AW90" i="2"/>
  <c r="AV90" i="2"/>
  <c r="AU90" i="2"/>
  <c r="AR90" i="2"/>
  <c r="AP90" i="2"/>
  <c r="AN90" i="2"/>
  <c r="AM90" i="2"/>
  <c r="AL90" i="2"/>
  <c r="AI90" i="2"/>
  <c r="AH90" i="2"/>
  <c r="BM90" i="2" s="1"/>
  <c r="AG90" i="2"/>
  <c r="AA90" i="2"/>
  <c r="W90" i="2"/>
  <c r="V90" i="2"/>
  <c r="T90" i="2"/>
  <c r="R90" i="2"/>
  <c r="P90" i="2"/>
  <c r="J90" i="2"/>
  <c r="AZ90" i="2" s="1"/>
  <c r="BZ89" i="2"/>
  <c r="BV89" i="2"/>
  <c r="BU89" i="2"/>
  <c r="BW89" i="2" s="1"/>
  <c r="BQ89" i="2"/>
  <c r="BP89" i="2"/>
  <c r="BO89" i="2"/>
  <c r="BN89" i="2"/>
  <c r="BL89" i="2"/>
  <c r="BK89" i="2"/>
  <c r="BJ89" i="2"/>
  <c r="BR89" i="2" s="1"/>
  <c r="BI89" i="2"/>
  <c r="BH89" i="2"/>
  <c r="BG89" i="2"/>
  <c r="BF89" i="2"/>
  <c r="BE89" i="2"/>
  <c r="BD89" i="2"/>
  <c r="BC89" i="2"/>
  <c r="BB89" i="2"/>
  <c r="BA89" i="2"/>
  <c r="AY89" i="2"/>
  <c r="AX89" i="2"/>
  <c r="AW89" i="2"/>
  <c r="AV89" i="2"/>
  <c r="AU89" i="2"/>
  <c r="AR89" i="2"/>
  <c r="AP89" i="2"/>
  <c r="AM89" i="2"/>
  <c r="AL89" i="2"/>
  <c r="AN89" i="2" s="1"/>
  <c r="AI89" i="2"/>
  <c r="AH89" i="2"/>
  <c r="BM89" i="2" s="1"/>
  <c r="AG89" i="2"/>
  <c r="AA89" i="2"/>
  <c r="W89" i="2"/>
  <c r="V89" i="2"/>
  <c r="T89" i="2"/>
  <c r="R89" i="2"/>
  <c r="P89" i="2"/>
  <c r="J89" i="2"/>
  <c r="AZ89" i="2" s="1"/>
  <c r="BZ88" i="2"/>
  <c r="BV88" i="2"/>
  <c r="BW88" i="2" s="1"/>
  <c r="BU88" i="2"/>
  <c r="BQ88" i="2"/>
  <c r="BP88" i="2"/>
  <c r="BO88" i="2"/>
  <c r="BN88" i="2"/>
  <c r="BL88" i="2"/>
  <c r="BK88" i="2"/>
  <c r="BJ88" i="2"/>
  <c r="BR88" i="2" s="1"/>
  <c r="BI88" i="2"/>
  <c r="BH88" i="2"/>
  <c r="BG88" i="2"/>
  <c r="BF88" i="2"/>
  <c r="BE88" i="2"/>
  <c r="BD88" i="2"/>
  <c r="BC88" i="2"/>
  <c r="BB88" i="2"/>
  <c r="BA88" i="2"/>
  <c r="AY88" i="2"/>
  <c r="AX88" i="2"/>
  <c r="AW88" i="2"/>
  <c r="AV88" i="2"/>
  <c r="AU88" i="2"/>
  <c r="AR88" i="2"/>
  <c r="AP88" i="2"/>
  <c r="AM88" i="2"/>
  <c r="AL88" i="2"/>
  <c r="AN88" i="2" s="1"/>
  <c r="AI88" i="2"/>
  <c r="AH88" i="2"/>
  <c r="BM88" i="2" s="1"/>
  <c r="AA88" i="2"/>
  <c r="W88" i="2"/>
  <c r="V88" i="2"/>
  <c r="T88" i="2"/>
  <c r="R88" i="2"/>
  <c r="P88" i="2"/>
  <c r="J88" i="2"/>
  <c r="AZ88" i="2" s="1"/>
  <c r="BZ87" i="2"/>
  <c r="BV87" i="2"/>
  <c r="BW87" i="2" s="1"/>
  <c r="BU87" i="2"/>
  <c r="BQ87" i="2"/>
  <c r="BP87" i="2"/>
  <c r="BO87" i="2"/>
  <c r="BN87" i="2"/>
  <c r="BL87" i="2"/>
  <c r="BK87" i="2"/>
  <c r="BJ87" i="2"/>
  <c r="BR87" i="2" s="1"/>
  <c r="BS87" i="2" s="1"/>
  <c r="BT87" i="2" s="1"/>
  <c r="BI87" i="2"/>
  <c r="BH87" i="2"/>
  <c r="BG87" i="2"/>
  <c r="BF87" i="2"/>
  <c r="BE87" i="2"/>
  <c r="BD87" i="2"/>
  <c r="BC87" i="2"/>
  <c r="BB87" i="2"/>
  <c r="BA87" i="2"/>
  <c r="AY87" i="2"/>
  <c r="AX87" i="2"/>
  <c r="AW87" i="2"/>
  <c r="AV87" i="2"/>
  <c r="AU87" i="2"/>
  <c r="AR87" i="2"/>
  <c r="AP87" i="2"/>
  <c r="AM87" i="2"/>
  <c r="AL87" i="2"/>
  <c r="AN87" i="2" s="1"/>
  <c r="AI87" i="2"/>
  <c r="AH87" i="2"/>
  <c r="BM87" i="2" s="1"/>
  <c r="AG87" i="2"/>
  <c r="AA87" i="2"/>
  <c r="W87" i="2"/>
  <c r="V87" i="2"/>
  <c r="T87" i="2"/>
  <c r="R87" i="2"/>
  <c r="P87" i="2"/>
  <c r="J87" i="2"/>
  <c r="AZ87" i="2" s="1"/>
  <c r="BZ86" i="2"/>
  <c r="BV86" i="2"/>
  <c r="BU86" i="2"/>
  <c r="BW86" i="2" s="1"/>
  <c r="BQ86" i="2"/>
  <c r="BP86" i="2"/>
  <c r="BO86" i="2"/>
  <c r="BN86" i="2"/>
  <c r="BL86" i="2"/>
  <c r="BK86" i="2"/>
  <c r="BJ86" i="2"/>
  <c r="BR86" i="2" s="1"/>
  <c r="BI86" i="2"/>
  <c r="BH86" i="2"/>
  <c r="BG86" i="2"/>
  <c r="BF86" i="2"/>
  <c r="BE86" i="2"/>
  <c r="BD86" i="2"/>
  <c r="BC86" i="2"/>
  <c r="BB86" i="2"/>
  <c r="BA86" i="2"/>
  <c r="AY86" i="2"/>
  <c r="AX86" i="2"/>
  <c r="AW86" i="2"/>
  <c r="AV86" i="2"/>
  <c r="AU86" i="2"/>
  <c r="AR86" i="2"/>
  <c r="AP86" i="2"/>
  <c r="AN86" i="2"/>
  <c r="AM86" i="2"/>
  <c r="AL86" i="2"/>
  <c r="AI86" i="2"/>
  <c r="AH86" i="2"/>
  <c r="AG86" i="2" s="1"/>
  <c r="AA86" i="2"/>
  <c r="W86" i="2"/>
  <c r="V86" i="2"/>
  <c r="T86" i="2"/>
  <c r="R86" i="2"/>
  <c r="P86" i="2"/>
  <c r="J86" i="2"/>
  <c r="AZ86" i="2" s="1"/>
  <c r="BZ85" i="2"/>
  <c r="BV85" i="2"/>
  <c r="BU85" i="2"/>
  <c r="BQ85" i="2"/>
  <c r="BS85" i="2" s="1"/>
  <c r="BT85" i="2" s="1"/>
  <c r="BP85" i="2"/>
  <c r="BO85" i="2"/>
  <c r="BN85" i="2"/>
  <c r="BM85" i="2"/>
  <c r="BL85" i="2"/>
  <c r="BK85" i="2"/>
  <c r="BJ85" i="2"/>
  <c r="BR85" i="2" s="1"/>
  <c r="BI85" i="2"/>
  <c r="BH85" i="2"/>
  <c r="BG85" i="2"/>
  <c r="BF85" i="2"/>
  <c r="BE85" i="2"/>
  <c r="BD85" i="2"/>
  <c r="BC85" i="2"/>
  <c r="BB85" i="2"/>
  <c r="BA85" i="2"/>
  <c r="AY85" i="2"/>
  <c r="AX85" i="2"/>
  <c r="AW85" i="2"/>
  <c r="AV85" i="2"/>
  <c r="AU85" i="2"/>
  <c r="AR85" i="2"/>
  <c r="AP85" i="2"/>
  <c r="AM85" i="2"/>
  <c r="AL85" i="2"/>
  <c r="AN85" i="2" s="1"/>
  <c r="AI85" i="2"/>
  <c r="AH85" i="2"/>
  <c r="AG85" i="2"/>
  <c r="AA85" i="2"/>
  <c r="W85" i="2"/>
  <c r="V85" i="2"/>
  <c r="T85" i="2"/>
  <c r="R85" i="2"/>
  <c r="P85" i="2"/>
  <c r="J85" i="2"/>
  <c r="AZ85" i="2" s="1"/>
  <c r="BZ84" i="2"/>
  <c r="BV84" i="2"/>
  <c r="BW84" i="2" s="1"/>
  <c r="BU84" i="2"/>
  <c r="BQ84" i="2"/>
  <c r="BP84" i="2"/>
  <c r="BO84" i="2"/>
  <c r="BN84" i="2"/>
  <c r="BL84" i="2"/>
  <c r="BK84" i="2"/>
  <c r="BJ84" i="2"/>
  <c r="BR84" i="2" s="1"/>
  <c r="BS84" i="2" s="1"/>
  <c r="BT84" i="2" s="1"/>
  <c r="BI84" i="2"/>
  <c r="BH84" i="2"/>
  <c r="BG84" i="2"/>
  <c r="BF84" i="2"/>
  <c r="BE84" i="2"/>
  <c r="BD84" i="2"/>
  <c r="BC84" i="2"/>
  <c r="BB84" i="2"/>
  <c r="BA84" i="2"/>
  <c r="AY84" i="2"/>
  <c r="AX84" i="2"/>
  <c r="AW84" i="2"/>
  <c r="AV84" i="2"/>
  <c r="AU84" i="2"/>
  <c r="AR84" i="2"/>
  <c r="AP84" i="2"/>
  <c r="AM84" i="2"/>
  <c r="AL84" i="2"/>
  <c r="AN84" i="2" s="1"/>
  <c r="AI84" i="2"/>
  <c r="AH84" i="2"/>
  <c r="BM84" i="2" s="1"/>
  <c r="AG84" i="2"/>
  <c r="AA84" i="2"/>
  <c r="W84" i="2"/>
  <c r="V84" i="2"/>
  <c r="T84" i="2"/>
  <c r="R84" i="2"/>
  <c r="P84" i="2"/>
  <c r="J84" i="2"/>
  <c r="AZ84" i="2" s="1"/>
  <c r="BZ83" i="2"/>
  <c r="BV83" i="2"/>
  <c r="BU83" i="2"/>
  <c r="BQ83" i="2"/>
  <c r="BP83" i="2"/>
  <c r="BO83" i="2"/>
  <c r="BN83" i="2"/>
  <c r="BL83" i="2"/>
  <c r="BK83" i="2"/>
  <c r="BJ83" i="2"/>
  <c r="BR83" i="2" s="1"/>
  <c r="BS83" i="2" s="1"/>
  <c r="BT83" i="2" s="1"/>
  <c r="BI83" i="2"/>
  <c r="BH83" i="2"/>
  <c r="BG83" i="2"/>
  <c r="BF83" i="2"/>
  <c r="BE83" i="2"/>
  <c r="BD83" i="2"/>
  <c r="BC83" i="2"/>
  <c r="BB83" i="2"/>
  <c r="BA83" i="2"/>
  <c r="AY83" i="2"/>
  <c r="AX83" i="2"/>
  <c r="AW83" i="2"/>
  <c r="AV83" i="2"/>
  <c r="AU83" i="2"/>
  <c r="AR83" i="2"/>
  <c r="AP83" i="2"/>
  <c r="AN83" i="2"/>
  <c r="AM83" i="2"/>
  <c r="AL83" i="2"/>
  <c r="AI83" i="2"/>
  <c r="AH83" i="2"/>
  <c r="BM83" i="2" s="1"/>
  <c r="AG83" i="2"/>
  <c r="AA83" i="2"/>
  <c r="W83" i="2"/>
  <c r="V83" i="2"/>
  <c r="T83" i="2"/>
  <c r="R83" i="2"/>
  <c r="P83" i="2"/>
  <c r="J83" i="2"/>
  <c r="AZ83" i="2" s="1"/>
  <c r="BZ82" i="2"/>
  <c r="BV82" i="2"/>
  <c r="BU82" i="2"/>
  <c r="BW82" i="2" s="1"/>
  <c r="BQ82" i="2"/>
  <c r="BP82" i="2"/>
  <c r="BO82" i="2"/>
  <c r="BN82" i="2"/>
  <c r="BL82" i="2"/>
  <c r="BK82" i="2"/>
  <c r="BJ82" i="2"/>
  <c r="BR82" i="2" s="1"/>
  <c r="BI82" i="2"/>
  <c r="BH82" i="2"/>
  <c r="BG82" i="2"/>
  <c r="BF82" i="2"/>
  <c r="BE82" i="2"/>
  <c r="BD82" i="2"/>
  <c r="BC82" i="2"/>
  <c r="BB82" i="2"/>
  <c r="BA82" i="2"/>
  <c r="AY82" i="2"/>
  <c r="AX82" i="2"/>
  <c r="AW82" i="2"/>
  <c r="AV82" i="2"/>
  <c r="AU82" i="2"/>
  <c r="AR82" i="2"/>
  <c r="AP82" i="2"/>
  <c r="AN82" i="2"/>
  <c r="AM82" i="2"/>
  <c r="AL82" i="2"/>
  <c r="AI82" i="2"/>
  <c r="AH82" i="2"/>
  <c r="BM82" i="2" s="1"/>
  <c r="AG82" i="2"/>
  <c r="AA82" i="2"/>
  <c r="W82" i="2"/>
  <c r="V82" i="2"/>
  <c r="T82" i="2"/>
  <c r="R82" i="2"/>
  <c r="P82" i="2"/>
  <c r="J82" i="2"/>
  <c r="AZ82" i="2" s="1"/>
  <c r="BZ81" i="2"/>
  <c r="BV81" i="2"/>
  <c r="BU81" i="2"/>
  <c r="BQ81" i="2"/>
  <c r="BS81" i="2" s="1"/>
  <c r="BT81" i="2" s="1"/>
  <c r="BP81" i="2"/>
  <c r="BO81" i="2"/>
  <c r="BN81" i="2"/>
  <c r="BM81" i="2"/>
  <c r="BL81" i="2"/>
  <c r="BK81" i="2"/>
  <c r="BJ81" i="2"/>
  <c r="BR81" i="2" s="1"/>
  <c r="BI81" i="2"/>
  <c r="BH81" i="2"/>
  <c r="BG81" i="2"/>
  <c r="BF81" i="2"/>
  <c r="BE81" i="2"/>
  <c r="BD81" i="2"/>
  <c r="BC81" i="2"/>
  <c r="BB81" i="2"/>
  <c r="BA81" i="2"/>
  <c r="AY81" i="2"/>
  <c r="AX81" i="2"/>
  <c r="AW81" i="2"/>
  <c r="AV81" i="2"/>
  <c r="AU81" i="2"/>
  <c r="AR81" i="2"/>
  <c r="AP81" i="2"/>
  <c r="AM81" i="2"/>
  <c r="AL81" i="2"/>
  <c r="AI81" i="2"/>
  <c r="AH81" i="2"/>
  <c r="AG81" i="2" s="1"/>
  <c r="AA81" i="2"/>
  <c r="W81" i="2"/>
  <c r="V81" i="2"/>
  <c r="T81" i="2"/>
  <c r="R81" i="2"/>
  <c r="P81" i="2"/>
  <c r="J81" i="2"/>
  <c r="AZ81" i="2" s="1"/>
  <c r="BZ80" i="2"/>
  <c r="BV80" i="2"/>
  <c r="BW80" i="2" s="1"/>
  <c r="BU80" i="2"/>
  <c r="BQ80" i="2"/>
  <c r="BP80" i="2"/>
  <c r="BO80" i="2"/>
  <c r="BN80" i="2"/>
  <c r="BL80" i="2"/>
  <c r="BK80" i="2"/>
  <c r="BJ80" i="2"/>
  <c r="BR80" i="2" s="1"/>
  <c r="BS80" i="2" s="1"/>
  <c r="BT80" i="2" s="1"/>
  <c r="BI80" i="2"/>
  <c r="BH80" i="2"/>
  <c r="BG80" i="2"/>
  <c r="BF80" i="2"/>
  <c r="BE80" i="2"/>
  <c r="BD80" i="2"/>
  <c r="BC80" i="2"/>
  <c r="BB80" i="2"/>
  <c r="BA80" i="2"/>
  <c r="AY80" i="2"/>
  <c r="AX80" i="2"/>
  <c r="AW80" i="2"/>
  <c r="AV80" i="2"/>
  <c r="AU80" i="2"/>
  <c r="AR80" i="2"/>
  <c r="AP80" i="2"/>
  <c r="AM80" i="2"/>
  <c r="AL80" i="2"/>
  <c r="AI80" i="2"/>
  <c r="AH80" i="2"/>
  <c r="AA80" i="2"/>
  <c r="W80" i="2"/>
  <c r="V80" i="2"/>
  <c r="T80" i="2"/>
  <c r="R80" i="2"/>
  <c r="P80" i="2"/>
  <c r="J80" i="2"/>
  <c r="AZ80" i="2" s="1"/>
  <c r="BZ79" i="2"/>
  <c r="BV79" i="2"/>
  <c r="BU79" i="2"/>
  <c r="BW79" i="2" s="1"/>
  <c r="BQ79" i="2"/>
  <c r="BP79" i="2"/>
  <c r="BO79" i="2"/>
  <c r="BN79" i="2"/>
  <c r="BL79" i="2"/>
  <c r="BK79" i="2"/>
  <c r="BJ79" i="2"/>
  <c r="BR79" i="2" s="1"/>
  <c r="BS79" i="2" s="1"/>
  <c r="BT79" i="2" s="1"/>
  <c r="BI79" i="2"/>
  <c r="BH79" i="2"/>
  <c r="BG79" i="2"/>
  <c r="BF79" i="2"/>
  <c r="BE79" i="2"/>
  <c r="BD79" i="2"/>
  <c r="BC79" i="2"/>
  <c r="BB79" i="2"/>
  <c r="BA79" i="2"/>
  <c r="AY79" i="2"/>
  <c r="AX79" i="2"/>
  <c r="AW79" i="2"/>
  <c r="AV79" i="2"/>
  <c r="AU79" i="2"/>
  <c r="AR79" i="2"/>
  <c r="AP79" i="2"/>
  <c r="AN79" i="2"/>
  <c r="AM79" i="2"/>
  <c r="AL79" i="2"/>
  <c r="AI79" i="2"/>
  <c r="AH79" i="2"/>
  <c r="BM79" i="2" s="1"/>
  <c r="AG79" i="2"/>
  <c r="AA79" i="2"/>
  <c r="W79" i="2"/>
  <c r="V79" i="2"/>
  <c r="T79" i="2"/>
  <c r="R79" i="2"/>
  <c r="P79" i="2"/>
  <c r="J79" i="2"/>
  <c r="AZ79" i="2" s="1"/>
  <c r="BZ78" i="2"/>
  <c r="BV78" i="2"/>
  <c r="BU78" i="2"/>
  <c r="BW78" i="2" s="1"/>
  <c r="BQ78" i="2"/>
  <c r="BP78" i="2"/>
  <c r="BO78" i="2"/>
  <c r="BN78" i="2"/>
  <c r="BL78" i="2"/>
  <c r="BK78" i="2"/>
  <c r="BJ78" i="2"/>
  <c r="BR78" i="2" s="1"/>
  <c r="BI78" i="2"/>
  <c r="BH78" i="2"/>
  <c r="BG78" i="2"/>
  <c r="BF78" i="2"/>
  <c r="BE78" i="2"/>
  <c r="BD78" i="2"/>
  <c r="BC78" i="2"/>
  <c r="BB78" i="2"/>
  <c r="BA78" i="2"/>
  <c r="AY78" i="2"/>
  <c r="AX78" i="2"/>
  <c r="AW78" i="2"/>
  <c r="AV78" i="2"/>
  <c r="AU78" i="2"/>
  <c r="AR78" i="2"/>
  <c r="AP78" i="2"/>
  <c r="AN78" i="2"/>
  <c r="AM78" i="2"/>
  <c r="AL78" i="2"/>
  <c r="AI78" i="2"/>
  <c r="AH78" i="2"/>
  <c r="BM78" i="2" s="1"/>
  <c r="AG78" i="2"/>
  <c r="AA78" i="2"/>
  <c r="W78" i="2"/>
  <c r="V78" i="2"/>
  <c r="T78" i="2"/>
  <c r="R78" i="2"/>
  <c r="P78" i="2"/>
  <c r="J78" i="2"/>
  <c r="AZ78" i="2" s="1"/>
  <c r="BZ77" i="2"/>
  <c r="BV77" i="2"/>
  <c r="BU77" i="2"/>
  <c r="BQ77" i="2"/>
  <c r="BS77" i="2" s="1"/>
  <c r="BT77" i="2" s="1"/>
  <c r="BP77" i="2"/>
  <c r="BO77" i="2"/>
  <c r="BN77" i="2"/>
  <c r="BM77" i="2"/>
  <c r="BL77" i="2"/>
  <c r="BK77" i="2"/>
  <c r="BJ77" i="2"/>
  <c r="BR77" i="2" s="1"/>
  <c r="BI77" i="2"/>
  <c r="BH77" i="2"/>
  <c r="BG77" i="2"/>
  <c r="BF77" i="2"/>
  <c r="BE77" i="2"/>
  <c r="BD77" i="2"/>
  <c r="BC77" i="2"/>
  <c r="BB77" i="2"/>
  <c r="BA77" i="2"/>
  <c r="AY77" i="2"/>
  <c r="AX77" i="2"/>
  <c r="AW77" i="2"/>
  <c r="AV77" i="2"/>
  <c r="AU77" i="2"/>
  <c r="AR77" i="2"/>
  <c r="AP77" i="2"/>
  <c r="AM77" i="2"/>
  <c r="AL77" i="2"/>
  <c r="AN77" i="2" s="1"/>
  <c r="AI77" i="2"/>
  <c r="AH77" i="2"/>
  <c r="AG77" i="2" s="1"/>
  <c r="AA77" i="2"/>
  <c r="W77" i="2"/>
  <c r="V77" i="2"/>
  <c r="T77" i="2"/>
  <c r="R77" i="2"/>
  <c r="P77" i="2"/>
  <c r="J77" i="2"/>
  <c r="AZ77" i="2" s="1"/>
  <c r="BZ76" i="2"/>
  <c r="BV76" i="2"/>
  <c r="BU76" i="2"/>
  <c r="BQ76" i="2"/>
  <c r="BP76" i="2"/>
  <c r="BO76" i="2"/>
  <c r="BN76" i="2"/>
  <c r="BL76" i="2"/>
  <c r="BK76" i="2"/>
  <c r="BJ76" i="2"/>
  <c r="BR76" i="2" s="1"/>
  <c r="BS76" i="2" s="1"/>
  <c r="BT76" i="2" s="1"/>
  <c r="BI76" i="2"/>
  <c r="BH76" i="2"/>
  <c r="BG76" i="2"/>
  <c r="BF76" i="2"/>
  <c r="BE76" i="2"/>
  <c r="BD76" i="2"/>
  <c r="BC76" i="2"/>
  <c r="BB76" i="2"/>
  <c r="BA76" i="2"/>
  <c r="AY76" i="2"/>
  <c r="AX76" i="2"/>
  <c r="AW76" i="2"/>
  <c r="AV76" i="2"/>
  <c r="AU76" i="2"/>
  <c r="AR76" i="2"/>
  <c r="AP76" i="2"/>
  <c r="AM76" i="2"/>
  <c r="AL76" i="2"/>
  <c r="AN76" i="2" s="1"/>
  <c r="AI76" i="2"/>
  <c r="AH76" i="2"/>
  <c r="BM76" i="2" s="1"/>
  <c r="AG76" i="2"/>
  <c r="AA76" i="2"/>
  <c r="W76" i="2"/>
  <c r="V76" i="2"/>
  <c r="T76" i="2"/>
  <c r="R76" i="2"/>
  <c r="P76" i="2"/>
  <c r="J76" i="2"/>
  <c r="AZ76" i="2" s="1"/>
  <c r="BZ75" i="2"/>
  <c r="BV75" i="2"/>
  <c r="BU75" i="2"/>
  <c r="BQ75" i="2"/>
  <c r="BP75" i="2"/>
  <c r="BO75" i="2"/>
  <c r="BN75" i="2"/>
  <c r="BL75" i="2"/>
  <c r="BK75" i="2"/>
  <c r="BJ75" i="2"/>
  <c r="BR75" i="2" s="1"/>
  <c r="BS75" i="2" s="1"/>
  <c r="BT75" i="2" s="1"/>
  <c r="BI75" i="2"/>
  <c r="BH75" i="2"/>
  <c r="BG75" i="2"/>
  <c r="BF75" i="2"/>
  <c r="BE75" i="2"/>
  <c r="BD75" i="2"/>
  <c r="BC75" i="2"/>
  <c r="BB75" i="2"/>
  <c r="BA75" i="2"/>
  <c r="AY75" i="2"/>
  <c r="AX75" i="2"/>
  <c r="AW75" i="2"/>
  <c r="AV75" i="2"/>
  <c r="AU75" i="2"/>
  <c r="AR75" i="2"/>
  <c r="AP75" i="2"/>
  <c r="AM75" i="2"/>
  <c r="AN75" i="2" s="1"/>
  <c r="AL75" i="2"/>
  <c r="AI75" i="2"/>
  <c r="AH75" i="2"/>
  <c r="BM75" i="2" s="1"/>
  <c r="AA75" i="2"/>
  <c r="W75" i="2"/>
  <c r="V75" i="2"/>
  <c r="T75" i="2"/>
  <c r="R75" i="2"/>
  <c r="P75" i="2"/>
  <c r="J75" i="2"/>
  <c r="AZ75" i="2" s="1"/>
  <c r="BZ74" i="2"/>
  <c r="BV74" i="2"/>
  <c r="BU74" i="2"/>
  <c r="BQ74" i="2"/>
  <c r="BS74" i="2" s="1"/>
  <c r="BT74" i="2" s="1"/>
  <c r="BP74" i="2"/>
  <c r="BO74" i="2"/>
  <c r="BN74" i="2"/>
  <c r="BL74" i="2"/>
  <c r="BK74" i="2"/>
  <c r="BJ74" i="2"/>
  <c r="BR74" i="2" s="1"/>
  <c r="BI74" i="2"/>
  <c r="BH74" i="2"/>
  <c r="BG74" i="2"/>
  <c r="BF74" i="2"/>
  <c r="BE74" i="2"/>
  <c r="BD74" i="2"/>
  <c r="BC74" i="2"/>
  <c r="BB74" i="2"/>
  <c r="BA74" i="2"/>
  <c r="AY74" i="2"/>
  <c r="AX74" i="2"/>
  <c r="AW74" i="2"/>
  <c r="AV74" i="2"/>
  <c r="AU74" i="2"/>
  <c r="AR74" i="2"/>
  <c r="AP74" i="2"/>
  <c r="AM74" i="2"/>
  <c r="AL74" i="2"/>
  <c r="AN74" i="2" s="1"/>
  <c r="AI74" i="2"/>
  <c r="AH74" i="2"/>
  <c r="AG74" i="2" s="1"/>
  <c r="AA74" i="2"/>
  <c r="W74" i="2"/>
  <c r="V74" i="2"/>
  <c r="T74" i="2"/>
  <c r="R74" i="2"/>
  <c r="P74" i="2"/>
  <c r="J74" i="2"/>
  <c r="AZ74" i="2" s="1"/>
  <c r="BZ73" i="2"/>
  <c r="BV73" i="2"/>
  <c r="BU73" i="2"/>
  <c r="BW73" i="2" s="1"/>
  <c r="BQ73" i="2"/>
  <c r="BP73" i="2"/>
  <c r="BO73" i="2"/>
  <c r="BN73" i="2"/>
  <c r="BL73" i="2"/>
  <c r="BK73" i="2"/>
  <c r="BJ73" i="2"/>
  <c r="BR73" i="2" s="1"/>
  <c r="BI73" i="2"/>
  <c r="BH73" i="2"/>
  <c r="BG73" i="2"/>
  <c r="BF73" i="2"/>
  <c r="BE73" i="2"/>
  <c r="BD73" i="2"/>
  <c r="BC73" i="2"/>
  <c r="BB73" i="2"/>
  <c r="BA73" i="2"/>
  <c r="AY73" i="2"/>
  <c r="AX73" i="2"/>
  <c r="AW73" i="2"/>
  <c r="AV73" i="2"/>
  <c r="AU73" i="2"/>
  <c r="AR73" i="2"/>
  <c r="AP73" i="2"/>
  <c r="AM73" i="2"/>
  <c r="AL73" i="2"/>
  <c r="AN73" i="2" s="1"/>
  <c r="AI73" i="2"/>
  <c r="AH73" i="2"/>
  <c r="BM73" i="2" s="1"/>
  <c r="AG73" i="2"/>
  <c r="AA73" i="2"/>
  <c r="W73" i="2"/>
  <c r="V73" i="2"/>
  <c r="T73" i="2"/>
  <c r="R73" i="2"/>
  <c r="P73" i="2"/>
  <c r="J73" i="2"/>
  <c r="AZ73" i="2" s="1"/>
  <c r="BZ72" i="2"/>
  <c r="BV72" i="2"/>
  <c r="BU72" i="2"/>
  <c r="BQ72" i="2"/>
  <c r="BP72" i="2"/>
  <c r="BO72" i="2"/>
  <c r="BN72" i="2"/>
  <c r="BM72" i="2"/>
  <c r="BL72" i="2"/>
  <c r="BK72" i="2"/>
  <c r="BJ72" i="2"/>
  <c r="BR72" i="2" s="1"/>
  <c r="BI72" i="2"/>
  <c r="BH72" i="2"/>
  <c r="BG72" i="2"/>
  <c r="BF72" i="2"/>
  <c r="BE72" i="2"/>
  <c r="BD72" i="2"/>
  <c r="BC72" i="2"/>
  <c r="BB72" i="2"/>
  <c r="BA72" i="2"/>
  <c r="AY72" i="2"/>
  <c r="AX72" i="2"/>
  <c r="AW72" i="2"/>
  <c r="AV72" i="2"/>
  <c r="AU72" i="2"/>
  <c r="AR72" i="2"/>
  <c r="AP72" i="2"/>
  <c r="AM72" i="2"/>
  <c r="AL72" i="2"/>
  <c r="AI72" i="2"/>
  <c r="AH72" i="2"/>
  <c r="AG72" i="2"/>
  <c r="AA72" i="2"/>
  <c r="W72" i="2"/>
  <c r="V72" i="2"/>
  <c r="T72" i="2"/>
  <c r="R72" i="2"/>
  <c r="P72" i="2"/>
  <c r="J72" i="2"/>
  <c r="AZ72" i="2" s="1"/>
  <c r="BZ71" i="2"/>
  <c r="BV71" i="2"/>
  <c r="BU71" i="2"/>
  <c r="BW71" i="2" s="1"/>
  <c r="BQ71" i="2"/>
  <c r="BP71" i="2"/>
  <c r="BO71" i="2"/>
  <c r="BN71" i="2"/>
  <c r="BL71" i="2"/>
  <c r="BK71" i="2"/>
  <c r="BJ71" i="2"/>
  <c r="BR71" i="2" s="1"/>
  <c r="BI71" i="2"/>
  <c r="BH71" i="2"/>
  <c r="BG71" i="2"/>
  <c r="BF71" i="2"/>
  <c r="BE71" i="2"/>
  <c r="BD71" i="2"/>
  <c r="BC71" i="2"/>
  <c r="BB71" i="2"/>
  <c r="BA71" i="2"/>
  <c r="AY71" i="2"/>
  <c r="AX71" i="2"/>
  <c r="AW71" i="2"/>
  <c r="AV71" i="2"/>
  <c r="AU71" i="2"/>
  <c r="AR71" i="2"/>
  <c r="AP71" i="2"/>
  <c r="AN71" i="2"/>
  <c r="AM71" i="2"/>
  <c r="AL71" i="2"/>
  <c r="AI71" i="2"/>
  <c r="AH71" i="2"/>
  <c r="BM71" i="2" s="1"/>
  <c r="AG71" i="2"/>
  <c r="AA71" i="2"/>
  <c r="W71" i="2"/>
  <c r="V71" i="2"/>
  <c r="T71" i="2"/>
  <c r="R71" i="2"/>
  <c r="P71" i="2"/>
  <c r="J71" i="2"/>
  <c r="AZ71" i="2" s="1"/>
  <c r="BZ70" i="2"/>
  <c r="BV70" i="2"/>
  <c r="BU70" i="2"/>
  <c r="BQ70" i="2"/>
  <c r="BS70" i="2" s="1"/>
  <c r="BT70" i="2" s="1"/>
  <c r="BP70" i="2"/>
  <c r="BO70" i="2"/>
  <c r="BN70" i="2"/>
  <c r="BL70" i="2"/>
  <c r="BK70" i="2"/>
  <c r="BJ70" i="2"/>
  <c r="BR70" i="2" s="1"/>
  <c r="BI70" i="2"/>
  <c r="BH70" i="2"/>
  <c r="BG70" i="2"/>
  <c r="BF70" i="2"/>
  <c r="BE70" i="2"/>
  <c r="BD70" i="2"/>
  <c r="BC70" i="2"/>
  <c r="BB70" i="2"/>
  <c r="BA70" i="2"/>
  <c r="AY70" i="2"/>
  <c r="AX70" i="2"/>
  <c r="AW70" i="2"/>
  <c r="AV70" i="2"/>
  <c r="AU70" i="2"/>
  <c r="AR70" i="2"/>
  <c r="AP70" i="2"/>
  <c r="AM70" i="2"/>
  <c r="AL70" i="2"/>
  <c r="AN70" i="2" s="1"/>
  <c r="AI70" i="2"/>
  <c r="AH70" i="2"/>
  <c r="BM70" i="2" s="1"/>
  <c r="AG70" i="2"/>
  <c r="AA70" i="2"/>
  <c r="W70" i="2"/>
  <c r="V70" i="2"/>
  <c r="T70" i="2"/>
  <c r="R70" i="2"/>
  <c r="P70" i="2"/>
  <c r="J70" i="2"/>
  <c r="AZ70" i="2" s="1"/>
  <c r="BZ69" i="2"/>
  <c r="BV69" i="2"/>
  <c r="BU69" i="2"/>
  <c r="BQ69" i="2"/>
  <c r="BP69" i="2"/>
  <c r="BO69" i="2"/>
  <c r="BN69" i="2"/>
  <c r="BL69" i="2"/>
  <c r="BK69" i="2"/>
  <c r="BJ69" i="2"/>
  <c r="BR69" i="2" s="1"/>
  <c r="BI69" i="2"/>
  <c r="BH69" i="2"/>
  <c r="BG69" i="2"/>
  <c r="BF69" i="2"/>
  <c r="BE69" i="2"/>
  <c r="BD69" i="2"/>
  <c r="BC69" i="2"/>
  <c r="BB69" i="2"/>
  <c r="BA69" i="2"/>
  <c r="AY69" i="2"/>
  <c r="AX69" i="2"/>
  <c r="AW69" i="2"/>
  <c r="AV69" i="2"/>
  <c r="AU69" i="2"/>
  <c r="AR69" i="2"/>
  <c r="AP69" i="2"/>
  <c r="AM69" i="2"/>
  <c r="AL69" i="2"/>
  <c r="AN69" i="2" s="1"/>
  <c r="AI69" i="2"/>
  <c r="AH69" i="2"/>
  <c r="BM69" i="2" s="1"/>
  <c r="AG69" i="2"/>
  <c r="AA69" i="2"/>
  <c r="W69" i="2"/>
  <c r="V69" i="2"/>
  <c r="T69" i="2"/>
  <c r="R69" i="2"/>
  <c r="P69" i="2"/>
  <c r="J69" i="2"/>
  <c r="AZ69" i="2" s="1"/>
  <c r="BZ68" i="2"/>
  <c r="BV68" i="2"/>
  <c r="BU68" i="2"/>
  <c r="BQ68" i="2"/>
  <c r="BP68" i="2"/>
  <c r="BO68" i="2"/>
  <c r="BN68" i="2"/>
  <c r="BL68" i="2"/>
  <c r="BK68" i="2"/>
  <c r="BJ68" i="2"/>
  <c r="BR68" i="2" s="1"/>
  <c r="BS68" i="2" s="1"/>
  <c r="BT68" i="2" s="1"/>
  <c r="BI68" i="2"/>
  <c r="BH68" i="2"/>
  <c r="BG68" i="2"/>
  <c r="BF68" i="2"/>
  <c r="BE68" i="2"/>
  <c r="BD68" i="2"/>
  <c r="BC68" i="2"/>
  <c r="BB68" i="2"/>
  <c r="BA68" i="2"/>
  <c r="AY68" i="2"/>
  <c r="AX68" i="2"/>
  <c r="AW68" i="2"/>
  <c r="AV68" i="2"/>
  <c r="AU68" i="2"/>
  <c r="AR68" i="2"/>
  <c r="AP68" i="2"/>
  <c r="AM68" i="2"/>
  <c r="AL68" i="2"/>
  <c r="AN68" i="2" s="1"/>
  <c r="AH68" i="2"/>
  <c r="BM68" i="2" s="1"/>
  <c r="AG68" i="2"/>
  <c r="AA68" i="2"/>
  <c r="W68" i="2"/>
  <c r="V68" i="2"/>
  <c r="T68" i="2"/>
  <c r="R68" i="2"/>
  <c r="P68" i="2"/>
  <c r="J68" i="2"/>
  <c r="AZ68" i="2" s="1"/>
  <c r="BZ67" i="2"/>
  <c r="BV67" i="2"/>
  <c r="BU67" i="2"/>
  <c r="BQ67" i="2"/>
  <c r="BP67" i="2"/>
  <c r="BO67" i="2"/>
  <c r="BN67" i="2"/>
  <c r="BL67" i="2"/>
  <c r="BK67" i="2"/>
  <c r="BJ67" i="2"/>
  <c r="BR67" i="2" s="1"/>
  <c r="BS67" i="2" s="1"/>
  <c r="BT67" i="2" s="1"/>
  <c r="BI67" i="2"/>
  <c r="BH67" i="2"/>
  <c r="BG67" i="2"/>
  <c r="BF67" i="2"/>
  <c r="BE67" i="2"/>
  <c r="BD67" i="2"/>
  <c r="BC67" i="2"/>
  <c r="BB67" i="2"/>
  <c r="BA67" i="2"/>
  <c r="AY67" i="2"/>
  <c r="AX67" i="2"/>
  <c r="AW67" i="2"/>
  <c r="AV67" i="2"/>
  <c r="AU67" i="2"/>
  <c r="AR67" i="2"/>
  <c r="AP67" i="2"/>
  <c r="AN67" i="2"/>
  <c r="AM67" i="2"/>
  <c r="AL67" i="2"/>
  <c r="AI67" i="2"/>
  <c r="AH67" i="2"/>
  <c r="BM67" i="2" s="1"/>
  <c r="AG67" i="2"/>
  <c r="AA67" i="2"/>
  <c r="W67" i="2"/>
  <c r="V67" i="2"/>
  <c r="T67" i="2"/>
  <c r="R67" i="2"/>
  <c r="P67" i="2"/>
  <c r="J67" i="2"/>
  <c r="AZ67" i="2" s="1"/>
  <c r="BZ66" i="2"/>
  <c r="BV66" i="2"/>
  <c r="BU66" i="2"/>
  <c r="BW66" i="2" s="1"/>
  <c r="BQ66" i="2"/>
  <c r="BP66" i="2"/>
  <c r="BO66" i="2"/>
  <c r="BN66" i="2"/>
  <c r="BL66" i="2"/>
  <c r="BK66" i="2"/>
  <c r="BJ66" i="2"/>
  <c r="BR66" i="2" s="1"/>
  <c r="BI66" i="2"/>
  <c r="BH66" i="2"/>
  <c r="BG66" i="2"/>
  <c r="BF66" i="2"/>
  <c r="BE66" i="2"/>
  <c r="BD66" i="2"/>
  <c r="BC66" i="2"/>
  <c r="BB66" i="2"/>
  <c r="BA66" i="2"/>
  <c r="AY66" i="2"/>
  <c r="AX66" i="2"/>
  <c r="AW66" i="2"/>
  <c r="AV66" i="2"/>
  <c r="AU66" i="2"/>
  <c r="AR66" i="2"/>
  <c r="AP66" i="2"/>
  <c r="AN66" i="2"/>
  <c r="AM66" i="2"/>
  <c r="AL66" i="2"/>
  <c r="AI66" i="2"/>
  <c r="AH66" i="2"/>
  <c r="BM66" i="2" s="1"/>
  <c r="AG66" i="2"/>
  <c r="AA66" i="2"/>
  <c r="W66" i="2"/>
  <c r="V66" i="2"/>
  <c r="T66" i="2"/>
  <c r="R66" i="2"/>
  <c r="P66" i="2"/>
  <c r="J66" i="2"/>
  <c r="AZ66" i="2" s="1"/>
  <c r="BZ65" i="2"/>
  <c r="BV65" i="2"/>
  <c r="BU65" i="2"/>
  <c r="BQ65" i="2"/>
  <c r="BS65" i="2" s="1"/>
  <c r="BT65" i="2" s="1"/>
  <c r="BP65" i="2"/>
  <c r="BO65" i="2"/>
  <c r="BN65" i="2"/>
  <c r="BM65" i="2"/>
  <c r="BL65" i="2"/>
  <c r="BK65" i="2"/>
  <c r="BJ65" i="2"/>
  <c r="BR65" i="2" s="1"/>
  <c r="BI65" i="2"/>
  <c r="BH65" i="2"/>
  <c r="BG65" i="2"/>
  <c r="BF65" i="2"/>
  <c r="BE65" i="2"/>
  <c r="BD65" i="2"/>
  <c r="BC65" i="2"/>
  <c r="BB65" i="2"/>
  <c r="BA65" i="2"/>
  <c r="AY65" i="2"/>
  <c r="AX65" i="2"/>
  <c r="AW65" i="2"/>
  <c r="AV65" i="2"/>
  <c r="AU65" i="2"/>
  <c r="AR65" i="2"/>
  <c r="AP65" i="2"/>
  <c r="AM65" i="2"/>
  <c r="AL65" i="2"/>
  <c r="AN65" i="2" s="1"/>
  <c r="AI65" i="2"/>
  <c r="AH65" i="2"/>
  <c r="AG65" i="2"/>
  <c r="AA65" i="2"/>
  <c r="W65" i="2"/>
  <c r="V65" i="2"/>
  <c r="T65" i="2"/>
  <c r="R65" i="2"/>
  <c r="P65" i="2"/>
  <c r="J65" i="2"/>
  <c r="AZ65" i="2" s="1"/>
  <c r="BZ64" i="2"/>
  <c r="BV64" i="2"/>
  <c r="BW64" i="2" s="1"/>
  <c r="BU64" i="2"/>
  <c r="BQ64" i="2"/>
  <c r="BP64" i="2"/>
  <c r="BO64" i="2"/>
  <c r="BN64" i="2"/>
  <c r="BL64" i="2"/>
  <c r="BK64" i="2"/>
  <c r="BJ64" i="2"/>
  <c r="BR64" i="2" s="1"/>
  <c r="BS64" i="2" s="1"/>
  <c r="BT64" i="2" s="1"/>
  <c r="BI64" i="2"/>
  <c r="BH64" i="2"/>
  <c r="BG64" i="2"/>
  <c r="BF64" i="2"/>
  <c r="BE64" i="2"/>
  <c r="BD64" i="2"/>
  <c r="BC64" i="2"/>
  <c r="BB64" i="2"/>
  <c r="BA64" i="2"/>
  <c r="AY64" i="2"/>
  <c r="AX64" i="2"/>
  <c r="AW64" i="2"/>
  <c r="AV64" i="2"/>
  <c r="AU64" i="2"/>
  <c r="AR64" i="2"/>
  <c r="AP64" i="2"/>
  <c r="AM64" i="2"/>
  <c r="AL64" i="2"/>
  <c r="AN64" i="2" s="1"/>
  <c r="AI64" i="2"/>
  <c r="AH64" i="2"/>
  <c r="BM64" i="2" s="1"/>
  <c r="AG64" i="2"/>
  <c r="AA64" i="2"/>
  <c r="W64" i="2"/>
  <c r="V64" i="2"/>
  <c r="T64" i="2"/>
  <c r="R64" i="2"/>
  <c r="P64" i="2"/>
  <c r="J64" i="2"/>
  <c r="AZ64" i="2" s="1"/>
  <c r="BZ63" i="2"/>
  <c r="BW63" i="2"/>
  <c r="BV63" i="2"/>
  <c r="BU63" i="2"/>
  <c r="BQ63" i="2"/>
  <c r="BP63" i="2"/>
  <c r="BO63" i="2"/>
  <c r="BN63" i="2"/>
  <c r="BL63" i="2"/>
  <c r="BK63" i="2"/>
  <c r="BJ63" i="2"/>
  <c r="BR63" i="2" s="1"/>
  <c r="BS63" i="2" s="1"/>
  <c r="BT63" i="2" s="1"/>
  <c r="BI63" i="2"/>
  <c r="BH63" i="2"/>
  <c r="BG63" i="2"/>
  <c r="BF63" i="2"/>
  <c r="BE63" i="2"/>
  <c r="BD63" i="2"/>
  <c r="BC63" i="2"/>
  <c r="BB63" i="2"/>
  <c r="BA63" i="2"/>
  <c r="AY63" i="2"/>
  <c r="AX63" i="2"/>
  <c r="AW63" i="2"/>
  <c r="AV63" i="2"/>
  <c r="AU63" i="2"/>
  <c r="AR63" i="2"/>
  <c r="AP63" i="2"/>
  <c r="AM63" i="2"/>
  <c r="AL63" i="2"/>
  <c r="AN63" i="2" s="1"/>
  <c r="AI63" i="2"/>
  <c r="AH63" i="2"/>
  <c r="BM63" i="2" s="1"/>
  <c r="AG63" i="2"/>
  <c r="AA63" i="2"/>
  <c r="W63" i="2"/>
  <c r="V63" i="2"/>
  <c r="T63" i="2"/>
  <c r="R63" i="2"/>
  <c r="P63" i="2"/>
  <c r="J63" i="2"/>
  <c r="AZ63" i="2" s="1"/>
  <c r="BZ62" i="2"/>
  <c r="BV62" i="2"/>
  <c r="BU62" i="2"/>
  <c r="BW62" i="2" s="1"/>
  <c r="BQ62" i="2"/>
  <c r="BP62" i="2"/>
  <c r="BO62" i="2"/>
  <c r="BN62" i="2"/>
  <c r="BL62" i="2"/>
  <c r="BK62" i="2"/>
  <c r="BJ62" i="2"/>
  <c r="BR62" i="2" s="1"/>
  <c r="BI62" i="2"/>
  <c r="BH62" i="2"/>
  <c r="BG62" i="2"/>
  <c r="BF62" i="2"/>
  <c r="BE62" i="2"/>
  <c r="BD62" i="2"/>
  <c r="BC62" i="2"/>
  <c r="BB62" i="2"/>
  <c r="BA62" i="2"/>
  <c r="AY62" i="2"/>
  <c r="AX62" i="2"/>
  <c r="AW62" i="2"/>
  <c r="AV62" i="2"/>
  <c r="AU62" i="2"/>
  <c r="AR62" i="2"/>
  <c r="AP62" i="2"/>
  <c r="AN62" i="2"/>
  <c r="AM62" i="2"/>
  <c r="AL62" i="2"/>
  <c r="AI62" i="2"/>
  <c r="AH62" i="2"/>
  <c r="BM62" i="2" s="1"/>
  <c r="AG62" i="2"/>
  <c r="AA62" i="2"/>
  <c r="W62" i="2"/>
  <c r="V62" i="2"/>
  <c r="T62" i="2"/>
  <c r="R62" i="2"/>
  <c r="P62" i="2"/>
  <c r="J62" i="2"/>
  <c r="AZ62" i="2" s="1"/>
  <c r="BZ61" i="2"/>
  <c r="BV61" i="2"/>
  <c r="BU61" i="2"/>
  <c r="BW61" i="2" s="1"/>
  <c r="BQ61" i="2"/>
  <c r="BP61" i="2"/>
  <c r="BO61" i="2"/>
  <c r="BN61" i="2"/>
  <c r="BM61" i="2"/>
  <c r="BL61" i="2"/>
  <c r="BK61" i="2"/>
  <c r="BJ61" i="2"/>
  <c r="BR61" i="2" s="1"/>
  <c r="BI61" i="2"/>
  <c r="BH61" i="2"/>
  <c r="BG61" i="2"/>
  <c r="BF61" i="2"/>
  <c r="BE61" i="2"/>
  <c r="BD61" i="2"/>
  <c r="BC61" i="2"/>
  <c r="BB61" i="2"/>
  <c r="BA61" i="2"/>
  <c r="AY61" i="2"/>
  <c r="AX61" i="2"/>
  <c r="AW61" i="2"/>
  <c r="AV61" i="2"/>
  <c r="AU61" i="2"/>
  <c r="AR61" i="2"/>
  <c r="AP61" i="2"/>
  <c r="AM61" i="2"/>
  <c r="AL61" i="2"/>
  <c r="AN61" i="2" s="1"/>
  <c r="AI61" i="2"/>
  <c r="AH61" i="2"/>
  <c r="AG61" i="2"/>
  <c r="AA61" i="2"/>
  <c r="W61" i="2"/>
  <c r="V61" i="2"/>
  <c r="T61" i="2"/>
  <c r="R61" i="2"/>
  <c r="P61" i="2"/>
  <c r="J61" i="2"/>
  <c r="AZ61" i="2" s="1"/>
  <c r="BZ60" i="2"/>
  <c r="BV60" i="2"/>
  <c r="BW60" i="2" s="1"/>
  <c r="BU60" i="2"/>
  <c r="BQ60" i="2"/>
  <c r="BP60" i="2"/>
  <c r="BO60" i="2"/>
  <c r="BN60" i="2"/>
  <c r="BM60" i="2"/>
  <c r="BL60" i="2"/>
  <c r="BK60" i="2"/>
  <c r="BJ60" i="2"/>
  <c r="BR60" i="2" s="1"/>
  <c r="BI60" i="2"/>
  <c r="BH60" i="2"/>
  <c r="BG60" i="2"/>
  <c r="BF60" i="2"/>
  <c r="BE60" i="2"/>
  <c r="BD60" i="2"/>
  <c r="BC60" i="2"/>
  <c r="BB60" i="2"/>
  <c r="BA60" i="2"/>
  <c r="AY60" i="2"/>
  <c r="AX60" i="2"/>
  <c r="AW60" i="2"/>
  <c r="AV60" i="2"/>
  <c r="AU60" i="2"/>
  <c r="AR60" i="2"/>
  <c r="AP60" i="2"/>
  <c r="AM60" i="2"/>
  <c r="AL60" i="2"/>
  <c r="AN60" i="2" s="1"/>
  <c r="AI60" i="2"/>
  <c r="AH60" i="2"/>
  <c r="AG60" i="2"/>
  <c r="AA60" i="2"/>
  <c r="W60" i="2"/>
  <c r="V60" i="2"/>
  <c r="T60" i="2"/>
  <c r="R60" i="2"/>
  <c r="P60" i="2"/>
  <c r="J60" i="2"/>
  <c r="AZ60" i="2" s="1"/>
  <c r="BZ59" i="2"/>
  <c r="BW59" i="2"/>
  <c r="BV59" i="2"/>
  <c r="BU59" i="2"/>
  <c r="BQ59" i="2"/>
  <c r="BP59" i="2"/>
  <c r="BO59" i="2"/>
  <c r="BN59" i="2"/>
  <c r="BL59" i="2"/>
  <c r="BK59" i="2"/>
  <c r="BJ59" i="2"/>
  <c r="BR59" i="2" s="1"/>
  <c r="BI59" i="2"/>
  <c r="BH59" i="2"/>
  <c r="BG59" i="2"/>
  <c r="BF59" i="2"/>
  <c r="BE59" i="2"/>
  <c r="BD59" i="2"/>
  <c r="BC59" i="2"/>
  <c r="BB59" i="2"/>
  <c r="BA59" i="2"/>
  <c r="AY59" i="2"/>
  <c r="AX59" i="2"/>
  <c r="AW59" i="2"/>
  <c r="AV59" i="2"/>
  <c r="AU59" i="2"/>
  <c r="AR59" i="2"/>
  <c r="AP59" i="2"/>
  <c r="AM59" i="2"/>
  <c r="AL59" i="2"/>
  <c r="AN59" i="2" s="1"/>
  <c r="AI59" i="2"/>
  <c r="AH59" i="2"/>
  <c r="BM59" i="2" s="1"/>
  <c r="AG59" i="2"/>
  <c r="AA59" i="2"/>
  <c r="W59" i="2"/>
  <c r="V59" i="2"/>
  <c r="T59" i="2"/>
  <c r="R59" i="2"/>
  <c r="P59" i="2"/>
  <c r="J59" i="2"/>
  <c r="AZ59" i="2" s="1"/>
  <c r="BZ58" i="2"/>
  <c r="BV58" i="2"/>
  <c r="BU58" i="2"/>
  <c r="BQ58" i="2"/>
  <c r="BP58" i="2"/>
  <c r="BO58" i="2"/>
  <c r="BN58" i="2"/>
  <c r="BL58" i="2"/>
  <c r="BK58" i="2"/>
  <c r="BJ58" i="2"/>
  <c r="BR58" i="2" s="1"/>
  <c r="BI58" i="2"/>
  <c r="BH58" i="2"/>
  <c r="BG58" i="2"/>
  <c r="BF58" i="2"/>
  <c r="BE58" i="2"/>
  <c r="BD58" i="2"/>
  <c r="BC58" i="2"/>
  <c r="BB58" i="2"/>
  <c r="BA58" i="2"/>
  <c r="AY58" i="2"/>
  <c r="AX58" i="2"/>
  <c r="AW58" i="2"/>
  <c r="AV58" i="2"/>
  <c r="AU58" i="2"/>
  <c r="AR58" i="2"/>
  <c r="AP58" i="2"/>
  <c r="AM58" i="2"/>
  <c r="AL58" i="2"/>
  <c r="AN58" i="2" s="1"/>
  <c r="AH58" i="2"/>
  <c r="AG58" i="2" s="1"/>
  <c r="AA58" i="2"/>
  <c r="W58" i="2"/>
  <c r="V58" i="2"/>
  <c r="T58" i="2"/>
  <c r="R58" i="2"/>
  <c r="P58" i="2"/>
  <c r="J58" i="2"/>
  <c r="AZ58" i="2" s="1"/>
  <c r="BZ57" i="2"/>
  <c r="BV57" i="2"/>
  <c r="BU57" i="2"/>
  <c r="BQ57" i="2"/>
  <c r="BS57" i="2" s="1"/>
  <c r="BT57" i="2" s="1"/>
  <c r="BP57" i="2"/>
  <c r="BO57" i="2"/>
  <c r="BN57" i="2"/>
  <c r="BM57" i="2"/>
  <c r="BL57" i="2"/>
  <c r="BK57" i="2"/>
  <c r="BJ57" i="2"/>
  <c r="BR57" i="2" s="1"/>
  <c r="BI57" i="2"/>
  <c r="BH57" i="2"/>
  <c r="BG57" i="2"/>
  <c r="BF57" i="2"/>
  <c r="BE57" i="2"/>
  <c r="BD57" i="2"/>
  <c r="BC57" i="2"/>
  <c r="BB57" i="2"/>
  <c r="BA57" i="2"/>
  <c r="AY57" i="2"/>
  <c r="AX57" i="2"/>
  <c r="AW57" i="2"/>
  <c r="AV57" i="2"/>
  <c r="AU57" i="2"/>
  <c r="AR57" i="2"/>
  <c r="AP57" i="2"/>
  <c r="AM57" i="2"/>
  <c r="AL57" i="2"/>
  <c r="AI57" i="2"/>
  <c r="AH57" i="2"/>
  <c r="AG57" i="2" s="1"/>
  <c r="AA57" i="2"/>
  <c r="W57" i="2"/>
  <c r="V57" i="2"/>
  <c r="T57" i="2"/>
  <c r="R57" i="2"/>
  <c r="P57" i="2"/>
  <c r="J57" i="2"/>
  <c r="AZ57" i="2" s="1"/>
  <c r="BZ56" i="2"/>
  <c r="BV56" i="2"/>
  <c r="BW56" i="2" s="1"/>
  <c r="BU56" i="2"/>
  <c r="BQ56" i="2"/>
  <c r="BP56" i="2"/>
  <c r="BO56" i="2"/>
  <c r="BN56" i="2"/>
  <c r="BM56" i="2"/>
  <c r="BL56" i="2"/>
  <c r="BK56" i="2"/>
  <c r="BJ56" i="2"/>
  <c r="BR56" i="2" s="1"/>
  <c r="BS56" i="2" s="1"/>
  <c r="BT56" i="2" s="1"/>
  <c r="BI56" i="2"/>
  <c r="BH56" i="2"/>
  <c r="BG56" i="2"/>
  <c r="BF56" i="2"/>
  <c r="BE56" i="2"/>
  <c r="BD56" i="2"/>
  <c r="BC56" i="2"/>
  <c r="BB56" i="2"/>
  <c r="BA56" i="2"/>
  <c r="AY56" i="2"/>
  <c r="AX56" i="2"/>
  <c r="AW56" i="2"/>
  <c r="AV56" i="2"/>
  <c r="AU56" i="2"/>
  <c r="AR56" i="2"/>
  <c r="AP56" i="2"/>
  <c r="AM56" i="2"/>
  <c r="AL56" i="2"/>
  <c r="AN56" i="2" s="1"/>
  <c r="AI56" i="2"/>
  <c r="AH56" i="2"/>
  <c r="AG56" i="2"/>
  <c r="AA56" i="2"/>
  <c r="W56" i="2"/>
  <c r="V56" i="2"/>
  <c r="T56" i="2"/>
  <c r="R56" i="2"/>
  <c r="P56" i="2"/>
  <c r="J56" i="2"/>
  <c r="AZ56" i="2" s="1"/>
  <c r="BZ55" i="2"/>
  <c r="BV55" i="2"/>
  <c r="BU55" i="2"/>
  <c r="BQ55" i="2"/>
  <c r="BP55" i="2"/>
  <c r="BO55" i="2"/>
  <c r="BN55" i="2"/>
  <c r="BL55" i="2"/>
  <c r="BK55" i="2"/>
  <c r="BJ55" i="2"/>
  <c r="BR55" i="2" s="1"/>
  <c r="BS55" i="2" s="1"/>
  <c r="BT55" i="2" s="1"/>
  <c r="BI55" i="2"/>
  <c r="BH55" i="2"/>
  <c r="BG55" i="2"/>
  <c r="BF55" i="2"/>
  <c r="BE55" i="2"/>
  <c r="BD55" i="2"/>
  <c r="BC55" i="2"/>
  <c r="BB55" i="2"/>
  <c r="BA55" i="2"/>
  <c r="AY55" i="2"/>
  <c r="AX55" i="2"/>
  <c r="AW55" i="2"/>
  <c r="AV55" i="2"/>
  <c r="AU55" i="2"/>
  <c r="AR55" i="2"/>
  <c r="AP55" i="2"/>
  <c r="AM55" i="2"/>
  <c r="AL55" i="2"/>
  <c r="AN55" i="2" s="1"/>
  <c r="AI55" i="2"/>
  <c r="AH55" i="2"/>
  <c r="BM55" i="2" s="1"/>
  <c r="AG55" i="2"/>
  <c r="AA55" i="2"/>
  <c r="W55" i="2"/>
  <c r="V55" i="2"/>
  <c r="T55" i="2"/>
  <c r="R55" i="2"/>
  <c r="P55" i="2"/>
  <c r="J55" i="2"/>
  <c r="AZ55" i="2" s="1"/>
  <c r="BZ54" i="2"/>
  <c r="BV54" i="2"/>
  <c r="BU54" i="2"/>
  <c r="BW54" i="2" s="1"/>
  <c r="BQ54" i="2"/>
  <c r="BP54" i="2"/>
  <c r="BO54" i="2"/>
  <c r="BN54" i="2"/>
  <c r="BL54" i="2"/>
  <c r="BK54" i="2"/>
  <c r="BJ54" i="2"/>
  <c r="BR54" i="2" s="1"/>
  <c r="BI54" i="2"/>
  <c r="BH54" i="2"/>
  <c r="BG54" i="2"/>
  <c r="BF54" i="2"/>
  <c r="BE54" i="2"/>
  <c r="BD54" i="2"/>
  <c r="BC54" i="2"/>
  <c r="BB54" i="2"/>
  <c r="BA54" i="2"/>
  <c r="AY54" i="2"/>
  <c r="AX54" i="2"/>
  <c r="AW54" i="2"/>
  <c r="AV54" i="2"/>
  <c r="AU54" i="2"/>
  <c r="AR54" i="2"/>
  <c r="AP54" i="2"/>
  <c r="AN54" i="2"/>
  <c r="AM54" i="2"/>
  <c r="AL54" i="2"/>
  <c r="AI54" i="2"/>
  <c r="AH54" i="2"/>
  <c r="BM54" i="2" s="1"/>
  <c r="AG54" i="2"/>
  <c r="AA54" i="2"/>
  <c r="W54" i="2"/>
  <c r="V54" i="2"/>
  <c r="T54" i="2"/>
  <c r="R54" i="2"/>
  <c r="P54" i="2"/>
  <c r="J54" i="2"/>
  <c r="AZ54" i="2" s="1"/>
  <c r="BZ53" i="2"/>
  <c r="BV53" i="2"/>
  <c r="BU53" i="2"/>
  <c r="BW53" i="2" s="1"/>
  <c r="BQ53" i="2"/>
  <c r="BS53" i="2" s="1"/>
  <c r="BT53" i="2" s="1"/>
  <c r="BP53" i="2"/>
  <c r="BO53" i="2"/>
  <c r="BN53" i="2"/>
  <c r="BM53" i="2"/>
  <c r="BL53" i="2"/>
  <c r="BK53" i="2"/>
  <c r="BJ53" i="2"/>
  <c r="BR53" i="2" s="1"/>
  <c r="BI53" i="2"/>
  <c r="BH53" i="2"/>
  <c r="BG53" i="2"/>
  <c r="BF53" i="2"/>
  <c r="BE53" i="2"/>
  <c r="BD53" i="2"/>
  <c r="BC53" i="2"/>
  <c r="BB53" i="2"/>
  <c r="BA53" i="2"/>
  <c r="AY53" i="2"/>
  <c r="AX53" i="2"/>
  <c r="AW53" i="2"/>
  <c r="AV53" i="2"/>
  <c r="AU53" i="2"/>
  <c r="AR53" i="2"/>
  <c r="AP53" i="2"/>
  <c r="AM53" i="2"/>
  <c r="AL53" i="2"/>
  <c r="AN53" i="2" s="1"/>
  <c r="AI53" i="2"/>
  <c r="AH53" i="2"/>
  <c r="AG53" i="2"/>
  <c r="AA53" i="2"/>
  <c r="W53" i="2"/>
  <c r="V53" i="2"/>
  <c r="T53" i="2"/>
  <c r="R53" i="2"/>
  <c r="P53" i="2"/>
  <c r="J53" i="2"/>
  <c r="AZ53" i="2" s="1"/>
  <c r="BZ52" i="2"/>
  <c r="BV52" i="2"/>
  <c r="BW52" i="2" s="1"/>
  <c r="BU52" i="2"/>
  <c r="BQ52" i="2"/>
  <c r="BP52" i="2"/>
  <c r="BO52" i="2"/>
  <c r="BN52" i="2"/>
  <c r="BM52" i="2"/>
  <c r="BL52" i="2"/>
  <c r="BK52" i="2"/>
  <c r="BJ52" i="2"/>
  <c r="BR52" i="2" s="1"/>
  <c r="BI52" i="2"/>
  <c r="BH52" i="2"/>
  <c r="BG52" i="2"/>
  <c r="BF52" i="2"/>
  <c r="BE52" i="2"/>
  <c r="BD52" i="2"/>
  <c r="BC52" i="2"/>
  <c r="BB52" i="2"/>
  <c r="BA52" i="2"/>
  <c r="AY52" i="2"/>
  <c r="AX52" i="2"/>
  <c r="AW52" i="2"/>
  <c r="AV52" i="2"/>
  <c r="AU52" i="2"/>
  <c r="AR52" i="2"/>
  <c r="AP52" i="2"/>
  <c r="AM52" i="2"/>
  <c r="AL52" i="2"/>
  <c r="AN52" i="2" s="1"/>
  <c r="AH52" i="2"/>
  <c r="AI52" i="2" s="1"/>
  <c r="AG52" i="2"/>
  <c r="AA52" i="2"/>
  <c r="W52" i="2"/>
  <c r="V52" i="2"/>
  <c r="T52" i="2"/>
  <c r="R52" i="2"/>
  <c r="P52" i="2"/>
  <c r="J52" i="2"/>
  <c r="AZ52" i="2" s="1"/>
  <c r="BZ51" i="2"/>
  <c r="BW51" i="2"/>
  <c r="BV51" i="2"/>
  <c r="BU51" i="2"/>
  <c r="BQ51" i="2"/>
  <c r="BP51" i="2"/>
  <c r="BO51" i="2"/>
  <c r="BN51" i="2"/>
  <c r="BL51" i="2"/>
  <c r="BK51" i="2"/>
  <c r="BJ51" i="2"/>
  <c r="BR51" i="2" s="1"/>
  <c r="BI51" i="2"/>
  <c r="BH51" i="2"/>
  <c r="BG51" i="2"/>
  <c r="BF51" i="2"/>
  <c r="BE51" i="2"/>
  <c r="BD51" i="2"/>
  <c r="BC51" i="2"/>
  <c r="BB51" i="2"/>
  <c r="BA51" i="2"/>
  <c r="AY51" i="2"/>
  <c r="AX51" i="2"/>
  <c r="AW51" i="2"/>
  <c r="AV51" i="2"/>
  <c r="AU51" i="2"/>
  <c r="AR51" i="2"/>
  <c r="AP51" i="2"/>
  <c r="AM51" i="2"/>
  <c r="AL51" i="2"/>
  <c r="AN51" i="2" s="1"/>
  <c r="AI51" i="2"/>
  <c r="AH51" i="2"/>
  <c r="BM51" i="2" s="1"/>
  <c r="AG51" i="2"/>
  <c r="AA51" i="2"/>
  <c r="W51" i="2"/>
  <c r="V51" i="2"/>
  <c r="T51" i="2"/>
  <c r="R51" i="2"/>
  <c r="P51" i="2"/>
  <c r="J51" i="2"/>
  <c r="AZ51" i="2" s="1"/>
  <c r="BZ50" i="2"/>
  <c r="BV50" i="2"/>
  <c r="BU50" i="2"/>
  <c r="BQ50" i="2"/>
  <c r="BP50" i="2"/>
  <c r="BO50" i="2"/>
  <c r="BN50" i="2"/>
  <c r="BL50" i="2"/>
  <c r="BK50" i="2"/>
  <c r="BJ50" i="2"/>
  <c r="BR50" i="2" s="1"/>
  <c r="BI50" i="2"/>
  <c r="BH50" i="2"/>
  <c r="BG50" i="2"/>
  <c r="BF50" i="2"/>
  <c r="BE50" i="2"/>
  <c r="BD50" i="2"/>
  <c r="BC50" i="2"/>
  <c r="BB50" i="2"/>
  <c r="BA50" i="2"/>
  <c r="AY50" i="2"/>
  <c r="AX50" i="2"/>
  <c r="AW50" i="2"/>
  <c r="AV50" i="2"/>
  <c r="AU50" i="2"/>
  <c r="AR50" i="2"/>
  <c r="AP50" i="2"/>
  <c r="AM50" i="2"/>
  <c r="AL50" i="2"/>
  <c r="AN50" i="2" s="1"/>
  <c r="AH50" i="2"/>
  <c r="AG50" i="2" s="1"/>
  <c r="AA50" i="2"/>
  <c r="W50" i="2"/>
  <c r="V50" i="2"/>
  <c r="T50" i="2"/>
  <c r="R50" i="2"/>
  <c r="P50" i="2"/>
  <c r="J50" i="2"/>
  <c r="AZ50" i="2" s="1"/>
  <c r="BZ49" i="2"/>
  <c r="BV49" i="2"/>
  <c r="BU49" i="2"/>
  <c r="BW49" i="2" s="1"/>
  <c r="BQ49" i="2"/>
  <c r="BS49" i="2" s="1"/>
  <c r="BT49" i="2" s="1"/>
  <c r="BP49" i="2"/>
  <c r="BO49" i="2"/>
  <c r="BN49" i="2"/>
  <c r="BM49" i="2"/>
  <c r="BL49" i="2"/>
  <c r="BK49" i="2"/>
  <c r="BJ49" i="2"/>
  <c r="BR49" i="2" s="1"/>
  <c r="BI49" i="2"/>
  <c r="BH49" i="2"/>
  <c r="BG49" i="2"/>
  <c r="BF49" i="2"/>
  <c r="BE49" i="2"/>
  <c r="BD49" i="2"/>
  <c r="BC49" i="2"/>
  <c r="BB49" i="2"/>
  <c r="BA49" i="2"/>
  <c r="AY49" i="2"/>
  <c r="AX49" i="2"/>
  <c r="AW49" i="2"/>
  <c r="AV49" i="2"/>
  <c r="AU49" i="2"/>
  <c r="AR49" i="2"/>
  <c r="AP49" i="2"/>
  <c r="AM49" i="2"/>
  <c r="AL49" i="2"/>
  <c r="AN49" i="2" s="1"/>
  <c r="AI49" i="2"/>
  <c r="AH49" i="2"/>
  <c r="AG49" i="2"/>
  <c r="AA49" i="2"/>
  <c r="W49" i="2"/>
  <c r="V49" i="2"/>
  <c r="T49" i="2"/>
  <c r="R49" i="2"/>
  <c r="P49" i="2"/>
  <c r="J49" i="2"/>
  <c r="AZ49" i="2" s="1"/>
  <c r="BZ48" i="2"/>
  <c r="BV48" i="2"/>
  <c r="BW48" i="2" s="1"/>
  <c r="BU48" i="2"/>
  <c r="BQ48" i="2"/>
  <c r="BP48" i="2"/>
  <c r="BO48" i="2"/>
  <c r="BN48" i="2"/>
  <c r="BM48" i="2"/>
  <c r="BL48" i="2"/>
  <c r="BK48" i="2"/>
  <c r="BJ48" i="2"/>
  <c r="BR48" i="2" s="1"/>
  <c r="BI48" i="2"/>
  <c r="BH48" i="2"/>
  <c r="BG48" i="2"/>
  <c r="BF48" i="2"/>
  <c r="BE48" i="2"/>
  <c r="BD48" i="2"/>
  <c r="BC48" i="2"/>
  <c r="BB48" i="2"/>
  <c r="BA48" i="2"/>
  <c r="AY48" i="2"/>
  <c r="AX48" i="2"/>
  <c r="AW48" i="2"/>
  <c r="AV48" i="2"/>
  <c r="AU48" i="2"/>
  <c r="AR48" i="2"/>
  <c r="AP48" i="2"/>
  <c r="AM48" i="2"/>
  <c r="AL48" i="2"/>
  <c r="AN48" i="2" s="1"/>
  <c r="AI48" i="2"/>
  <c r="AH48" i="2"/>
  <c r="AG48" i="2"/>
  <c r="AA48" i="2"/>
  <c r="W48" i="2"/>
  <c r="V48" i="2"/>
  <c r="T48" i="2"/>
  <c r="R48" i="2"/>
  <c r="P48" i="2"/>
  <c r="J48" i="2"/>
  <c r="AZ48" i="2" s="1"/>
  <c r="BZ47" i="2"/>
  <c r="BV47" i="2"/>
  <c r="BW47" i="2" s="1"/>
  <c r="BU47" i="2"/>
  <c r="BQ47" i="2"/>
  <c r="BP47" i="2"/>
  <c r="BO47" i="2"/>
  <c r="BN47" i="2"/>
  <c r="BL47" i="2"/>
  <c r="BK47" i="2"/>
  <c r="BJ47" i="2"/>
  <c r="BR47" i="2" s="1"/>
  <c r="BS47" i="2" s="1"/>
  <c r="BT47" i="2" s="1"/>
  <c r="BI47" i="2"/>
  <c r="BH47" i="2"/>
  <c r="BG47" i="2"/>
  <c r="BF47" i="2"/>
  <c r="BE47" i="2"/>
  <c r="BD47" i="2"/>
  <c r="BC47" i="2"/>
  <c r="BB47" i="2"/>
  <c r="BA47" i="2"/>
  <c r="AY47" i="2"/>
  <c r="AX47" i="2"/>
  <c r="AW47" i="2"/>
  <c r="AV47" i="2"/>
  <c r="AU47" i="2"/>
  <c r="AR47" i="2"/>
  <c r="AP47" i="2"/>
  <c r="AM47" i="2"/>
  <c r="AL47" i="2"/>
  <c r="AI47" i="2"/>
  <c r="AH47" i="2"/>
  <c r="BM47" i="2" s="1"/>
  <c r="AA47" i="2"/>
  <c r="W47" i="2"/>
  <c r="V47" i="2"/>
  <c r="T47" i="2"/>
  <c r="R47" i="2"/>
  <c r="P47" i="2"/>
  <c r="J47" i="2"/>
  <c r="AZ47" i="2" s="1"/>
  <c r="BZ46" i="2"/>
  <c r="BV46" i="2"/>
  <c r="BU46" i="2"/>
  <c r="BW46" i="2" s="1"/>
  <c r="BQ46" i="2"/>
  <c r="BS46" i="2" s="1"/>
  <c r="BT46" i="2" s="1"/>
  <c r="BP46" i="2"/>
  <c r="BO46" i="2"/>
  <c r="BN46" i="2"/>
  <c r="BL46" i="2"/>
  <c r="BK46" i="2"/>
  <c r="BJ46" i="2"/>
  <c r="BR46" i="2" s="1"/>
  <c r="BI46" i="2"/>
  <c r="BH46" i="2"/>
  <c r="BG46" i="2"/>
  <c r="BF46" i="2"/>
  <c r="BE46" i="2"/>
  <c r="BD46" i="2"/>
  <c r="BC46" i="2"/>
  <c r="BB46" i="2"/>
  <c r="BA46" i="2"/>
  <c r="AY46" i="2"/>
  <c r="AX46" i="2"/>
  <c r="AW46" i="2"/>
  <c r="AV46" i="2"/>
  <c r="AU46" i="2"/>
  <c r="AR46" i="2"/>
  <c r="AP46" i="2"/>
  <c r="AN46" i="2"/>
  <c r="AM46" i="2"/>
  <c r="AL46" i="2"/>
  <c r="AI46" i="2"/>
  <c r="AH46" i="2"/>
  <c r="BM46" i="2" s="1"/>
  <c r="AG46" i="2"/>
  <c r="AA46" i="2"/>
  <c r="W46" i="2"/>
  <c r="V46" i="2"/>
  <c r="T46" i="2"/>
  <c r="R46" i="2"/>
  <c r="P46" i="2"/>
  <c r="J46" i="2"/>
  <c r="AZ46" i="2" s="1"/>
  <c r="BZ45" i="2"/>
  <c r="BV45" i="2"/>
  <c r="BU45" i="2"/>
  <c r="BW45" i="2" s="1"/>
  <c r="BQ45" i="2"/>
  <c r="BS45" i="2" s="1"/>
  <c r="BT45" i="2" s="1"/>
  <c r="BP45" i="2"/>
  <c r="BO45" i="2"/>
  <c r="BN45" i="2"/>
  <c r="BM45" i="2"/>
  <c r="BL45" i="2"/>
  <c r="BK45" i="2"/>
  <c r="BJ45" i="2"/>
  <c r="BR45" i="2" s="1"/>
  <c r="BI45" i="2"/>
  <c r="BH45" i="2"/>
  <c r="BG45" i="2"/>
  <c r="BF45" i="2"/>
  <c r="BE45" i="2"/>
  <c r="BD45" i="2"/>
  <c r="BC45" i="2"/>
  <c r="BB45" i="2"/>
  <c r="BA45" i="2"/>
  <c r="AY45" i="2"/>
  <c r="AX45" i="2"/>
  <c r="AW45" i="2"/>
  <c r="AV45" i="2"/>
  <c r="AU45" i="2"/>
  <c r="AR45" i="2"/>
  <c r="AP45" i="2"/>
  <c r="AM45" i="2"/>
  <c r="AL45" i="2"/>
  <c r="AN45" i="2" s="1"/>
  <c r="AH45" i="2"/>
  <c r="AI45" i="2" s="1"/>
  <c r="AG45" i="2"/>
  <c r="AA45" i="2"/>
  <c r="W45" i="2"/>
  <c r="V45" i="2"/>
  <c r="T45" i="2"/>
  <c r="R45" i="2"/>
  <c r="P45" i="2"/>
  <c r="J45" i="2"/>
  <c r="AZ45" i="2" s="1"/>
  <c r="BZ44" i="2"/>
  <c r="BV44" i="2"/>
  <c r="BW44" i="2" s="1"/>
  <c r="BU44" i="2"/>
  <c r="BQ44" i="2"/>
  <c r="BP44" i="2"/>
  <c r="BO44" i="2"/>
  <c r="BN44" i="2"/>
  <c r="BM44" i="2"/>
  <c r="BL44" i="2"/>
  <c r="BK44" i="2"/>
  <c r="BJ44" i="2"/>
  <c r="BR44" i="2" s="1"/>
  <c r="BI44" i="2"/>
  <c r="BH44" i="2"/>
  <c r="BG44" i="2"/>
  <c r="BF44" i="2"/>
  <c r="BE44" i="2"/>
  <c r="BD44" i="2"/>
  <c r="BC44" i="2"/>
  <c r="BB44" i="2"/>
  <c r="BA44" i="2"/>
  <c r="AY44" i="2"/>
  <c r="AX44" i="2"/>
  <c r="AW44" i="2"/>
  <c r="AV44" i="2"/>
  <c r="AU44" i="2"/>
  <c r="AR44" i="2"/>
  <c r="AP44" i="2"/>
  <c r="AM44" i="2"/>
  <c r="AL44" i="2"/>
  <c r="AN44" i="2" s="1"/>
  <c r="AI44" i="2"/>
  <c r="AH44" i="2"/>
  <c r="AG44" i="2"/>
  <c r="AA44" i="2"/>
  <c r="W44" i="2"/>
  <c r="V44" i="2"/>
  <c r="T44" i="2"/>
  <c r="R44" i="2"/>
  <c r="P44" i="2"/>
  <c r="J44" i="2"/>
  <c r="AZ44" i="2" s="1"/>
  <c r="BZ43" i="2"/>
  <c r="BV43" i="2"/>
  <c r="BW43" i="2" s="1"/>
  <c r="BU43" i="2"/>
  <c r="BQ43" i="2"/>
  <c r="BP43" i="2"/>
  <c r="BO43" i="2"/>
  <c r="BN43" i="2"/>
  <c r="BL43" i="2"/>
  <c r="BK43" i="2"/>
  <c r="BJ43" i="2"/>
  <c r="BR43" i="2" s="1"/>
  <c r="BS43" i="2" s="1"/>
  <c r="BT43" i="2" s="1"/>
  <c r="BI43" i="2"/>
  <c r="BH43" i="2"/>
  <c r="BG43" i="2"/>
  <c r="BF43" i="2"/>
  <c r="BE43" i="2"/>
  <c r="BD43" i="2"/>
  <c r="BC43" i="2"/>
  <c r="BB43" i="2"/>
  <c r="BA43" i="2"/>
  <c r="AY43" i="2"/>
  <c r="AX43" i="2"/>
  <c r="AW43" i="2"/>
  <c r="AV43" i="2"/>
  <c r="AU43" i="2"/>
  <c r="AR43" i="2"/>
  <c r="AP43" i="2"/>
  <c r="AM43" i="2"/>
  <c r="AL43" i="2"/>
  <c r="AN43" i="2" s="1"/>
  <c r="AH43" i="2"/>
  <c r="BM43" i="2" s="1"/>
  <c r="AG43" i="2"/>
  <c r="AA43" i="2"/>
  <c r="W43" i="2"/>
  <c r="V43" i="2"/>
  <c r="T43" i="2"/>
  <c r="R43" i="2"/>
  <c r="P43" i="2"/>
  <c r="J43" i="2"/>
  <c r="AZ43" i="2" s="1"/>
  <c r="BZ42" i="2"/>
  <c r="BV42" i="2"/>
  <c r="BU42" i="2"/>
  <c r="BW42" i="2" s="1"/>
  <c r="BQ42" i="2"/>
  <c r="BS42" i="2" s="1"/>
  <c r="BT42" i="2" s="1"/>
  <c r="BP42" i="2"/>
  <c r="BO42" i="2"/>
  <c r="BN42" i="2"/>
  <c r="BL42" i="2"/>
  <c r="BK42" i="2"/>
  <c r="BJ42" i="2"/>
  <c r="BR42" i="2" s="1"/>
  <c r="BI42" i="2"/>
  <c r="BH42" i="2"/>
  <c r="BG42" i="2"/>
  <c r="BF42" i="2"/>
  <c r="BE42" i="2"/>
  <c r="BD42" i="2"/>
  <c r="BC42" i="2"/>
  <c r="BB42" i="2"/>
  <c r="BA42" i="2"/>
  <c r="AY42" i="2"/>
  <c r="AX42" i="2"/>
  <c r="AW42" i="2"/>
  <c r="AV42" i="2"/>
  <c r="AU42" i="2"/>
  <c r="AR42" i="2"/>
  <c r="AP42" i="2"/>
  <c r="AM42" i="2"/>
  <c r="AN42" i="2" s="1"/>
  <c r="AL42" i="2"/>
  <c r="AH42" i="2"/>
  <c r="AG42" i="2" s="1"/>
  <c r="AA42" i="2"/>
  <c r="W42" i="2"/>
  <c r="V42" i="2"/>
  <c r="T42" i="2"/>
  <c r="R42" i="2"/>
  <c r="P42" i="2"/>
  <c r="J42" i="2"/>
  <c r="AZ42" i="2" s="1"/>
  <c r="BZ41" i="2"/>
  <c r="BV41" i="2"/>
  <c r="BU41" i="2"/>
  <c r="BW41" i="2" s="1"/>
  <c r="BQ41" i="2"/>
  <c r="BP41" i="2"/>
  <c r="BO41" i="2"/>
  <c r="BN41" i="2"/>
  <c r="BL41" i="2"/>
  <c r="BK41" i="2"/>
  <c r="BJ41" i="2"/>
  <c r="BR41" i="2" s="1"/>
  <c r="BI41" i="2"/>
  <c r="BH41" i="2"/>
  <c r="BG41" i="2"/>
  <c r="BF41" i="2"/>
  <c r="BE41" i="2"/>
  <c r="BD41" i="2"/>
  <c r="BC41" i="2"/>
  <c r="BB41" i="2"/>
  <c r="BA41" i="2"/>
  <c r="AY41" i="2"/>
  <c r="AX41" i="2"/>
  <c r="AW41" i="2"/>
  <c r="AV41" i="2"/>
  <c r="AU41" i="2"/>
  <c r="AR41" i="2"/>
  <c r="AP41" i="2"/>
  <c r="AM41" i="2"/>
  <c r="AL41" i="2"/>
  <c r="AI41" i="2"/>
  <c r="AH41" i="2"/>
  <c r="AG41" i="2" s="1"/>
  <c r="AA41" i="2"/>
  <c r="W41" i="2"/>
  <c r="V41" i="2"/>
  <c r="T41" i="2"/>
  <c r="R41" i="2"/>
  <c r="P41" i="2"/>
  <c r="J41" i="2"/>
  <c r="AZ41" i="2" s="1"/>
  <c r="BZ40" i="2"/>
  <c r="BV40" i="2"/>
  <c r="BW40" i="2" s="1"/>
  <c r="BU40" i="2"/>
  <c r="BQ40" i="2"/>
  <c r="BP40" i="2"/>
  <c r="BO40" i="2"/>
  <c r="BN40" i="2"/>
  <c r="BM40" i="2"/>
  <c r="BL40" i="2"/>
  <c r="BK40" i="2"/>
  <c r="BJ40" i="2"/>
  <c r="BR40" i="2" s="1"/>
  <c r="BI40" i="2"/>
  <c r="BH40" i="2"/>
  <c r="BG40" i="2"/>
  <c r="BF40" i="2"/>
  <c r="BE40" i="2"/>
  <c r="BD40" i="2"/>
  <c r="BC40" i="2"/>
  <c r="BB40" i="2"/>
  <c r="BA40" i="2"/>
  <c r="AY40" i="2"/>
  <c r="AX40" i="2"/>
  <c r="AW40" i="2"/>
  <c r="AV40" i="2"/>
  <c r="AU40" i="2"/>
  <c r="AR40" i="2"/>
  <c r="AP40" i="2"/>
  <c r="AM40" i="2"/>
  <c r="AL40" i="2"/>
  <c r="AN40" i="2" s="1"/>
  <c r="AI40" i="2"/>
  <c r="AH40" i="2"/>
  <c r="AG40" i="2"/>
  <c r="AA40" i="2"/>
  <c r="W40" i="2"/>
  <c r="V40" i="2"/>
  <c r="T40" i="2"/>
  <c r="R40" i="2"/>
  <c r="P40" i="2"/>
  <c r="J40" i="2"/>
  <c r="AZ40" i="2" s="1"/>
  <c r="BZ39" i="2"/>
  <c r="BW39" i="2"/>
  <c r="BV39" i="2"/>
  <c r="BU39" i="2"/>
  <c r="BQ39" i="2"/>
  <c r="BP39" i="2"/>
  <c r="BO39" i="2"/>
  <c r="BN39" i="2"/>
  <c r="BL39" i="2"/>
  <c r="BK39" i="2"/>
  <c r="BJ39" i="2"/>
  <c r="BR39" i="2" s="1"/>
  <c r="BI39" i="2"/>
  <c r="BH39" i="2"/>
  <c r="BG39" i="2"/>
  <c r="BF39" i="2"/>
  <c r="BE39" i="2"/>
  <c r="BD39" i="2"/>
  <c r="BC39" i="2"/>
  <c r="BB39" i="2"/>
  <c r="BA39" i="2"/>
  <c r="AY39" i="2"/>
  <c r="AX39" i="2"/>
  <c r="AW39" i="2"/>
  <c r="AV39" i="2"/>
  <c r="AU39" i="2"/>
  <c r="AR39" i="2"/>
  <c r="AP39" i="2"/>
  <c r="AM39" i="2"/>
  <c r="AL39" i="2"/>
  <c r="AN39" i="2" s="1"/>
  <c r="AI39" i="2"/>
  <c r="AH39" i="2"/>
  <c r="BM39" i="2" s="1"/>
  <c r="AG39" i="2"/>
  <c r="AA39" i="2"/>
  <c r="W39" i="2"/>
  <c r="V39" i="2"/>
  <c r="T39" i="2"/>
  <c r="R39" i="2"/>
  <c r="P39" i="2"/>
  <c r="J39" i="2"/>
  <c r="AZ39" i="2" s="1"/>
  <c r="BZ38" i="2"/>
  <c r="BV38" i="2"/>
  <c r="BU38" i="2"/>
  <c r="BQ38" i="2"/>
  <c r="BP38" i="2"/>
  <c r="BO38" i="2"/>
  <c r="BN38" i="2"/>
  <c r="BL38" i="2"/>
  <c r="BK38" i="2"/>
  <c r="BJ38" i="2"/>
  <c r="BR38" i="2" s="1"/>
  <c r="BI38" i="2"/>
  <c r="BH38" i="2"/>
  <c r="BG38" i="2"/>
  <c r="BF38" i="2"/>
  <c r="BE38" i="2"/>
  <c r="BD38" i="2"/>
  <c r="BC38" i="2"/>
  <c r="BB38" i="2"/>
  <c r="BA38" i="2"/>
  <c r="AY38" i="2"/>
  <c r="AX38" i="2"/>
  <c r="AW38" i="2"/>
  <c r="AV38" i="2"/>
  <c r="AU38" i="2"/>
  <c r="AR38" i="2"/>
  <c r="AP38" i="2"/>
  <c r="AM38" i="2"/>
  <c r="AL38" i="2"/>
  <c r="AN38" i="2" s="1"/>
  <c r="AI38" i="2"/>
  <c r="AH38" i="2"/>
  <c r="BM38" i="2" s="1"/>
  <c r="AG38" i="2"/>
  <c r="AA38" i="2"/>
  <c r="W38" i="2"/>
  <c r="V38" i="2"/>
  <c r="T38" i="2"/>
  <c r="R38" i="2"/>
  <c r="P38" i="2"/>
  <c r="J38" i="2"/>
  <c r="AZ38" i="2" s="1"/>
  <c r="BZ37" i="2"/>
  <c r="BV37" i="2"/>
  <c r="BU37" i="2"/>
  <c r="BW37" i="2" s="1"/>
  <c r="BQ37" i="2"/>
  <c r="BP37" i="2"/>
  <c r="BO37" i="2"/>
  <c r="BN37" i="2"/>
  <c r="BL37" i="2"/>
  <c r="BK37" i="2"/>
  <c r="BJ37" i="2"/>
  <c r="BR37" i="2" s="1"/>
  <c r="BI37" i="2"/>
  <c r="BH37" i="2"/>
  <c r="BG37" i="2"/>
  <c r="BF37" i="2"/>
  <c r="BE37" i="2"/>
  <c r="BD37" i="2"/>
  <c r="BC37" i="2"/>
  <c r="BB37" i="2"/>
  <c r="BA37" i="2"/>
  <c r="AY37" i="2"/>
  <c r="AX37" i="2"/>
  <c r="AW37" i="2"/>
  <c r="AV37" i="2"/>
  <c r="AU37" i="2"/>
  <c r="AR37" i="2"/>
  <c r="AP37" i="2"/>
  <c r="AM37" i="2"/>
  <c r="AL37" i="2"/>
  <c r="AN37" i="2" s="1"/>
  <c r="AH37" i="2"/>
  <c r="BM37" i="2" s="1"/>
  <c r="AG37" i="2"/>
  <c r="AA37" i="2"/>
  <c r="W37" i="2"/>
  <c r="V37" i="2"/>
  <c r="T37" i="2"/>
  <c r="R37" i="2"/>
  <c r="P37" i="2"/>
  <c r="J37" i="2"/>
  <c r="AZ37" i="2" s="1"/>
  <c r="BZ36" i="2"/>
  <c r="BV36" i="2"/>
  <c r="BU36" i="2"/>
  <c r="BQ36" i="2"/>
  <c r="BP36" i="2"/>
  <c r="BO36" i="2"/>
  <c r="BN36" i="2"/>
  <c r="BM36" i="2"/>
  <c r="BL36" i="2"/>
  <c r="BK36" i="2"/>
  <c r="BJ36" i="2"/>
  <c r="BR36" i="2" s="1"/>
  <c r="BI36" i="2"/>
  <c r="BH36" i="2"/>
  <c r="BG36" i="2"/>
  <c r="BF36" i="2"/>
  <c r="BE36" i="2"/>
  <c r="BD36" i="2"/>
  <c r="BC36" i="2"/>
  <c r="BB36" i="2"/>
  <c r="BA36" i="2"/>
  <c r="AY36" i="2"/>
  <c r="AX36" i="2"/>
  <c r="AW36" i="2"/>
  <c r="AV36" i="2"/>
  <c r="AU36" i="2"/>
  <c r="AR36" i="2"/>
  <c r="AP36" i="2"/>
  <c r="AM36" i="2"/>
  <c r="AL36" i="2"/>
  <c r="AI36" i="2"/>
  <c r="AH36" i="2"/>
  <c r="AG36" i="2"/>
  <c r="AA36" i="2"/>
  <c r="W36" i="2"/>
  <c r="V36" i="2"/>
  <c r="T36" i="2"/>
  <c r="R36" i="2"/>
  <c r="P36" i="2"/>
  <c r="J36" i="2"/>
  <c r="AZ36" i="2" s="1"/>
  <c r="BZ35" i="2"/>
  <c r="BV35" i="2"/>
  <c r="BU35" i="2"/>
  <c r="BW35" i="2" s="1"/>
  <c r="BQ35" i="2"/>
  <c r="BP35" i="2"/>
  <c r="BO35" i="2"/>
  <c r="BN35" i="2"/>
  <c r="BL35" i="2"/>
  <c r="BK35" i="2"/>
  <c r="BJ35" i="2"/>
  <c r="BR35" i="2" s="1"/>
  <c r="BI35" i="2"/>
  <c r="BH35" i="2"/>
  <c r="BG35" i="2"/>
  <c r="BF35" i="2"/>
  <c r="BE35" i="2"/>
  <c r="BD35" i="2"/>
  <c r="BC35" i="2"/>
  <c r="BB35" i="2"/>
  <c r="BA35" i="2"/>
  <c r="AY35" i="2"/>
  <c r="AX35" i="2"/>
  <c r="AW35" i="2"/>
  <c r="AV35" i="2"/>
  <c r="AU35" i="2"/>
  <c r="AR35" i="2"/>
  <c r="AP35" i="2"/>
  <c r="AN35" i="2"/>
  <c r="AM35" i="2"/>
  <c r="AL35" i="2"/>
  <c r="AI35" i="2"/>
  <c r="AH35" i="2"/>
  <c r="BM35" i="2" s="1"/>
  <c r="AG35" i="2"/>
  <c r="AA35" i="2"/>
  <c r="W35" i="2"/>
  <c r="V35" i="2"/>
  <c r="T35" i="2"/>
  <c r="R35" i="2"/>
  <c r="P35" i="2"/>
  <c r="J35" i="2"/>
  <c r="AZ35" i="2" s="1"/>
  <c r="BZ34" i="2"/>
  <c r="BV34" i="2"/>
  <c r="BU34" i="2"/>
  <c r="BW34" i="2" s="1"/>
  <c r="BQ34" i="2"/>
  <c r="BS34" i="2" s="1"/>
  <c r="BT34" i="2" s="1"/>
  <c r="BP34" i="2"/>
  <c r="BO34" i="2"/>
  <c r="BN34" i="2"/>
  <c r="BL34" i="2"/>
  <c r="BK34" i="2"/>
  <c r="BJ34" i="2"/>
  <c r="BR34" i="2" s="1"/>
  <c r="BI34" i="2"/>
  <c r="BH34" i="2"/>
  <c r="BG34" i="2"/>
  <c r="BF34" i="2"/>
  <c r="BE34" i="2"/>
  <c r="BD34" i="2"/>
  <c r="BC34" i="2"/>
  <c r="BB34" i="2"/>
  <c r="BA34" i="2"/>
  <c r="AY34" i="2"/>
  <c r="AX34" i="2"/>
  <c r="AW34" i="2"/>
  <c r="AV34" i="2"/>
  <c r="AU34" i="2"/>
  <c r="AR34" i="2"/>
  <c r="AP34" i="2"/>
  <c r="AN34" i="2"/>
  <c r="AM34" i="2"/>
  <c r="AL34" i="2"/>
  <c r="AI34" i="2"/>
  <c r="AH34" i="2"/>
  <c r="BM34" i="2" s="1"/>
  <c r="AG34" i="2"/>
  <c r="AA34" i="2"/>
  <c r="W34" i="2"/>
  <c r="V34" i="2"/>
  <c r="T34" i="2"/>
  <c r="R34" i="2"/>
  <c r="P34" i="2"/>
  <c r="J34" i="2"/>
  <c r="AZ34" i="2" s="1"/>
  <c r="BZ33" i="2"/>
  <c r="BV33" i="2"/>
  <c r="BU33" i="2"/>
  <c r="BW33" i="2" s="1"/>
  <c r="BQ33" i="2"/>
  <c r="BP33" i="2"/>
  <c r="BO33" i="2"/>
  <c r="BN33" i="2"/>
  <c r="BM33" i="2"/>
  <c r="BL33" i="2"/>
  <c r="BK33" i="2"/>
  <c r="BJ33" i="2"/>
  <c r="BR33" i="2" s="1"/>
  <c r="BI33" i="2"/>
  <c r="BH33" i="2"/>
  <c r="BG33" i="2"/>
  <c r="BF33" i="2"/>
  <c r="BE33" i="2"/>
  <c r="BD33" i="2"/>
  <c r="BC33" i="2"/>
  <c r="BB33" i="2"/>
  <c r="BA33" i="2"/>
  <c r="AY33" i="2"/>
  <c r="AX33" i="2"/>
  <c r="AW33" i="2"/>
  <c r="AV33" i="2"/>
  <c r="AU33" i="2"/>
  <c r="AR33" i="2"/>
  <c r="AP33" i="2"/>
  <c r="AM33" i="2"/>
  <c r="AL33" i="2"/>
  <c r="AN33" i="2" s="1"/>
  <c r="AH33" i="2"/>
  <c r="AG33" i="2" s="1"/>
  <c r="AA33" i="2"/>
  <c r="W33" i="2"/>
  <c r="V33" i="2"/>
  <c r="T33" i="2"/>
  <c r="R33" i="2"/>
  <c r="P33" i="2"/>
  <c r="J33" i="2"/>
  <c r="AZ33" i="2" s="1"/>
  <c r="BZ32" i="2"/>
  <c r="BV32" i="2"/>
  <c r="BU32" i="2"/>
  <c r="BQ32" i="2"/>
  <c r="BP32" i="2"/>
  <c r="BO32" i="2"/>
  <c r="BN32" i="2"/>
  <c r="BL32" i="2"/>
  <c r="BK32" i="2"/>
  <c r="BJ32" i="2"/>
  <c r="BR32" i="2" s="1"/>
  <c r="BS32" i="2" s="1"/>
  <c r="BT32" i="2" s="1"/>
  <c r="BI32" i="2"/>
  <c r="BH32" i="2"/>
  <c r="BG32" i="2"/>
  <c r="BF32" i="2"/>
  <c r="BE32" i="2"/>
  <c r="BD32" i="2"/>
  <c r="BC32" i="2"/>
  <c r="BB32" i="2"/>
  <c r="BA32" i="2"/>
  <c r="AY32" i="2"/>
  <c r="AX32" i="2"/>
  <c r="AW32" i="2"/>
  <c r="AV32" i="2"/>
  <c r="AU32" i="2"/>
  <c r="AR32" i="2"/>
  <c r="AP32" i="2"/>
  <c r="AM32" i="2"/>
  <c r="AL32" i="2"/>
  <c r="AN32" i="2" s="1"/>
  <c r="AH32" i="2"/>
  <c r="BM32" i="2" s="1"/>
  <c r="AA32" i="2"/>
  <c r="W32" i="2"/>
  <c r="V32" i="2"/>
  <c r="T32" i="2"/>
  <c r="R32" i="2"/>
  <c r="P32" i="2"/>
  <c r="J32" i="2"/>
  <c r="AZ32" i="2" s="1"/>
  <c r="BZ31" i="2"/>
  <c r="BV31" i="2"/>
  <c r="BU31" i="2"/>
  <c r="BW31" i="2" s="1"/>
  <c r="BQ31" i="2"/>
  <c r="BS31" i="2" s="1"/>
  <c r="BT31" i="2" s="1"/>
  <c r="BP31" i="2"/>
  <c r="BO31" i="2"/>
  <c r="BN31" i="2"/>
  <c r="BL31" i="2"/>
  <c r="BK31" i="2"/>
  <c r="BJ31" i="2"/>
  <c r="BR31" i="2" s="1"/>
  <c r="BI31" i="2"/>
  <c r="BH31" i="2"/>
  <c r="BG31" i="2"/>
  <c r="BF31" i="2"/>
  <c r="BE31" i="2"/>
  <c r="BD31" i="2"/>
  <c r="BC31" i="2"/>
  <c r="BB31" i="2"/>
  <c r="BA31" i="2"/>
  <c r="AY31" i="2"/>
  <c r="AX31" i="2"/>
  <c r="AW31" i="2"/>
  <c r="AV31" i="2"/>
  <c r="AU31" i="2"/>
  <c r="AR31" i="2"/>
  <c r="AP31" i="2"/>
  <c r="AM31" i="2"/>
  <c r="AL31" i="2"/>
  <c r="AN31" i="2" s="1"/>
  <c r="AI31" i="2"/>
  <c r="AH31" i="2"/>
  <c r="BM31" i="2" s="1"/>
  <c r="AG31" i="2"/>
  <c r="AA31" i="2"/>
  <c r="W31" i="2"/>
  <c r="V31" i="2"/>
  <c r="T31" i="2"/>
  <c r="R31" i="2"/>
  <c r="P31" i="2"/>
  <c r="J31" i="2"/>
  <c r="AZ31" i="2" s="1"/>
  <c r="BZ30" i="2"/>
  <c r="BV30" i="2"/>
  <c r="BU30" i="2"/>
  <c r="BW30" i="2" s="1"/>
  <c r="BQ30" i="2"/>
  <c r="BS30" i="2" s="1"/>
  <c r="BT30" i="2" s="1"/>
  <c r="BP30" i="2"/>
  <c r="BO30" i="2"/>
  <c r="BN30" i="2"/>
  <c r="BL30" i="2"/>
  <c r="BK30" i="2"/>
  <c r="BJ30" i="2"/>
  <c r="BR30" i="2" s="1"/>
  <c r="BI30" i="2"/>
  <c r="BH30" i="2"/>
  <c r="BG30" i="2"/>
  <c r="BF30" i="2"/>
  <c r="BE30" i="2"/>
  <c r="BD30" i="2"/>
  <c r="BC30" i="2"/>
  <c r="BB30" i="2"/>
  <c r="BA30" i="2"/>
  <c r="AY30" i="2"/>
  <c r="AX30" i="2"/>
  <c r="AW30" i="2"/>
  <c r="AV30" i="2"/>
  <c r="AU30" i="2"/>
  <c r="AR30" i="2"/>
  <c r="AP30" i="2"/>
  <c r="AN30" i="2"/>
  <c r="AM30" i="2"/>
  <c r="AL30" i="2"/>
  <c r="AH30" i="2"/>
  <c r="AG30" i="2" s="1"/>
  <c r="AA30" i="2"/>
  <c r="W30" i="2"/>
  <c r="V30" i="2"/>
  <c r="T30" i="2"/>
  <c r="R30" i="2"/>
  <c r="P30" i="2"/>
  <c r="J30" i="2"/>
  <c r="AZ30" i="2" s="1"/>
  <c r="BZ29" i="2"/>
  <c r="BV29" i="2"/>
  <c r="BU29" i="2"/>
  <c r="BW29" i="2" s="1"/>
  <c r="BQ29" i="2"/>
  <c r="BS29" i="2" s="1"/>
  <c r="BT29" i="2" s="1"/>
  <c r="BP29" i="2"/>
  <c r="BO29" i="2"/>
  <c r="BN29" i="2"/>
  <c r="BL29" i="2"/>
  <c r="BK29" i="2"/>
  <c r="BJ29" i="2"/>
  <c r="BR29" i="2" s="1"/>
  <c r="BI29" i="2"/>
  <c r="BH29" i="2"/>
  <c r="BG29" i="2"/>
  <c r="BF29" i="2"/>
  <c r="BE29" i="2"/>
  <c r="BD29" i="2"/>
  <c r="BC29" i="2"/>
  <c r="BB29" i="2"/>
  <c r="BA29" i="2"/>
  <c r="AY29" i="2"/>
  <c r="AX29" i="2"/>
  <c r="AW29" i="2"/>
  <c r="AV29" i="2"/>
  <c r="AU29" i="2"/>
  <c r="AR29" i="2"/>
  <c r="AP29" i="2"/>
  <c r="AN29" i="2"/>
  <c r="AM29" i="2"/>
  <c r="AL29" i="2"/>
  <c r="AI29" i="2"/>
  <c r="AH29" i="2"/>
  <c r="BM29" i="2" s="1"/>
  <c r="AG29" i="2"/>
  <c r="AA29" i="2"/>
  <c r="W29" i="2"/>
  <c r="V29" i="2"/>
  <c r="T29" i="2"/>
  <c r="R29" i="2"/>
  <c r="P29" i="2"/>
  <c r="J29" i="2"/>
  <c r="AZ29" i="2" s="1"/>
  <c r="BZ28" i="2"/>
  <c r="BV28" i="2"/>
  <c r="BU28" i="2"/>
  <c r="BW28" i="2" s="1"/>
  <c r="BQ28" i="2"/>
  <c r="BS28" i="2" s="1"/>
  <c r="BT28" i="2" s="1"/>
  <c r="BP28" i="2"/>
  <c r="BO28" i="2"/>
  <c r="BN28" i="2"/>
  <c r="BM28" i="2"/>
  <c r="BL28" i="2"/>
  <c r="BK28" i="2"/>
  <c r="BJ28" i="2"/>
  <c r="BR28" i="2" s="1"/>
  <c r="BI28" i="2"/>
  <c r="BH28" i="2"/>
  <c r="BG28" i="2"/>
  <c r="BF28" i="2"/>
  <c r="BE28" i="2"/>
  <c r="BD28" i="2"/>
  <c r="BC28" i="2"/>
  <c r="BB28" i="2"/>
  <c r="BA28" i="2"/>
  <c r="AY28" i="2"/>
  <c r="AX28" i="2"/>
  <c r="AW28" i="2"/>
  <c r="AV28" i="2"/>
  <c r="AU28" i="2"/>
  <c r="AR28" i="2"/>
  <c r="AP28" i="2"/>
  <c r="AM28" i="2"/>
  <c r="AL28" i="2"/>
  <c r="AN28" i="2" s="1"/>
  <c r="AI28" i="2"/>
  <c r="AH28" i="2"/>
  <c r="AG28" i="2"/>
  <c r="AA28" i="2"/>
  <c r="W28" i="2"/>
  <c r="V28" i="2"/>
  <c r="T28" i="2"/>
  <c r="R28" i="2"/>
  <c r="P28" i="2"/>
  <c r="J28" i="2"/>
  <c r="AZ28" i="2" s="1"/>
  <c r="BZ27" i="2"/>
  <c r="BW27" i="2"/>
  <c r="BV27" i="2"/>
  <c r="BU27" i="2"/>
  <c r="BQ27" i="2"/>
  <c r="BP27" i="2"/>
  <c r="BO27" i="2"/>
  <c r="BN27" i="2"/>
  <c r="BL27" i="2"/>
  <c r="BK27" i="2"/>
  <c r="BJ27" i="2"/>
  <c r="BR27" i="2" s="1"/>
  <c r="BI27" i="2"/>
  <c r="BH27" i="2"/>
  <c r="BG27" i="2"/>
  <c r="BF27" i="2"/>
  <c r="BE27" i="2"/>
  <c r="BD27" i="2"/>
  <c r="BC27" i="2"/>
  <c r="BB27" i="2"/>
  <c r="BA27" i="2"/>
  <c r="AY27" i="2"/>
  <c r="AX27" i="2"/>
  <c r="AW27" i="2"/>
  <c r="AV27" i="2"/>
  <c r="AU27" i="2"/>
  <c r="AR27" i="2"/>
  <c r="AP27" i="2"/>
  <c r="AM27" i="2"/>
  <c r="AL27" i="2"/>
  <c r="AN27" i="2" s="1"/>
  <c r="AI27" i="2"/>
  <c r="AH27" i="2"/>
  <c r="BM27" i="2" s="1"/>
  <c r="AG27" i="2"/>
  <c r="AA27" i="2"/>
  <c r="W27" i="2"/>
  <c r="V27" i="2"/>
  <c r="T27" i="2"/>
  <c r="R27" i="2"/>
  <c r="P27" i="2"/>
  <c r="J27" i="2"/>
  <c r="AZ27" i="2" s="1"/>
  <c r="BZ26" i="2"/>
  <c r="BV26" i="2"/>
  <c r="BW26" i="2" s="1"/>
  <c r="BU26" i="2"/>
  <c r="BQ26" i="2"/>
  <c r="BP26" i="2"/>
  <c r="BO26" i="2"/>
  <c r="BN26" i="2"/>
  <c r="BL26" i="2"/>
  <c r="BK26" i="2"/>
  <c r="BJ26" i="2"/>
  <c r="BR26" i="2" s="1"/>
  <c r="BS26" i="2" s="1"/>
  <c r="BT26" i="2" s="1"/>
  <c r="BI26" i="2"/>
  <c r="BH26" i="2"/>
  <c r="BG26" i="2"/>
  <c r="BF26" i="2"/>
  <c r="BE26" i="2"/>
  <c r="BD26" i="2"/>
  <c r="BC26" i="2"/>
  <c r="BB26" i="2"/>
  <c r="BA26" i="2"/>
  <c r="AY26" i="2"/>
  <c r="AX26" i="2"/>
  <c r="AW26" i="2"/>
  <c r="AV26" i="2"/>
  <c r="AU26" i="2"/>
  <c r="AR26" i="2"/>
  <c r="AP26" i="2"/>
  <c r="AM26" i="2"/>
  <c r="AL26" i="2"/>
  <c r="AN26" i="2" s="1"/>
  <c r="AH26" i="2"/>
  <c r="BM26" i="2" s="1"/>
  <c r="AA26" i="2"/>
  <c r="W26" i="2"/>
  <c r="V26" i="2"/>
  <c r="T26" i="2"/>
  <c r="R26" i="2"/>
  <c r="P26" i="2"/>
  <c r="J26" i="2"/>
  <c r="AZ26" i="2" s="1"/>
  <c r="BZ25" i="2"/>
  <c r="BV25" i="2"/>
  <c r="BU25" i="2"/>
  <c r="BW25" i="2" s="1"/>
  <c r="BQ25" i="2"/>
  <c r="BS25" i="2" s="1"/>
  <c r="BT25" i="2" s="1"/>
  <c r="BP25" i="2"/>
  <c r="BO25" i="2"/>
  <c r="BN25" i="2"/>
  <c r="BL25" i="2"/>
  <c r="BK25" i="2"/>
  <c r="BJ25" i="2"/>
  <c r="BR25" i="2" s="1"/>
  <c r="BI25" i="2"/>
  <c r="BH25" i="2"/>
  <c r="BG25" i="2"/>
  <c r="BF25" i="2"/>
  <c r="BE25" i="2"/>
  <c r="BD25" i="2"/>
  <c r="BC25" i="2"/>
  <c r="BB25" i="2"/>
  <c r="BA25" i="2"/>
  <c r="AY25" i="2"/>
  <c r="AX25" i="2"/>
  <c r="AW25" i="2"/>
  <c r="AV25" i="2"/>
  <c r="AU25" i="2"/>
  <c r="AR25" i="2"/>
  <c r="AP25" i="2"/>
  <c r="AN25" i="2"/>
  <c r="AM25" i="2"/>
  <c r="AL25" i="2"/>
  <c r="AI25" i="2"/>
  <c r="AH25" i="2"/>
  <c r="BM25" i="2" s="1"/>
  <c r="AG25" i="2"/>
  <c r="AA25" i="2"/>
  <c r="W25" i="2"/>
  <c r="V25" i="2"/>
  <c r="T25" i="2"/>
  <c r="R25" i="2"/>
  <c r="P25" i="2"/>
  <c r="J25" i="2"/>
  <c r="AZ25" i="2" s="1"/>
  <c r="BZ24" i="2"/>
  <c r="BV24" i="2"/>
  <c r="BU24" i="2"/>
  <c r="BW24" i="2" s="1"/>
  <c r="BQ24" i="2"/>
  <c r="BS24" i="2" s="1"/>
  <c r="BT24" i="2" s="1"/>
  <c r="BP24" i="2"/>
  <c r="BO24" i="2"/>
  <c r="BN24" i="2"/>
  <c r="BM24" i="2"/>
  <c r="BL24" i="2"/>
  <c r="BK24" i="2"/>
  <c r="BJ24" i="2"/>
  <c r="BR24" i="2" s="1"/>
  <c r="BI24" i="2"/>
  <c r="BH24" i="2"/>
  <c r="BG24" i="2"/>
  <c r="BF24" i="2"/>
  <c r="BE24" i="2"/>
  <c r="BD24" i="2"/>
  <c r="BC24" i="2"/>
  <c r="BB24" i="2"/>
  <c r="BA24" i="2"/>
  <c r="AY24" i="2"/>
  <c r="AX24" i="2"/>
  <c r="AW24" i="2"/>
  <c r="AV24" i="2"/>
  <c r="AU24" i="2"/>
  <c r="AR24" i="2"/>
  <c r="AP24" i="2"/>
  <c r="AM24" i="2"/>
  <c r="AL24" i="2"/>
  <c r="AN24" i="2" s="1"/>
  <c r="AI24" i="2"/>
  <c r="AH24" i="2"/>
  <c r="AG24" i="2"/>
  <c r="AA24" i="2"/>
  <c r="W24" i="2"/>
  <c r="V24" i="2"/>
  <c r="T24" i="2"/>
  <c r="R24" i="2"/>
  <c r="P24" i="2"/>
  <c r="J24" i="2"/>
  <c r="AZ24" i="2" s="1"/>
  <c r="BZ23" i="2"/>
  <c r="BW23" i="2"/>
  <c r="BV23" i="2"/>
  <c r="BU23" i="2"/>
  <c r="BQ23" i="2"/>
  <c r="BP23" i="2"/>
  <c r="BO23" i="2"/>
  <c r="BN23" i="2"/>
  <c r="BL23" i="2"/>
  <c r="BK23" i="2"/>
  <c r="BJ23" i="2"/>
  <c r="BR23" i="2" s="1"/>
  <c r="BI23" i="2"/>
  <c r="BH23" i="2"/>
  <c r="BG23" i="2"/>
  <c r="BF23" i="2"/>
  <c r="BE23" i="2"/>
  <c r="BD23" i="2"/>
  <c r="BC23" i="2"/>
  <c r="BB23" i="2"/>
  <c r="BA23" i="2"/>
  <c r="AY23" i="2"/>
  <c r="AX23" i="2"/>
  <c r="AW23" i="2"/>
  <c r="AV23" i="2"/>
  <c r="AU23" i="2"/>
  <c r="AR23" i="2"/>
  <c r="AP23" i="2"/>
  <c r="AM23" i="2"/>
  <c r="AL23" i="2"/>
  <c r="AN23" i="2" s="1"/>
  <c r="AI23" i="2"/>
  <c r="AH23" i="2"/>
  <c r="BM23" i="2" s="1"/>
  <c r="AG23" i="2"/>
  <c r="AA23" i="2"/>
  <c r="W23" i="2"/>
  <c r="V23" i="2"/>
  <c r="T23" i="2"/>
  <c r="R23" i="2"/>
  <c r="P23" i="2"/>
  <c r="J23" i="2"/>
  <c r="AZ23" i="2" s="1"/>
  <c r="BZ22" i="2"/>
  <c r="BV22" i="2"/>
  <c r="BW22" i="2" s="1"/>
  <c r="BU22" i="2"/>
  <c r="BQ22" i="2"/>
  <c r="BP22" i="2"/>
  <c r="BO22" i="2"/>
  <c r="BN22" i="2"/>
  <c r="BL22" i="2"/>
  <c r="BK22" i="2"/>
  <c r="BJ22" i="2"/>
  <c r="BR22" i="2" s="1"/>
  <c r="BS22" i="2" s="1"/>
  <c r="BT22" i="2" s="1"/>
  <c r="BI22" i="2"/>
  <c r="BH22" i="2"/>
  <c r="BG22" i="2"/>
  <c r="BF22" i="2"/>
  <c r="BE22" i="2"/>
  <c r="BD22" i="2"/>
  <c r="BC22" i="2"/>
  <c r="BB22" i="2"/>
  <c r="BA22" i="2"/>
  <c r="AY22" i="2"/>
  <c r="AX22" i="2"/>
  <c r="AW22" i="2"/>
  <c r="AV22" i="2"/>
  <c r="AU22" i="2"/>
  <c r="AR22" i="2"/>
  <c r="AP22" i="2"/>
  <c r="AM22" i="2"/>
  <c r="AL22" i="2"/>
  <c r="AN22" i="2" s="1"/>
  <c r="AI22" i="2"/>
  <c r="AH22" i="2"/>
  <c r="BM22" i="2" s="1"/>
  <c r="AG22" i="2"/>
  <c r="AA22" i="2"/>
  <c r="W22" i="2"/>
  <c r="V22" i="2"/>
  <c r="T22" i="2"/>
  <c r="R22" i="2"/>
  <c r="P22" i="2"/>
  <c r="J22" i="2"/>
  <c r="AZ22" i="2" s="1"/>
  <c r="BZ21" i="2"/>
  <c r="BV21" i="2"/>
  <c r="BU21" i="2"/>
  <c r="BW21" i="2" s="1"/>
  <c r="BQ21" i="2"/>
  <c r="BP21" i="2"/>
  <c r="BO21" i="2"/>
  <c r="BN21" i="2"/>
  <c r="BL21" i="2"/>
  <c r="BK21" i="2"/>
  <c r="BJ21" i="2"/>
  <c r="BR21" i="2" s="1"/>
  <c r="BI21" i="2"/>
  <c r="BH21" i="2"/>
  <c r="BG21" i="2"/>
  <c r="BF21" i="2"/>
  <c r="BE21" i="2"/>
  <c r="BD21" i="2"/>
  <c r="BC21" i="2"/>
  <c r="BB21" i="2"/>
  <c r="BA21" i="2"/>
  <c r="AY21" i="2"/>
  <c r="AX21" i="2"/>
  <c r="AW21" i="2"/>
  <c r="AV21" i="2"/>
  <c r="AU21" i="2"/>
  <c r="AR21" i="2"/>
  <c r="AP21" i="2"/>
  <c r="AM21" i="2"/>
  <c r="AL21" i="2"/>
  <c r="AI21" i="2"/>
  <c r="AH21" i="2"/>
  <c r="BM21" i="2" s="1"/>
  <c r="AA21" i="2"/>
  <c r="W21" i="2"/>
  <c r="V21" i="2"/>
  <c r="T21" i="2"/>
  <c r="R21" i="2"/>
  <c r="P21" i="2"/>
  <c r="J21" i="2"/>
  <c r="AZ21" i="2" s="1"/>
  <c r="BZ20" i="2"/>
  <c r="BV20" i="2"/>
  <c r="BU20" i="2"/>
  <c r="BW20" i="2" s="1"/>
  <c r="BQ20" i="2"/>
  <c r="BS20" i="2" s="1"/>
  <c r="BT20" i="2" s="1"/>
  <c r="BP20" i="2"/>
  <c r="BO20" i="2"/>
  <c r="BN20" i="2"/>
  <c r="BL20" i="2"/>
  <c r="BK20" i="2"/>
  <c r="BJ20" i="2"/>
  <c r="BR20" i="2" s="1"/>
  <c r="BI20" i="2"/>
  <c r="BH20" i="2"/>
  <c r="BG20" i="2"/>
  <c r="BF20" i="2"/>
  <c r="BE20" i="2"/>
  <c r="BD20" i="2"/>
  <c r="BC20" i="2"/>
  <c r="BB20" i="2"/>
  <c r="BA20" i="2"/>
  <c r="AY20" i="2"/>
  <c r="AX20" i="2"/>
  <c r="AW20" i="2"/>
  <c r="AV20" i="2"/>
  <c r="AU20" i="2"/>
  <c r="AR20" i="2"/>
  <c r="AP20" i="2"/>
  <c r="AM20" i="2"/>
  <c r="AL20" i="2"/>
  <c r="AN20" i="2" s="1"/>
  <c r="AI20" i="2"/>
  <c r="AH20" i="2"/>
  <c r="BM20" i="2" s="1"/>
  <c r="AG20" i="2"/>
  <c r="AA20" i="2"/>
  <c r="W20" i="2"/>
  <c r="V20" i="2"/>
  <c r="T20" i="2"/>
  <c r="R20" i="2"/>
  <c r="P20" i="2"/>
  <c r="J20" i="2"/>
  <c r="AZ20" i="2" s="1"/>
  <c r="BZ19" i="2"/>
  <c r="BW19" i="2"/>
  <c r="BV19" i="2"/>
  <c r="BU19" i="2"/>
  <c r="BQ19" i="2"/>
  <c r="BP19" i="2"/>
  <c r="BO19" i="2"/>
  <c r="BN19" i="2"/>
  <c r="BL19" i="2"/>
  <c r="BK19" i="2"/>
  <c r="BJ19" i="2"/>
  <c r="BR19" i="2" s="1"/>
  <c r="BI19" i="2"/>
  <c r="BH19" i="2"/>
  <c r="BG19" i="2"/>
  <c r="BF19" i="2"/>
  <c r="BE19" i="2"/>
  <c r="BD19" i="2"/>
  <c r="BC19" i="2"/>
  <c r="BB19" i="2"/>
  <c r="BA19" i="2"/>
  <c r="AY19" i="2"/>
  <c r="AX19" i="2"/>
  <c r="AW19" i="2"/>
  <c r="AV19" i="2"/>
  <c r="AU19" i="2"/>
  <c r="AR19" i="2"/>
  <c r="AP19" i="2"/>
  <c r="AM19" i="2"/>
  <c r="AL19" i="2"/>
  <c r="AN19" i="2" s="1"/>
  <c r="AI19" i="2"/>
  <c r="AH19" i="2"/>
  <c r="BM19" i="2" s="1"/>
  <c r="AG19" i="2"/>
  <c r="AA19" i="2"/>
  <c r="W19" i="2"/>
  <c r="V19" i="2"/>
  <c r="T19" i="2"/>
  <c r="R19" i="2"/>
  <c r="P19" i="2"/>
  <c r="J19" i="2"/>
  <c r="AZ19" i="2" s="1"/>
  <c r="BZ18" i="2"/>
  <c r="BV18" i="2"/>
  <c r="BU18" i="2"/>
  <c r="BQ18" i="2"/>
  <c r="BP18" i="2"/>
  <c r="BO18" i="2"/>
  <c r="BN18" i="2"/>
  <c r="BL18" i="2"/>
  <c r="BK18" i="2"/>
  <c r="BJ18" i="2"/>
  <c r="BR18" i="2" s="1"/>
  <c r="BI18" i="2"/>
  <c r="BH18" i="2"/>
  <c r="BG18" i="2"/>
  <c r="BF18" i="2"/>
  <c r="BE18" i="2"/>
  <c r="BD18" i="2"/>
  <c r="BC18" i="2"/>
  <c r="BB18" i="2"/>
  <c r="BA18" i="2"/>
  <c r="AY18" i="2"/>
  <c r="AX18" i="2"/>
  <c r="AW18" i="2"/>
  <c r="AV18" i="2"/>
  <c r="AU18" i="2"/>
  <c r="AR18" i="2"/>
  <c r="AP18" i="2"/>
  <c r="AM18" i="2"/>
  <c r="AL18" i="2"/>
  <c r="AN18" i="2" s="1"/>
  <c r="AH18" i="2"/>
  <c r="AG18" i="2" s="1"/>
  <c r="AA18" i="2"/>
  <c r="W18" i="2"/>
  <c r="V18" i="2"/>
  <c r="T18" i="2"/>
  <c r="R18" i="2"/>
  <c r="P18" i="2"/>
  <c r="J18" i="2"/>
  <c r="AZ18" i="2" s="1"/>
  <c r="BZ17" i="2"/>
  <c r="BV17" i="2"/>
  <c r="BU17" i="2"/>
  <c r="BW17" i="2" s="1"/>
  <c r="BQ17" i="2"/>
  <c r="BP17" i="2"/>
  <c r="BO17" i="2"/>
  <c r="BN17" i="2"/>
  <c r="BL17" i="2"/>
  <c r="BK17" i="2"/>
  <c r="BJ17" i="2"/>
  <c r="BR17" i="2" s="1"/>
  <c r="BI17" i="2"/>
  <c r="BH17" i="2"/>
  <c r="BG17" i="2"/>
  <c r="BF17" i="2"/>
  <c r="BE17" i="2"/>
  <c r="BD17" i="2"/>
  <c r="BC17" i="2"/>
  <c r="BB17" i="2"/>
  <c r="BA17" i="2"/>
  <c r="AY17" i="2"/>
  <c r="AX17" i="2"/>
  <c r="AW17" i="2"/>
  <c r="AV17" i="2"/>
  <c r="AU17" i="2"/>
  <c r="AR17" i="2"/>
  <c r="AP17" i="2"/>
  <c r="AM17" i="2"/>
  <c r="AL17" i="2"/>
  <c r="AN17" i="2" s="1"/>
  <c r="AH17" i="2"/>
  <c r="BM17" i="2" s="1"/>
  <c r="AA17" i="2"/>
  <c r="W17" i="2"/>
  <c r="V17" i="2"/>
  <c r="T17" i="2"/>
  <c r="R17" i="2"/>
  <c r="P17" i="2"/>
  <c r="J17" i="2"/>
  <c r="AZ17" i="2" s="1"/>
  <c r="BZ16" i="2"/>
  <c r="BV16" i="2"/>
  <c r="BU16" i="2"/>
  <c r="BW16" i="2" s="1"/>
  <c r="BQ16" i="2"/>
  <c r="BP16" i="2"/>
  <c r="BO16" i="2"/>
  <c r="BN16" i="2"/>
  <c r="BL16" i="2"/>
  <c r="BK16" i="2"/>
  <c r="BJ16" i="2"/>
  <c r="BR16" i="2" s="1"/>
  <c r="BS16" i="2" s="1"/>
  <c r="BT16" i="2" s="1"/>
  <c r="BI16" i="2"/>
  <c r="BH16" i="2"/>
  <c r="BG16" i="2"/>
  <c r="BF16" i="2"/>
  <c r="BE16" i="2"/>
  <c r="BD16" i="2"/>
  <c r="BC16" i="2"/>
  <c r="BB16" i="2"/>
  <c r="BA16" i="2"/>
  <c r="AY16" i="2"/>
  <c r="AX16" i="2"/>
  <c r="AW16" i="2"/>
  <c r="AV16" i="2"/>
  <c r="AU16" i="2"/>
  <c r="AR16" i="2"/>
  <c r="AP16" i="2"/>
  <c r="AM16" i="2"/>
  <c r="AL16" i="2"/>
  <c r="AN16" i="2" s="1"/>
  <c r="AI16" i="2"/>
  <c r="AH16" i="2"/>
  <c r="BM16" i="2" s="1"/>
  <c r="AG16" i="2"/>
  <c r="AA16" i="2"/>
  <c r="W16" i="2"/>
  <c r="V16" i="2"/>
  <c r="T16" i="2"/>
  <c r="R16" i="2"/>
  <c r="P16" i="2"/>
  <c r="J16" i="2"/>
  <c r="AZ16" i="2" s="1"/>
  <c r="BZ15" i="2"/>
  <c r="BV15" i="2"/>
  <c r="BU15" i="2"/>
  <c r="BW15" i="2" s="1"/>
  <c r="BQ15" i="2"/>
  <c r="BP15" i="2"/>
  <c r="BO15" i="2"/>
  <c r="BN15" i="2"/>
  <c r="BL15" i="2"/>
  <c r="BK15" i="2"/>
  <c r="BJ15" i="2"/>
  <c r="BR15" i="2" s="1"/>
  <c r="BI15" i="2"/>
  <c r="BH15" i="2"/>
  <c r="BG15" i="2"/>
  <c r="BF15" i="2"/>
  <c r="BE15" i="2"/>
  <c r="BD15" i="2"/>
  <c r="BC15" i="2"/>
  <c r="BB15" i="2"/>
  <c r="BA15" i="2"/>
  <c r="AY15" i="2"/>
  <c r="AX15" i="2"/>
  <c r="AW15" i="2"/>
  <c r="AV15" i="2"/>
  <c r="AU15" i="2"/>
  <c r="AR15" i="2"/>
  <c r="AP15" i="2"/>
  <c r="AN15" i="2"/>
  <c r="AM15" i="2"/>
  <c r="AL15" i="2"/>
  <c r="AI15" i="2"/>
  <c r="AH15" i="2"/>
  <c r="BM15" i="2" s="1"/>
  <c r="AG15" i="2"/>
  <c r="AA15" i="2"/>
  <c r="W15" i="2"/>
  <c r="V15" i="2"/>
  <c r="T15" i="2"/>
  <c r="R15" i="2"/>
  <c r="P15" i="2"/>
  <c r="J15" i="2"/>
  <c r="AZ15" i="2" s="1"/>
  <c r="BZ14" i="2"/>
  <c r="BV14" i="2"/>
  <c r="BU14" i="2"/>
  <c r="BW14" i="2" s="1"/>
  <c r="BQ14" i="2"/>
  <c r="BP14" i="2"/>
  <c r="BO14" i="2"/>
  <c r="BN14" i="2"/>
  <c r="BM14" i="2"/>
  <c r="BL14" i="2"/>
  <c r="BK14" i="2"/>
  <c r="BJ14" i="2"/>
  <c r="BR14" i="2" s="1"/>
  <c r="BI14" i="2"/>
  <c r="BH14" i="2"/>
  <c r="BG14" i="2"/>
  <c r="BF14" i="2"/>
  <c r="BE14" i="2"/>
  <c r="BD14" i="2"/>
  <c r="BC14" i="2"/>
  <c r="BB14" i="2"/>
  <c r="BA14" i="2"/>
  <c r="AY14" i="2"/>
  <c r="AX14" i="2"/>
  <c r="AW14" i="2"/>
  <c r="AV14" i="2"/>
  <c r="AU14" i="2"/>
  <c r="AR14" i="2"/>
  <c r="AP14" i="2"/>
  <c r="AN14" i="2"/>
  <c r="AM14" i="2"/>
  <c r="AL14" i="2"/>
  <c r="AI14" i="2"/>
  <c r="AH14" i="2"/>
  <c r="AG14" i="2"/>
  <c r="AA14" i="2"/>
  <c r="W14" i="2"/>
  <c r="V14" i="2"/>
  <c r="T14" i="2"/>
  <c r="R14" i="2"/>
  <c r="P14" i="2"/>
  <c r="J14" i="2"/>
  <c r="AZ14" i="2" s="1"/>
  <c r="BZ13" i="2"/>
  <c r="BV13" i="2"/>
  <c r="BU13" i="2"/>
  <c r="BW13" i="2" s="1"/>
  <c r="BQ13" i="2"/>
  <c r="BP13" i="2"/>
  <c r="BO13" i="2"/>
  <c r="BN13" i="2"/>
  <c r="BM13" i="2"/>
  <c r="BL13" i="2"/>
  <c r="BK13" i="2"/>
  <c r="BJ13" i="2"/>
  <c r="BR13" i="2" s="1"/>
  <c r="BI13" i="2"/>
  <c r="BH13" i="2"/>
  <c r="BG13" i="2"/>
  <c r="BF13" i="2"/>
  <c r="BE13" i="2"/>
  <c r="BD13" i="2"/>
  <c r="BC13" i="2"/>
  <c r="BB13" i="2"/>
  <c r="BA13" i="2"/>
  <c r="AY13" i="2"/>
  <c r="AX13" i="2"/>
  <c r="AW13" i="2"/>
  <c r="AV13" i="2"/>
  <c r="AU13" i="2"/>
  <c r="AR13" i="2"/>
  <c r="AP13" i="2"/>
  <c r="AM13" i="2"/>
  <c r="AL13" i="2"/>
  <c r="AN13" i="2" s="1"/>
  <c r="AI13" i="2"/>
  <c r="AH13" i="2"/>
  <c r="AG13" i="2"/>
  <c r="AA13" i="2"/>
  <c r="W13" i="2"/>
  <c r="V13" i="2"/>
  <c r="T13" i="2"/>
  <c r="R13" i="2"/>
  <c r="P13" i="2"/>
  <c r="J13" i="2"/>
  <c r="AZ13" i="2" s="1"/>
  <c r="BZ12" i="2"/>
  <c r="BW12" i="2"/>
  <c r="BV12" i="2"/>
  <c r="BU12" i="2"/>
  <c r="BQ12" i="2"/>
  <c r="BP12" i="2"/>
  <c r="BO12" i="2"/>
  <c r="BN12" i="2"/>
  <c r="BL12" i="2"/>
  <c r="BK12" i="2"/>
  <c r="BJ12" i="2"/>
  <c r="BR12" i="2" s="1"/>
  <c r="BI12" i="2"/>
  <c r="BH12" i="2"/>
  <c r="BG12" i="2"/>
  <c r="BF12" i="2"/>
  <c r="BE12" i="2"/>
  <c r="BD12" i="2"/>
  <c r="BC12" i="2"/>
  <c r="BB12" i="2"/>
  <c r="BA12" i="2"/>
  <c r="AY12" i="2"/>
  <c r="AX12" i="2"/>
  <c r="AW12" i="2"/>
  <c r="AV12" i="2"/>
  <c r="AU12" i="2"/>
  <c r="AR12" i="2"/>
  <c r="AP12" i="2"/>
  <c r="AM12" i="2"/>
  <c r="AL12" i="2"/>
  <c r="AN12" i="2" s="1"/>
  <c r="AI12" i="2"/>
  <c r="AH12" i="2"/>
  <c r="BM12" i="2" s="1"/>
  <c r="AG12" i="2"/>
  <c r="AA12" i="2"/>
  <c r="W12" i="2"/>
  <c r="V12" i="2"/>
  <c r="T12" i="2"/>
  <c r="R12" i="2"/>
  <c r="P12" i="2"/>
  <c r="J12" i="2"/>
  <c r="AZ12" i="2" s="1"/>
  <c r="BZ11" i="2"/>
  <c r="BV11" i="2"/>
  <c r="BW11" i="2" s="1"/>
  <c r="BU11" i="2"/>
  <c r="BQ11" i="2"/>
  <c r="BP11" i="2"/>
  <c r="BO11" i="2"/>
  <c r="BN11" i="2"/>
  <c r="BL11" i="2"/>
  <c r="BK11" i="2"/>
  <c r="BJ11" i="2"/>
  <c r="BR11" i="2" s="1"/>
  <c r="BS11" i="2" s="1"/>
  <c r="BT11" i="2" s="1"/>
  <c r="BI11" i="2"/>
  <c r="BH11" i="2"/>
  <c r="BG11" i="2"/>
  <c r="BF11" i="2"/>
  <c r="BE11" i="2"/>
  <c r="BD11" i="2"/>
  <c r="BC11" i="2"/>
  <c r="BB11" i="2"/>
  <c r="BA11" i="2"/>
  <c r="AY11" i="2"/>
  <c r="AX11" i="2"/>
  <c r="AW11" i="2"/>
  <c r="AV11" i="2"/>
  <c r="AU11" i="2"/>
  <c r="AR11" i="2"/>
  <c r="AP11" i="2"/>
  <c r="AM11" i="2"/>
  <c r="AL11" i="2"/>
  <c r="AN11" i="2" s="1"/>
  <c r="AH11" i="2"/>
  <c r="AA11" i="2"/>
  <c r="W11" i="2"/>
  <c r="V11" i="2"/>
  <c r="T11" i="2"/>
  <c r="R11" i="2"/>
  <c r="P11" i="2"/>
  <c r="J11" i="2"/>
  <c r="AZ11" i="2" s="1"/>
  <c r="BZ10" i="2"/>
  <c r="BV10" i="2"/>
  <c r="BU10" i="2"/>
  <c r="BW10" i="2" s="1"/>
  <c r="BQ10" i="2"/>
  <c r="BS10" i="2" s="1"/>
  <c r="BT10" i="2" s="1"/>
  <c r="BP10" i="2"/>
  <c r="BO10" i="2"/>
  <c r="BN10" i="2"/>
  <c r="BL10" i="2"/>
  <c r="BK10" i="2"/>
  <c r="BJ10" i="2"/>
  <c r="BR10" i="2" s="1"/>
  <c r="BI10" i="2"/>
  <c r="BH10" i="2"/>
  <c r="BG10" i="2"/>
  <c r="BF10" i="2"/>
  <c r="BE10" i="2"/>
  <c r="BD10" i="2"/>
  <c r="BC10" i="2"/>
  <c r="BB10" i="2"/>
  <c r="BA10" i="2"/>
  <c r="AY10" i="2"/>
  <c r="AX10" i="2"/>
  <c r="AW10" i="2"/>
  <c r="AV10" i="2"/>
  <c r="AU10" i="2"/>
  <c r="AR10" i="2"/>
  <c r="AP10" i="2"/>
  <c r="AM10" i="2"/>
  <c r="AN10" i="2" s="1"/>
  <c r="AL10" i="2"/>
  <c r="AH10" i="2"/>
  <c r="AG10" i="2" s="1"/>
  <c r="AA10" i="2"/>
  <c r="W10" i="2"/>
  <c r="V10" i="2"/>
  <c r="T10" i="2"/>
  <c r="R10" i="2"/>
  <c r="P10" i="2"/>
  <c r="J10" i="2"/>
  <c r="AZ10" i="2" s="1"/>
  <c r="BZ9" i="2"/>
  <c r="BV9" i="2"/>
  <c r="BU9" i="2"/>
  <c r="BQ9" i="2"/>
  <c r="BP9" i="2"/>
  <c r="BO9" i="2"/>
  <c r="BN9" i="2"/>
  <c r="BM9" i="2"/>
  <c r="BL9" i="2"/>
  <c r="BK9" i="2"/>
  <c r="BJ9" i="2"/>
  <c r="BR9" i="2" s="1"/>
  <c r="BI9" i="2"/>
  <c r="BH9" i="2"/>
  <c r="BG9" i="2"/>
  <c r="BF9" i="2"/>
  <c r="BE9" i="2"/>
  <c r="BD9" i="2"/>
  <c r="BC9" i="2"/>
  <c r="BB9" i="2"/>
  <c r="BA9" i="2"/>
  <c r="AY9" i="2"/>
  <c r="AX9" i="2"/>
  <c r="AW9" i="2"/>
  <c r="AV9" i="2"/>
  <c r="AU9" i="2"/>
  <c r="AR9" i="2"/>
  <c r="AP9" i="2"/>
  <c r="AM9" i="2"/>
  <c r="AL9" i="2"/>
  <c r="AN9" i="2" s="1"/>
  <c r="AI9" i="2"/>
  <c r="AH9" i="2"/>
  <c r="AG9" i="2"/>
  <c r="AA9" i="2"/>
  <c r="W9" i="2"/>
  <c r="V9" i="2"/>
  <c r="T9" i="2"/>
  <c r="R9" i="2"/>
  <c r="P9" i="2"/>
  <c r="J9" i="2"/>
  <c r="AZ9" i="2" s="1"/>
  <c r="BZ8" i="2"/>
  <c r="BV8" i="2"/>
  <c r="BW8" i="2" s="1"/>
  <c r="BU8" i="2"/>
  <c r="BQ8" i="2"/>
  <c r="BS8" i="2" s="1"/>
  <c r="BT8" i="2" s="1"/>
  <c r="BP8" i="2"/>
  <c r="BO8" i="2"/>
  <c r="BN8" i="2"/>
  <c r="BL8" i="2"/>
  <c r="BK8" i="2"/>
  <c r="BJ8" i="2"/>
  <c r="BR8" i="2" s="1"/>
  <c r="BI8" i="2"/>
  <c r="BH8" i="2"/>
  <c r="BG8" i="2"/>
  <c r="BF8" i="2"/>
  <c r="BE8" i="2"/>
  <c r="BD8" i="2"/>
  <c r="BC8" i="2"/>
  <c r="BB8" i="2"/>
  <c r="BA8" i="2"/>
  <c r="AY8" i="2"/>
  <c r="AX8" i="2"/>
  <c r="AW8" i="2"/>
  <c r="AV8" i="2"/>
  <c r="AU8" i="2"/>
  <c r="AR8" i="2"/>
  <c r="AP8" i="2"/>
  <c r="AM8" i="2"/>
  <c r="AL8" i="2"/>
  <c r="AN8" i="2" s="1"/>
  <c r="AI8" i="2"/>
  <c r="AH8" i="2"/>
  <c r="BM8" i="2" s="1"/>
  <c r="AG8" i="2"/>
  <c r="AA8" i="2"/>
  <c r="W8" i="2"/>
  <c r="V8" i="2"/>
  <c r="T8" i="2"/>
  <c r="R8" i="2"/>
  <c r="P8" i="2"/>
  <c r="J8" i="2"/>
  <c r="AZ8" i="2" s="1"/>
  <c r="BZ7" i="2"/>
  <c r="BV7" i="2"/>
  <c r="BW7" i="2" s="1"/>
  <c r="BU7" i="2"/>
  <c r="BQ7" i="2"/>
  <c r="BP7" i="2"/>
  <c r="BO7" i="2"/>
  <c r="BN7" i="2"/>
  <c r="BL7" i="2"/>
  <c r="BK7" i="2"/>
  <c r="BJ7" i="2"/>
  <c r="BR7" i="2" s="1"/>
  <c r="BI7" i="2"/>
  <c r="BH7" i="2"/>
  <c r="BG7" i="2"/>
  <c r="BF7" i="2"/>
  <c r="BE7" i="2"/>
  <c r="BD7" i="2"/>
  <c r="BC7" i="2"/>
  <c r="BB7" i="2"/>
  <c r="BA7" i="2"/>
  <c r="AY7" i="2"/>
  <c r="AX7" i="2"/>
  <c r="AW7" i="2"/>
  <c r="AV7" i="2"/>
  <c r="AU7" i="2"/>
  <c r="AR7" i="2"/>
  <c r="AP7" i="2"/>
  <c r="AM7" i="2"/>
  <c r="AL7" i="2"/>
  <c r="AN7" i="2" s="1"/>
  <c r="AH7" i="2"/>
  <c r="AA7" i="2"/>
  <c r="W7" i="2"/>
  <c r="V7" i="2"/>
  <c r="T7" i="2"/>
  <c r="R7" i="2"/>
  <c r="P7" i="2"/>
  <c r="J7" i="2"/>
  <c r="AZ7" i="2" s="1"/>
  <c r="BZ6" i="2"/>
  <c r="BV6" i="2"/>
  <c r="BU6" i="2"/>
  <c r="BW6" i="2" s="1"/>
  <c r="BQ6" i="2"/>
  <c r="BS6" i="2" s="1"/>
  <c r="BT6" i="2" s="1"/>
  <c r="BP6" i="2"/>
  <c r="BO6" i="2"/>
  <c r="BN6" i="2"/>
  <c r="BM6" i="2"/>
  <c r="BL6" i="2"/>
  <c r="BK6" i="2"/>
  <c r="BJ6" i="2"/>
  <c r="BR6" i="2" s="1"/>
  <c r="BI6" i="2"/>
  <c r="BH6" i="2"/>
  <c r="BG6" i="2"/>
  <c r="BF6" i="2"/>
  <c r="BE6" i="2"/>
  <c r="BD6" i="2"/>
  <c r="BC6" i="2"/>
  <c r="BB6" i="2"/>
  <c r="BA6" i="2"/>
  <c r="AY6" i="2"/>
  <c r="AX6" i="2"/>
  <c r="AW6" i="2"/>
  <c r="AV6" i="2"/>
  <c r="AU6" i="2"/>
  <c r="AR6" i="2"/>
  <c r="AP6" i="2"/>
  <c r="AM6" i="2"/>
  <c r="AL6" i="2"/>
  <c r="AN6" i="2" s="1"/>
  <c r="AI6" i="2"/>
  <c r="AH6" i="2"/>
  <c r="AG6" i="2"/>
  <c r="AA6" i="2"/>
  <c r="W6" i="2"/>
  <c r="V6" i="2"/>
  <c r="T6" i="2"/>
  <c r="R6" i="2"/>
  <c r="P6" i="2"/>
  <c r="J6" i="2"/>
  <c r="AZ6" i="2" s="1"/>
  <c r="BZ5" i="2"/>
  <c r="BV5" i="2"/>
  <c r="BU5" i="2"/>
  <c r="BQ5" i="2"/>
  <c r="BP5" i="2"/>
  <c r="BO5" i="2"/>
  <c r="BN5" i="2"/>
  <c r="BM5" i="2"/>
  <c r="BL5" i="2"/>
  <c r="BK5" i="2"/>
  <c r="BJ5" i="2"/>
  <c r="BR5" i="2" s="1"/>
  <c r="BI5" i="2"/>
  <c r="BH5" i="2"/>
  <c r="BG5" i="2"/>
  <c r="BF5" i="2"/>
  <c r="BE5" i="2"/>
  <c r="BD5" i="2"/>
  <c r="BC5" i="2"/>
  <c r="BB5" i="2"/>
  <c r="BA5" i="2"/>
  <c r="AY5" i="2"/>
  <c r="AX5" i="2"/>
  <c r="AW5" i="2"/>
  <c r="AV5" i="2"/>
  <c r="AU5" i="2"/>
  <c r="AR5" i="2"/>
  <c r="AP5" i="2"/>
  <c r="AM5" i="2"/>
  <c r="AL5" i="2"/>
  <c r="AN5" i="2" s="1"/>
  <c r="AI5" i="2"/>
  <c r="AH5" i="2"/>
  <c r="AG5" i="2"/>
  <c r="AA5" i="2"/>
  <c r="W5" i="2"/>
  <c r="V5" i="2"/>
  <c r="T5" i="2"/>
  <c r="R5" i="2"/>
  <c r="P5" i="2"/>
  <c r="J5" i="2"/>
  <c r="AZ5" i="2" s="1"/>
  <c r="BZ4" i="2"/>
  <c r="BW4" i="2"/>
  <c r="BV4" i="2"/>
  <c r="BU4" i="2"/>
  <c r="BQ4" i="2"/>
  <c r="BS4" i="2" s="1"/>
  <c r="BT4" i="2" s="1"/>
  <c r="BP4" i="2"/>
  <c r="BO4" i="2"/>
  <c r="BN4" i="2"/>
  <c r="BL4" i="2"/>
  <c r="BK4" i="2"/>
  <c r="BJ4" i="2"/>
  <c r="BR4" i="2" s="1"/>
  <c r="BI4" i="2"/>
  <c r="BH4" i="2"/>
  <c r="BG4" i="2"/>
  <c r="BF4" i="2"/>
  <c r="BE4" i="2"/>
  <c r="BD4" i="2"/>
  <c r="BC4" i="2"/>
  <c r="BB4" i="2"/>
  <c r="BA4" i="2"/>
  <c r="AY4" i="2"/>
  <c r="AX4" i="2"/>
  <c r="AW4" i="2"/>
  <c r="AV4" i="2"/>
  <c r="AU4" i="2"/>
  <c r="AR4" i="2"/>
  <c r="AP4" i="2"/>
  <c r="AM4" i="2"/>
  <c r="AL4" i="2"/>
  <c r="AI4" i="2"/>
  <c r="AH4" i="2"/>
  <c r="BM4" i="2" s="1"/>
  <c r="AG4" i="2"/>
  <c r="AA4" i="2"/>
  <c r="W4" i="2"/>
  <c r="V4" i="2"/>
  <c r="T4" i="2"/>
  <c r="R4" i="2"/>
  <c r="P4" i="2"/>
  <c r="J4" i="2"/>
  <c r="AZ4" i="2" s="1"/>
  <c r="BZ3" i="2"/>
  <c r="BV3" i="2"/>
  <c r="BU3" i="2"/>
  <c r="BQ3" i="2"/>
  <c r="BP3" i="2"/>
  <c r="BO3" i="2"/>
  <c r="BN3" i="2"/>
  <c r="BL3" i="2"/>
  <c r="BK3" i="2"/>
  <c r="BJ3" i="2"/>
  <c r="BR3" i="2" s="1"/>
  <c r="BI3" i="2"/>
  <c r="BH3" i="2"/>
  <c r="BG3" i="2"/>
  <c r="BF3" i="2"/>
  <c r="BE3" i="2"/>
  <c r="BD3" i="2"/>
  <c r="BC3" i="2"/>
  <c r="BB3" i="2"/>
  <c r="BA3" i="2"/>
  <c r="AY3" i="2"/>
  <c r="AX3" i="2"/>
  <c r="AW3" i="2"/>
  <c r="AV3" i="2"/>
  <c r="AU3" i="2"/>
  <c r="AR3" i="2"/>
  <c r="AP3" i="2"/>
  <c r="AM3" i="2"/>
  <c r="AL3" i="2"/>
  <c r="AN3" i="2" s="1"/>
  <c r="AH3" i="2"/>
  <c r="AA3" i="2"/>
  <c r="W3" i="2"/>
  <c r="V3" i="2"/>
  <c r="T3" i="2"/>
  <c r="R3" i="2"/>
  <c r="P3" i="2"/>
  <c r="J3" i="2"/>
  <c r="AZ3" i="2" s="1"/>
  <c r="BZ2" i="2"/>
  <c r="BV2" i="2"/>
  <c r="BU2" i="2"/>
  <c r="BW2" i="2" s="1"/>
  <c r="BQ2" i="2"/>
  <c r="BP2" i="2"/>
  <c r="BO2" i="2"/>
  <c r="BN2" i="2"/>
  <c r="BM2" i="2"/>
  <c r="BL2" i="2"/>
  <c r="BK2" i="2"/>
  <c r="BJ2" i="2"/>
  <c r="BR2" i="2" s="1"/>
  <c r="BI2" i="2"/>
  <c r="BH2" i="2"/>
  <c r="BG2" i="2"/>
  <c r="BF2" i="2"/>
  <c r="BE2" i="2"/>
  <c r="BD2" i="2"/>
  <c r="BC2" i="2"/>
  <c r="BB2" i="2"/>
  <c r="BA2" i="2"/>
  <c r="AY2" i="2"/>
  <c r="AX2" i="2"/>
  <c r="AW2" i="2"/>
  <c r="AV2" i="2"/>
  <c r="AU2" i="2"/>
  <c r="AR2" i="2"/>
  <c r="AP2" i="2"/>
  <c r="AM2" i="2"/>
  <c r="AL2" i="2"/>
  <c r="AI2" i="2"/>
  <c r="AH2" i="2"/>
  <c r="AG2" i="2" s="1"/>
  <c r="AA2" i="2"/>
  <c r="W2" i="2"/>
  <c r="V2" i="2"/>
  <c r="T2" i="2"/>
  <c r="R2" i="2"/>
  <c r="P2" i="2"/>
  <c r="J2" i="2"/>
  <c r="AZ2" i="2" s="1"/>
  <c r="BM97" i="2" l="1"/>
  <c r="AG97" i="2"/>
  <c r="BM10" i="2"/>
  <c r="AI17" i="2"/>
  <c r="AI30" i="2"/>
  <c r="AI32" i="2"/>
  <c r="BW32" i="2"/>
  <c r="BS36" i="2"/>
  <c r="BT36" i="2" s="1"/>
  <c r="AI37" i="2"/>
  <c r="BW68" i="2"/>
  <c r="BW92" i="2"/>
  <c r="AI97" i="2"/>
  <c r="BW112" i="2"/>
  <c r="BM133" i="2"/>
  <c r="AG133" i="2"/>
  <c r="BM30" i="2"/>
  <c r="BM116" i="2"/>
  <c r="AG116" i="2"/>
  <c r="AN4" i="2"/>
  <c r="BS35" i="2"/>
  <c r="BT35" i="2" s="1"/>
  <c r="BW36" i="2"/>
  <c r="BS40" i="2"/>
  <c r="BT40" i="2" s="1"/>
  <c r="AN41" i="2"/>
  <c r="BS52" i="2"/>
  <c r="BT52" i="2" s="1"/>
  <c r="AN57" i="2"/>
  <c r="BW67" i="2"/>
  <c r="AI68" i="2"/>
  <c r="BS72" i="2"/>
  <c r="BT72" i="2" s="1"/>
  <c r="BW76" i="2"/>
  <c r="AN81" i="2"/>
  <c r="BW83" i="2"/>
  <c r="BM92" i="2"/>
  <c r="AI92" i="2"/>
  <c r="BW94" i="2"/>
  <c r="BW100" i="2"/>
  <c r="AG109" i="2"/>
  <c r="AN110" i="2"/>
  <c r="BW115" i="2"/>
  <c r="BM142" i="2"/>
  <c r="BM163" i="2"/>
  <c r="AI163" i="2"/>
  <c r="BS3" i="2"/>
  <c r="BT3" i="2" s="1"/>
  <c r="BS5" i="2"/>
  <c r="BT5" i="2" s="1"/>
  <c r="AI10" i="2"/>
  <c r="BS15" i="2"/>
  <c r="BT15" i="2" s="1"/>
  <c r="BM18" i="2"/>
  <c r="AN2" i="2"/>
  <c r="BW3" i="2"/>
  <c r="BW5" i="2"/>
  <c r="BS7" i="2"/>
  <c r="BT7" i="2" s="1"/>
  <c r="BW9" i="2"/>
  <c r="BS12" i="2"/>
  <c r="BT12" i="2" s="1"/>
  <c r="AG17" i="2"/>
  <c r="AI18" i="2"/>
  <c r="BW18" i="2"/>
  <c r="BS19" i="2"/>
  <c r="BT19" i="2" s="1"/>
  <c r="AG21" i="2"/>
  <c r="AN21" i="2"/>
  <c r="BS23" i="2"/>
  <c r="BT23" i="2" s="1"/>
  <c r="BS27" i="2"/>
  <c r="BT27" i="2" s="1"/>
  <c r="AG32" i="2"/>
  <c r="AI33" i="2"/>
  <c r="AN36" i="2"/>
  <c r="BW38" i="2"/>
  <c r="BS39" i="2"/>
  <c r="BT39" i="2" s="1"/>
  <c r="BM41" i="2"/>
  <c r="BS44" i="2"/>
  <c r="BT44" i="2" s="1"/>
  <c r="AG47" i="2"/>
  <c r="AN47" i="2"/>
  <c r="BS48" i="2"/>
  <c r="BT48" i="2" s="1"/>
  <c r="BW50" i="2"/>
  <c r="BS51" i="2"/>
  <c r="BT51" i="2" s="1"/>
  <c r="BW55" i="2"/>
  <c r="AG75" i="2"/>
  <c r="BW75" i="2"/>
  <c r="BM80" i="2"/>
  <c r="AG80" i="2"/>
  <c r="BW90" i="2"/>
  <c r="BW97" i="2"/>
  <c r="BM107" i="2"/>
  <c r="AG107" i="2"/>
  <c r="BW119" i="2"/>
  <c r="AN130" i="2"/>
  <c r="BM131" i="2"/>
  <c r="BS131" i="2"/>
  <c r="BT131" i="2" s="1"/>
  <c r="BW132" i="2"/>
  <c r="AG142" i="2"/>
  <c r="BM146" i="2"/>
  <c r="BS146" i="2"/>
  <c r="BT146" i="2" s="1"/>
  <c r="BW153" i="2"/>
  <c r="BW155" i="2"/>
  <c r="BW57" i="2"/>
  <c r="BS58" i="2"/>
  <c r="BT58" i="2" s="1"/>
  <c r="BS60" i="2"/>
  <c r="BT60" i="2" s="1"/>
  <c r="BW65" i="2"/>
  <c r="BS69" i="2"/>
  <c r="BT69" i="2" s="1"/>
  <c r="BW70" i="2"/>
  <c r="BS71" i="2"/>
  <c r="BT71" i="2" s="1"/>
  <c r="BW72" i="2"/>
  <c r="BW74" i="2"/>
  <c r="BW77" i="2"/>
  <c r="AN80" i="2"/>
  <c r="BW81" i="2"/>
  <c r="BW85" i="2"/>
  <c r="AG88" i="2"/>
  <c r="AG91" i="2"/>
  <c r="BS91" i="2"/>
  <c r="BT91" i="2" s="1"/>
  <c r="AG93" i="2"/>
  <c r="BS93" i="2"/>
  <c r="BT93" i="2" s="1"/>
  <c r="AG95" i="2"/>
  <c r="AN95" i="2"/>
  <c r="BS96" i="2"/>
  <c r="BT96" i="2" s="1"/>
  <c r="BW96" i="2"/>
  <c r="AN97" i="2"/>
  <c r="BS98" i="2"/>
  <c r="BT98" i="2" s="1"/>
  <c r="BS99" i="2"/>
  <c r="BT99" i="2" s="1"/>
  <c r="BS101" i="2"/>
  <c r="BT101" i="2" s="1"/>
  <c r="BW102" i="2"/>
  <c r="BS103" i="2"/>
  <c r="BT103" i="2" s="1"/>
  <c r="AG105" i="2"/>
  <c r="AG108" i="2"/>
  <c r="BW110" i="2"/>
  <c r="BS111" i="2"/>
  <c r="BT111" i="2" s="1"/>
  <c r="AG113" i="2"/>
  <c r="BS113" i="2"/>
  <c r="BT113" i="2" s="1"/>
  <c r="BS118" i="2"/>
  <c r="BT118" i="2" s="1"/>
  <c r="BS120" i="2"/>
  <c r="BT120" i="2" s="1"/>
  <c r="BW126" i="2"/>
  <c r="BW127" i="2"/>
  <c r="BW130" i="2"/>
  <c r="BW134" i="2"/>
  <c r="BW135" i="2"/>
  <c r="BS136" i="2"/>
  <c r="BT136" i="2" s="1"/>
  <c r="AN137" i="2"/>
  <c r="BS141" i="2"/>
  <c r="BT141" i="2" s="1"/>
  <c r="BS145" i="2"/>
  <c r="BT145" i="2" s="1"/>
  <c r="BW150" i="2"/>
  <c r="BW151" i="2"/>
  <c r="BS152" i="2"/>
  <c r="BT152" i="2" s="1"/>
  <c r="BS156" i="2"/>
  <c r="BT156" i="2" s="1"/>
  <c r="BW159" i="2"/>
  <c r="BS160" i="2"/>
  <c r="BT160" i="2" s="1"/>
  <c r="AI161" i="2"/>
  <c r="BW58" i="2"/>
  <c r="BS59" i="2"/>
  <c r="BT59" i="2" s="1"/>
  <c r="BW69" i="2"/>
  <c r="AN72" i="2"/>
  <c r="BS73" i="2"/>
  <c r="BT73" i="2" s="1"/>
  <c r="BS88" i="2"/>
  <c r="BT88" i="2" s="1"/>
  <c r="BW93" i="2"/>
  <c r="BS95" i="2"/>
  <c r="BT95" i="2" s="1"/>
  <c r="BS97" i="2"/>
  <c r="BT97" i="2" s="1"/>
  <c r="BW98" i="2"/>
  <c r="BW101" i="2"/>
  <c r="BW105" i="2"/>
  <c r="BS108" i="2"/>
  <c r="BT108" i="2" s="1"/>
  <c r="AN109" i="2"/>
  <c r="BW113" i="2"/>
  <c r="BS116" i="2"/>
  <c r="BT116" i="2" s="1"/>
  <c r="AN117" i="2"/>
  <c r="BW118" i="2"/>
  <c r="BS125" i="2"/>
  <c r="BT125" i="2" s="1"/>
  <c r="BS129" i="2"/>
  <c r="BT129" i="2" s="1"/>
  <c r="BS133" i="2"/>
  <c r="BT133" i="2" s="1"/>
  <c r="BW138" i="2"/>
  <c r="BW139" i="2"/>
  <c r="BS140" i="2"/>
  <c r="BT140" i="2" s="1"/>
  <c r="AN142" i="2"/>
  <c r="BS144" i="2"/>
  <c r="BT144" i="2" s="1"/>
  <c r="AN146" i="2"/>
  <c r="BM147" i="2"/>
  <c r="BS147" i="2"/>
  <c r="BT147" i="2" s="1"/>
  <c r="BS149" i="2"/>
  <c r="BT149" i="2" s="1"/>
  <c r="BS17" i="2"/>
  <c r="BT17" i="2" s="1"/>
  <c r="BS21" i="2"/>
  <c r="BT21" i="2" s="1"/>
  <c r="BM3" i="2"/>
  <c r="AI3" i="2"/>
  <c r="AG3" i="2"/>
  <c r="BS2" i="2"/>
  <c r="BT2" i="2" s="1"/>
  <c r="BM11" i="2"/>
  <c r="AI11" i="2"/>
  <c r="AG11" i="2"/>
  <c r="BS13" i="2"/>
  <c r="BT13" i="2" s="1"/>
  <c r="BM7" i="2"/>
  <c r="AI7" i="2"/>
  <c r="AG7" i="2"/>
  <c r="BS9" i="2"/>
  <c r="BT9" i="2" s="1"/>
  <c r="BS14" i="2"/>
  <c r="BT14" i="2" s="1"/>
  <c r="BS18" i="2"/>
  <c r="BT18" i="2" s="1"/>
  <c r="AG26" i="2"/>
  <c r="BS41" i="2"/>
  <c r="BT41" i="2" s="1"/>
  <c r="BS54" i="2"/>
  <c r="BT54" i="2" s="1"/>
  <c r="BS61" i="2"/>
  <c r="BT61" i="2" s="1"/>
  <c r="BS66" i="2"/>
  <c r="BT66" i="2" s="1"/>
  <c r="BS78" i="2"/>
  <c r="BT78" i="2" s="1"/>
  <c r="BS82" i="2"/>
  <c r="BT82" i="2" s="1"/>
  <c r="BS89" i="2"/>
  <c r="BT89" i="2" s="1"/>
  <c r="BS106" i="2"/>
  <c r="BT106" i="2" s="1"/>
  <c r="BS109" i="2"/>
  <c r="BT109" i="2" s="1"/>
  <c r="BS114" i="2"/>
  <c r="BT114" i="2" s="1"/>
  <c r="BS117" i="2"/>
  <c r="BT117" i="2" s="1"/>
  <c r="AI26" i="2"/>
  <c r="BS105" i="2"/>
  <c r="BT105" i="2" s="1"/>
  <c r="BS33" i="2"/>
  <c r="BT33" i="2" s="1"/>
  <c r="BS37" i="2"/>
  <c r="BT37" i="2" s="1"/>
  <c r="BS38" i="2"/>
  <c r="BT38" i="2" s="1"/>
  <c r="BS50" i="2"/>
  <c r="BT50" i="2" s="1"/>
  <c r="BS62" i="2"/>
  <c r="BT62" i="2" s="1"/>
  <c r="BS86" i="2"/>
  <c r="BT86" i="2" s="1"/>
  <c r="BS90" i="2"/>
  <c r="BT90" i="2" s="1"/>
  <c r="BS94" i="2"/>
  <c r="BT94" i="2" s="1"/>
  <c r="AI42" i="2"/>
  <c r="BM42" i="2"/>
  <c r="AI50" i="2"/>
  <c r="BM50" i="2"/>
  <c r="AI58" i="2"/>
  <c r="BM58" i="2"/>
  <c r="BM74" i="2"/>
  <c r="BM86" i="2"/>
  <c r="AI94" i="2"/>
  <c r="BM94" i="2"/>
  <c r="BM106" i="2"/>
  <c r="AI110" i="2"/>
  <c r="BM110" i="2"/>
  <c r="AI114" i="2"/>
  <c r="AI118" i="2"/>
  <c r="AI120" i="2"/>
  <c r="BM120" i="2"/>
  <c r="AI43" i="2"/>
  <c r="AI91" i="2"/>
  <c r="AI119" i="2"/>
  <c r="BS119" i="2"/>
  <c r="BT119" i="2" s="1"/>
  <c r="BS134" i="2"/>
  <c r="BT134" i="2" s="1"/>
  <c r="BS135" i="2"/>
  <c r="BT135" i="2" s="1"/>
  <c r="BS159" i="2"/>
  <c r="BT159" i="2" s="1"/>
  <c r="AI116" i="2"/>
  <c r="BS122" i="2"/>
  <c r="BT122" i="2" s="1"/>
  <c r="BS138" i="2"/>
  <c r="BT138" i="2" s="1"/>
  <c r="BS139" i="2"/>
  <c r="BT139" i="2" s="1"/>
  <c r="BS123" i="2"/>
  <c r="BT123" i="2" s="1"/>
  <c r="BS154" i="2"/>
  <c r="BT154" i="2" s="1"/>
  <c r="BS155" i="2"/>
  <c r="BT155" i="2" s="1"/>
  <c r="BS158" i="2"/>
  <c r="BT158" i="2" s="1"/>
  <c r="AI133" i="2"/>
  <c r="AI137" i="2"/>
  <c r="AG159" i="2"/>
  <c r="BS16" i="3"/>
  <c r="BT16" i="3" s="1"/>
  <c r="BS19" i="3"/>
  <c r="BT19" i="3" s="1"/>
  <c r="BS28" i="3"/>
  <c r="BT28" i="3" s="1"/>
  <c r="AG128" i="2"/>
  <c r="AG144" i="2"/>
  <c r="AG156" i="2"/>
  <c r="BW163" i="2"/>
  <c r="BS164" i="2"/>
  <c r="BT164" i="2" s="1"/>
  <c r="BS3" i="3"/>
  <c r="BT3" i="3" s="1"/>
  <c r="BS4" i="3"/>
  <c r="BT4" i="3" s="1"/>
  <c r="AI128" i="2"/>
  <c r="AI144" i="2"/>
  <c r="AI156" i="2"/>
  <c r="BS163" i="2"/>
  <c r="BT163" i="2" s="1"/>
  <c r="BS20" i="3"/>
  <c r="BT20" i="3" s="1"/>
  <c r="BS27" i="3"/>
  <c r="BT27" i="3" s="1"/>
  <c r="BS54" i="3"/>
  <c r="BT54" i="3" s="1"/>
  <c r="AG56" i="3"/>
  <c r="BM56" i="3"/>
  <c r="BM8" i="3"/>
  <c r="BM12" i="3"/>
  <c r="AI16" i="3"/>
  <c r="BM16" i="3"/>
  <c r="AI28" i="3"/>
  <c r="BM28" i="3"/>
  <c r="AI32" i="3"/>
  <c r="BM32" i="3"/>
  <c r="AI35" i="3"/>
  <c r="BM35" i="3"/>
  <c r="BS35" i="3"/>
  <c r="BT35" i="3" s="1"/>
  <c r="AG52" i="3"/>
  <c r="BM52" i="3"/>
  <c r="AI52" i="3"/>
  <c r="BS58" i="3"/>
  <c r="BT58" i="3" s="1"/>
  <c r="AI5" i="3"/>
  <c r="AI21" i="3"/>
  <c r="AI25" i="3"/>
  <c r="AI33" i="3"/>
  <c r="BS38" i="3"/>
  <c r="BT38" i="3" s="1"/>
  <c r="BS42" i="3"/>
  <c r="BT42" i="3" s="1"/>
  <c r="BS46" i="3"/>
  <c r="BT46" i="3" s="1"/>
  <c r="BS50" i="3"/>
  <c r="BT50" i="3" s="1"/>
  <c r="BS51" i="3"/>
  <c r="BT51" i="3" s="1"/>
  <c r="BW54" i="3"/>
  <c r="BS59" i="3"/>
  <c r="BT59" i="3" s="1"/>
  <c r="BM60" i="3"/>
  <c r="AI60" i="3"/>
  <c r="BS62" i="3"/>
  <c r="BT62" i="3" s="1"/>
  <c r="BS63" i="3"/>
  <c r="BT63" i="3" s="1"/>
  <c r="AN65" i="3"/>
  <c r="BS70" i="3"/>
  <c r="BT70" i="3" s="1"/>
  <c r="AG72" i="3"/>
  <c r="BM72" i="3"/>
  <c r="AI72" i="3"/>
  <c r="BS74" i="3"/>
  <c r="BT74" i="3" s="1"/>
  <c r="BS86" i="3"/>
  <c r="BT86" i="3" s="1"/>
  <c r="BS102" i="3"/>
  <c r="BT102" i="3" s="1"/>
  <c r="BS103" i="3"/>
  <c r="BT103" i="3" s="1"/>
  <c r="BS106" i="3"/>
  <c r="BT106" i="3" s="1"/>
  <c r="BS111" i="3"/>
  <c r="BT111" i="3" s="1"/>
  <c r="BS39" i="3"/>
  <c r="BT39" i="3" s="1"/>
  <c r="AG40" i="3"/>
  <c r="BS43" i="3"/>
  <c r="BT43" i="3" s="1"/>
  <c r="BS47" i="3"/>
  <c r="BT47" i="3" s="1"/>
  <c r="AN53" i="3"/>
  <c r="BW58" i="3"/>
  <c r="BS66" i="3"/>
  <c r="BT66" i="3" s="1"/>
  <c r="AG68" i="3"/>
  <c r="BM68" i="3"/>
  <c r="AI68" i="3"/>
  <c r="BS71" i="3"/>
  <c r="BT71" i="3" s="1"/>
  <c r="BS75" i="3"/>
  <c r="BT75" i="3" s="1"/>
  <c r="BS82" i="3"/>
  <c r="BT82" i="3" s="1"/>
  <c r="AG115" i="3"/>
  <c r="BM115" i="3"/>
  <c r="AI115" i="3"/>
  <c r="AG123" i="3"/>
  <c r="BM123" i="3"/>
  <c r="AI123" i="3"/>
  <c r="AI80" i="3"/>
  <c r="BM80" i="3"/>
  <c r="AI84" i="3"/>
  <c r="AI88" i="3"/>
  <c r="BM88" i="3"/>
  <c r="AI104" i="3"/>
  <c r="BM104" i="3"/>
  <c r="BM117" i="3"/>
  <c r="AI117" i="3"/>
  <c r="AG117" i="3"/>
  <c r="BS121" i="3"/>
  <c r="BT121" i="3" s="1"/>
  <c r="AI37" i="3"/>
  <c r="AI41" i="3"/>
  <c r="AI45" i="3"/>
  <c r="AI49" i="3"/>
  <c r="AI53" i="3"/>
  <c r="AI69" i="3"/>
  <c r="AI81" i="3"/>
  <c r="AI85" i="3"/>
  <c r="AI93" i="3"/>
  <c r="AI97" i="3"/>
  <c r="AI110" i="3"/>
  <c r="BW113" i="3"/>
  <c r="AN124" i="3"/>
  <c r="BS129" i="3"/>
  <c r="BT129" i="3" s="1"/>
  <c r="BS134" i="3"/>
  <c r="BT134" i="3" s="1"/>
  <c r="BS113" i="3"/>
  <c r="BT113" i="3" s="1"/>
  <c r="AN116" i="3"/>
  <c r="BW117" i="3"/>
  <c r="BW121" i="3"/>
  <c r="BS126" i="3"/>
  <c r="BT126" i="3" s="1"/>
  <c r="BS142" i="3"/>
  <c r="BT142" i="3" s="1"/>
  <c r="BS146" i="3"/>
  <c r="BT146" i="3" s="1"/>
  <c r="AG121" i="3"/>
  <c r="AI127" i="3"/>
  <c r="BM127" i="3"/>
  <c r="AI131" i="3"/>
  <c r="BM131" i="3"/>
  <c r="AG133" i="3"/>
  <c r="AI135" i="3"/>
  <c r="BM135" i="3"/>
  <c r="AI143" i="3"/>
  <c r="BM143" i="3"/>
  <c r="AG145" i="3"/>
  <c r="BM151" i="3"/>
  <c r="AN152" i="3"/>
  <c r="BW153" i="3"/>
  <c r="BS154" i="3"/>
  <c r="BT154" i="3" s="1"/>
  <c r="AG155" i="3"/>
  <c r="BS157" i="3"/>
  <c r="BT157" i="3" s="1"/>
  <c r="AG159" i="3"/>
  <c r="BM159" i="3"/>
  <c r="AI159" i="3"/>
  <c r="AI121" i="3"/>
  <c r="AI137" i="3"/>
  <c r="AI141" i="3"/>
  <c r="AI145" i="3"/>
  <c r="BS153" i="3"/>
  <c r="BT153" i="3" s="1"/>
  <c r="BS158" i="3"/>
  <c r="BT158" i="3" s="1"/>
  <c r="BS173" i="3"/>
  <c r="BT173" i="3" s="1"/>
  <c r="BS178" i="3"/>
  <c r="BT178" i="3" s="1"/>
  <c r="BS181" i="3"/>
  <c r="BT181" i="3" s="1"/>
  <c r="BS182" i="3"/>
  <c r="BT182" i="3" s="1"/>
  <c r="BS185" i="3"/>
  <c r="BT185" i="3" s="1"/>
  <c r="BS189" i="3"/>
  <c r="BT189" i="3" s="1"/>
  <c r="AI163" i="3"/>
  <c r="BM163" i="3"/>
  <c r="BM167" i="3"/>
  <c r="AI179" i="3"/>
  <c r="BM179" i="3"/>
  <c r="AI183" i="3"/>
  <c r="BM183" i="3"/>
  <c r="BM187" i="3"/>
  <c r="AI191" i="3"/>
  <c r="BM191" i="3"/>
  <c r="AI152" i="3"/>
  <c r="AI156" i="3"/>
  <c r="AI168" i="3"/>
  <c r="AI172" i="3"/>
</calcChain>
</file>

<file path=xl/sharedStrings.xml><?xml version="1.0" encoding="utf-8"?>
<sst xmlns="http://schemas.openxmlformats.org/spreadsheetml/2006/main" count="1082" uniqueCount="522">
  <si>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</si>
  <si>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</si>
  <si>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</si>
  <si>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</si>
  <si>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</si>
  <si>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</si>
  <si>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</si>
  <si>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</si>
  <si>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</si>
  <si>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</si>
  <si>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</si>
  <si>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</si>
  <si>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</si>
  <si>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</si>
  <si>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</si>
  <si>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</si>
  <si>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</si>
  <si>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</si>
  <si>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</si>
  <si>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</si>
  <si>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</si>
  <si>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</si>
  <si>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</si>
  <si>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</si>
  <si>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</si>
  <si>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</si>
  <si>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</si>
  <si>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</si>
  <si>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</si>
  <si>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</si>
  <si>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</si>
  <si>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</si>
  <si>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</si>
  <si>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</si>
  <si>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</si>
  <si>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</si>
  <si>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</si>
  <si>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</si>
  <si>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</si>
  <si>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</si>
  <si>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</si>
  <si>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</si>
  <si>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</si>
  <si>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</si>
  <si>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</si>
  <si>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</si>
  <si>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</si>
  <si>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</si>
  <si>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</si>
  <si>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</si>
  <si>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</si>
  <si>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</si>
  <si>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</si>
  <si>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</si>
  <si>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</si>
  <si>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</si>
  <si>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</si>
  <si>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</si>
  <si>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</si>
  <si>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</si>
  <si>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</si>
  <si>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</si>
  <si>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</si>
  <si>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</si>
  <si>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</si>
  <si>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</si>
  <si>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</si>
  <si>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</si>
  <si>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</si>
  <si>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</si>
  <si>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</si>
  <si>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</si>
  <si>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</si>
  <si>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</si>
  <si>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</si>
  <si>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</si>
  <si>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</si>
  <si>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</si>
  <si>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</si>
  <si>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</si>
  <si>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</si>
  <si>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</si>
  <si>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</si>
  <si>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</si>
  <si>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</si>
  <si>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Wesley Moraes Ferreira da Silva</t>
  </si>
  <si>
    <t>AVL</t>
  </si>
  <si>
    <t>Oliver McBurnie</t>
  </si>
  <si>
    <t>Troy Parrott</t>
  </si>
  <si>
    <t>TOT</t>
  </si>
  <si>
    <t>Adam Idah</t>
  </si>
  <si>
    <t>NOR</t>
  </si>
  <si>
    <t>Callum Wilson</t>
  </si>
  <si>
    <t>BOU</t>
  </si>
  <si>
    <t>Harry Kane</t>
  </si>
  <si>
    <t>Matej Vydra</t>
  </si>
  <si>
    <t>BUR</t>
  </si>
  <si>
    <t>Michael Obafemi</t>
  </si>
  <si>
    <t>SOU</t>
  </si>
  <si>
    <t>Patrick Cutrone</t>
  </si>
  <si>
    <t>WOL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</si>
  <si>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</si>
  <si>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</si>
  <si>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</si>
  <si>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</si>
  <si>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</si>
  <si>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</si>
  <si>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</si>
  <si>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</si>
  <si>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</si>
  <si>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</si>
  <si>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Josip Drmic</t>
  </si>
  <si>
    <t>Sébastien Haller</t>
  </si>
  <si>
    <t>WHU</t>
  </si>
  <si>
    <t>Danny Welbeck</t>
  </si>
  <si>
    <t>WAT</t>
  </si>
  <si>
    <t>Javier Hernández</t>
  </si>
  <si>
    <t>Moise Kean</t>
  </si>
  <si>
    <t>EVE</t>
  </si>
  <si>
    <t>Neal Maupay</t>
  </si>
  <si>
    <t>Jürgen Locadia</t>
  </si>
  <si>
    <t>Gerard Deulofeu</t>
  </si>
  <si>
    <t>Pierre-Emerick Aubameyang</t>
  </si>
  <si>
    <t>Dominic Calvert-Lewin</t>
  </si>
  <si>
    <t>Pedro Lomba Neto</t>
  </si>
  <si>
    <t>Chris Wood</t>
  </si>
  <si>
    <t>Aaron Connolly</t>
  </si>
  <si>
    <t>Albian Ajeti</t>
  </si>
  <si>
    <t>Diogo José Teixeira da Silva</t>
  </si>
  <si>
    <t>Sergio Aguero</t>
  </si>
  <si>
    <t>Leon Clarke</t>
  </si>
  <si>
    <t>Roberto Firmino Barbosa de Oliveira</t>
  </si>
  <si>
    <t>LIV</t>
  </si>
  <si>
    <t>Troy Deeney</t>
  </si>
  <si>
    <t>Oumar Niasse</t>
  </si>
  <si>
    <t>Joshua King</t>
  </si>
  <si>
    <t>Jonathan Kodjia</t>
  </si>
  <si>
    <t>Raul Alonso Jimenez Rodriguez</t>
  </si>
  <si>
    <t>Shane Long</t>
  </si>
  <si>
    <t>Yoshinori Muto</t>
  </si>
  <si>
    <t>Ashley Barnes</t>
  </si>
  <si>
    <t>Christian Benteke</t>
  </si>
  <si>
    <t>Dennis Srbeny</t>
  </si>
  <si>
    <t>David McGoldrick</t>
  </si>
  <si>
    <t>Dwight Gayle</t>
  </si>
  <si>
    <t>Jordan Ayew</t>
  </si>
  <si>
    <t>Olivier Giroud</t>
  </si>
  <si>
    <t>CHE</t>
  </si>
  <si>
    <t>Jay Rodriguez</t>
  </si>
  <si>
    <t>Alexandre Lacazette</t>
  </si>
  <si>
    <t>Mason Greenwood</t>
  </si>
  <si>
    <t>MUN</t>
  </si>
  <si>
    <t>Andy Carroll</t>
  </si>
  <si>
    <t>Florin Andone</t>
  </si>
  <si>
    <t>Tammy Abraham</t>
  </si>
  <si>
    <t>Danny Ings</t>
  </si>
  <si>
    <t>Isaac Success Ajayi</t>
  </si>
  <si>
    <t>Dominic Solanke</t>
  </si>
  <si>
    <t>Sam Surridge</t>
  </si>
  <si>
    <t>Divock Origi</t>
  </si>
  <si>
    <t>Michy Batshuayi</t>
  </si>
  <si>
    <t>Connor Wickham</t>
  </si>
  <si>
    <t>Marcus Rashford</t>
  </si>
  <si>
    <t>Billy Sharp</t>
  </si>
  <si>
    <t>Andre Gray</t>
  </si>
  <si>
    <t>Harry Maguire</t>
  </si>
  <si>
    <t>Jonny Evans</t>
  </si>
  <si>
    <t>Emil Krafth</t>
  </si>
  <si>
    <t>Joel Ward</t>
  </si>
  <si>
    <t>Max Kilman</t>
  </si>
  <si>
    <t>James Tarkowski</t>
  </si>
  <si>
    <t>Luke Shaw</t>
  </si>
  <si>
    <t>Erik Pieters</t>
  </si>
  <si>
    <t>Jonathan Castro Otto</t>
  </si>
  <si>
    <t>Fabián Balbuena</t>
  </si>
  <si>
    <t>Jamal Lewis</t>
  </si>
  <si>
    <t>Jack Simpson</t>
  </si>
  <si>
    <t>Leighton Baines</t>
  </si>
  <si>
    <t>Ben Davies</t>
  </si>
  <si>
    <t>Sead Kolasinac</t>
  </si>
  <si>
    <t>Marcos Alonso</t>
  </si>
  <si>
    <t>Nicolás Otamendi</t>
  </si>
  <si>
    <t>Nacho Monreal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</si>
  <si>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</si>
  <si>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</si>
  <si>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</si>
  <si>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</si>
  <si>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</si>
  <si>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</si>
  <si>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</si>
  <si>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</si>
  <si>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Charlie Daniels</t>
  </si>
  <si>
    <t>José Holebas</t>
  </si>
  <si>
    <t>Trent Alexander-Arnold</t>
  </si>
  <si>
    <t>Mamadou Sakho</t>
  </si>
  <si>
    <t>Kyle Walker</t>
  </si>
  <si>
    <t>Patrick Van Aanholt</t>
  </si>
  <si>
    <t>Jesús Vallejo</t>
  </si>
  <si>
    <t>Ryan Bennett</t>
  </si>
  <si>
    <t>Ezri Konsa Ngoyo</t>
  </si>
  <si>
    <t>Jetro Willems</t>
  </si>
  <si>
    <t>Dimitri Foulquier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</si>
  <si>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</si>
  <si>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</si>
  <si>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</si>
  <si>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</si>
  <si>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</si>
  <si>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</si>
  <si>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</si>
  <si>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</si>
  <si>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</si>
  <si>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</si>
  <si>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</si>
  <si>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</si>
  <si>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</si>
  <si>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</si>
  <si>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</si>
  <si>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</si>
  <si>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</si>
  <si>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</si>
  <si>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</si>
  <si>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</si>
  <si>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Kevin Danso</t>
  </si>
  <si>
    <t>David Luiz Moreira Marinho</t>
  </si>
  <si>
    <t>Dejan Lovren</t>
  </si>
  <si>
    <t>Daryl Janmaat</t>
  </si>
  <si>
    <t>Kyle Walker-Peters</t>
  </si>
  <si>
    <t>Antonio Rüdiger</t>
  </si>
  <si>
    <t>Christian Fuchs</t>
  </si>
  <si>
    <t>Eric Garcia</t>
  </si>
  <si>
    <t>José Diogo Dalot Teixeira</t>
  </si>
  <si>
    <t>Jannik Vestergaard</t>
  </si>
  <si>
    <t>Joseph Gomez</t>
  </si>
  <si>
    <t>Jose Angel Esmoris Tasende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</si>
  <si>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</si>
  <si>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</si>
  <si>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</si>
  <si>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</si>
  <si>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</si>
  <si>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</si>
  <si>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</si>
  <si>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</si>
  <si>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Ashley Young</t>
  </si>
  <si>
    <t>Mason Holgate</t>
  </si>
  <si>
    <t>Maya Yoshida</t>
  </si>
  <si>
    <t>Bernardo Fernandes da Silva Junior</t>
  </si>
  <si>
    <t>Neil Taylor</t>
  </si>
  <si>
    <t>James Justin</t>
  </si>
  <si>
    <t>Danny Rose</t>
  </si>
  <si>
    <t>Kortney Hause</t>
  </si>
  <si>
    <t>Yann Valery</t>
  </si>
  <si>
    <t>Yerry Mina</t>
  </si>
  <si>
    <t>Rob Holding</t>
  </si>
  <si>
    <t>Ryan Fredericks</t>
  </si>
  <si>
    <t>Ricardo Domingos Barbosa Pereira</t>
  </si>
  <si>
    <t>Jamaal Lascelles</t>
  </si>
  <si>
    <t>Michael Keane</t>
  </si>
  <si>
    <t>Jan Vertonghen</t>
  </si>
  <si>
    <t>Dan Burn</t>
  </si>
  <si>
    <t>Aaron Wan-Bissaka</t>
  </si>
  <si>
    <t>César Azpilicueta</t>
  </si>
  <si>
    <t>Francisco Femenía Far</t>
  </si>
  <si>
    <t>Craig Dawson</t>
  </si>
  <si>
    <t>Japhet Tanganga</t>
  </si>
  <si>
    <t>Grant Hanley</t>
  </si>
  <si>
    <t>Christoph Zimmermann</t>
  </si>
  <si>
    <t>Kevin Long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</si>
  <si>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</si>
  <si>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</si>
  <si>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</si>
  <si>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</si>
  <si>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</si>
  <si>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</si>
  <si>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</si>
  <si>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</si>
  <si>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Aymeric Laporte</t>
  </si>
  <si>
    <t>Fabian Schär</t>
  </si>
  <si>
    <t>Steve Cook</t>
  </si>
  <si>
    <t>Juan Foyth</t>
  </si>
  <si>
    <t>Romain Saiss</t>
  </si>
  <si>
    <t>Martín Montoya</t>
  </si>
  <si>
    <t>George Baldock</t>
  </si>
  <si>
    <t>Andrew Robertson</t>
  </si>
  <si>
    <t>Brandon Williams</t>
  </si>
  <si>
    <t>Marcos Rojo</t>
  </si>
  <si>
    <t>Ahmed Elmohamady</t>
  </si>
  <si>
    <t>Craig Cathcart</t>
  </si>
  <si>
    <t>Héctor Bellerín</t>
  </si>
  <si>
    <t>Ezequiel Schelotto</t>
  </si>
  <si>
    <t>Aaron Cresswell</t>
  </si>
  <si>
    <t>Callum Chambers</t>
  </si>
  <si>
    <t>Sokratis Papastathopoulos</t>
  </si>
  <si>
    <t>Tariq Lamptey</t>
  </si>
  <si>
    <t>Issa Diop</t>
  </si>
  <si>
    <t>John Egan</t>
  </si>
  <si>
    <t>Scott Dann</t>
  </si>
  <si>
    <t>DeAndre Yedlin</t>
  </si>
  <si>
    <t>Matt Ritchie</t>
  </si>
  <si>
    <t>Jack O'Connell</t>
  </si>
  <si>
    <t>Björn Engels</t>
  </si>
  <si>
    <t>Caglar Söyüncü</t>
  </si>
  <si>
    <t>Enda Stevens</t>
  </si>
  <si>
    <t>Gaëtan Bong</t>
  </si>
  <si>
    <t>Kieran Tierney</t>
  </si>
  <si>
    <t>Seamus Coleman</t>
  </si>
  <si>
    <t>Ryan Bertrand</t>
  </si>
  <si>
    <t>Oleksandr Zinchenko</t>
  </si>
  <si>
    <t>Fikayo Tomori</t>
  </si>
  <si>
    <t>John Stones</t>
  </si>
  <si>
    <t>Chris Mepham</t>
  </si>
  <si>
    <t>Ciaran Clark</t>
  </si>
  <si>
    <t>João Pedro Cavaco Cancelo</t>
  </si>
  <si>
    <t>Jack Stacey</t>
  </si>
  <si>
    <t>Arthur Masuaku</t>
  </si>
  <si>
    <t>Rúben Gonçalo Silva Nascimento Vinagre</t>
  </si>
  <si>
    <t>Frederic Guilbert</t>
  </si>
  <si>
    <t>Axel Tuanzebe</t>
  </si>
  <si>
    <t>Sebastian Prödl</t>
  </si>
  <si>
    <t>Phil Jones</t>
  </si>
  <si>
    <t>Virgil van Dijk</t>
  </si>
  <si>
    <t>Simon Francis</t>
  </si>
  <si>
    <t>Willy Boly</t>
  </si>
  <si>
    <t>Tyrone Mings</t>
  </si>
  <si>
    <t>Benjamin Mendy</t>
  </si>
  <si>
    <t>Joel Matip</t>
  </si>
  <si>
    <t>Javier Manquillo</t>
  </si>
  <si>
    <t>Matt Targett</t>
  </si>
  <si>
    <t>Phil Jagielka</t>
  </si>
  <si>
    <t>Paul Dummett</t>
  </si>
  <si>
    <t>Christian Atsu</t>
  </si>
  <si>
    <t>Andreas Pereira</t>
  </si>
  <si>
    <t>Angel Gomes</t>
  </si>
  <si>
    <t>Aaron Mooy</t>
  </si>
  <si>
    <t>Will Hughes</t>
  </si>
  <si>
    <t>Eric Dier</t>
  </si>
  <si>
    <t>Matteo Guendouzi</t>
  </si>
  <si>
    <t>Henri Lansbury</t>
  </si>
  <si>
    <t>Ravel Morrison</t>
  </si>
  <si>
    <t>Philip Billing</t>
  </si>
  <si>
    <t>Arnaut Danjuma Groeneveld</t>
  </si>
  <si>
    <t>José Ignacio Peleteiro Ramallo</t>
  </si>
  <si>
    <t>Callum Robinson</t>
  </si>
  <si>
    <t>Sofiane Boufal</t>
  </si>
  <si>
    <t>Roberto Pereyra</t>
  </si>
  <si>
    <t>Theo Walcott</t>
  </si>
  <si>
    <t>Mario Vrancic</t>
  </si>
  <si>
    <t>Jeffrey Schlupp</t>
  </si>
  <si>
    <t>Aaron Lennon</t>
  </si>
  <si>
    <t>Bernardo Mota Veiga de Carvalho e Silva</t>
  </si>
  <si>
    <t>Manuel Lanzini</t>
  </si>
  <si>
    <t>Andrew Surman</t>
  </si>
  <si>
    <t>Marco Stiepermann</t>
  </si>
  <si>
    <t>Pablo Fornals</t>
  </si>
  <si>
    <t>John Fleck</t>
  </si>
  <si>
    <t>Nemanja Matic</t>
  </si>
  <si>
    <t>Kevin De Bruyne</t>
  </si>
  <si>
    <t>Marc Albrighton</t>
  </si>
  <si>
    <t>Jordan Ibe</t>
  </si>
  <si>
    <t>Dale Stephens</t>
  </si>
  <si>
    <t>Bamidele Alli</t>
  </si>
  <si>
    <t>Tom Cleverley</t>
  </si>
  <si>
    <t>Lucas Rodrigues Moura da Silva</t>
  </si>
  <si>
    <t>Tom Davies</t>
  </si>
  <si>
    <t>Ben Osborn</t>
  </si>
  <si>
    <t>Robert Brady</t>
  </si>
  <si>
    <t>Oliver Norwood</t>
  </si>
  <si>
    <t>Dennis Praet</t>
  </si>
  <si>
    <t>Bukayo Saka</t>
  </si>
  <si>
    <t>Onel Hernández</t>
  </si>
  <si>
    <t>James Ward-Prowse</t>
  </si>
  <si>
    <t>Jorge Luiz Frello Filho</t>
  </si>
  <si>
    <t>Morgan Gibbs-White</t>
  </si>
  <si>
    <t>Onyinye Wilfred Ndidi</t>
  </si>
  <si>
    <t>Demarai Gray</t>
  </si>
  <si>
    <t>Georginio Wijnaldum</t>
  </si>
  <si>
    <t>Curtis Jones</t>
  </si>
  <si>
    <t>Willian Borges Da Silva</t>
  </si>
  <si>
    <t>Douglas Luiz Soares de Paulo</t>
  </si>
  <si>
    <t>Miguel Almirón</t>
  </si>
  <si>
    <t>Alex Iwobi</t>
  </si>
  <si>
    <t>Jonjo Shelvey</t>
  </si>
  <si>
    <t>Naby Keita</t>
  </si>
  <si>
    <t>João Moutinho</t>
  </si>
  <si>
    <t>Pedro Rodríguez Ledesma</t>
  </si>
  <si>
    <t>Luke Freeman</t>
  </si>
  <si>
    <t>Todd Cantwell</t>
  </si>
  <si>
    <t>André Filipe Tavares Gomes</t>
  </si>
  <si>
    <t>Tanguy NDombele</t>
  </si>
  <si>
    <t>Víctor Camarasa</t>
  </si>
  <si>
    <t>Alex Oxlade-Chamberlain</t>
  </si>
  <si>
    <t>Michail Antonio</t>
  </si>
  <si>
    <t>Phil Foden</t>
  </si>
  <si>
    <t>Jesse Lingard</t>
  </si>
  <si>
    <t>Ilkay Gündogan</t>
  </si>
  <si>
    <t>Dwight McNeil</t>
  </si>
  <si>
    <t>Daniel James</t>
  </si>
  <si>
    <t>Alireza Jahanbakhsh</t>
  </si>
  <si>
    <t>Jack Wilshere</t>
  </si>
  <si>
    <t>James McCarthy</t>
  </si>
  <si>
    <t>Matthew Longstaff</t>
  </si>
  <si>
    <t>Daniel Drinkwater</t>
  </si>
  <si>
    <t>Lucas Torreira</t>
  </si>
  <si>
    <t>Frederico Rodrigues de Paula Santos</t>
  </si>
  <si>
    <t>Nampalys Mendy</t>
  </si>
  <si>
    <t>Marvelous Nakamba</t>
  </si>
  <si>
    <t>Jack Cork</t>
  </si>
  <si>
    <t>Oliver Skipp</t>
  </si>
  <si>
    <t>Dan Gosling</t>
  </si>
  <si>
    <t>Rúben Diogo da Silva Neves</t>
  </si>
  <si>
    <t>Fabian Delph</t>
  </si>
  <si>
    <t>Joseph Willock</t>
  </si>
  <si>
    <t>Rodrigo Hernández Cascante</t>
  </si>
  <si>
    <t>Stuart Armstrong</t>
  </si>
  <si>
    <t>Nicolas Pepe</t>
  </si>
  <si>
    <t>Christian Eriksen</t>
  </si>
  <si>
    <t>Adam Lallana</t>
  </si>
  <si>
    <t>Granit Xhaka</t>
  </si>
  <si>
    <t>Ibrahim Amadou</t>
  </si>
  <si>
    <t>Harvey Barnes</t>
  </si>
  <si>
    <t>Declan Rice</t>
  </si>
  <si>
    <t>Leandro Trossard</t>
  </si>
  <si>
    <t>Patrick Roberts</t>
  </si>
  <si>
    <t>Ayoze Pérez Gutiérrez</t>
  </si>
  <si>
    <t>Harvey Elliott</t>
  </si>
  <si>
    <t>Adama Traoré</t>
  </si>
  <si>
    <t>Moritz Leitner</t>
  </si>
  <si>
    <t>Felipe Anderson Pereira Gomes</t>
  </si>
  <si>
    <t>Etienne Capoue</t>
  </si>
  <si>
    <t>Yves Bissouma</t>
  </si>
  <si>
    <t>Richarlison de Andrade</t>
  </si>
  <si>
    <t>Morgan Schneiderlin</t>
  </si>
  <si>
    <t>Gylfi Sigurdsson</t>
  </si>
  <si>
    <t>Jairo Riedewald</t>
  </si>
  <si>
    <t>Nathan Holland</t>
  </si>
  <si>
    <t>Erik Lamela</t>
  </si>
  <si>
    <t>Muhamed Besic</t>
  </si>
  <si>
    <t>Junior Stanislas</t>
  </si>
  <si>
    <t>Mason Mount</t>
  </si>
  <si>
    <t>James Maddison</t>
  </si>
  <si>
    <t>Ryan Fraser</t>
  </si>
  <si>
    <t>Allan Saint-Maximin</t>
  </si>
  <si>
    <t>Daniel Ceballos Fernández</t>
  </si>
  <si>
    <t>Mark Noble</t>
  </si>
  <si>
    <t>Jack Grealish</t>
  </si>
  <si>
    <t>Harry Wilson</t>
  </si>
  <si>
    <t>Ismaila Sarr</t>
  </si>
  <si>
    <t>Oriol Romeu</t>
  </si>
  <si>
    <t>Brandon Pierrick</t>
  </si>
  <si>
    <t>Bernard Anício Caldeira Duarte</t>
  </si>
  <si>
    <t>Nathan Redmond</t>
  </si>
  <si>
    <t>Moussa Djenepo</t>
  </si>
  <si>
    <t>Pierre-Emile Højbjerg</t>
  </si>
  <si>
    <t>Tom Trybull</t>
  </si>
  <si>
    <t>Mateo Kovacic</t>
  </si>
  <si>
    <t>Mohamed Salah</t>
  </si>
  <si>
    <t>Keinan Davis</t>
  </si>
  <si>
    <t>Fernando Luiz Rosa</t>
  </si>
  <si>
    <t>Henrikh Mkhitaryan</t>
  </si>
  <si>
    <t>Andriy Yarmolenko</t>
  </si>
  <si>
    <t>Mesut Ozil</t>
  </si>
  <si>
    <t>Emiliano Buendía</t>
  </si>
  <si>
    <t>Jeff Hendrick</t>
  </si>
  <si>
    <t>Scott McTominay</t>
  </si>
  <si>
    <t>James Milner</t>
  </si>
  <si>
    <t>Andros Townsend</t>
  </si>
  <si>
    <t>Luka Milivojevic</t>
  </si>
  <si>
    <t>Solomon March</t>
  </si>
  <si>
    <t>Leander Dendoncker</t>
  </si>
  <si>
    <t>Hamza Choudhury</t>
  </si>
  <si>
    <t>Wilfried Zaha</t>
  </si>
  <si>
    <t>Robert Snodgrass</t>
  </si>
  <si>
    <t>Tahith Chong</t>
  </si>
  <si>
    <t>Youri Tielemans</t>
  </si>
  <si>
    <t>Raheem Sterling</t>
  </si>
  <si>
    <t>Sean Longstaff</t>
  </si>
  <si>
    <t>Max Meyer</t>
  </si>
  <si>
    <t>Jean-Philippe Gbamin</t>
  </si>
  <si>
    <t>Fabio Henrique Tavares</t>
  </si>
  <si>
    <t>Paul Pogba</t>
  </si>
  <si>
    <t>N'Golo Kanté</t>
  </si>
  <si>
    <t>Ashley Roy Westwood</t>
  </si>
  <si>
    <t>Sung-Yueng Ki</t>
  </si>
  <si>
    <t>Giovani Lo Celso</t>
  </si>
  <si>
    <t>Kenneth McLean</t>
  </si>
  <si>
    <t>Pascal Groß</t>
  </si>
  <si>
    <t>Alexander Tettey</t>
  </si>
  <si>
    <t>Davy Pröpper</t>
  </si>
  <si>
    <t>Victor Wanyama</t>
  </si>
  <si>
    <t>Conor Hourihane</t>
  </si>
  <si>
    <t>James Garner</t>
  </si>
  <si>
    <t>Cheikhou Kouyaté</t>
  </si>
  <si>
    <t>Isaac Hayden</t>
  </si>
  <si>
    <t>Anwar El Ghazi</t>
  </si>
  <si>
    <t>Billy Gilmour</t>
  </si>
  <si>
    <t>James McArthur</t>
  </si>
  <si>
    <t>Heung-Min Son</t>
  </si>
  <si>
    <t>Harry Winks</t>
  </si>
  <si>
    <t>Domingos Quina</t>
  </si>
  <si>
    <t>Nathaniel Chalobah</t>
  </si>
  <si>
    <t>Riyad Mahrez</t>
  </si>
  <si>
    <t>Carlos Sánchez</t>
  </si>
  <si>
    <t>Christian Pulisic</t>
  </si>
  <si>
    <t>Georges-Kévin Nkoudou Mbida</t>
  </si>
  <si>
    <t>Reiss Nelson</t>
  </si>
  <si>
    <t>John McGinn</t>
  </si>
  <si>
    <t>David Silva</t>
  </si>
  <si>
    <t>Anthony Martial</t>
  </si>
  <si>
    <t>Jefferson Lerma</t>
  </si>
  <si>
    <t>Callum Hudson-Odoi</t>
  </si>
  <si>
    <t>Jordan Henderson</t>
  </si>
  <si>
    <t>Xherdan Shaqiri</t>
  </si>
  <si>
    <t>Sadio Mane</t>
  </si>
  <si>
    <t>Kouassi Ryan Sessegnon</t>
  </si>
  <si>
    <t>Juan Mata</t>
  </si>
  <si>
    <t>Steven Alzate</t>
  </si>
  <si>
    <t>Lewis Cook</t>
  </si>
  <si>
    <t>Johann Berg Gudmundsson</t>
  </si>
  <si>
    <t>Mahmoud Hassan</t>
  </si>
  <si>
    <t>Moussa Sissoko</t>
  </si>
  <si>
    <t>Ross Barkley</t>
  </si>
  <si>
    <t>Abdoulaye Doucouré</t>
  </si>
  <si>
    <t>Emile Smith-Rowe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</si>
</sst>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2768" x14ac:knownFonts="1">
    <font>
      <sz val="11"/>
      <color indexed="8"/>
      <name val="Calibri"/>
      <family val="2"/>
      <scheme val="minor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b/>
      <sz val="9"/>
      <color rgb="FFFEFFFF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  <font>
      <sz val="9"/>
      <color rgb="FF01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C00000"/>
        <bgColor rgb="FFC00000"/>
      </patternFill>
    </fill>
    <fill>
      <patternFill patternType="solid">
        <fgColor rgb="FF00B050"/>
        <bgColor rgb="FF00B050"/>
      </patternFill>
    </fill>
    <fill>
      <patternFill patternType="solid">
        <fgColor rgb="FF806000"/>
        <bgColor rgb="FF806000"/>
      </patternFill>
    </fill>
    <fill>
      <patternFill patternType="solid">
        <fgColor rgb="FFCC6800"/>
        <bgColor rgb="FFCC6800"/>
      </patternFill>
    </fill>
    <fill>
      <patternFill patternType="solid">
        <fgColor rgb="FFD9D9D9"/>
        <bgColor rgb="FFD9D9D9"/>
      </patternFill>
    </fill>
    <fill>
      <patternFill patternType="solid">
        <fgColor rgb="FFFEFFFF"/>
        <bgColor rgb="FFFEFFFF"/>
      </patternFill>
    </fill>
    <fill>
      <patternFill patternType="solid">
        <fgColor rgb="FFFFFF66"/>
        <bgColor rgb="FFFFFF66"/>
      </patternFill>
    </fill>
  </fills>
  <borders count="2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1">
    <xf numFmtId="0" fontId="0" fillId="0" borderId="0"/>
  </cellStyleXfs>
  <cellXfs count="332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9" fillId="4" borderId="1" xfId="0" applyFont="1" applyFill="1" applyBorder="1" applyAlignment="1">
      <alignment horizontal="center" vertical="center"/>
    </xf>
    <xf numFmtId="0" fontId="70" fillId="4" borderId="1" xfId="0" applyFont="1" applyFill="1" applyBorder="1" applyAlignment="1">
      <alignment horizontal="center" vertical="center"/>
    </xf>
    <xf numFmtId="0" fontId="71" fillId="4" borderId="1" xfId="0" applyFont="1" applyFill="1" applyBorder="1" applyAlignment="1">
      <alignment horizontal="center" vertical="center"/>
    </xf>
    <xf numFmtId="0" fontId="72" fillId="4" borderId="1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6" borderId="1" xfId="0" applyFont="1" applyFill="1" applyBorder="1" applyAlignment="1">
      <alignment horizontal="center" vertical="center"/>
    </xf>
    <xf numFmtId="0" fontId="77" fillId="6" borderId="1" xfId="0" applyFont="1" applyFill="1" applyBorder="1" applyAlignment="1">
      <alignment horizontal="center" vertical="center"/>
    </xf>
    <xf numFmtId="0" fontId="78" fillId="6" borderId="1" xfId="0" applyFont="1" applyFill="1" applyBorder="1" applyAlignment="1">
      <alignment horizontal="center" vertical="center"/>
    </xf>
    <xf numFmtId="0" fontId="79" fillId="7" borderId="1" xfId="0" applyNumberFormat="1" applyFont="1" applyFill="1" applyBorder="1" applyAlignment="1">
      <alignment horizontal="left" vertical="center"/>
    </xf>
    <xf numFmtId="0" fontId="80" fillId="8" borderId="1" xfId="0" applyNumberFormat="1" applyFont="1" applyFill="1" applyBorder="1" applyAlignment="1">
      <alignment horizontal="center" vertical="center"/>
    </xf>
    <xf numFmtId="164" fontId="81" fillId="8" borderId="1" xfId="0" applyNumberFormat="1" applyFont="1" applyFill="1" applyBorder="1" applyAlignment="1">
      <alignment horizontal="center" vertical="center"/>
    </xf>
    <xf numFmtId="1" fontId="82" fillId="8" borderId="1" xfId="0" applyNumberFormat="1" applyFont="1" applyFill="1" applyBorder="1" applyAlignment="1">
      <alignment horizontal="center" vertical="center"/>
    </xf>
    <xf numFmtId="1" fontId="83" fillId="8" borderId="1" xfId="0" applyNumberFormat="1" applyFont="1" applyFill="1" applyBorder="1" applyAlignment="1">
      <alignment horizontal="center" vertical="center"/>
    </xf>
    <xf numFmtId="1" fontId="84" fillId="8" borderId="1" xfId="0" applyNumberFormat="1" applyFont="1" applyFill="1" applyBorder="1" applyAlignment="1">
      <alignment horizontal="center" vertical="center"/>
    </xf>
    <xf numFmtId="1" fontId="85" fillId="8" borderId="1" xfId="0" applyNumberFormat="1" applyFont="1" applyFill="1" applyBorder="1" applyAlignment="1">
      <alignment horizontal="center" vertical="center"/>
    </xf>
    <xf numFmtId="1" fontId="86" fillId="8" borderId="1" xfId="0" applyNumberFormat="1" applyFont="1" applyFill="1" applyBorder="1" applyAlignment="1">
      <alignment horizontal="center" vertical="center"/>
    </xf>
    <xf numFmtId="1" fontId="87" fillId="8" borderId="1" xfId="0" applyNumberFormat="1" applyFont="1" applyFill="1" applyBorder="1" applyAlignment="1">
      <alignment horizontal="center" vertical="center"/>
    </xf>
    <xf numFmtId="1" fontId="88" fillId="8" borderId="1" xfId="0" applyNumberFormat="1" applyFont="1" applyFill="1" applyBorder="1" applyAlignment="1">
      <alignment horizontal="center" vertical="center"/>
    </xf>
    <xf numFmtId="0" fontId="89" fillId="8" borderId="1" xfId="0" applyNumberFormat="1" applyFont="1" applyFill="1" applyBorder="1" applyAlignment="1">
      <alignment horizontal="center" vertical="center"/>
    </xf>
    <xf numFmtId="0" fontId="90" fillId="8" borderId="1" xfId="0" applyNumberFormat="1" applyFont="1" applyFill="1" applyBorder="1" applyAlignment="1">
      <alignment horizontal="center" vertical="center"/>
    </xf>
    <xf numFmtId="1" fontId="91" fillId="8" borderId="1" xfId="0" applyNumberFormat="1" applyFont="1" applyFill="1" applyBorder="1" applyAlignment="1">
      <alignment horizontal="center" vertical="center"/>
    </xf>
    <xf numFmtId="1" fontId="92" fillId="8" borderId="1" xfId="0" applyNumberFormat="1" applyFont="1" applyFill="1" applyBorder="1" applyAlignment="1">
      <alignment horizontal="center" vertical="center"/>
    </xf>
    <xf numFmtId="1" fontId="93" fillId="8" borderId="1" xfId="0" applyNumberFormat="1" applyFont="1" applyFill="1" applyBorder="1" applyAlignment="1">
      <alignment horizontal="center" vertical="center"/>
    </xf>
    <xf numFmtId="165" fontId="94" fillId="8" borderId="1" xfId="0" applyNumberFormat="1" applyFont="1" applyFill="1" applyBorder="1" applyAlignment="1">
      <alignment horizontal="center" vertical="center"/>
    </xf>
    <xf numFmtId="1" fontId="95" fillId="8" borderId="1" xfId="0" applyNumberFormat="1" applyFont="1" applyFill="1" applyBorder="1" applyAlignment="1">
      <alignment horizontal="center" vertical="center"/>
    </xf>
    <xf numFmtId="165" fontId="96" fillId="8" borderId="1" xfId="0" applyNumberFormat="1" applyFont="1" applyFill="1" applyBorder="1" applyAlignment="1">
      <alignment horizontal="center" vertical="center"/>
    </xf>
    <xf numFmtId="1" fontId="97" fillId="8" borderId="1" xfId="0" applyNumberFormat="1" applyFont="1" applyFill="1" applyBorder="1" applyAlignment="1">
      <alignment horizontal="center" vertical="center"/>
    </xf>
    <xf numFmtId="165" fontId="98" fillId="8" borderId="1" xfId="0" applyNumberFormat="1" applyFont="1" applyFill="1" applyBorder="1" applyAlignment="1">
      <alignment horizontal="center" vertical="center"/>
    </xf>
    <xf numFmtId="1" fontId="99" fillId="8" borderId="1" xfId="0" applyNumberFormat="1" applyFont="1" applyFill="1" applyBorder="1" applyAlignment="1">
      <alignment horizontal="center" vertical="center"/>
    </xf>
    <xf numFmtId="165" fontId="100" fillId="8" borderId="1" xfId="0" applyNumberFormat="1" applyFont="1" applyFill="1" applyBorder="1" applyAlignment="1">
      <alignment horizontal="center" vertical="center"/>
    </xf>
    <xf numFmtId="165" fontId="101" fillId="8" borderId="1" xfId="0" applyNumberFormat="1" applyFont="1" applyFill="1" applyBorder="1" applyAlignment="1">
      <alignment horizontal="center" vertical="center"/>
    </xf>
    <xf numFmtId="1" fontId="102" fillId="8" borderId="1" xfId="0" applyNumberFormat="1" applyFont="1" applyFill="1" applyBorder="1" applyAlignment="1">
      <alignment horizontal="center" vertical="center"/>
    </xf>
    <xf numFmtId="1" fontId="103" fillId="8" borderId="1" xfId="0" applyNumberFormat="1" applyFont="1" applyFill="1" applyBorder="1" applyAlignment="1">
      <alignment horizontal="center" vertical="center"/>
    </xf>
    <xf numFmtId="1" fontId="104" fillId="8" borderId="1" xfId="0" applyNumberFormat="1" applyFont="1" applyFill="1" applyBorder="1" applyAlignment="1">
      <alignment horizontal="center" vertical="center"/>
    </xf>
    <xf numFmtId="165" fontId="105" fillId="8" borderId="1" xfId="0" applyNumberFormat="1" applyFont="1" applyFill="1" applyBorder="1" applyAlignment="1">
      <alignment horizontal="center" vertical="center"/>
    </xf>
    <xf numFmtId="164" fontId="106" fillId="8" borderId="1" xfId="0" applyNumberFormat="1" applyFont="1" applyFill="1" applyBorder="1" applyAlignment="1">
      <alignment horizontal="center" vertical="center"/>
    </xf>
    <xf numFmtId="164" fontId="107" fillId="8" borderId="1" xfId="0" applyNumberFormat="1" applyFont="1" applyFill="1" applyBorder="1" applyAlignment="1">
      <alignment horizontal="center" vertical="center"/>
    </xf>
    <xf numFmtId="1" fontId="108" fillId="8" borderId="1" xfId="0" applyNumberFormat="1" applyFont="1" applyFill="1" applyBorder="1" applyAlignment="1">
      <alignment horizontal="center" vertical="center"/>
    </xf>
    <xf numFmtId="1" fontId="109" fillId="8" borderId="1" xfId="0" applyNumberFormat="1" applyFont="1" applyFill="1" applyBorder="1" applyAlignment="1">
      <alignment horizontal="center" vertical="center"/>
    </xf>
    <xf numFmtId="1" fontId="110" fillId="8" borderId="1" xfId="0" applyNumberFormat="1" applyFont="1" applyFill="1" applyBorder="1" applyAlignment="1">
      <alignment horizontal="center" vertical="center"/>
    </xf>
    <xf numFmtId="165" fontId="111" fillId="8" borderId="1" xfId="0" applyNumberFormat="1" applyFont="1" applyFill="1" applyBorder="1" applyAlignment="1">
      <alignment horizontal="center" vertical="center"/>
    </xf>
    <xf numFmtId="1" fontId="112" fillId="8" borderId="1" xfId="0" applyNumberFormat="1" applyFont="1" applyFill="1" applyBorder="1" applyAlignment="1">
      <alignment horizontal="center" vertical="center"/>
    </xf>
    <xf numFmtId="165" fontId="113" fillId="8" borderId="1" xfId="0" applyNumberFormat="1" applyFont="1" applyFill="1" applyBorder="1" applyAlignment="1">
      <alignment horizontal="center" vertical="center"/>
    </xf>
    <xf numFmtId="1" fontId="114" fillId="8" borderId="1" xfId="0" applyNumberFormat="1" applyFont="1" applyFill="1" applyBorder="1" applyAlignment="1">
      <alignment horizontal="center" vertical="center"/>
    </xf>
    <xf numFmtId="1" fontId="115" fillId="8" borderId="1" xfId="0" applyNumberFormat="1" applyFont="1" applyFill="1" applyBorder="1" applyAlignment="1">
      <alignment horizontal="center" vertical="center"/>
    </xf>
    <xf numFmtId="1" fontId="116" fillId="8" borderId="1" xfId="0" applyNumberFormat="1" applyFont="1" applyFill="1" applyBorder="1" applyAlignment="1">
      <alignment horizontal="center" vertical="center"/>
    </xf>
    <xf numFmtId="1" fontId="117" fillId="8" borderId="1" xfId="0" applyNumberFormat="1" applyFont="1" applyFill="1" applyBorder="1" applyAlignment="1">
      <alignment horizontal="center" vertical="center"/>
    </xf>
    <xf numFmtId="165" fontId="118" fillId="8" borderId="1" xfId="0" applyNumberFormat="1" applyFont="1" applyFill="1" applyBorder="1" applyAlignment="1">
      <alignment horizontal="center" vertical="center"/>
    </xf>
    <xf numFmtId="1" fontId="119" fillId="8" borderId="1" xfId="0" applyNumberFormat="1" applyFont="1" applyFill="1" applyBorder="1" applyAlignment="1">
      <alignment horizontal="center" vertical="center"/>
    </xf>
    <xf numFmtId="165" fontId="120" fillId="8" borderId="1" xfId="0" applyNumberFormat="1" applyFont="1" applyFill="1" applyBorder="1" applyAlignment="1">
      <alignment horizontal="center" vertical="center"/>
    </xf>
    <xf numFmtId="1" fontId="121" fillId="8" borderId="1" xfId="0" applyNumberFormat="1" applyFont="1" applyFill="1" applyBorder="1" applyAlignment="1">
      <alignment horizontal="center" vertical="center"/>
    </xf>
    <xf numFmtId="165" fontId="122" fillId="8" borderId="1" xfId="0" applyNumberFormat="1" applyFont="1" applyFill="1" applyBorder="1" applyAlignment="1">
      <alignment horizontal="center" vertical="center"/>
    </xf>
    <xf numFmtId="2" fontId="123" fillId="8" borderId="1" xfId="0" applyNumberFormat="1" applyFont="1" applyFill="1" applyBorder="1" applyAlignment="1">
      <alignment horizontal="center" vertical="center"/>
    </xf>
    <xf numFmtId="2" fontId="124" fillId="8" borderId="1" xfId="0" applyNumberFormat="1" applyFont="1" applyFill="1" applyBorder="1" applyAlignment="1">
      <alignment horizontal="center" vertical="center"/>
    </xf>
    <xf numFmtId="2" fontId="125" fillId="8" borderId="1" xfId="0" applyNumberFormat="1" applyFont="1" applyFill="1" applyBorder="1" applyAlignment="1">
      <alignment horizontal="center" vertical="center"/>
    </xf>
    <xf numFmtId="2" fontId="126" fillId="8" borderId="1" xfId="0" applyNumberFormat="1" applyFont="1" applyFill="1" applyBorder="1" applyAlignment="1">
      <alignment horizontal="center" vertical="center"/>
    </xf>
    <xf numFmtId="2" fontId="127" fillId="8" borderId="1" xfId="0" applyNumberFormat="1" applyFont="1" applyFill="1" applyBorder="1" applyAlignment="1">
      <alignment horizontal="center" vertical="center"/>
    </xf>
    <xf numFmtId="2" fontId="128" fillId="8" borderId="1" xfId="0" applyNumberFormat="1" applyFont="1" applyFill="1" applyBorder="1" applyAlignment="1">
      <alignment horizontal="center" vertical="center"/>
    </xf>
    <xf numFmtId="2" fontId="129" fillId="8" borderId="1" xfId="0" applyNumberFormat="1" applyFont="1" applyFill="1" applyBorder="1" applyAlignment="1">
      <alignment horizontal="center" vertical="center"/>
    </xf>
    <xf numFmtId="2" fontId="130" fillId="8" borderId="1" xfId="0" applyNumberFormat="1" applyFont="1" applyFill="1" applyBorder="1" applyAlignment="1">
      <alignment horizontal="center" vertical="center"/>
    </xf>
    <xf numFmtId="2" fontId="131" fillId="8" borderId="1" xfId="0" applyNumberFormat="1" applyFont="1" applyFill="1" applyBorder="1" applyAlignment="1">
      <alignment horizontal="center" vertical="center"/>
    </xf>
    <xf numFmtId="2" fontId="132" fillId="8" borderId="1" xfId="0" applyNumberFormat="1" applyFont="1" applyFill="1" applyBorder="1" applyAlignment="1">
      <alignment horizontal="center" vertical="center"/>
    </xf>
    <xf numFmtId="2" fontId="133" fillId="8" borderId="1" xfId="0" applyNumberFormat="1" applyFont="1" applyFill="1" applyBorder="1" applyAlignment="1">
      <alignment horizontal="center" vertical="center"/>
    </xf>
    <xf numFmtId="2" fontId="134" fillId="8" borderId="1" xfId="0" applyNumberFormat="1" applyFont="1" applyFill="1" applyBorder="1" applyAlignment="1">
      <alignment horizontal="center" vertical="center"/>
    </xf>
    <xf numFmtId="2" fontId="135" fillId="8" borderId="1" xfId="0" applyNumberFormat="1" applyFont="1" applyFill="1" applyBorder="1" applyAlignment="1">
      <alignment horizontal="center" vertical="center"/>
    </xf>
    <xf numFmtId="2" fontId="136" fillId="8" borderId="1" xfId="0" applyNumberFormat="1" applyFont="1" applyFill="1" applyBorder="1" applyAlignment="1">
      <alignment horizontal="center" vertical="center"/>
    </xf>
    <xf numFmtId="2" fontId="137" fillId="8" borderId="1" xfId="0" applyNumberFormat="1" applyFont="1" applyFill="1" applyBorder="1" applyAlignment="1">
      <alignment horizontal="center" vertical="center"/>
    </xf>
    <xf numFmtId="2" fontId="138" fillId="8" borderId="1" xfId="0" applyNumberFormat="1" applyFont="1" applyFill="1" applyBorder="1" applyAlignment="1">
      <alignment horizontal="center" vertical="center"/>
    </xf>
    <xf numFmtId="2" fontId="139" fillId="8" borderId="1" xfId="0" applyNumberFormat="1" applyFont="1" applyFill="1" applyBorder="1" applyAlignment="1">
      <alignment horizontal="center" vertical="center"/>
    </xf>
    <xf numFmtId="2" fontId="140" fillId="8" borderId="1" xfId="0" applyNumberFormat="1" applyFont="1" applyFill="1" applyBorder="1" applyAlignment="1">
      <alignment horizontal="center" vertical="center"/>
    </xf>
    <xf numFmtId="2" fontId="141" fillId="8" borderId="1" xfId="0" applyNumberFormat="1" applyFont="1" applyFill="1" applyBorder="1" applyAlignment="1">
      <alignment horizontal="center" vertical="center"/>
    </xf>
    <xf numFmtId="2" fontId="142" fillId="8" borderId="1" xfId="0" applyNumberFormat="1" applyFont="1" applyFill="1" applyBorder="1" applyAlignment="1">
      <alignment horizontal="center" vertical="center"/>
    </xf>
    <xf numFmtId="2" fontId="143" fillId="8" borderId="1" xfId="0" applyNumberFormat="1" applyFont="1" applyFill="1" applyBorder="1" applyAlignment="1">
      <alignment horizontal="center" vertical="center"/>
    </xf>
    <xf numFmtId="2" fontId="144" fillId="8" borderId="1" xfId="0" applyNumberFormat="1" applyFont="1" applyFill="1" applyBorder="1" applyAlignment="1">
      <alignment horizontal="center" vertical="center"/>
    </xf>
    <xf numFmtId="2" fontId="145" fillId="8" borderId="1" xfId="0" applyNumberFormat="1" applyFont="1" applyFill="1" applyBorder="1" applyAlignment="1">
      <alignment horizontal="center" vertical="center"/>
    </xf>
    <xf numFmtId="2" fontId="146" fillId="8" borderId="1" xfId="0" applyNumberFormat="1" applyFont="1" applyFill="1" applyBorder="1" applyAlignment="1">
      <alignment horizontal="center" vertical="center"/>
    </xf>
    <xf numFmtId="2" fontId="147" fillId="8" borderId="1" xfId="0" applyNumberFormat="1" applyFont="1" applyFill="1" applyBorder="1" applyAlignment="1">
      <alignment horizontal="center" vertical="center"/>
    </xf>
    <xf numFmtId="2" fontId="148" fillId="8" borderId="1" xfId="0" applyNumberFormat="1" applyFont="1" applyFill="1" applyBorder="1" applyAlignment="1">
      <alignment horizontal="center" vertical="center"/>
    </xf>
    <xf numFmtId="2" fontId="149" fillId="8" borderId="1" xfId="0" applyNumberFormat="1" applyFont="1" applyFill="1" applyBorder="1" applyAlignment="1">
      <alignment horizontal="center" vertical="center"/>
    </xf>
    <xf numFmtId="2" fontId="150" fillId="8" borderId="1" xfId="0" applyNumberFormat="1" applyFont="1" applyFill="1" applyBorder="1" applyAlignment="1">
      <alignment horizontal="center" vertical="center"/>
    </xf>
    <xf numFmtId="2" fontId="151" fillId="8" borderId="1" xfId="0" applyNumberFormat="1" applyFont="1" applyFill="1" applyBorder="1" applyAlignment="1">
      <alignment horizontal="center" vertical="center"/>
    </xf>
    <xf numFmtId="2" fontId="152" fillId="8" borderId="1" xfId="0" applyNumberFormat="1" applyFont="1" applyFill="1" applyBorder="1" applyAlignment="1">
      <alignment horizontal="center" vertical="center"/>
    </xf>
    <xf numFmtId="2" fontId="153" fillId="8" borderId="1" xfId="0" applyNumberFormat="1" applyFont="1" applyFill="1" applyBorder="1" applyAlignment="1">
      <alignment horizontal="center" vertical="center"/>
    </xf>
    <xf numFmtId="2" fontId="154" fillId="8" borderId="1" xfId="0" applyNumberFormat="1" applyFont="1" applyFill="1" applyBorder="1" applyAlignment="1">
      <alignment horizontal="center" vertical="center"/>
    </xf>
    <xf numFmtId="2" fontId="155" fillId="8" borderId="1" xfId="0" applyNumberFormat="1" applyFont="1" applyFill="1" applyBorder="1" applyAlignment="1">
      <alignment horizontal="center" vertical="center"/>
    </xf>
    <xf numFmtId="2" fontId="156" fillId="8" borderId="1" xfId="0" applyNumberFormat="1" applyFont="1" applyFill="1" applyBorder="1" applyAlignment="1">
      <alignment horizontal="center" vertical="center"/>
    </xf>
    <xf numFmtId="0" fontId="157" fillId="7" borderId="1" xfId="0" applyNumberFormat="1" applyFont="1" applyFill="1" applyBorder="1" applyAlignment="1">
      <alignment horizontal="left" vertical="center"/>
    </xf>
    <xf numFmtId="0" fontId="158" fillId="8" borderId="1" xfId="0" applyNumberFormat="1" applyFont="1" applyFill="1" applyBorder="1" applyAlignment="1">
      <alignment horizontal="center" vertical="center"/>
    </xf>
    <xf numFmtId="164" fontId="159" fillId="8" borderId="1" xfId="0" applyNumberFormat="1" applyFont="1" applyFill="1" applyBorder="1" applyAlignment="1">
      <alignment horizontal="center" vertical="center"/>
    </xf>
    <xf numFmtId="1" fontId="160" fillId="8" borderId="1" xfId="0" applyNumberFormat="1" applyFont="1" applyFill="1" applyBorder="1" applyAlignment="1">
      <alignment horizontal="center" vertical="center"/>
    </xf>
    <xf numFmtId="1" fontId="161" fillId="8" borderId="1" xfId="0" applyNumberFormat="1" applyFont="1" applyFill="1" applyBorder="1" applyAlignment="1">
      <alignment horizontal="center" vertical="center"/>
    </xf>
    <xf numFmtId="1" fontId="162" fillId="8" borderId="1" xfId="0" applyNumberFormat="1" applyFont="1" applyFill="1" applyBorder="1" applyAlignment="1">
      <alignment horizontal="center" vertical="center"/>
    </xf>
    <xf numFmtId="1" fontId="163" fillId="8" borderId="1" xfId="0" applyNumberFormat="1" applyFont="1" applyFill="1" applyBorder="1" applyAlignment="1">
      <alignment horizontal="center" vertical="center"/>
    </xf>
    <xf numFmtId="1" fontId="164" fillId="8" borderId="1" xfId="0" applyNumberFormat="1" applyFont="1" applyFill="1" applyBorder="1" applyAlignment="1">
      <alignment horizontal="center" vertical="center"/>
    </xf>
    <xf numFmtId="1" fontId="165" fillId="8" borderId="1" xfId="0" applyNumberFormat="1" applyFont="1" applyFill="1" applyBorder="1" applyAlignment="1">
      <alignment horizontal="center" vertical="center"/>
    </xf>
    <xf numFmtId="1" fontId="166" fillId="8" borderId="1" xfId="0" applyNumberFormat="1" applyFont="1" applyFill="1" applyBorder="1" applyAlignment="1">
      <alignment horizontal="center" vertical="center"/>
    </xf>
    <xf numFmtId="0" fontId="167" fillId="8" borderId="1" xfId="0" applyNumberFormat="1" applyFont="1" applyFill="1" applyBorder="1" applyAlignment="1">
      <alignment horizontal="center" vertical="center"/>
    </xf>
    <xf numFmtId="0" fontId="168" fillId="8" borderId="1" xfId="0" applyNumberFormat="1" applyFont="1" applyFill="1" applyBorder="1" applyAlignment="1">
      <alignment horizontal="center" vertical="center"/>
    </xf>
    <xf numFmtId="1" fontId="169" fillId="8" borderId="1" xfId="0" applyNumberFormat="1" applyFont="1" applyFill="1" applyBorder="1" applyAlignment="1">
      <alignment horizontal="center" vertical="center"/>
    </xf>
    <xf numFmtId="1" fontId="170" fillId="8" borderId="1" xfId="0" applyNumberFormat="1" applyFont="1" applyFill="1" applyBorder="1" applyAlignment="1">
      <alignment horizontal="center" vertical="center"/>
    </xf>
    <xf numFmtId="1" fontId="171" fillId="8" borderId="1" xfId="0" applyNumberFormat="1" applyFont="1" applyFill="1" applyBorder="1" applyAlignment="1">
      <alignment horizontal="center" vertical="center"/>
    </xf>
    <xf numFmtId="165" fontId="172" fillId="8" borderId="1" xfId="0" applyNumberFormat="1" applyFont="1" applyFill="1" applyBorder="1" applyAlignment="1">
      <alignment horizontal="center" vertical="center"/>
    </xf>
    <xf numFmtId="1" fontId="173" fillId="8" borderId="1" xfId="0" applyNumberFormat="1" applyFont="1" applyFill="1" applyBorder="1" applyAlignment="1">
      <alignment horizontal="center" vertical="center"/>
    </xf>
    <xf numFmtId="165" fontId="174" fillId="8" borderId="1" xfId="0" applyNumberFormat="1" applyFont="1" applyFill="1" applyBorder="1" applyAlignment="1">
      <alignment horizontal="center" vertical="center"/>
    </xf>
    <xf numFmtId="1" fontId="175" fillId="8" borderId="1" xfId="0" applyNumberFormat="1" applyFont="1" applyFill="1" applyBorder="1" applyAlignment="1">
      <alignment horizontal="center" vertical="center"/>
    </xf>
    <xf numFmtId="165" fontId="176" fillId="8" borderId="1" xfId="0" applyNumberFormat="1" applyFont="1" applyFill="1" applyBorder="1" applyAlignment="1">
      <alignment horizontal="center" vertical="center"/>
    </xf>
    <xf numFmtId="1" fontId="177" fillId="8" borderId="1" xfId="0" applyNumberFormat="1" applyFont="1" applyFill="1" applyBorder="1" applyAlignment="1">
      <alignment horizontal="center" vertical="center"/>
    </xf>
    <xf numFmtId="165" fontId="178" fillId="8" borderId="1" xfId="0" applyNumberFormat="1" applyFont="1" applyFill="1" applyBorder="1" applyAlignment="1">
      <alignment horizontal="center" vertical="center"/>
    </xf>
    <xf numFmtId="165" fontId="179" fillId="8" borderId="1" xfId="0" applyNumberFormat="1" applyFont="1" applyFill="1" applyBorder="1" applyAlignment="1">
      <alignment horizontal="center" vertical="center"/>
    </xf>
    <xf numFmtId="1" fontId="180" fillId="8" borderId="1" xfId="0" applyNumberFormat="1" applyFont="1" applyFill="1" applyBorder="1" applyAlignment="1">
      <alignment horizontal="center" vertical="center"/>
    </xf>
    <xf numFmtId="1" fontId="181" fillId="8" borderId="1" xfId="0" applyNumberFormat="1" applyFont="1" applyFill="1" applyBorder="1" applyAlignment="1">
      <alignment horizontal="center" vertical="center"/>
    </xf>
    <xf numFmtId="1" fontId="182" fillId="8" borderId="1" xfId="0" applyNumberFormat="1" applyFont="1" applyFill="1" applyBorder="1" applyAlignment="1">
      <alignment horizontal="center" vertical="center"/>
    </xf>
    <xf numFmtId="165" fontId="183" fillId="8" borderId="1" xfId="0" applyNumberFormat="1" applyFont="1" applyFill="1" applyBorder="1" applyAlignment="1">
      <alignment horizontal="center" vertical="center"/>
    </xf>
    <xf numFmtId="164" fontId="184" fillId="8" borderId="1" xfId="0" applyNumberFormat="1" applyFont="1" applyFill="1" applyBorder="1" applyAlignment="1">
      <alignment horizontal="center" vertical="center"/>
    </xf>
    <xf numFmtId="164" fontId="185" fillId="8" borderId="1" xfId="0" applyNumberFormat="1" applyFont="1" applyFill="1" applyBorder="1" applyAlignment="1">
      <alignment horizontal="center" vertical="center"/>
    </xf>
    <xf numFmtId="1" fontId="186" fillId="8" borderId="1" xfId="0" applyNumberFormat="1" applyFont="1" applyFill="1" applyBorder="1" applyAlignment="1">
      <alignment horizontal="center" vertical="center"/>
    </xf>
    <xf numFmtId="1" fontId="187" fillId="8" borderId="1" xfId="0" applyNumberFormat="1" applyFont="1" applyFill="1" applyBorder="1" applyAlignment="1">
      <alignment horizontal="center" vertical="center"/>
    </xf>
    <xf numFmtId="1" fontId="188" fillId="8" borderId="1" xfId="0" applyNumberFormat="1" applyFont="1" applyFill="1" applyBorder="1" applyAlignment="1">
      <alignment horizontal="center" vertical="center"/>
    </xf>
    <xf numFmtId="165" fontId="189" fillId="8" borderId="1" xfId="0" applyNumberFormat="1" applyFont="1" applyFill="1" applyBorder="1" applyAlignment="1">
      <alignment horizontal="center" vertical="center"/>
    </xf>
    <xf numFmtId="1" fontId="190" fillId="8" borderId="1" xfId="0" applyNumberFormat="1" applyFont="1" applyFill="1" applyBorder="1" applyAlignment="1">
      <alignment horizontal="center" vertical="center"/>
    </xf>
    <xf numFmtId="165" fontId="191" fillId="8" borderId="1" xfId="0" applyNumberFormat="1" applyFont="1" applyFill="1" applyBorder="1" applyAlignment="1">
      <alignment horizontal="center" vertical="center"/>
    </xf>
    <xf numFmtId="1" fontId="192" fillId="8" borderId="1" xfId="0" applyNumberFormat="1" applyFont="1" applyFill="1" applyBorder="1" applyAlignment="1">
      <alignment horizontal="center" vertical="center"/>
    </xf>
    <xf numFmtId="1" fontId="193" fillId="8" borderId="1" xfId="0" applyNumberFormat="1" applyFont="1" applyFill="1" applyBorder="1" applyAlignment="1">
      <alignment horizontal="center" vertical="center"/>
    </xf>
    <xf numFmtId="1" fontId="194" fillId="8" borderId="1" xfId="0" applyNumberFormat="1" applyFont="1" applyFill="1" applyBorder="1" applyAlignment="1">
      <alignment horizontal="center" vertical="center"/>
    </xf>
    <xf numFmtId="1" fontId="195" fillId="8" borderId="1" xfId="0" applyNumberFormat="1" applyFont="1" applyFill="1" applyBorder="1" applyAlignment="1">
      <alignment horizontal="center" vertical="center"/>
    </xf>
    <xf numFmtId="165" fontId="196" fillId="8" borderId="1" xfId="0" applyNumberFormat="1" applyFont="1" applyFill="1" applyBorder="1" applyAlignment="1">
      <alignment horizontal="center" vertical="center"/>
    </xf>
    <xf numFmtId="1" fontId="197" fillId="8" borderId="1" xfId="0" applyNumberFormat="1" applyFont="1" applyFill="1" applyBorder="1" applyAlignment="1">
      <alignment horizontal="center" vertical="center"/>
    </xf>
    <xf numFmtId="165" fontId="198" fillId="8" borderId="1" xfId="0" applyNumberFormat="1" applyFont="1" applyFill="1" applyBorder="1" applyAlignment="1">
      <alignment horizontal="center" vertical="center"/>
    </xf>
    <xf numFmtId="1" fontId="199" fillId="8" borderId="1" xfId="0" applyNumberFormat="1" applyFont="1" applyFill="1" applyBorder="1" applyAlignment="1">
      <alignment horizontal="center" vertical="center"/>
    </xf>
    <xf numFmtId="165" fontId="200" fillId="8" borderId="1" xfId="0" applyNumberFormat="1" applyFont="1" applyFill="1" applyBorder="1" applyAlignment="1">
      <alignment horizontal="center" vertical="center"/>
    </xf>
    <xf numFmtId="2" fontId="201" fillId="8" borderId="1" xfId="0" applyNumberFormat="1" applyFont="1" applyFill="1" applyBorder="1" applyAlignment="1">
      <alignment horizontal="center" vertical="center"/>
    </xf>
    <xf numFmtId="2" fontId="202" fillId="8" borderId="1" xfId="0" applyNumberFormat="1" applyFont="1" applyFill="1" applyBorder="1" applyAlignment="1">
      <alignment horizontal="center" vertical="center"/>
    </xf>
    <xf numFmtId="2" fontId="203" fillId="8" borderId="1" xfId="0" applyNumberFormat="1" applyFont="1" applyFill="1" applyBorder="1" applyAlignment="1">
      <alignment horizontal="center" vertical="center"/>
    </xf>
    <xf numFmtId="2" fontId="204" fillId="8" borderId="1" xfId="0" applyNumberFormat="1" applyFont="1" applyFill="1" applyBorder="1" applyAlignment="1">
      <alignment horizontal="center" vertical="center"/>
    </xf>
    <xf numFmtId="2" fontId="205" fillId="8" borderId="1" xfId="0" applyNumberFormat="1" applyFont="1" applyFill="1" applyBorder="1" applyAlignment="1">
      <alignment horizontal="center" vertical="center"/>
    </xf>
    <xf numFmtId="2" fontId="206" fillId="8" borderId="1" xfId="0" applyNumberFormat="1" applyFont="1" applyFill="1" applyBorder="1" applyAlignment="1">
      <alignment horizontal="center" vertical="center"/>
    </xf>
    <xf numFmtId="2" fontId="207" fillId="8" borderId="1" xfId="0" applyNumberFormat="1" applyFont="1" applyFill="1" applyBorder="1" applyAlignment="1">
      <alignment horizontal="center" vertical="center"/>
    </xf>
    <xf numFmtId="2" fontId="208" fillId="8" borderId="1" xfId="0" applyNumberFormat="1" applyFont="1" applyFill="1" applyBorder="1" applyAlignment="1">
      <alignment horizontal="center" vertical="center"/>
    </xf>
    <xf numFmtId="2" fontId="209" fillId="8" borderId="1" xfId="0" applyNumberFormat="1" applyFont="1" applyFill="1" applyBorder="1" applyAlignment="1">
      <alignment horizontal="center" vertical="center"/>
    </xf>
    <xf numFmtId="2" fontId="210" fillId="8" borderId="1" xfId="0" applyNumberFormat="1" applyFont="1" applyFill="1" applyBorder="1" applyAlignment="1">
      <alignment horizontal="center" vertical="center"/>
    </xf>
    <xf numFmtId="2" fontId="211" fillId="8" borderId="1" xfId="0" applyNumberFormat="1" applyFont="1" applyFill="1" applyBorder="1" applyAlignment="1">
      <alignment horizontal="center" vertical="center"/>
    </xf>
    <xf numFmtId="2" fontId="212" fillId="8" borderId="1" xfId="0" applyNumberFormat="1" applyFont="1" applyFill="1" applyBorder="1" applyAlignment="1">
      <alignment horizontal="center" vertical="center"/>
    </xf>
    <xf numFmtId="2" fontId="213" fillId="8" borderId="1" xfId="0" applyNumberFormat="1" applyFont="1" applyFill="1" applyBorder="1" applyAlignment="1">
      <alignment horizontal="center" vertical="center"/>
    </xf>
    <xf numFmtId="2" fontId="214" fillId="8" borderId="1" xfId="0" applyNumberFormat="1" applyFont="1" applyFill="1" applyBorder="1" applyAlignment="1">
      <alignment horizontal="center" vertical="center"/>
    </xf>
    <xf numFmtId="2" fontId="215" fillId="8" borderId="1" xfId="0" applyNumberFormat="1" applyFont="1" applyFill="1" applyBorder="1" applyAlignment="1">
      <alignment horizontal="center" vertical="center"/>
    </xf>
    <xf numFmtId="2" fontId="216" fillId="8" borderId="1" xfId="0" applyNumberFormat="1" applyFont="1" applyFill="1" applyBorder="1" applyAlignment="1">
      <alignment horizontal="center" vertical="center"/>
    </xf>
    <xf numFmtId="2" fontId="217" fillId="8" borderId="1" xfId="0" applyNumberFormat="1" applyFont="1" applyFill="1" applyBorder="1" applyAlignment="1">
      <alignment horizontal="center" vertical="center"/>
    </xf>
    <xf numFmtId="2" fontId="218" fillId="8" borderId="1" xfId="0" applyNumberFormat="1" applyFont="1" applyFill="1" applyBorder="1" applyAlignment="1">
      <alignment horizontal="center" vertical="center"/>
    </xf>
    <xf numFmtId="2" fontId="219" fillId="8" borderId="1" xfId="0" applyNumberFormat="1" applyFont="1" applyFill="1" applyBorder="1" applyAlignment="1">
      <alignment horizontal="center" vertical="center"/>
    </xf>
    <xf numFmtId="2" fontId="220" fillId="8" borderId="1" xfId="0" applyNumberFormat="1" applyFont="1" applyFill="1" applyBorder="1" applyAlignment="1">
      <alignment horizontal="center" vertical="center"/>
    </xf>
    <xf numFmtId="2" fontId="221" fillId="8" borderId="1" xfId="0" applyNumberFormat="1" applyFont="1" applyFill="1" applyBorder="1" applyAlignment="1">
      <alignment horizontal="center" vertical="center"/>
    </xf>
    <xf numFmtId="2" fontId="222" fillId="8" borderId="1" xfId="0" applyNumberFormat="1" applyFont="1" applyFill="1" applyBorder="1" applyAlignment="1">
      <alignment horizontal="center" vertical="center"/>
    </xf>
    <xf numFmtId="2" fontId="223" fillId="8" borderId="1" xfId="0" applyNumberFormat="1" applyFont="1" applyFill="1" applyBorder="1" applyAlignment="1">
      <alignment horizontal="center" vertical="center"/>
    </xf>
    <xf numFmtId="2" fontId="224" fillId="8" borderId="1" xfId="0" applyNumberFormat="1" applyFont="1" applyFill="1" applyBorder="1" applyAlignment="1">
      <alignment horizontal="center" vertical="center"/>
    </xf>
    <xf numFmtId="2" fontId="225" fillId="8" borderId="1" xfId="0" applyNumberFormat="1" applyFont="1" applyFill="1" applyBorder="1" applyAlignment="1">
      <alignment horizontal="center" vertical="center"/>
    </xf>
    <xf numFmtId="2" fontId="226" fillId="8" borderId="1" xfId="0" applyNumberFormat="1" applyFont="1" applyFill="1" applyBorder="1" applyAlignment="1">
      <alignment horizontal="center" vertical="center"/>
    </xf>
    <xf numFmtId="2" fontId="227" fillId="8" borderId="1" xfId="0" applyNumberFormat="1" applyFont="1" applyFill="1" applyBorder="1" applyAlignment="1">
      <alignment horizontal="center" vertical="center"/>
    </xf>
    <xf numFmtId="2" fontId="228" fillId="8" borderId="1" xfId="0" applyNumberFormat="1" applyFont="1" applyFill="1" applyBorder="1" applyAlignment="1">
      <alignment horizontal="center" vertical="center"/>
    </xf>
    <xf numFmtId="2" fontId="229" fillId="8" borderId="1" xfId="0" applyNumberFormat="1" applyFont="1" applyFill="1" applyBorder="1" applyAlignment="1">
      <alignment horizontal="center" vertical="center"/>
    </xf>
    <xf numFmtId="2" fontId="230" fillId="8" borderId="1" xfId="0" applyNumberFormat="1" applyFont="1" applyFill="1" applyBorder="1" applyAlignment="1">
      <alignment horizontal="center" vertical="center"/>
    </xf>
    <xf numFmtId="2" fontId="231" fillId="8" borderId="1" xfId="0" applyNumberFormat="1" applyFont="1" applyFill="1" applyBorder="1" applyAlignment="1">
      <alignment horizontal="center" vertical="center"/>
    </xf>
    <xf numFmtId="2" fontId="232" fillId="8" borderId="1" xfId="0" applyNumberFormat="1" applyFont="1" applyFill="1" applyBorder="1" applyAlignment="1">
      <alignment horizontal="center" vertical="center"/>
    </xf>
    <xf numFmtId="2" fontId="233" fillId="8" borderId="1" xfId="0" applyNumberFormat="1" applyFont="1" applyFill="1" applyBorder="1" applyAlignment="1">
      <alignment horizontal="center" vertical="center"/>
    </xf>
    <xf numFmtId="2" fontId="234" fillId="8" borderId="1" xfId="0" applyNumberFormat="1" applyFont="1" applyFill="1" applyBorder="1" applyAlignment="1">
      <alignment horizontal="center" vertical="center"/>
    </xf>
    <xf numFmtId="0" fontId="235" fillId="7" borderId="1" xfId="0" applyNumberFormat="1" applyFont="1" applyFill="1" applyBorder="1" applyAlignment="1">
      <alignment horizontal="left" vertical="center"/>
    </xf>
    <xf numFmtId="0" fontId="236" fillId="8" borderId="1" xfId="0" applyNumberFormat="1" applyFont="1" applyFill="1" applyBorder="1" applyAlignment="1">
      <alignment horizontal="center" vertical="center"/>
    </xf>
    <xf numFmtId="164" fontId="237" fillId="8" borderId="1" xfId="0" applyNumberFormat="1" applyFont="1" applyFill="1" applyBorder="1" applyAlignment="1">
      <alignment horizontal="center" vertical="center"/>
    </xf>
    <xf numFmtId="1" fontId="238" fillId="8" borderId="1" xfId="0" applyNumberFormat="1" applyFont="1" applyFill="1" applyBorder="1" applyAlignment="1">
      <alignment horizontal="center" vertical="center"/>
    </xf>
    <xf numFmtId="1" fontId="239" fillId="8" borderId="1" xfId="0" applyNumberFormat="1" applyFont="1" applyFill="1" applyBorder="1" applyAlignment="1">
      <alignment horizontal="center" vertical="center"/>
    </xf>
    <xf numFmtId="1" fontId="240" fillId="8" borderId="1" xfId="0" applyNumberFormat="1" applyFont="1" applyFill="1" applyBorder="1" applyAlignment="1">
      <alignment horizontal="center" vertical="center"/>
    </xf>
    <xf numFmtId="1" fontId="241" fillId="8" borderId="1" xfId="0" applyNumberFormat="1" applyFont="1" applyFill="1" applyBorder="1" applyAlignment="1">
      <alignment horizontal="center" vertical="center"/>
    </xf>
    <xf numFmtId="1" fontId="242" fillId="8" borderId="1" xfId="0" applyNumberFormat="1" applyFont="1" applyFill="1" applyBorder="1" applyAlignment="1">
      <alignment horizontal="center" vertical="center"/>
    </xf>
    <xf numFmtId="1" fontId="243" fillId="8" borderId="1" xfId="0" applyNumberFormat="1" applyFont="1" applyFill="1" applyBorder="1" applyAlignment="1">
      <alignment horizontal="center" vertical="center"/>
    </xf>
    <xf numFmtId="1" fontId="244" fillId="8" borderId="1" xfId="0" applyNumberFormat="1" applyFont="1" applyFill="1" applyBorder="1" applyAlignment="1">
      <alignment horizontal="center" vertical="center"/>
    </xf>
    <xf numFmtId="0" fontId="245" fillId="8" borderId="1" xfId="0" applyNumberFormat="1" applyFont="1" applyFill="1" applyBorder="1" applyAlignment="1">
      <alignment horizontal="center" vertical="center"/>
    </xf>
    <xf numFmtId="0" fontId="246" fillId="8" borderId="1" xfId="0" applyNumberFormat="1" applyFont="1" applyFill="1" applyBorder="1" applyAlignment="1">
      <alignment horizontal="center" vertical="center"/>
    </xf>
    <xf numFmtId="1" fontId="247" fillId="8" borderId="1" xfId="0" applyNumberFormat="1" applyFont="1" applyFill="1" applyBorder="1" applyAlignment="1">
      <alignment horizontal="center" vertical="center"/>
    </xf>
    <xf numFmtId="1" fontId="248" fillId="8" borderId="1" xfId="0" applyNumberFormat="1" applyFont="1" applyFill="1" applyBorder="1" applyAlignment="1">
      <alignment horizontal="center" vertical="center"/>
    </xf>
    <xf numFmtId="1" fontId="249" fillId="8" borderId="1" xfId="0" applyNumberFormat="1" applyFont="1" applyFill="1" applyBorder="1" applyAlignment="1">
      <alignment horizontal="center" vertical="center"/>
    </xf>
    <xf numFmtId="165" fontId="250" fillId="8" borderId="1" xfId="0" applyNumberFormat="1" applyFont="1" applyFill="1" applyBorder="1" applyAlignment="1">
      <alignment horizontal="center" vertical="center"/>
    </xf>
    <xf numFmtId="1" fontId="251" fillId="8" borderId="1" xfId="0" applyNumberFormat="1" applyFont="1" applyFill="1" applyBorder="1" applyAlignment="1">
      <alignment horizontal="center" vertical="center"/>
    </xf>
    <xf numFmtId="165" fontId="252" fillId="8" borderId="1" xfId="0" applyNumberFormat="1" applyFont="1" applyFill="1" applyBorder="1" applyAlignment="1">
      <alignment horizontal="center" vertical="center"/>
    </xf>
    <xf numFmtId="1" fontId="253" fillId="8" borderId="1" xfId="0" applyNumberFormat="1" applyFont="1" applyFill="1" applyBorder="1" applyAlignment="1">
      <alignment horizontal="center" vertical="center"/>
    </xf>
    <xf numFmtId="165" fontId="254" fillId="8" borderId="1" xfId="0" applyNumberFormat="1" applyFont="1" applyFill="1" applyBorder="1" applyAlignment="1">
      <alignment horizontal="center" vertical="center"/>
    </xf>
    <xf numFmtId="1" fontId="255" fillId="8" borderId="1" xfId="0" applyNumberFormat="1" applyFont="1" applyFill="1" applyBorder="1" applyAlignment="1">
      <alignment horizontal="center" vertical="center"/>
    </xf>
    <xf numFmtId="165" fontId="256" fillId="8" borderId="1" xfId="0" applyNumberFormat="1" applyFont="1" applyFill="1" applyBorder="1" applyAlignment="1">
      <alignment horizontal="center" vertical="center"/>
    </xf>
    <xf numFmtId="165" fontId="257" fillId="8" borderId="1" xfId="0" applyNumberFormat="1" applyFont="1" applyFill="1" applyBorder="1" applyAlignment="1">
      <alignment horizontal="center" vertical="center"/>
    </xf>
    <xf numFmtId="1" fontId="258" fillId="8" borderId="1" xfId="0" applyNumberFormat="1" applyFont="1" applyFill="1" applyBorder="1" applyAlignment="1">
      <alignment horizontal="center" vertical="center"/>
    </xf>
    <xf numFmtId="1" fontId="259" fillId="8" borderId="1" xfId="0" applyNumberFormat="1" applyFont="1" applyFill="1" applyBorder="1" applyAlignment="1">
      <alignment horizontal="center" vertical="center"/>
    </xf>
    <xf numFmtId="1" fontId="260" fillId="8" borderId="1" xfId="0" applyNumberFormat="1" applyFont="1" applyFill="1" applyBorder="1" applyAlignment="1">
      <alignment horizontal="center" vertical="center"/>
    </xf>
    <xf numFmtId="165" fontId="261" fillId="8" borderId="1" xfId="0" applyNumberFormat="1" applyFont="1" applyFill="1" applyBorder="1" applyAlignment="1">
      <alignment horizontal="center" vertical="center"/>
    </xf>
    <xf numFmtId="164" fontId="262" fillId="8" borderId="1" xfId="0" applyNumberFormat="1" applyFont="1" applyFill="1" applyBorder="1" applyAlignment="1">
      <alignment horizontal="center" vertical="center"/>
    </xf>
    <xf numFmtId="164" fontId="263" fillId="8" borderId="1" xfId="0" applyNumberFormat="1" applyFont="1" applyFill="1" applyBorder="1" applyAlignment="1">
      <alignment horizontal="center" vertical="center"/>
    </xf>
    <xf numFmtId="1" fontId="264" fillId="8" borderId="1" xfId="0" applyNumberFormat="1" applyFont="1" applyFill="1" applyBorder="1" applyAlignment="1">
      <alignment horizontal="center" vertical="center"/>
    </xf>
    <xf numFmtId="1" fontId="265" fillId="8" borderId="1" xfId="0" applyNumberFormat="1" applyFont="1" applyFill="1" applyBorder="1" applyAlignment="1">
      <alignment horizontal="center" vertical="center"/>
    </xf>
    <xf numFmtId="1" fontId="266" fillId="8" borderId="1" xfId="0" applyNumberFormat="1" applyFont="1" applyFill="1" applyBorder="1" applyAlignment="1">
      <alignment horizontal="center" vertical="center"/>
    </xf>
    <xf numFmtId="165" fontId="267" fillId="8" borderId="1" xfId="0" applyNumberFormat="1" applyFont="1" applyFill="1" applyBorder="1" applyAlignment="1">
      <alignment horizontal="center" vertical="center"/>
    </xf>
    <xf numFmtId="1" fontId="268" fillId="8" borderId="1" xfId="0" applyNumberFormat="1" applyFont="1" applyFill="1" applyBorder="1" applyAlignment="1">
      <alignment horizontal="center" vertical="center"/>
    </xf>
    <xf numFmtId="165" fontId="269" fillId="8" borderId="1" xfId="0" applyNumberFormat="1" applyFont="1" applyFill="1" applyBorder="1" applyAlignment="1">
      <alignment horizontal="center" vertical="center"/>
    </xf>
    <xf numFmtId="1" fontId="270" fillId="8" borderId="1" xfId="0" applyNumberFormat="1" applyFont="1" applyFill="1" applyBorder="1" applyAlignment="1">
      <alignment horizontal="center" vertical="center"/>
    </xf>
    <xf numFmtId="1" fontId="271" fillId="8" borderId="1" xfId="0" applyNumberFormat="1" applyFont="1" applyFill="1" applyBorder="1" applyAlignment="1">
      <alignment horizontal="center" vertical="center"/>
    </xf>
    <xf numFmtId="1" fontId="272" fillId="8" borderId="1" xfId="0" applyNumberFormat="1" applyFont="1" applyFill="1" applyBorder="1" applyAlignment="1">
      <alignment horizontal="center" vertical="center"/>
    </xf>
    <xf numFmtId="1" fontId="273" fillId="8" borderId="1" xfId="0" applyNumberFormat="1" applyFont="1" applyFill="1" applyBorder="1" applyAlignment="1">
      <alignment horizontal="center" vertical="center"/>
    </xf>
    <xf numFmtId="165" fontId="274" fillId="8" borderId="1" xfId="0" applyNumberFormat="1" applyFont="1" applyFill="1" applyBorder="1" applyAlignment="1">
      <alignment horizontal="center" vertical="center"/>
    </xf>
    <xf numFmtId="1" fontId="275" fillId="8" borderId="1" xfId="0" applyNumberFormat="1" applyFont="1" applyFill="1" applyBorder="1" applyAlignment="1">
      <alignment horizontal="center" vertical="center"/>
    </xf>
    <xf numFmtId="165" fontId="276" fillId="8" borderId="1" xfId="0" applyNumberFormat="1" applyFont="1" applyFill="1" applyBorder="1" applyAlignment="1">
      <alignment horizontal="center" vertical="center"/>
    </xf>
    <xf numFmtId="1" fontId="277" fillId="8" borderId="1" xfId="0" applyNumberFormat="1" applyFont="1" applyFill="1" applyBorder="1" applyAlignment="1">
      <alignment horizontal="center" vertical="center"/>
    </xf>
    <xf numFmtId="165" fontId="278" fillId="8" borderId="1" xfId="0" applyNumberFormat="1" applyFont="1" applyFill="1" applyBorder="1" applyAlignment="1">
      <alignment horizontal="center" vertical="center"/>
    </xf>
    <xf numFmtId="2" fontId="279" fillId="8" borderId="1" xfId="0" applyNumberFormat="1" applyFont="1" applyFill="1" applyBorder="1" applyAlignment="1">
      <alignment horizontal="center" vertical="center"/>
    </xf>
    <xf numFmtId="2" fontId="280" fillId="8" borderId="1" xfId="0" applyNumberFormat="1" applyFont="1" applyFill="1" applyBorder="1" applyAlignment="1">
      <alignment horizontal="center" vertical="center"/>
    </xf>
    <xf numFmtId="2" fontId="281" fillId="8" borderId="1" xfId="0" applyNumberFormat="1" applyFont="1" applyFill="1" applyBorder="1" applyAlignment="1">
      <alignment horizontal="center" vertical="center"/>
    </xf>
    <xf numFmtId="2" fontId="282" fillId="8" borderId="1" xfId="0" applyNumberFormat="1" applyFont="1" applyFill="1" applyBorder="1" applyAlignment="1">
      <alignment horizontal="center" vertical="center"/>
    </xf>
    <xf numFmtId="2" fontId="283" fillId="8" borderId="1" xfId="0" applyNumberFormat="1" applyFont="1" applyFill="1" applyBorder="1" applyAlignment="1">
      <alignment horizontal="center" vertical="center"/>
    </xf>
    <xf numFmtId="2" fontId="284" fillId="8" borderId="1" xfId="0" applyNumberFormat="1" applyFont="1" applyFill="1" applyBorder="1" applyAlignment="1">
      <alignment horizontal="center" vertical="center"/>
    </xf>
    <xf numFmtId="2" fontId="285" fillId="8" borderId="1" xfId="0" applyNumberFormat="1" applyFont="1" applyFill="1" applyBorder="1" applyAlignment="1">
      <alignment horizontal="center" vertical="center"/>
    </xf>
    <xf numFmtId="2" fontId="286" fillId="8" borderId="1" xfId="0" applyNumberFormat="1" applyFont="1" applyFill="1" applyBorder="1" applyAlignment="1">
      <alignment horizontal="center" vertical="center"/>
    </xf>
    <xf numFmtId="2" fontId="287" fillId="8" borderId="1" xfId="0" applyNumberFormat="1" applyFont="1" applyFill="1" applyBorder="1" applyAlignment="1">
      <alignment horizontal="center" vertical="center"/>
    </xf>
    <xf numFmtId="2" fontId="288" fillId="8" borderId="1" xfId="0" applyNumberFormat="1" applyFont="1" applyFill="1" applyBorder="1" applyAlignment="1">
      <alignment horizontal="center" vertical="center"/>
    </xf>
    <xf numFmtId="2" fontId="289" fillId="8" borderId="1" xfId="0" applyNumberFormat="1" applyFont="1" applyFill="1" applyBorder="1" applyAlignment="1">
      <alignment horizontal="center" vertical="center"/>
    </xf>
    <xf numFmtId="2" fontId="290" fillId="8" borderId="1" xfId="0" applyNumberFormat="1" applyFont="1" applyFill="1" applyBorder="1" applyAlignment="1">
      <alignment horizontal="center" vertical="center"/>
    </xf>
    <xf numFmtId="2" fontId="291" fillId="8" borderId="1" xfId="0" applyNumberFormat="1" applyFont="1" applyFill="1" applyBorder="1" applyAlignment="1">
      <alignment horizontal="center" vertical="center"/>
    </xf>
    <xf numFmtId="2" fontId="292" fillId="8" borderId="1" xfId="0" applyNumberFormat="1" applyFont="1" applyFill="1" applyBorder="1" applyAlignment="1">
      <alignment horizontal="center" vertical="center"/>
    </xf>
    <xf numFmtId="2" fontId="293" fillId="8" borderId="1" xfId="0" applyNumberFormat="1" applyFont="1" applyFill="1" applyBorder="1" applyAlignment="1">
      <alignment horizontal="center" vertical="center"/>
    </xf>
    <xf numFmtId="2" fontId="294" fillId="8" borderId="1" xfId="0" applyNumberFormat="1" applyFont="1" applyFill="1" applyBorder="1" applyAlignment="1">
      <alignment horizontal="center" vertical="center"/>
    </xf>
    <xf numFmtId="2" fontId="295" fillId="8" borderId="1" xfId="0" applyNumberFormat="1" applyFont="1" applyFill="1" applyBorder="1" applyAlignment="1">
      <alignment horizontal="center" vertical="center"/>
    </xf>
    <xf numFmtId="2" fontId="296" fillId="8" borderId="1" xfId="0" applyNumberFormat="1" applyFont="1" applyFill="1" applyBorder="1" applyAlignment="1">
      <alignment horizontal="center" vertical="center"/>
    </xf>
    <xf numFmtId="2" fontId="297" fillId="8" borderId="1" xfId="0" applyNumberFormat="1" applyFont="1" applyFill="1" applyBorder="1" applyAlignment="1">
      <alignment horizontal="center" vertical="center"/>
    </xf>
    <xf numFmtId="2" fontId="298" fillId="8" borderId="1" xfId="0" applyNumberFormat="1" applyFont="1" applyFill="1" applyBorder="1" applyAlignment="1">
      <alignment horizontal="center" vertical="center"/>
    </xf>
    <xf numFmtId="2" fontId="299" fillId="8" borderId="1" xfId="0" applyNumberFormat="1" applyFont="1" applyFill="1" applyBorder="1" applyAlignment="1">
      <alignment horizontal="center" vertical="center"/>
    </xf>
    <xf numFmtId="2" fontId="300" fillId="8" borderId="1" xfId="0" applyNumberFormat="1" applyFont="1" applyFill="1" applyBorder="1" applyAlignment="1">
      <alignment horizontal="center" vertical="center"/>
    </xf>
    <xf numFmtId="2" fontId="301" fillId="8" borderId="1" xfId="0" applyNumberFormat="1" applyFont="1" applyFill="1" applyBorder="1" applyAlignment="1">
      <alignment horizontal="center" vertical="center"/>
    </xf>
    <xf numFmtId="2" fontId="302" fillId="8" borderId="1" xfId="0" applyNumberFormat="1" applyFont="1" applyFill="1" applyBorder="1" applyAlignment="1">
      <alignment horizontal="center" vertical="center"/>
    </xf>
    <xf numFmtId="2" fontId="303" fillId="8" borderId="1" xfId="0" applyNumberFormat="1" applyFont="1" applyFill="1" applyBorder="1" applyAlignment="1">
      <alignment horizontal="center" vertical="center"/>
    </xf>
    <xf numFmtId="2" fontId="304" fillId="8" borderId="1" xfId="0" applyNumberFormat="1" applyFont="1" applyFill="1" applyBorder="1" applyAlignment="1">
      <alignment horizontal="center" vertical="center"/>
    </xf>
    <xf numFmtId="2" fontId="305" fillId="8" borderId="1" xfId="0" applyNumberFormat="1" applyFont="1" applyFill="1" applyBorder="1" applyAlignment="1">
      <alignment horizontal="center" vertical="center"/>
    </xf>
    <xf numFmtId="2" fontId="306" fillId="8" borderId="1" xfId="0" applyNumberFormat="1" applyFont="1" applyFill="1" applyBorder="1" applyAlignment="1">
      <alignment horizontal="center" vertical="center"/>
    </xf>
    <xf numFmtId="2" fontId="307" fillId="8" borderId="1" xfId="0" applyNumberFormat="1" applyFont="1" applyFill="1" applyBorder="1" applyAlignment="1">
      <alignment horizontal="center" vertical="center"/>
    </xf>
    <xf numFmtId="2" fontId="308" fillId="8" borderId="1" xfId="0" applyNumberFormat="1" applyFont="1" applyFill="1" applyBorder="1" applyAlignment="1">
      <alignment horizontal="center" vertical="center"/>
    </xf>
    <xf numFmtId="2" fontId="309" fillId="8" borderId="1" xfId="0" applyNumberFormat="1" applyFont="1" applyFill="1" applyBorder="1" applyAlignment="1">
      <alignment horizontal="center" vertical="center"/>
    </xf>
    <xf numFmtId="2" fontId="310" fillId="8" borderId="1" xfId="0" applyNumberFormat="1" applyFont="1" applyFill="1" applyBorder="1" applyAlignment="1">
      <alignment horizontal="center" vertical="center"/>
    </xf>
    <xf numFmtId="2" fontId="311" fillId="8" borderId="1" xfId="0" applyNumberFormat="1" applyFont="1" applyFill="1" applyBorder="1" applyAlignment="1">
      <alignment horizontal="center" vertical="center"/>
    </xf>
    <xf numFmtId="2" fontId="312" fillId="8" borderId="1" xfId="0" applyNumberFormat="1" applyFont="1" applyFill="1" applyBorder="1" applyAlignment="1">
      <alignment horizontal="center" vertical="center"/>
    </xf>
    <xf numFmtId="0" fontId="313" fillId="7" borderId="1" xfId="0" applyNumberFormat="1" applyFont="1" applyFill="1" applyBorder="1" applyAlignment="1">
      <alignment horizontal="left" vertical="center"/>
    </xf>
    <xf numFmtId="0" fontId="314" fillId="8" borderId="1" xfId="0" applyNumberFormat="1" applyFont="1" applyFill="1" applyBorder="1" applyAlignment="1">
      <alignment horizontal="center" vertical="center"/>
    </xf>
    <xf numFmtId="164" fontId="315" fillId="8" borderId="1" xfId="0" applyNumberFormat="1" applyFont="1" applyFill="1" applyBorder="1" applyAlignment="1">
      <alignment horizontal="center" vertical="center"/>
    </xf>
    <xf numFmtId="1" fontId="316" fillId="8" borderId="1" xfId="0" applyNumberFormat="1" applyFont="1" applyFill="1" applyBorder="1" applyAlignment="1">
      <alignment horizontal="center" vertical="center"/>
    </xf>
    <xf numFmtId="1" fontId="317" fillId="8" borderId="1" xfId="0" applyNumberFormat="1" applyFont="1" applyFill="1" applyBorder="1" applyAlignment="1">
      <alignment horizontal="center" vertical="center"/>
    </xf>
    <xf numFmtId="1" fontId="318" fillId="8" borderId="1" xfId="0" applyNumberFormat="1" applyFont="1" applyFill="1" applyBorder="1" applyAlignment="1">
      <alignment horizontal="center" vertical="center"/>
    </xf>
    <xf numFmtId="1" fontId="319" fillId="8" borderId="1" xfId="0" applyNumberFormat="1" applyFont="1" applyFill="1" applyBorder="1" applyAlignment="1">
      <alignment horizontal="center" vertical="center"/>
    </xf>
    <xf numFmtId="1" fontId="320" fillId="8" borderId="1" xfId="0" applyNumberFormat="1" applyFont="1" applyFill="1" applyBorder="1" applyAlignment="1">
      <alignment horizontal="center" vertical="center"/>
    </xf>
    <xf numFmtId="1" fontId="321" fillId="8" borderId="1" xfId="0" applyNumberFormat="1" applyFont="1" applyFill="1" applyBorder="1" applyAlignment="1">
      <alignment horizontal="center" vertical="center"/>
    </xf>
    <xf numFmtId="1" fontId="322" fillId="8" borderId="1" xfId="0" applyNumberFormat="1" applyFont="1" applyFill="1" applyBorder="1" applyAlignment="1">
      <alignment horizontal="center" vertical="center"/>
    </xf>
    <xf numFmtId="0" fontId="323" fillId="8" borderId="1" xfId="0" applyNumberFormat="1" applyFont="1" applyFill="1" applyBorder="1" applyAlignment="1">
      <alignment horizontal="center" vertical="center"/>
    </xf>
    <xf numFmtId="0" fontId="324" fillId="8" borderId="1" xfId="0" applyNumberFormat="1" applyFont="1" applyFill="1" applyBorder="1" applyAlignment="1">
      <alignment horizontal="center" vertical="center"/>
    </xf>
    <xf numFmtId="1" fontId="325" fillId="8" borderId="1" xfId="0" applyNumberFormat="1" applyFont="1" applyFill="1" applyBorder="1" applyAlignment="1">
      <alignment horizontal="center" vertical="center"/>
    </xf>
    <xf numFmtId="1" fontId="326" fillId="8" borderId="1" xfId="0" applyNumberFormat="1" applyFont="1" applyFill="1" applyBorder="1" applyAlignment="1">
      <alignment horizontal="center" vertical="center"/>
    </xf>
    <xf numFmtId="1" fontId="327" fillId="8" borderId="1" xfId="0" applyNumberFormat="1" applyFont="1" applyFill="1" applyBorder="1" applyAlignment="1">
      <alignment horizontal="center" vertical="center"/>
    </xf>
    <xf numFmtId="165" fontId="328" fillId="8" borderId="1" xfId="0" applyNumberFormat="1" applyFont="1" applyFill="1" applyBorder="1" applyAlignment="1">
      <alignment horizontal="center" vertical="center"/>
    </xf>
    <xf numFmtId="1" fontId="329" fillId="8" borderId="1" xfId="0" applyNumberFormat="1" applyFont="1" applyFill="1" applyBorder="1" applyAlignment="1">
      <alignment horizontal="center" vertical="center"/>
    </xf>
    <xf numFmtId="165" fontId="330" fillId="8" borderId="1" xfId="0" applyNumberFormat="1" applyFont="1" applyFill="1" applyBorder="1" applyAlignment="1">
      <alignment horizontal="center" vertical="center"/>
    </xf>
    <xf numFmtId="1" fontId="331" fillId="8" borderId="1" xfId="0" applyNumberFormat="1" applyFont="1" applyFill="1" applyBorder="1" applyAlignment="1">
      <alignment horizontal="center" vertical="center"/>
    </xf>
    <xf numFmtId="165" fontId="332" fillId="8" borderId="1" xfId="0" applyNumberFormat="1" applyFont="1" applyFill="1" applyBorder="1" applyAlignment="1">
      <alignment horizontal="center" vertical="center"/>
    </xf>
    <xf numFmtId="1" fontId="333" fillId="8" borderId="1" xfId="0" applyNumberFormat="1" applyFont="1" applyFill="1" applyBorder="1" applyAlignment="1">
      <alignment horizontal="center" vertical="center"/>
    </xf>
    <xf numFmtId="165" fontId="334" fillId="8" borderId="1" xfId="0" applyNumberFormat="1" applyFont="1" applyFill="1" applyBorder="1" applyAlignment="1">
      <alignment horizontal="center" vertical="center"/>
    </xf>
    <xf numFmtId="165" fontId="335" fillId="8" borderId="1" xfId="0" applyNumberFormat="1" applyFont="1" applyFill="1" applyBorder="1" applyAlignment="1">
      <alignment horizontal="center" vertical="center"/>
    </xf>
    <xf numFmtId="1" fontId="336" fillId="8" borderId="1" xfId="0" applyNumberFormat="1" applyFont="1" applyFill="1" applyBorder="1" applyAlignment="1">
      <alignment horizontal="center" vertical="center"/>
    </xf>
    <xf numFmtId="1" fontId="337" fillId="8" borderId="1" xfId="0" applyNumberFormat="1" applyFont="1" applyFill="1" applyBorder="1" applyAlignment="1">
      <alignment horizontal="center" vertical="center"/>
    </xf>
    <xf numFmtId="1" fontId="338" fillId="8" borderId="1" xfId="0" applyNumberFormat="1" applyFont="1" applyFill="1" applyBorder="1" applyAlignment="1">
      <alignment horizontal="center" vertical="center"/>
    </xf>
    <xf numFmtId="165" fontId="339" fillId="8" borderId="1" xfId="0" applyNumberFormat="1" applyFont="1" applyFill="1" applyBorder="1" applyAlignment="1">
      <alignment horizontal="center" vertical="center"/>
    </xf>
    <xf numFmtId="164" fontId="340" fillId="8" borderId="1" xfId="0" applyNumberFormat="1" applyFont="1" applyFill="1" applyBorder="1" applyAlignment="1">
      <alignment horizontal="center" vertical="center"/>
    </xf>
    <xf numFmtId="164" fontId="341" fillId="8" borderId="1" xfId="0" applyNumberFormat="1" applyFont="1" applyFill="1" applyBorder="1" applyAlignment="1">
      <alignment horizontal="center" vertical="center"/>
    </xf>
    <xf numFmtId="1" fontId="342" fillId="8" borderId="1" xfId="0" applyNumberFormat="1" applyFont="1" applyFill="1" applyBorder="1" applyAlignment="1">
      <alignment horizontal="center" vertical="center"/>
    </xf>
    <xf numFmtId="1" fontId="343" fillId="8" borderId="1" xfId="0" applyNumberFormat="1" applyFont="1" applyFill="1" applyBorder="1" applyAlignment="1">
      <alignment horizontal="center" vertical="center"/>
    </xf>
    <xf numFmtId="1" fontId="344" fillId="8" borderId="1" xfId="0" applyNumberFormat="1" applyFont="1" applyFill="1" applyBorder="1" applyAlignment="1">
      <alignment horizontal="center" vertical="center"/>
    </xf>
    <xf numFmtId="165" fontId="345" fillId="8" borderId="1" xfId="0" applyNumberFormat="1" applyFont="1" applyFill="1" applyBorder="1" applyAlignment="1">
      <alignment horizontal="center" vertical="center"/>
    </xf>
    <xf numFmtId="1" fontId="346" fillId="8" borderId="1" xfId="0" applyNumberFormat="1" applyFont="1" applyFill="1" applyBorder="1" applyAlignment="1">
      <alignment horizontal="center" vertical="center"/>
    </xf>
    <xf numFmtId="165" fontId="347" fillId="8" borderId="1" xfId="0" applyNumberFormat="1" applyFont="1" applyFill="1" applyBorder="1" applyAlignment="1">
      <alignment horizontal="center" vertical="center"/>
    </xf>
    <xf numFmtId="1" fontId="348" fillId="8" borderId="1" xfId="0" applyNumberFormat="1" applyFont="1" applyFill="1" applyBorder="1" applyAlignment="1">
      <alignment horizontal="center" vertical="center"/>
    </xf>
    <xf numFmtId="1" fontId="349" fillId="8" borderId="1" xfId="0" applyNumberFormat="1" applyFont="1" applyFill="1" applyBorder="1" applyAlignment="1">
      <alignment horizontal="center" vertical="center"/>
    </xf>
    <xf numFmtId="1" fontId="350" fillId="8" borderId="1" xfId="0" applyNumberFormat="1" applyFont="1" applyFill="1" applyBorder="1" applyAlignment="1">
      <alignment horizontal="center" vertical="center"/>
    </xf>
    <xf numFmtId="1" fontId="351" fillId="8" borderId="1" xfId="0" applyNumberFormat="1" applyFont="1" applyFill="1" applyBorder="1" applyAlignment="1">
      <alignment horizontal="center" vertical="center"/>
    </xf>
    <xf numFmtId="165" fontId="352" fillId="8" borderId="1" xfId="0" applyNumberFormat="1" applyFont="1" applyFill="1" applyBorder="1" applyAlignment="1">
      <alignment horizontal="center" vertical="center"/>
    </xf>
    <xf numFmtId="1" fontId="353" fillId="8" borderId="1" xfId="0" applyNumberFormat="1" applyFont="1" applyFill="1" applyBorder="1" applyAlignment="1">
      <alignment horizontal="center" vertical="center"/>
    </xf>
    <xf numFmtId="165" fontId="354" fillId="8" borderId="1" xfId="0" applyNumberFormat="1" applyFont="1" applyFill="1" applyBorder="1" applyAlignment="1">
      <alignment horizontal="center" vertical="center"/>
    </xf>
    <xf numFmtId="1" fontId="355" fillId="8" borderId="1" xfId="0" applyNumberFormat="1" applyFont="1" applyFill="1" applyBorder="1" applyAlignment="1">
      <alignment horizontal="center" vertical="center"/>
    </xf>
    <xf numFmtId="165" fontId="356" fillId="8" borderId="1" xfId="0" applyNumberFormat="1" applyFont="1" applyFill="1" applyBorder="1" applyAlignment="1">
      <alignment horizontal="center" vertical="center"/>
    </xf>
    <xf numFmtId="2" fontId="357" fillId="8" borderId="1" xfId="0" applyNumberFormat="1" applyFont="1" applyFill="1" applyBorder="1" applyAlignment="1">
      <alignment horizontal="center" vertical="center"/>
    </xf>
    <xf numFmtId="2" fontId="358" fillId="8" borderId="1" xfId="0" applyNumberFormat="1" applyFont="1" applyFill="1" applyBorder="1" applyAlignment="1">
      <alignment horizontal="center" vertical="center"/>
    </xf>
    <xf numFmtId="2" fontId="359" fillId="8" borderId="1" xfId="0" applyNumberFormat="1" applyFont="1" applyFill="1" applyBorder="1" applyAlignment="1">
      <alignment horizontal="center" vertical="center"/>
    </xf>
    <xf numFmtId="2" fontId="360" fillId="8" borderId="1" xfId="0" applyNumberFormat="1" applyFont="1" applyFill="1" applyBorder="1" applyAlignment="1">
      <alignment horizontal="center" vertical="center"/>
    </xf>
    <xf numFmtId="2" fontId="361" fillId="8" borderId="1" xfId="0" applyNumberFormat="1" applyFont="1" applyFill="1" applyBorder="1" applyAlignment="1">
      <alignment horizontal="center" vertical="center"/>
    </xf>
    <xf numFmtId="2" fontId="362" fillId="8" borderId="1" xfId="0" applyNumberFormat="1" applyFont="1" applyFill="1" applyBorder="1" applyAlignment="1">
      <alignment horizontal="center" vertical="center"/>
    </xf>
    <xf numFmtId="2" fontId="363" fillId="8" borderId="1" xfId="0" applyNumberFormat="1" applyFont="1" applyFill="1" applyBorder="1" applyAlignment="1">
      <alignment horizontal="center" vertical="center"/>
    </xf>
    <xf numFmtId="2" fontId="364" fillId="8" borderId="1" xfId="0" applyNumberFormat="1" applyFont="1" applyFill="1" applyBorder="1" applyAlignment="1">
      <alignment horizontal="center" vertical="center"/>
    </xf>
    <xf numFmtId="2" fontId="365" fillId="8" borderId="1" xfId="0" applyNumberFormat="1" applyFont="1" applyFill="1" applyBorder="1" applyAlignment="1">
      <alignment horizontal="center" vertical="center"/>
    </xf>
    <xf numFmtId="2" fontId="366" fillId="8" borderId="1" xfId="0" applyNumberFormat="1" applyFont="1" applyFill="1" applyBorder="1" applyAlignment="1">
      <alignment horizontal="center" vertical="center"/>
    </xf>
    <xf numFmtId="2" fontId="367" fillId="8" borderId="1" xfId="0" applyNumberFormat="1" applyFont="1" applyFill="1" applyBorder="1" applyAlignment="1">
      <alignment horizontal="center" vertical="center"/>
    </xf>
    <xf numFmtId="2" fontId="368" fillId="8" borderId="1" xfId="0" applyNumberFormat="1" applyFont="1" applyFill="1" applyBorder="1" applyAlignment="1">
      <alignment horizontal="center" vertical="center"/>
    </xf>
    <xf numFmtId="2" fontId="369" fillId="8" borderId="1" xfId="0" applyNumberFormat="1" applyFont="1" applyFill="1" applyBorder="1" applyAlignment="1">
      <alignment horizontal="center" vertical="center"/>
    </xf>
    <xf numFmtId="2" fontId="370" fillId="8" borderId="1" xfId="0" applyNumberFormat="1" applyFont="1" applyFill="1" applyBorder="1" applyAlignment="1">
      <alignment horizontal="center" vertical="center"/>
    </xf>
    <xf numFmtId="2" fontId="371" fillId="8" borderId="1" xfId="0" applyNumberFormat="1" applyFont="1" applyFill="1" applyBorder="1" applyAlignment="1">
      <alignment horizontal="center" vertical="center"/>
    </xf>
    <xf numFmtId="2" fontId="372" fillId="8" borderId="1" xfId="0" applyNumberFormat="1" applyFont="1" applyFill="1" applyBorder="1" applyAlignment="1">
      <alignment horizontal="center" vertical="center"/>
    </xf>
    <xf numFmtId="2" fontId="373" fillId="8" borderId="1" xfId="0" applyNumberFormat="1" applyFont="1" applyFill="1" applyBorder="1" applyAlignment="1">
      <alignment horizontal="center" vertical="center"/>
    </xf>
    <xf numFmtId="2" fontId="374" fillId="8" borderId="1" xfId="0" applyNumberFormat="1" applyFont="1" applyFill="1" applyBorder="1" applyAlignment="1">
      <alignment horizontal="center" vertical="center"/>
    </xf>
    <xf numFmtId="2" fontId="375" fillId="8" borderId="1" xfId="0" applyNumberFormat="1" applyFont="1" applyFill="1" applyBorder="1" applyAlignment="1">
      <alignment horizontal="center" vertical="center"/>
    </xf>
    <xf numFmtId="2" fontId="376" fillId="8" borderId="1" xfId="0" applyNumberFormat="1" applyFont="1" applyFill="1" applyBorder="1" applyAlignment="1">
      <alignment horizontal="center" vertical="center"/>
    </xf>
    <xf numFmtId="2" fontId="377" fillId="8" borderId="1" xfId="0" applyNumberFormat="1" applyFont="1" applyFill="1" applyBorder="1" applyAlignment="1">
      <alignment horizontal="center" vertical="center"/>
    </xf>
    <xf numFmtId="2" fontId="378" fillId="8" borderId="1" xfId="0" applyNumberFormat="1" applyFont="1" applyFill="1" applyBorder="1" applyAlignment="1">
      <alignment horizontal="center" vertical="center"/>
    </xf>
    <xf numFmtId="2" fontId="379" fillId="8" borderId="1" xfId="0" applyNumberFormat="1" applyFont="1" applyFill="1" applyBorder="1" applyAlignment="1">
      <alignment horizontal="center" vertical="center"/>
    </xf>
    <xf numFmtId="2" fontId="380" fillId="8" borderId="1" xfId="0" applyNumberFormat="1" applyFont="1" applyFill="1" applyBorder="1" applyAlignment="1">
      <alignment horizontal="center" vertical="center"/>
    </xf>
    <xf numFmtId="2" fontId="381" fillId="8" borderId="1" xfId="0" applyNumberFormat="1" applyFont="1" applyFill="1" applyBorder="1" applyAlignment="1">
      <alignment horizontal="center" vertical="center"/>
    </xf>
    <xf numFmtId="2" fontId="382" fillId="8" borderId="1" xfId="0" applyNumberFormat="1" applyFont="1" applyFill="1" applyBorder="1" applyAlignment="1">
      <alignment horizontal="center" vertical="center"/>
    </xf>
    <xf numFmtId="2" fontId="383" fillId="8" borderId="1" xfId="0" applyNumberFormat="1" applyFont="1" applyFill="1" applyBorder="1" applyAlignment="1">
      <alignment horizontal="center" vertical="center"/>
    </xf>
    <xf numFmtId="2" fontId="384" fillId="8" borderId="1" xfId="0" applyNumberFormat="1" applyFont="1" applyFill="1" applyBorder="1" applyAlignment="1">
      <alignment horizontal="center" vertical="center"/>
    </xf>
    <xf numFmtId="2" fontId="385" fillId="8" borderId="1" xfId="0" applyNumberFormat="1" applyFont="1" applyFill="1" applyBorder="1" applyAlignment="1">
      <alignment horizontal="center" vertical="center"/>
    </xf>
    <xf numFmtId="2" fontId="386" fillId="8" borderId="1" xfId="0" applyNumberFormat="1" applyFont="1" applyFill="1" applyBorder="1" applyAlignment="1">
      <alignment horizontal="center" vertical="center"/>
    </xf>
    <xf numFmtId="2" fontId="387" fillId="8" borderId="1" xfId="0" applyNumberFormat="1" applyFont="1" applyFill="1" applyBorder="1" applyAlignment="1">
      <alignment horizontal="center" vertical="center"/>
    </xf>
    <xf numFmtId="2" fontId="388" fillId="8" borderId="1" xfId="0" applyNumberFormat="1" applyFont="1" applyFill="1" applyBorder="1" applyAlignment="1">
      <alignment horizontal="center" vertical="center"/>
    </xf>
    <xf numFmtId="2" fontId="389" fillId="8" borderId="1" xfId="0" applyNumberFormat="1" applyFont="1" applyFill="1" applyBorder="1" applyAlignment="1">
      <alignment horizontal="center" vertical="center"/>
    </xf>
    <xf numFmtId="2" fontId="390" fillId="8" borderId="1" xfId="0" applyNumberFormat="1" applyFont="1" applyFill="1" applyBorder="1" applyAlignment="1">
      <alignment horizontal="center" vertical="center"/>
    </xf>
    <xf numFmtId="0" fontId="391" fillId="7" borderId="1" xfId="0" applyNumberFormat="1" applyFont="1" applyFill="1" applyBorder="1" applyAlignment="1">
      <alignment horizontal="left" vertical="center"/>
    </xf>
    <xf numFmtId="0" fontId="392" fillId="8" borderId="1" xfId="0" applyNumberFormat="1" applyFont="1" applyFill="1" applyBorder="1" applyAlignment="1">
      <alignment horizontal="center" vertical="center"/>
    </xf>
    <xf numFmtId="164" fontId="393" fillId="8" borderId="1" xfId="0" applyNumberFormat="1" applyFont="1" applyFill="1" applyBorder="1" applyAlignment="1">
      <alignment horizontal="center" vertical="center"/>
    </xf>
    <xf numFmtId="1" fontId="394" fillId="8" borderId="1" xfId="0" applyNumberFormat="1" applyFont="1" applyFill="1" applyBorder="1" applyAlignment="1">
      <alignment horizontal="center" vertical="center"/>
    </xf>
    <xf numFmtId="1" fontId="395" fillId="8" borderId="1" xfId="0" applyNumberFormat="1" applyFont="1" applyFill="1" applyBorder="1" applyAlignment="1">
      <alignment horizontal="center" vertical="center"/>
    </xf>
    <xf numFmtId="1" fontId="396" fillId="8" borderId="1" xfId="0" applyNumberFormat="1" applyFont="1" applyFill="1" applyBorder="1" applyAlignment="1">
      <alignment horizontal="center" vertical="center"/>
    </xf>
    <xf numFmtId="1" fontId="397" fillId="8" borderId="1" xfId="0" applyNumberFormat="1" applyFont="1" applyFill="1" applyBorder="1" applyAlignment="1">
      <alignment horizontal="center" vertical="center"/>
    </xf>
    <xf numFmtId="1" fontId="398" fillId="8" borderId="1" xfId="0" applyNumberFormat="1" applyFont="1" applyFill="1" applyBorder="1" applyAlignment="1">
      <alignment horizontal="center" vertical="center"/>
    </xf>
    <xf numFmtId="1" fontId="399" fillId="8" borderId="1" xfId="0" applyNumberFormat="1" applyFont="1" applyFill="1" applyBorder="1" applyAlignment="1">
      <alignment horizontal="center" vertical="center"/>
    </xf>
    <xf numFmtId="1" fontId="400" fillId="8" borderId="1" xfId="0" applyNumberFormat="1" applyFont="1" applyFill="1" applyBorder="1" applyAlignment="1">
      <alignment horizontal="center" vertical="center"/>
    </xf>
    <xf numFmtId="0" fontId="401" fillId="8" borderId="1" xfId="0" applyNumberFormat="1" applyFont="1" applyFill="1" applyBorder="1" applyAlignment="1">
      <alignment horizontal="center" vertical="center"/>
    </xf>
    <xf numFmtId="0" fontId="402" fillId="8" borderId="1" xfId="0" applyNumberFormat="1" applyFont="1" applyFill="1" applyBorder="1" applyAlignment="1">
      <alignment horizontal="center" vertical="center"/>
    </xf>
    <xf numFmtId="1" fontId="403" fillId="8" borderId="1" xfId="0" applyNumberFormat="1" applyFont="1" applyFill="1" applyBorder="1" applyAlignment="1">
      <alignment horizontal="center" vertical="center"/>
    </xf>
    <xf numFmtId="1" fontId="404" fillId="8" borderId="1" xfId="0" applyNumberFormat="1" applyFont="1" applyFill="1" applyBorder="1" applyAlignment="1">
      <alignment horizontal="center" vertical="center"/>
    </xf>
    <xf numFmtId="1" fontId="405" fillId="8" borderId="1" xfId="0" applyNumberFormat="1" applyFont="1" applyFill="1" applyBorder="1" applyAlignment="1">
      <alignment horizontal="center" vertical="center"/>
    </xf>
    <xf numFmtId="165" fontId="406" fillId="8" borderId="1" xfId="0" applyNumberFormat="1" applyFont="1" applyFill="1" applyBorder="1" applyAlignment="1">
      <alignment horizontal="center" vertical="center"/>
    </xf>
    <xf numFmtId="1" fontId="407" fillId="8" borderId="1" xfId="0" applyNumberFormat="1" applyFont="1" applyFill="1" applyBorder="1" applyAlignment="1">
      <alignment horizontal="center" vertical="center"/>
    </xf>
    <xf numFmtId="165" fontId="408" fillId="8" borderId="1" xfId="0" applyNumberFormat="1" applyFont="1" applyFill="1" applyBorder="1" applyAlignment="1">
      <alignment horizontal="center" vertical="center"/>
    </xf>
    <xf numFmtId="1" fontId="409" fillId="8" borderId="1" xfId="0" applyNumberFormat="1" applyFont="1" applyFill="1" applyBorder="1" applyAlignment="1">
      <alignment horizontal="center" vertical="center"/>
    </xf>
    <xf numFmtId="165" fontId="410" fillId="8" borderId="1" xfId="0" applyNumberFormat="1" applyFont="1" applyFill="1" applyBorder="1" applyAlignment="1">
      <alignment horizontal="center" vertical="center"/>
    </xf>
    <xf numFmtId="1" fontId="411" fillId="8" borderId="1" xfId="0" applyNumberFormat="1" applyFont="1" applyFill="1" applyBorder="1" applyAlignment="1">
      <alignment horizontal="center" vertical="center"/>
    </xf>
    <xf numFmtId="165" fontId="412" fillId="8" borderId="1" xfId="0" applyNumberFormat="1" applyFont="1" applyFill="1" applyBorder="1" applyAlignment="1">
      <alignment horizontal="center" vertical="center"/>
    </xf>
    <xf numFmtId="165" fontId="413" fillId="8" borderId="1" xfId="0" applyNumberFormat="1" applyFont="1" applyFill="1" applyBorder="1" applyAlignment="1">
      <alignment horizontal="center" vertical="center"/>
    </xf>
    <xf numFmtId="1" fontId="414" fillId="8" borderId="1" xfId="0" applyNumberFormat="1" applyFont="1" applyFill="1" applyBorder="1" applyAlignment="1">
      <alignment horizontal="center" vertical="center"/>
    </xf>
    <xf numFmtId="1" fontId="415" fillId="8" borderId="1" xfId="0" applyNumberFormat="1" applyFont="1" applyFill="1" applyBorder="1" applyAlignment="1">
      <alignment horizontal="center" vertical="center"/>
    </xf>
    <xf numFmtId="1" fontId="416" fillId="8" borderId="1" xfId="0" applyNumberFormat="1" applyFont="1" applyFill="1" applyBorder="1" applyAlignment="1">
      <alignment horizontal="center" vertical="center"/>
    </xf>
    <xf numFmtId="165" fontId="417" fillId="8" borderId="1" xfId="0" applyNumberFormat="1" applyFont="1" applyFill="1" applyBorder="1" applyAlignment="1">
      <alignment horizontal="center" vertical="center"/>
    </xf>
    <xf numFmtId="164" fontId="418" fillId="8" borderId="1" xfId="0" applyNumberFormat="1" applyFont="1" applyFill="1" applyBorder="1" applyAlignment="1">
      <alignment horizontal="center" vertical="center"/>
    </xf>
    <xf numFmtId="164" fontId="419" fillId="8" borderId="1" xfId="0" applyNumberFormat="1" applyFont="1" applyFill="1" applyBorder="1" applyAlignment="1">
      <alignment horizontal="center" vertical="center"/>
    </xf>
    <xf numFmtId="1" fontId="420" fillId="8" borderId="1" xfId="0" applyNumberFormat="1" applyFont="1" applyFill="1" applyBorder="1" applyAlignment="1">
      <alignment horizontal="center" vertical="center"/>
    </xf>
    <xf numFmtId="1" fontId="421" fillId="8" borderId="1" xfId="0" applyNumberFormat="1" applyFont="1" applyFill="1" applyBorder="1" applyAlignment="1">
      <alignment horizontal="center" vertical="center"/>
    </xf>
    <xf numFmtId="1" fontId="422" fillId="8" borderId="1" xfId="0" applyNumberFormat="1" applyFont="1" applyFill="1" applyBorder="1" applyAlignment="1">
      <alignment horizontal="center" vertical="center"/>
    </xf>
    <xf numFmtId="165" fontId="423" fillId="8" borderId="1" xfId="0" applyNumberFormat="1" applyFont="1" applyFill="1" applyBorder="1" applyAlignment="1">
      <alignment horizontal="center" vertical="center"/>
    </xf>
    <xf numFmtId="1" fontId="424" fillId="8" borderId="1" xfId="0" applyNumberFormat="1" applyFont="1" applyFill="1" applyBorder="1" applyAlignment="1">
      <alignment horizontal="center" vertical="center"/>
    </xf>
    <xf numFmtId="165" fontId="425" fillId="8" borderId="1" xfId="0" applyNumberFormat="1" applyFont="1" applyFill="1" applyBorder="1" applyAlignment="1">
      <alignment horizontal="center" vertical="center"/>
    </xf>
    <xf numFmtId="1" fontId="426" fillId="8" borderId="1" xfId="0" applyNumberFormat="1" applyFont="1" applyFill="1" applyBorder="1" applyAlignment="1">
      <alignment horizontal="center" vertical="center"/>
    </xf>
    <xf numFmtId="1" fontId="427" fillId="8" borderId="1" xfId="0" applyNumberFormat="1" applyFont="1" applyFill="1" applyBorder="1" applyAlignment="1">
      <alignment horizontal="center" vertical="center"/>
    </xf>
    <xf numFmtId="1" fontId="428" fillId="8" borderId="1" xfId="0" applyNumberFormat="1" applyFont="1" applyFill="1" applyBorder="1" applyAlignment="1">
      <alignment horizontal="center" vertical="center"/>
    </xf>
    <xf numFmtId="1" fontId="429" fillId="8" borderId="1" xfId="0" applyNumberFormat="1" applyFont="1" applyFill="1" applyBorder="1" applyAlignment="1">
      <alignment horizontal="center" vertical="center"/>
    </xf>
    <xf numFmtId="165" fontId="430" fillId="8" borderId="1" xfId="0" applyNumberFormat="1" applyFont="1" applyFill="1" applyBorder="1" applyAlignment="1">
      <alignment horizontal="center" vertical="center"/>
    </xf>
    <xf numFmtId="1" fontId="431" fillId="8" borderId="1" xfId="0" applyNumberFormat="1" applyFont="1" applyFill="1" applyBorder="1" applyAlignment="1">
      <alignment horizontal="center" vertical="center"/>
    </xf>
    <xf numFmtId="165" fontId="432" fillId="8" borderId="1" xfId="0" applyNumberFormat="1" applyFont="1" applyFill="1" applyBorder="1" applyAlignment="1">
      <alignment horizontal="center" vertical="center"/>
    </xf>
    <xf numFmtId="1" fontId="433" fillId="8" borderId="1" xfId="0" applyNumberFormat="1" applyFont="1" applyFill="1" applyBorder="1" applyAlignment="1">
      <alignment horizontal="center" vertical="center"/>
    </xf>
    <xf numFmtId="165" fontId="434" fillId="8" borderId="1" xfId="0" applyNumberFormat="1" applyFont="1" applyFill="1" applyBorder="1" applyAlignment="1">
      <alignment horizontal="center" vertical="center"/>
    </xf>
    <xf numFmtId="2" fontId="435" fillId="8" borderId="1" xfId="0" applyNumberFormat="1" applyFont="1" applyFill="1" applyBorder="1" applyAlignment="1">
      <alignment horizontal="center" vertical="center"/>
    </xf>
    <xf numFmtId="2" fontId="436" fillId="8" borderId="1" xfId="0" applyNumberFormat="1" applyFont="1" applyFill="1" applyBorder="1" applyAlignment="1">
      <alignment horizontal="center" vertical="center"/>
    </xf>
    <xf numFmtId="2" fontId="437" fillId="8" borderId="1" xfId="0" applyNumberFormat="1" applyFont="1" applyFill="1" applyBorder="1" applyAlignment="1">
      <alignment horizontal="center" vertical="center"/>
    </xf>
    <xf numFmtId="2" fontId="438" fillId="8" borderId="1" xfId="0" applyNumberFormat="1" applyFont="1" applyFill="1" applyBorder="1" applyAlignment="1">
      <alignment horizontal="center" vertical="center"/>
    </xf>
    <xf numFmtId="2" fontId="439" fillId="8" borderId="1" xfId="0" applyNumberFormat="1" applyFont="1" applyFill="1" applyBorder="1" applyAlignment="1">
      <alignment horizontal="center" vertical="center"/>
    </xf>
    <xf numFmtId="2" fontId="440" fillId="8" borderId="1" xfId="0" applyNumberFormat="1" applyFont="1" applyFill="1" applyBorder="1" applyAlignment="1">
      <alignment horizontal="center" vertical="center"/>
    </xf>
    <xf numFmtId="2" fontId="441" fillId="8" borderId="1" xfId="0" applyNumberFormat="1" applyFont="1" applyFill="1" applyBorder="1" applyAlignment="1">
      <alignment horizontal="center" vertical="center"/>
    </xf>
    <xf numFmtId="2" fontId="442" fillId="8" borderId="1" xfId="0" applyNumberFormat="1" applyFont="1" applyFill="1" applyBorder="1" applyAlignment="1">
      <alignment horizontal="center" vertical="center"/>
    </xf>
    <xf numFmtId="2" fontId="443" fillId="8" borderId="1" xfId="0" applyNumberFormat="1" applyFont="1" applyFill="1" applyBorder="1" applyAlignment="1">
      <alignment horizontal="center" vertical="center"/>
    </xf>
    <xf numFmtId="2" fontId="444" fillId="8" borderId="1" xfId="0" applyNumberFormat="1" applyFont="1" applyFill="1" applyBorder="1" applyAlignment="1">
      <alignment horizontal="center" vertical="center"/>
    </xf>
    <xf numFmtId="2" fontId="445" fillId="8" borderId="1" xfId="0" applyNumberFormat="1" applyFont="1" applyFill="1" applyBorder="1" applyAlignment="1">
      <alignment horizontal="center" vertical="center"/>
    </xf>
    <xf numFmtId="2" fontId="446" fillId="8" borderId="1" xfId="0" applyNumberFormat="1" applyFont="1" applyFill="1" applyBorder="1" applyAlignment="1">
      <alignment horizontal="center" vertical="center"/>
    </xf>
    <xf numFmtId="2" fontId="447" fillId="8" borderId="1" xfId="0" applyNumberFormat="1" applyFont="1" applyFill="1" applyBorder="1" applyAlignment="1">
      <alignment horizontal="center" vertical="center"/>
    </xf>
    <xf numFmtId="2" fontId="448" fillId="8" borderId="1" xfId="0" applyNumberFormat="1" applyFont="1" applyFill="1" applyBorder="1" applyAlignment="1">
      <alignment horizontal="center" vertical="center"/>
    </xf>
    <xf numFmtId="2" fontId="449" fillId="8" borderId="1" xfId="0" applyNumberFormat="1" applyFont="1" applyFill="1" applyBorder="1" applyAlignment="1">
      <alignment horizontal="center" vertical="center"/>
    </xf>
    <xf numFmtId="2" fontId="450" fillId="8" borderId="1" xfId="0" applyNumberFormat="1" applyFont="1" applyFill="1" applyBorder="1" applyAlignment="1">
      <alignment horizontal="center" vertical="center"/>
    </xf>
    <xf numFmtId="2" fontId="451" fillId="8" borderId="1" xfId="0" applyNumberFormat="1" applyFont="1" applyFill="1" applyBorder="1" applyAlignment="1">
      <alignment horizontal="center" vertical="center"/>
    </xf>
    <xf numFmtId="2" fontId="452" fillId="8" borderId="1" xfId="0" applyNumberFormat="1" applyFont="1" applyFill="1" applyBorder="1" applyAlignment="1">
      <alignment horizontal="center" vertical="center"/>
    </xf>
    <xf numFmtId="2" fontId="453" fillId="8" borderId="1" xfId="0" applyNumberFormat="1" applyFont="1" applyFill="1" applyBorder="1" applyAlignment="1">
      <alignment horizontal="center" vertical="center"/>
    </xf>
    <xf numFmtId="2" fontId="454" fillId="8" borderId="1" xfId="0" applyNumberFormat="1" applyFont="1" applyFill="1" applyBorder="1" applyAlignment="1">
      <alignment horizontal="center" vertical="center"/>
    </xf>
    <xf numFmtId="2" fontId="455" fillId="8" borderId="1" xfId="0" applyNumberFormat="1" applyFont="1" applyFill="1" applyBorder="1" applyAlignment="1">
      <alignment horizontal="center" vertical="center"/>
    </xf>
    <xf numFmtId="2" fontId="456" fillId="8" borderId="1" xfId="0" applyNumberFormat="1" applyFont="1" applyFill="1" applyBorder="1" applyAlignment="1">
      <alignment horizontal="center" vertical="center"/>
    </xf>
    <xf numFmtId="2" fontId="457" fillId="8" borderId="1" xfId="0" applyNumberFormat="1" applyFont="1" applyFill="1" applyBorder="1" applyAlignment="1">
      <alignment horizontal="center" vertical="center"/>
    </xf>
    <xf numFmtId="2" fontId="458" fillId="8" borderId="1" xfId="0" applyNumberFormat="1" applyFont="1" applyFill="1" applyBorder="1" applyAlignment="1">
      <alignment horizontal="center" vertical="center"/>
    </xf>
    <xf numFmtId="2" fontId="459" fillId="8" borderId="1" xfId="0" applyNumberFormat="1" applyFont="1" applyFill="1" applyBorder="1" applyAlignment="1">
      <alignment horizontal="center" vertical="center"/>
    </xf>
    <xf numFmtId="2" fontId="460" fillId="8" borderId="1" xfId="0" applyNumberFormat="1" applyFont="1" applyFill="1" applyBorder="1" applyAlignment="1">
      <alignment horizontal="center" vertical="center"/>
    </xf>
    <xf numFmtId="2" fontId="461" fillId="8" borderId="1" xfId="0" applyNumberFormat="1" applyFont="1" applyFill="1" applyBorder="1" applyAlignment="1">
      <alignment horizontal="center" vertical="center"/>
    </xf>
    <xf numFmtId="2" fontId="462" fillId="8" borderId="1" xfId="0" applyNumberFormat="1" applyFont="1" applyFill="1" applyBorder="1" applyAlignment="1">
      <alignment horizontal="center" vertical="center"/>
    </xf>
    <xf numFmtId="2" fontId="463" fillId="8" borderId="1" xfId="0" applyNumberFormat="1" applyFont="1" applyFill="1" applyBorder="1" applyAlignment="1">
      <alignment horizontal="center" vertical="center"/>
    </xf>
    <xf numFmtId="2" fontId="464" fillId="8" borderId="1" xfId="0" applyNumberFormat="1" applyFont="1" applyFill="1" applyBorder="1" applyAlignment="1">
      <alignment horizontal="center" vertical="center"/>
    </xf>
    <xf numFmtId="2" fontId="465" fillId="8" borderId="1" xfId="0" applyNumberFormat="1" applyFont="1" applyFill="1" applyBorder="1" applyAlignment="1">
      <alignment horizontal="center" vertical="center"/>
    </xf>
    <xf numFmtId="2" fontId="466" fillId="8" borderId="1" xfId="0" applyNumberFormat="1" applyFont="1" applyFill="1" applyBorder="1" applyAlignment="1">
      <alignment horizontal="center" vertical="center"/>
    </xf>
    <xf numFmtId="2" fontId="467" fillId="8" borderId="1" xfId="0" applyNumberFormat="1" applyFont="1" applyFill="1" applyBorder="1" applyAlignment="1">
      <alignment horizontal="center" vertical="center"/>
    </xf>
    <xf numFmtId="2" fontId="468" fillId="8" borderId="1" xfId="0" applyNumberFormat="1" applyFont="1" applyFill="1" applyBorder="1" applyAlignment="1">
      <alignment horizontal="center" vertical="center"/>
    </xf>
    <xf numFmtId="0" fontId="469" fillId="7" borderId="1" xfId="0" applyNumberFormat="1" applyFont="1" applyFill="1" applyBorder="1" applyAlignment="1">
      <alignment horizontal="left" vertical="center"/>
    </xf>
    <xf numFmtId="0" fontId="470" fillId="8" borderId="1" xfId="0" applyNumberFormat="1" applyFont="1" applyFill="1" applyBorder="1" applyAlignment="1">
      <alignment horizontal="center" vertical="center"/>
    </xf>
    <xf numFmtId="164" fontId="471" fillId="8" borderId="1" xfId="0" applyNumberFormat="1" applyFont="1" applyFill="1" applyBorder="1" applyAlignment="1">
      <alignment horizontal="center" vertical="center"/>
    </xf>
    <xf numFmtId="1" fontId="472" fillId="8" borderId="1" xfId="0" applyNumberFormat="1" applyFont="1" applyFill="1" applyBorder="1" applyAlignment="1">
      <alignment horizontal="center" vertical="center"/>
    </xf>
    <xf numFmtId="1" fontId="473" fillId="8" borderId="1" xfId="0" applyNumberFormat="1" applyFont="1" applyFill="1" applyBorder="1" applyAlignment="1">
      <alignment horizontal="center" vertical="center"/>
    </xf>
    <xf numFmtId="1" fontId="474" fillId="8" borderId="1" xfId="0" applyNumberFormat="1" applyFont="1" applyFill="1" applyBorder="1" applyAlignment="1">
      <alignment horizontal="center" vertical="center"/>
    </xf>
    <xf numFmtId="1" fontId="475" fillId="8" borderId="1" xfId="0" applyNumberFormat="1" applyFont="1" applyFill="1" applyBorder="1" applyAlignment="1">
      <alignment horizontal="center" vertical="center"/>
    </xf>
    <xf numFmtId="1" fontId="476" fillId="8" borderId="1" xfId="0" applyNumberFormat="1" applyFont="1" applyFill="1" applyBorder="1" applyAlignment="1">
      <alignment horizontal="center" vertical="center"/>
    </xf>
    <xf numFmtId="1" fontId="477" fillId="8" borderId="1" xfId="0" applyNumberFormat="1" applyFont="1" applyFill="1" applyBorder="1" applyAlignment="1">
      <alignment horizontal="center" vertical="center"/>
    </xf>
    <xf numFmtId="1" fontId="478" fillId="8" borderId="1" xfId="0" applyNumberFormat="1" applyFont="1" applyFill="1" applyBorder="1" applyAlignment="1">
      <alignment horizontal="center" vertical="center"/>
    </xf>
    <xf numFmtId="0" fontId="479" fillId="8" borderId="1" xfId="0" applyNumberFormat="1" applyFont="1" applyFill="1" applyBorder="1" applyAlignment="1">
      <alignment horizontal="center" vertical="center"/>
    </xf>
    <xf numFmtId="0" fontId="480" fillId="8" borderId="1" xfId="0" applyNumberFormat="1" applyFont="1" applyFill="1" applyBorder="1" applyAlignment="1">
      <alignment horizontal="center" vertical="center"/>
    </xf>
    <xf numFmtId="1" fontId="481" fillId="8" borderId="1" xfId="0" applyNumberFormat="1" applyFont="1" applyFill="1" applyBorder="1" applyAlignment="1">
      <alignment horizontal="center" vertical="center"/>
    </xf>
    <xf numFmtId="1" fontId="482" fillId="8" borderId="1" xfId="0" applyNumberFormat="1" applyFont="1" applyFill="1" applyBorder="1" applyAlignment="1">
      <alignment horizontal="center" vertical="center"/>
    </xf>
    <xf numFmtId="1" fontId="483" fillId="8" borderId="1" xfId="0" applyNumberFormat="1" applyFont="1" applyFill="1" applyBorder="1" applyAlignment="1">
      <alignment horizontal="center" vertical="center"/>
    </xf>
    <xf numFmtId="165" fontId="484" fillId="8" borderId="1" xfId="0" applyNumberFormat="1" applyFont="1" applyFill="1" applyBorder="1" applyAlignment="1">
      <alignment horizontal="center" vertical="center"/>
    </xf>
    <xf numFmtId="1" fontId="485" fillId="8" borderId="1" xfId="0" applyNumberFormat="1" applyFont="1" applyFill="1" applyBorder="1" applyAlignment="1">
      <alignment horizontal="center" vertical="center"/>
    </xf>
    <xf numFmtId="165" fontId="486" fillId="8" borderId="1" xfId="0" applyNumberFormat="1" applyFont="1" applyFill="1" applyBorder="1" applyAlignment="1">
      <alignment horizontal="center" vertical="center"/>
    </xf>
    <xf numFmtId="1" fontId="487" fillId="8" borderId="1" xfId="0" applyNumberFormat="1" applyFont="1" applyFill="1" applyBorder="1" applyAlignment="1">
      <alignment horizontal="center" vertical="center"/>
    </xf>
    <xf numFmtId="165" fontId="488" fillId="8" borderId="1" xfId="0" applyNumberFormat="1" applyFont="1" applyFill="1" applyBorder="1" applyAlignment="1">
      <alignment horizontal="center" vertical="center"/>
    </xf>
    <xf numFmtId="1" fontId="489" fillId="8" borderId="1" xfId="0" applyNumberFormat="1" applyFont="1" applyFill="1" applyBorder="1" applyAlignment="1">
      <alignment horizontal="center" vertical="center"/>
    </xf>
    <xf numFmtId="165" fontId="490" fillId="8" borderId="1" xfId="0" applyNumberFormat="1" applyFont="1" applyFill="1" applyBorder="1" applyAlignment="1">
      <alignment horizontal="center" vertical="center"/>
    </xf>
    <xf numFmtId="165" fontId="491" fillId="8" borderId="1" xfId="0" applyNumberFormat="1" applyFont="1" applyFill="1" applyBorder="1" applyAlignment="1">
      <alignment horizontal="center" vertical="center"/>
    </xf>
    <xf numFmtId="1" fontId="492" fillId="8" borderId="1" xfId="0" applyNumberFormat="1" applyFont="1" applyFill="1" applyBorder="1" applyAlignment="1">
      <alignment horizontal="center" vertical="center"/>
    </xf>
    <xf numFmtId="1" fontId="493" fillId="8" borderId="1" xfId="0" applyNumberFormat="1" applyFont="1" applyFill="1" applyBorder="1" applyAlignment="1">
      <alignment horizontal="center" vertical="center"/>
    </xf>
    <xf numFmtId="1" fontId="494" fillId="8" borderId="1" xfId="0" applyNumberFormat="1" applyFont="1" applyFill="1" applyBorder="1" applyAlignment="1">
      <alignment horizontal="center" vertical="center"/>
    </xf>
    <xf numFmtId="165" fontId="495" fillId="8" borderId="1" xfId="0" applyNumberFormat="1" applyFont="1" applyFill="1" applyBorder="1" applyAlignment="1">
      <alignment horizontal="center" vertical="center"/>
    </xf>
    <xf numFmtId="164" fontId="496" fillId="8" borderId="1" xfId="0" applyNumberFormat="1" applyFont="1" applyFill="1" applyBorder="1" applyAlignment="1">
      <alignment horizontal="center" vertical="center"/>
    </xf>
    <xf numFmtId="164" fontId="497" fillId="8" borderId="1" xfId="0" applyNumberFormat="1" applyFont="1" applyFill="1" applyBorder="1" applyAlignment="1">
      <alignment horizontal="center" vertical="center"/>
    </xf>
    <xf numFmtId="1" fontId="498" fillId="8" borderId="1" xfId="0" applyNumberFormat="1" applyFont="1" applyFill="1" applyBorder="1" applyAlignment="1">
      <alignment horizontal="center" vertical="center"/>
    </xf>
    <xf numFmtId="1" fontId="499" fillId="8" borderId="1" xfId="0" applyNumberFormat="1" applyFont="1" applyFill="1" applyBorder="1" applyAlignment="1">
      <alignment horizontal="center" vertical="center"/>
    </xf>
    <xf numFmtId="1" fontId="500" fillId="8" borderId="1" xfId="0" applyNumberFormat="1" applyFont="1" applyFill="1" applyBorder="1" applyAlignment="1">
      <alignment horizontal="center" vertical="center"/>
    </xf>
    <xf numFmtId="165" fontId="501" fillId="8" borderId="1" xfId="0" applyNumberFormat="1" applyFont="1" applyFill="1" applyBorder="1" applyAlignment="1">
      <alignment horizontal="center" vertical="center"/>
    </xf>
    <xf numFmtId="1" fontId="502" fillId="8" borderId="1" xfId="0" applyNumberFormat="1" applyFont="1" applyFill="1" applyBorder="1" applyAlignment="1">
      <alignment horizontal="center" vertical="center"/>
    </xf>
    <xf numFmtId="165" fontId="503" fillId="8" borderId="1" xfId="0" applyNumberFormat="1" applyFont="1" applyFill="1" applyBorder="1" applyAlignment="1">
      <alignment horizontal="center" vertical="center"/>
    </xf>
    <xf numFmtId="1" fontId="504" fillId="8" borderId="1" xfId="0" applyNumberFormat="1" applyFont="1" applyFill="1" applyBorder="1" applyAlignment="1">
      <alignment horizontal="center" vertical="center"/>
    </xf>
    <xf numFmtId="1" fontId="505" fillId="8" borderId="1" xfId="0" applyNumberFormat="1" applyFont="1" applyFill="1" applyBorder="1" applyAlignment="1">
      <alignment horizontal="center" vertical="center"/>
    </xf>
    <xf numFmtId="1" fontId="506" fillId="8" borderId="1" xfId="0" applyNumberFormat="1" applyFont="1" applyFill="1" applyBorder="1" applyAlignment="1">
      <alignment horizontal="center" vertical="center"/>
    </xf>
    <xf numFmtId="1" fontId="507" fillId="8" borderId="1" xfId="0" applyNumberFormat="1" applyFont="1" applyFill="1" applyBorder="1" applyAlignment="1">
      <alignment horizontal="center" vertical="center"/>
    </xf>
    <xf numFmtId="165" fontId="508" fillId="8" borderId="1" xfId="0" applyNumberFormat="1" applyFont="1" applyFill="1" applyBorder="1" applyAlignment="1">
      <alignment horizontal="center" vertical="center"/>
    </xf>
    <xf numFmtId="1" fontId="509" fillId="8" borderId="1" xfId="0" applyNumberFormat="1" applyFont="1" applyFill="1" applyBorder="1" applyAlignment="1">
      <alignment horizontal="center" vertical="center"/>
    </xf>
    <xf numFmtId="165" fontId="510" fillId="8" borderId="1" xfId="0" applyNumberFormat="1" applyFont="1" applyFill="1" applyBorder="1" applyAlignment="1">
      <alignment horizontal="center" vertical="center"/>
    </xf>
    <xf numFmtId="1" fontId="511" fillId="8" borderId="1" xfId="0" applyNumberFormat="1" applyFont="1" applyFill="1" applyBorder="1" applyAlignment="1">
      <alignment horizontal="center" vertical="center"/>
    </xf>
    <xf numFmtId="165" fontId="512" fillId="8" borderId="1" xfId="0" applyNumberFormat="1" applyFont="1" applyFill="1" applyBorder="1" applyAlignment="1">
      <alignment horizontal="center" vertical="center"/>
    </xf>
    <xf numFmtId="2" fontId="513" fillId="8" borderId="1" xfId="0" applyNumberFormat="1" applyFont="1" applyFill="1" applyBorder="1" applyAlignment="1">
      <alignment horizontal="center" vertical="center"/>
    </xf>
    <xf numFmtId="2" fontId="514" fillId="8" borderId="1" xfId="0" applyNumberFormat="1" applyFont="1" applyFill="1" applyBorder="1" applyAlignment="1">
      <alignment horizontal="center" vertical="center"/>
    </xf>
    <xf numFmtId="2" fontId="515" fillId="8" borderId="1" xfId="0" applyNumberFormat="1" applyFont="1" applyFill="1" applyBorder="1" applyAlignment="1">
      <alignment horizontal="center" vertical="center"/>
    </xf>
    <xf numFmtId="2" fontId="516" fillId="8" borderId="1" xfId="0" applyNumberFormat="1" applyFont="1" applyFill="1" applyBorder="1" applyAlignment="1">
      <alignment horizontal="center" vertical="center"/>
    </xf>
    <xf numFmtId="2" fontId="517" fillId="8" borderId="1" xfId="0" applyNumberFormat="1" applyFont="1" applyFill="1" applyBorder="1" applyAlignment="1">
      <alignment horizontal="center" vertical="center"/>
    </xf>
    <xf numFmtId="2" fontId="518" fillId="8" borderId="1" xfId="0" applyNumberFormat="1" applyFont="1" applyFill="1" applyBorder="1" applyAlignment="1">
      <alignment horizontal="center" vertical="center"/>
    </xf>
    <xf numFmtId="2" fontId="519" fillId="8" borderId="1" xfId="0" applyNumberFormat="1" applyFont="1" applyFill="1" applyBorder="1" applyAlignment="1">
      <alignment horizontal="center" vertical="center"/>
    </xf>
    <xf numFmtId="2" fontId="520" fillId="8" borderId="1" xfId="0" applyNumberFormat="1" applyFont="1" applyFill="1" applyBorder="1" applyAlignment="1">
      <alignment horizontal="center" vertical="center"/>
    </xf>
    <xf numFmtId="2" fontId="521" fillId="8" borderId="1" xfId="0" applyNumberFormat="1" applyFont="1" applyFill="1" applyBorder="1" applyAlignment="1">
      <alignment horizontal="center" vertical="center"/>
    </xf>
    <xf numFmtId="2" fontId="522" fillId="8" borderId="1" xfId="0" applyNumberFormat="1" applyFont="1" applyFill="1" applyBorder="1" applyAlignment="1">
      <alignment horizontal="center" vertical="center"/>
    </xf>
    <xf numFmtId="2" fontId="523" fillId="8" borderId="1" xfId="0" applyNumberFormat="1" applyFont="1" applyFill="1" applyBorder="1" applyAlignment="1">
      <alignment horizontal="center" vertical="center"/>
    </xf>
    <xf numFmtId="2" fontId="524" fillId="8" borderId="1" xfId="0" applyNumberFormat="1" applyFont="1" applyFill="1" applyBorder="1" applyAlignment="1">
      <alignment horizontal="center" vertical="center"/>
    </xf>
    <xf numFmtId="2" fontId="525" fillId="8" borderId="1" xfId="0" applyNumberFormat="1" applyFont="1" applyFill="1" applyBorder="1" applyAlignment="1">
      <alignment horizontal="center" vertical="center"/>
    </xf>
    <xf numFmtId="2" fontId="526" fillId="8" borderId="1" xfId="0" applyNumberFormat="1" applyFont="1" applyFill="1" applyBorder="1" applyAlignment="1">
      <alignment horizontal="center" vertical="center"/>
    </xf>
    <xf numFmtId="2" fontId="527" fillId="8" borderId="1" xfId="0" applyNumberFormat="1" applyFont="1" applyFill="1" applyBorder="1" applyAlignment="1">
      <alignment horizontal="center" vertical="center"/>
    </xf>
    <xf numFmtId="2" fontId="528" fillId="8" borderId="1" xfId="0" applyNumberFormat="1" applyFont="1" applyFill="1" applyBorder="1" applyAlignment="1">
      <alignment horizontal="center" vertical="center"/>
    </xf>
    <xf numFmtId="2" fontId="529" fillId="8" borderId="1" xfId="0" applyNumberFormat="1" applyFont="1" applyFill="1" applyBorder="1" applyAlignment="1">
      <alignment horizontal="center" vertical="center"/>
    </xf>
    <xf numFmtId="2" fontId="530" fillId="8" borderId="1" xfId="0" applyNumberFormat="1" applyFont="1" applyFill="1" applyBorder="1" applyAlignment="1">
      <alignment horizontal="center" vertical="center"/>
    </xf>
    <xf numFmtId="2" fontId="531" fillId="8" borderId="1" xfId="0" applyNumberFormat="1" applyFont="1" applyFill="1" applyBorder="1" applyAlignment="1">
      <alignment horizontal="center" vertical="center"/>
    </xf>
    <xf numFmtId="2" fontId="532" fillId="8" borderId="1" xfId="0" applyNumberFormat="1" applyFont="1" applyFill="1" applyBorder="1" applyAlignment="1">
      <alignment horizontal="center" vertical="center"/>
    </xf>
    <xf numFmtId="2" fontId="533" fillId="8" borderId="1" xfId="0" applyNumberFormat="1" applyFont="1" applyFill="1" applyBorder="1" applyAlignment="1">
      <alignment horizontal="center" vertical="center"/>
    </xf>
    <xf numFmtId="2" fontId="534" fillId="8" borderId="1" xfId="0" applyNumberFormat="1" applyFont="1" applyFill="1" applyBorder="1" applyAlignment="1">
      <alignment horizontal="center" vertical="center"/>
    </xf>
    <xf numFmtId="2" fontId="535" fillId="8" borderId="1" xfId="0" applyNumberFormat="1" applyFont="1" applyFill="1" applyBorder="1" applyAlignment="1">
      <alignment horizontal="center" vertical="center"/>
    </xf>
    <xf numFmtId="2" fontId="536" fillId="8" borderId="1" xfId="0" applyNumberFormat="1" applyFont="1" applyFill="1" applyBorder="1" applyAlignment="1">
      <alignment horizontal="center" vertical="center"/>
    </xf>
    <xf numFmtId="2" fontId="537" fillId="8" borderId="1" xfId="0" applyNumberFormat="1" applyFont="1" applyFill="1" applyBorder="1" applyAlignment="1">
      <alignment horizontal="center" vertical="center"/>
    </xf>
    <xf numFmtId="2" fontId="538" fillId="8" borderId="1" xfId="0" applyNumberFormat="1" applyFont="1" applyFill="1" applyBorder="1" applyAlignment="1">
      <alignment horizontal="center" vertical="center"/>
    </xf>
    <xf numFmtId="2" fontId="539" fillId="8" borderId="1" xfId="0" applyNumberFormat="1" applyFont="1" applyFill="1" applyBorder="1" applyAlignment="1">
      <alignment horizontal="center" vertical="center"/>
    </xf>
    <xf numFmtId="2" fontId="540" fillId="8" borderId="1" xfId="0" applyNumberFormat="1" applyFont="1" applyFill="1" applyBorder="1" applyAlignment="1">
      <alignment horizontal="center" vertical="center"/>
    </xf>
    <xf numFmtId="2" fontId="541" fillId="8" borderId="1" xfId="0" applyNumberFormat="1" applyFont="1" applyFill="1" applyBorder="1" applyAlignment="1">
      <alignment horizontal="center" vertical="center"/>
    </xf>
    <xf numFmtId="2" fontId="542" fillId="8" borderId="1" xfId="0" applyNumberFormat="1" applyFont="1" applyFill="1" applyBorder="1" applyAlignment="1">
      <alignment horizontal="center" vertical="center"/>
    </xf>
    <xf numFmtId="2" fontId="543" fillId="8" borderId="1" xfId="0" applyNumberFormat="1" applyFont="1" applyFill="1" applyBorder="1" applyAlignment="1">
      <alignment horizontal="center" vertical="center"/>
    </xf>
    <xf numFmtId="2" fontId="544" fillId="8" borderId="1" xfId="0" applyNumberFormat="1" applyFont="1" applyFill="1" applyBorder="1" applyAlignment="1">
      <alignment horizontal="center" vertical="center"/>
    </xf>
    <xf numFmtId="2" fontId="545" fillId="8" borderId="1" xfId="0" applyNumberFormat="1" applyFont="1" applyFill="1" applyBorder="1" applyAlignment="1">
      <alignment horizontal="center" vertical="center"/>
    </xf>
    <xf numFmtId="2" fontId="546" fillId="8" borderId="1" xfId="0" applyNumberFormat="1" applyFont="1" applyFill="1" applyBorder="1" applyAlignment="1">
      <alignment horizontal="center" vertical="center"/>
    </xf>
    <xf numFmtId="0" fontId="547" fillId="7" borderId="1" xfId="0" applyNumberFormat="1" applyFont="1" applyFill="1" applyBorder="1" applyAlignment="1">
      <alignment horizontal="left" vertical="center"/>
    </xf>
    <xf numFmtId="0" fontId="548" fillId="8" borderId="1" xfId="0" applyNumberFormat="1" applyFont="1" applyFill="1" applyBorder="1" applyAlignment="1">
      <alignment horizontal="center" vertical="center"/>
    </xf>
    <xf numFmtId="164" fontId="549" fillId="8" borderId="1" xfId="0" applyNumberFormat="1" applyFont="1" applyFill="1" applyBorder="1" applyAlignment="1">
      <alignment horizontal="center" vertical="center"/>
    </xf>
    <xf numFmtId="1" fontId="550" fillId="8" borderId="1" xfId="0" applyNumberFormat="1" applyFont="1" applyFill="1" applyBorder="1" applyAlignment="1">
      <alignment horizontal="center" vertical="center"/>
    </xf>
    <xf numFmtId="1" fontId="551" fillId="8" borderId="1" xfId="0" applyNumberFormat="1" applyFont="1" applyFill="1" applyBorder="1" applyAlignment="1">
      <alignment horizontal="center" vertical="center"/>
    </xf>
    <xf numFmtId="1" fontId="552" fillId="8" borderId="1" xfId="0" applyNumberFormat="1" applyFont="1" applyFill="1" applyBorder="1" applyAlignment="1">
      <alignment horizontal="center" vertical="center"/>
    </xf>
    <xf numFmtId="1" fontId="553" fillId="8" borderId="1" xfId="0" applyNumberFormat="1" applyFont="1" applyFill="1" applyBorder="1" applyAlignment="1">
      <alignment horizontal="center" vertical="center"/>
    </xf>
    <xf numFmtId="1" fontId="554" fillId="8" borderId="1" xfId="0" applyNumberFormat="1" applyFont="1" applyFill="1" applyBorder="1" applyAlignment="1">
      <alignment horizontal="center" vertical="center"/>
    </xf>
    <xf numFmtId="1" fontId="555" fillId="8" borderId="1" xfId="0" applyNumberFormat="1" applyFont="1" applyFill="1" applyBorder="1" applyAlignment="1">
      <alignment horizontal="center" vertical="center"/>
    </xf>
    <xf numFmtId="1" fontId="556" fillId="8" borderId="1" xfId="0" applyNumberFormat="1" applyFont="1" applyFill="1" applyBorder="1" applyAlignment="1">
      <alignment horizontal="center" vertical="center"/>
    </xf>
    <xf numFmtId="0" fontId="557" fillId="8" borderId="1" xfId="0" applyNumberFormat="1" applyFont="1" applyFill="1" applyBorder="1" applyAlignment="1">
      <alignment horizontal="center" vertical="center"/>
    </xf>
    <xf numFmtId="0" fontId="558" fillId="8" borderId="1" xfId="0" applyNumberFormat="1" applyFont="1" applyFill="1" applyBorder="1" applyAlignment="1">
      <alignment horizontal="center" vertical="center"/>
    </xf>
    <xf numFmtId="1" fontId="559" fillId="8" borderId="1" xfId="0" applyNumberFormat="1" applyFont="1" applyFill="1" applyBorder="1" applyAlignment="1">
      <alignment horizontal="center" vertical="center"/>
    </xf>
    <xf numFmtId="1" fontId="560" fillId="8" borderId="1" xfId="0" applyNumberFormat="1" applyFont="1" applyFill="1" applyBorder="1" applyAlignment="1">
      <alignment horizontal="center" vertical="center"/>
    </xf>
    <xf numFmtId="1" fontId="561" fillId="8" borderId="1" xfId="0" applyNumberFormat="1" applyFont="1" applyFill="1" applyBorder="1" applyAlignment="1">
      <alignment horizontal="center" vertical="center"/>
    </xf>
    <xf numFmtId="165" fontId="562" fillId="8" borderId="1" xfId="0" applyNumberFormat="1" applyFont="1" applyFill="1" applyBorder="1" applyAlignment="1">
      <alignment horizontal="center" vertical="center"/>
    </xf>
    <xf numFmtId="1" fontId="563" fillId="8" borderId="1" xfId="0" applyNumberFormat="1" applyFont="1" applyFill="1" applyBorder="1" applyAlignment="1">
      <alignment horizontal="center" vertical="center"/>
    </xf>
    <xf numFmtId="165" fontId="564" fillId="8" borderId="1" xfId="0" applyNumberFormat="1" applyFont="1" applyFill="1" applyBorder="1" applyAlignment="1">
      <alignment horizontal="center" vertical="center"/>
    </xf>
    <xf numFmtId="1" fontId="565" fillId="8" borderId="1" xfId="0" applyNumberFormat="1" applyFont="1" applyFill="1" applyBorder="1" applyAlignment="1">
      <alignment horizontal="center" vertical="center"/>
    </xf>
    <xf numFmtId="165" fontId="566" fillId="8" borderId="1" xfId="0" applyNumberFormat="1" applyFont="1" applyFill="1" applyBorder="1" applyAlignment="1">
      <alignment horizontal="center" vertical="center"/>
    </xf>
    <xf numFmtId="1" fontId="567" fillId="8" borderId="1" xfId="0" applyNumberFormat="1" applyFont="1" applyFill="1" applyBorder="1" applyAlignment="1">
      <alignment horizontal="center" vertical="center"/>
    </xf>
    <xf numFmtId="165" fontId="568" fillId="8" borderId="1" xfId="0" applyNumberFormat="1" applyFont="1" applyFill="1" applyBorder="1" applyAlignment="1">
      <alignment horizontal="center" vertical="center"/>
    </xf>
    <xf numFmtId="165" fontId="569" fillId="8" borderId="1" xfId="0" applyNumberFormat="1" applyFont="1" applyFill="1" applyBorder="1" applyAlignment="1">
      <alignment horizontal="center" vertical="center"/>
    </xf>
    <xf numFmtId="1" fontId="570" fillId="8" borderId="1" xfId="0" applyNumberFormat="1" applyFont="1" applyFill="1" applyBorder="1" applyAlignment="1">
      <alignment horizontal="center" vertical="center"/>
    </xf>
    <xf numFmtId="1" fontId="571" fillId="8" borderId="1" xfId="0" applyNumberFormat="1" applyFont="1" applyFill="1" applyBorder="1" applyAlignment="1">
      <alignment horizontal="center" vertical="center"/>
    </xf>
    <xf numFmtId="1" fontId="572" fillId="8" borderId="1" xfId="0" applyNumberFormat="1" applyFont="1" applyFill="1" applyBorder="1" applyAlignment="1">
      <alignment horizontal="center" vertical="center"/>
    </xf>
    <xf numFmtId="165" fontId="573" fillId="8" borderId="1" xfId="0" applyNumberFormat="1" applyFont="1" applyFill="1" applyBorder="1" applyAlignment="1">
      <alignment horizontal="center" vertical="center"/>
    </xf>
    <xf numFmtId="164" fontId="574" fillId="8" borderId="1" xfId="0" applyNumberFormat="1" applyFont="1" applyFill="1" applyBorder="1" applyAlignment="1">
      <alignment horizontal="center" vertical="center"/>
    </xf>
    <xf numFmtId="164" fontId="575" fillId="8" borderId="1" xfId="0" applyNumberFormat="1" applyFont="1" applyFill="1" applyBorder="1" applyAlignment="1">
      <alignment horizontal="center" vertical="center"/>
    </xf>
    <xf numFmtId="1" fontId="576" fillId="8" borderId="1" xfId="0" applyNumberFormat="1" applyFont="1" applyFill="1" applyBorder="1" applyAlignment="1">
      <alignment horizontal="center" vertical="center"/>
    </xf>
    <xf numFmtId="1" fontId="577" fillId="8" borderId="1" xfId="0" applyNumberFormat="1" applyFont="1" applyFill="1" applyBorder="1" applyAlignment="1">
      <alignment horizontal="center" vertical="center"/>
    </xf>
    <xf numFmtId="1" fontId="578" fillId="8" borderId="1" xfId="0" applyNumberFormat="1" applyFont="1" applyFill="1" applyBorder="1" applyAlignment="1">
      <alignment horizontal="center" vertical="center"/>
    </xf>
    <xf numFmtId="165" fontId="579" fillId="8" borderId="1" xfId="0" applyNumberFormat="1" applyFont="1" applyFill="1" applyBorder="1" applyAlignment="1">
      <alignment horizontal="center" vertical="center"/>
    </xf>
    <xf numFmtId="1" fontId="580" fillId="8" borderId="1" xfId="0" applyNumberFormat="1" applyFont="1" applyFill="1" applyBorder="1" applyAlignment="1">
      <alignment horizontal="center" vertical="center"/>
    </xf>
    <xf numFmtId="165" fontId="581" fillId="8" borderId="1" xfId="0" applyNumberFormat="1" applyFont="1" applyFill="1" applyBorder="1" applyAlignment="1">
      <alignment horizontal="center" vertical="center"/>
    </xf>
    <xf numFmtId="1" fontId="582" fillId="8" borderId="1" xfId="0" applyNumberFormat="1" applyFont="1" applyFill="1" applyBorder="1" applyAlignment="1">
      <alignment horizontal="center" vertical="center"/>
    </xf>
    <xf numFmtId="1" fontId="583" fillId="8" borderId="1" xfId="0" applyNumberFormat="1" applyFont="1" applyFill="1" applyBorder="1" applyAlignment="1">
      <alignment horizontal="center" vertical="center"/>
    </xf>
    <xf numFmtId="1" fontId="584" fillId="8" borderId="1" xfId="0" applyNumberFormat="1" applyFont="1" applyFill="1" applyBorder="1" applyAlignment="1">
      <alignment horizontal="center" vertical="center"/>
    </xf>
    <xf numFmtId="1" fontId="585" fillId="8" borderId="1" xfId="0" applyNumberFormat="1" applyFont="1" applyFill="1" applyBorder="1" applyAlignment="1">
      <alignment horizontal="center" vertical="center"/>
    </xf>
    <xf numFmtId="165" fontId="586" fillId="8" borderId="1" xfId="0" applyNumberFormat="1" applyFont="1" applyFill="1" applyBorder="1" applyAlignment="1">
      <alignment horizontal="center" vertical="center"/>
    </xf>
    <xf numFmtId="1" fontId="587" fillId="8" borderId="1" xfId="0" applyNumberFormat="1" applyFont="1" applyFill="1" applyBorder="1" applyAlignment="1">
      <alignment horizontal="center" vertical="center"/>
    </xf>
    <xf numFmtId="165" fontId="588" fillId="8" borderId="1" xfId="0" applyNumberFormat="1" applyFont="1" applyFill="1" applyBorder="1" applyAlignment="1">
      <alignment horizontal="center" vertical="center"/>
    </xf>
    <xf numFmtId="1" fontId="589" fillId="8" borderId="1" xfId="0" applyNumberFormat="1" applyFont="1" applyFill="1" applyBorder="1" applyAlignment="1">
      <alignment horizontal="center" vertical="center"/>
    </xf>
    <xf numFmtId="165" fontId="590" fillId="8" borderId="1" xfId="0" applyNumberFormat="1" applyFont="1" applyFill="1" applyBorder="1" applyAlignment="1">
      <alignment horizontal="center" vertical="center"/>
    </xf>
    <xf numFmtId="2" fontId="591" fillId="8" borderId="1" xfId="0" applyNumberFormat="1" applyFont="1" applyFill="1" applyBorder="1" applyAlignment="1">
      <alignment horizontal="center" vertical="center"/>
    </xf>
    <xf numFmtId="2" fontId="592" fillId="8" borderId="1" xfId="0" applyNumberFormat="1" applyFont="1" applyFill="1" applyBorder="1" applyAlignment="1">
      <alignment horizontal="center" vertical="center"/>
    </xf>
    <xf numFmtId="2" fontId="593" fillId="8" borderId="1" xfId="0" applyNumberFormat="1" applyFont="1" applyFill="1" applyBorder="1" applyAlignment="1">
      <alignment horizontal="center" vertical="center"/>
    </xf>
    <xf numFmtId="2" fontId="594" fillId="8" borderId="1" xfId="0" applyNumberFormat="1" applyFont="1" applyFill="1" applyBorder="1" applyAlignment="1">
      <alignment horizontal="center" vertical="center"/>
    </xf>
    <xf numFmtId="2" fontId="595" fillId="8" borderId="1" xfId="0" applyNumberFormat="1" applyFont="1" applyFill="1" applyBorder="1" applyAlignment="1">
      <alignment horizontal="center" vertical="center"/>
    </xf>
    <xf numFmtId="2" fontId="596" fillId="8" borderId="1" xfId="0" applyNumberFormat="1" applyFont="1" applyFill="1" applyBorder="1" applyAlignment="1">
      <alignment horizontal="center" vertical="center"/>
    </xf>
    <xf numFmtId="2" fontId="597" fillId="8" borderId="1" xfId="0" applyNumberFormat="1" applyFont="1" applyFill="1" applyBorder="1" applyAlignment="1">
      <alignment horizontal="center" vertical="center"/>
    </xf>
    <xf numFmtId="2" fontId="598" fillId="8" borderId="1" xfId="0" applyNumberFormat="1" applyFont="1" applyFill="1" applyBorder="1" applyAlignment="1">
      <alignment horizontal="center" vertical="center"/>
    </xf>
    <xf numFmtId="2" fontId="599" fillId="8" borderId="1" xfId="0" applyNumberFormat="1" applyFont="1" applyFill="1" applyBorder="1" applyAlignment="1">
      <alignment horizontal="center" vertical="center"/>
    </xf>
    <xf numFmtId="2" fontId="600" fillId="8" borderId="1" xfId="0" applyNumberFormat="1" applyFont="1" applyFill="1" applyBorder="1" applyAlignment="1">
      <alignment horizontal="center" vertical="center"/>
    </xf>
    <xf numFmtId="2" fontId="601" fillId="8" borderId="1" xfId="0" applyNumberFormat="1" applyFont="1" applyFill="1" applyBorder="1" applyAlignment="1">
      <alignment horizontal="center" vertical="center"/>
    </xf>
    <xf numFmtId="2" fontId="602" fillId="8" borderId="1" xfId="0" applyNumberFormat="1" applyFont="1" applyFill="1" applyBorder="1" applyAlignment="1">
      <alignment horizontal="center" vertical="center"/>
    </xf>
    <xf numFmtId="2" fontId="603" fillId="8" borderId="1" xfId="0" applyNumberFormat="1" applyFont="1" applyFill="1" applyBorder="1" applyAlignment="1">
      <alignment horizontal="center" vertical="center"/>
    </xf>
    <xf numFmtId="2" fontId="604" fillId="8" borderId="1" xfId="0" applyNumberFormat="1" applyFont="1" applyFill="1" applyBorder="1" applyAlignment="1">
      <alignment horizontal="center" vertical="center"/>
    </xf>
    <xf numFmtId="2" fontId="605" fillId="8" borderId="1" xfId="0" applyNumberFormat="1" applyFont="1" applyFill="1" applyBorder="1" applyAlignment="1">
      <alignment horizontal="center" vertical="center"/>
    </xf>
    <xf numFmtId="2" fontId="606" fillId="8" borderId="1" xfId="0" applyNumberFormat="1" applyFont="1" applyFill="1" applyBorder="1" applyAlignment="1">
      <alignment horizontal="center" vertical="center"/>
    </xf>
    <xf numFmtId="2" fontId="607" fillId="8" borderId="1" xfId="0" applyNumberFormat="1" applyFont="1" applyFill="1" applyBorder="1" applyAlignment="1">
      <alignment horizontal="center" vertical="center"/>
    </xf>
    <xf numFmtId="2" fontId="608" fillId="8" borderId="1" xfId="0" applyNumberFormat="1" applyFont="1" applyFill="1" applyBorder="1" applyAlignment="1">
      <alignment horizontal="center" vertical="center"/>
    </xf>
    <xf numFmtId="2" fontId="609" fillId="8" borderId="1" xfId="0" applyNumberFormat="1" applyFont="1" applyFill="1" applyBorder="1" applyAlignment="1">
      <alignment horizontal="center" vertical="center"/>
    </xf>
    <xf numFmtId="2" fontId="610" fillId="8" borderId="1" xfId="0" applyNumberFormat="1" applyFont="1" applyFill="1" applyBorder="1" applyAlignment="1">
      <alignment horizontal="center" vertical="center"/>
    </xf>
    <xf numFmtId="2" fontId="611" fillId="8" borderId="1" xfId="0" applyNumberFormat="1" applyFont="1" applyFill="1" applyBorder="1" applyAlignment="1">
      <alignment horizontal="center" vertical="center"/>
    </xf>
    <xf numFmtId="2" fontId="612" fillId="8" borderId="1" xfId="0" applyNumberFormat="1" applyFont="1" applyFill="1" applyBorder="1" applyAlignment="1">
      <alignment horizontal="center" vertical="center"/>
    </xf>
    <xf numFmtId="2" fontId="613" fillId="8" borderId="1" xfId="0" applyNumberFormat="1" applyFont="1" applyFill="1" applyBorder="1" applyAlignment="1">
      <alignment horizontal="center" vertical="center"/>
    </xf>
    <xf numFmtId="2" fontId="614" fillId="8" borderId="1" xfId="0" applyNumberFormat="1" applyFont="1" applyFill="1" applyBorder="1" applyAlignment="1">
      <alignment horizontal="center" vertical="center"/>
    </xf>
    <xf numFmtId="2" fontId="615" fillId="8" borderId="1" xfId="0" applyNumberFormat="1" applyFont="1" applyFill="1" applyBorder="1" applyAlignment="1">
      <alignment horizontal="center" vertical="center"/>
    </xf>
    <xf numFmtId="2" fontId="616" fillId="8" borderId="1" xfId="0" applyNumberFormat="1" applyFont="1" applyFill="1" applyBorder="1" applyAlignment="1">
      <alignment horizontal="center" vertical="center"/>
    </xf>
    <xf numFmtId="2" fontId="617" fillId="8" borderId="1" xfId="0" applyNumberFormat="1" applyFont="1" applyFill="1" applyBorder="1" applyAlignment="1">
      <alignment horizontal="center" vertical="center"/>
    </xf>
    <xf numFmtId="2" fontId="618" fillId="8" borderId="1" xfId="0" applyNumberFormat="1" applyFont="1" applyFill="1" applyBorder="1" applyAlignment="1">
      <alignment horizontal="center" vertical="center"/>
    </xf>
    <xf numFmtId="2" fontId="619" fillId="8" borderId="1" xfId="0" applyNumberFormat="1" applyFont="1" applyFill="1" applyBorder="1" applyAlignment="1">
      <alignment horizontal="center" vertical="center"/>
    </xf>
    <xf numFmtId="2" fontId="620" fillId="8" borderId="1" xfId="0" applyNumberFormat="1" applyFont="1" applyFill="1" applyBorder="1" applyAlignment="1">
      <alignment horizontal="center" vertical="center"/>
    </xf>
    <xf numFmtId="2" fontId="621" fillId="8" borderId="1" xfId="0" applyNumberFormat="1" applyFont="1" applyFill="1" applyBorder="1" applyAlignment="1">
      <alignment horizontal="center" vertical="center"/>
    </xf>
    <xf numFmtId="2" fontId="622" fillId="8" borderId="1" xfId="0" applyNumberFormat="1" applyFont="1" applyFill="1" applyBorder="1" applyAlignment="1">
      <alignment horizontal="center" vertical="center"/>
    </xf>
    <xf numFmtId="2" fontId="623" fillId="8" borderId="1" xfId="0" applyNumberFormat="1" applyFont="1" applyFill="1" applyBorder="1" applyAlignment="1">
      <alignment horizontal="center" vertical="center"/>
    </xf>
    <xf numFmtId="2" fontId="624" fillId="8" borderId="1" xfId="0" applyNumberFormat="1" applyFont="1" applyFill="1" applyBorder="1" applyAlignment="1">
      <alignment horizontal="center" vertical="center"/>
    </xf>
    <xf numFmtId="0" fontId="625" fillId="7" borderId="1" xfId="0" applyNumberFormat="1" applyFont="1" applyFill="1" applyBorder="1" applyAlignment="1">
      <alignment horizontal="left" vertical="center"/>
    </xf>
    <xf numFmtId="0" fontId="626" fillId="8" borderId="1" xfId="0" applyNumberFormat="1" applyFont="1" applyFill="1" applyBorder="1" applyAlignment="1">
      <alignment horizontal="center" vertical="center"/>
    </xf>
    <xf numFmtId="164" fontId="627" fillId="8" borderId="1" xfId="0" applyNumberFormat="1" applyFont="1" applyFill="1" applyBorder="1" applyAlignment="1">
      <alignment horizontal="center" vertical="center"/>
    </xf>
    <xf numFmtId="1" fontId="628" fillId="8" borderId="1" xfId="0" applyNumberFormat="1" applyFont="1" applyFill="1" applyBorder="1" applyAlignment="1">
      <alignment horizontal="center" vertical="center"/>
    </xf>
    <xf numFmtId="1" fontId="629" fillId="8" borderId="1" xfId="0" applyNumberFormat="1" applyFont="1" applyFill="1" applyBorder="1" applyAlignment="1">
      <alignment horizontal="center" vertical="center"/>
    </xf>
    <xf numFmtId="1" fontId="630" fillId="8" borderId="1" xfId="0" applyNumberFormat="1" applyFont="1" applyFill="1" applyBorder="1" applyAlignment="1">
      <alignment horizontal="center" vertical="center"/>
    </xf>
    <xf numFmtId="1" fontId="631" fillId="8" borderId="1" xfId="0" applyNumberFormat="1" applyFont="1" applyFill="1" applyBorder="1" applyAlignment="1">
      <alignment horizontal="center" vertical="center"/>
    </xf>
    <xf numFmtId="1" fontId="632" fillId="8" borderId="1" xfId="0" applyNumberFormat="1" applyFont="1" applyFill="1" applyBorder="1" applyAlignment="1">
      <alignment horizontal="center" vertical="center"/>
    </xf>
    <xf numFmtId="1" fontId="633" fillId="8" borderId="1" xfId="0" applyNumberFormat="1" applyFont="1" applyFill="1" applyBorder="1" applyAlignment="1">
      <alignment horizontal="center" vertical="center"/>
    </xf>
    <xf numFmtId="1" fontId="634" fillId="8" borderId="1" xfId="0" applyNumberFormat="1" applyFont="1" applyFill="1" applyBorder="1" applyAlignment="1">
      <alignment horizontal="center" vertical="center"/>
    </xf>
    <xf numFmtId="0" fontId="635" fillId="8" borderId="1" xfId="0" applyNumberFormat="1" applyFont="1" applyFill="1" applyBorder="1" applyAlignment="1">
      <alignment horizontal="center" vertical="center"/>
    </xf>
    <xf numFmtId="0" fontId="636" fillId="8" borderId="1" xfId="0" applyNumberFormat="1" applyFont="1" applyFill="1" applyBorder="1" applyAlignment="1">
      <alignment horizontal="center" vertical="center"/>
    </xf>
    <xf numFmtId="1" fontId="637" fillId="8" borderId="1" xfId="0" applyNumberFormat="1" applyFont="1" applyFill="1" applyBorder="1" applyAlignment="1">
      <alignment horizontal="center" vertical="center"/>
    </xf>
    <xf numFmtId="1" fontId="638" fillId="8" borderId="1" xfId="0" applyNumberFormat="1" applyFont="1" applyFill="1" applyBorder="1" applyAlignment="1">
      <alignment horizontal="center" vertical="center"/>
    </xf>
    <xf numFmtId="1" fontId="639" fillId="8" borderId="1" xfId="0" applyNumberFormat="1" applyFont="1" applyFill="1" applyBorder="1" applyAlignment="1">
      <alignment horizontal="center" vertical="center"/>
    </xf>
    <xf numFmtId="165" fontId="640" fillId="8" borderId="1" xfId="0" applyNumberFormat="1" applyFont="1" applyFill="1" applyBorder="1" applyAlignment="1">
      <alignment horizontal="center" vertical="center"/>
    </xf>
    <xf numFmtId="1" fontId="641" fillId="8" borderId="1" xfId="0" applyNumberFormat="1" applyFont="1" applyFill="1" applyBorder="1" applyAlignment="1">
      <alignment horizontal="center" vertical="center"/>
    </xf>
    <xf numFmtId="165" fontId="642" fillId="8" borderId="1" xfId="0" applyNumberFormat="1" applyFont="1" applyFill="1" applyBorder="1" applyAlignment="1">
      <alignment horizontal="center" vertical="center"/>
    </xf>
    <xf numFmtId="1" fontId="643" fillId="8" borderId="1" xfId="0" applyNumberFormat="1" applyFont="1" applyFill="1" applyBorder="1" applyAlignment="1">
      <alignment horizontal="center" vertical="center"/>
    </xf>
    <xf numFmtId="165" fontId="644" fillId="8" borderId="1" xfId="0" applyNumberFormat="1" applyFont="1" applyFill="1" applyBorder="1" applyAlignment="1">
      <alignment horizontal="center" vertical="center"/>
    </xf>
    <xf numFmtId="1" fontId="645" fillId="8" borderId="1" xfId="0" applyNumberFormat="1" applyFont="1" applyFill="1" applyBorder="1" applyAlignment="1">
      <alignment horizontal="center" vertical="center"/>
    </xf>
    <xf numFmtId="165" fontId="646" fillId="8" borderId="1" xfId="0" applyNumberFormat="1" applyFont="1" applyFill="1" applyBorder="1" applyAlignment="1">
      <alignment horizontal="center" vertical="center"/>
    </xf>
    <xf numFmtId="165" fontId="647" fillId="8" borderId="1" xfId="0" applyNumberFormat="1" applyFont="1" applyFill="1" applyBorder="1" applyAlignment="1">
      <alignment horizontal="center" vertical="center"/>
    </xf>
    <xf numFmtId="1" fontId="648" fillId="8" borderId="1" xfId="0" applyNumberFormat="1" applyFont="1" applyFill="1" applyBorder="1" applyAlignment="1">
      <alignment horizontal="center" vertical="center"/>
    </xf>
    <xf numFmtId="1" fontId="649" fillId="8" borderId="1" xfId="0" applyNumberFormat="1" applyFont="1" applyFill="1" applyBorder="1" applyAlignment="1">
      <alignment horizontal="center" vertical="center"/>
    </xf>
    <xf numFmtId="1" fontId="650" fillId="8" borderId="1" xfId="0" applyNumberFormat="1" applyFont="1" applyFill="1" applyBorder="1" applyAlignment="1">
      <alignment horizontal="center" vertical="center"/>
    </xf>
    <xf numFmtId="165" fontId="651" fillId="8" borderId="1" xfId="0" applyNumberFormat="1" applyFont="1" applyFill="1" applyBorder="1" applyAlignment="1">
      <alignment horizontal="center" vertical="center"/>
    </xf>
    <xf numFmtId="164" fontId="652" fillId="8" borderId="1" xfId="0" applyNumberFormat="1" applyFont="1" applyFill="1" applyBorder="1" applyAlignment="1">
      <alignment horizontal="center" vertical="center"/>
    </xf>
    <xf numFmtId="164" fontId="653" fillId="8" borderId="1" xfId="0" applyNumberFormat="1" applyFont="1" applyFill="1" applyBorder="1" applyAlignment="1">
      <alignment horizontal="center" vertical="center"/>
    </xf>
    <xf numFmtId="1" fontId="654" fillId="8" borderId="1" xfId="0" applyNumberFormat="1" applyFont="1" applyFill="1" applyBorder="1" applyAlignment="1">
      <alignment horizontal="center" vertical="center"/>
    </xf>
    <xf numFmtId="1" fontId="655" fillId="8" borderId="1" xfId="0" applyNumberFormat="1" applyFont="1" applyFill="1" applyBorder="1" applyAlignment="1">
      <alignment horizontal="center" vertical="center"/>
    </xf>
    <xf numFmtId="1" fontId="656" fillId="8" borderId="1" xfId="0" applyNumberFormat="1" applyFont="1" applyFill="1" applyBorder="1" applyAlignment="1">
      <alignment horizontal="center" vertical="center"/>
    </xf>
    <xf numFmtId="165" fontId="657" fillId="8" borderId="1" xfId="0" applyNumberFormat="1" applyFont="1" applyFill="1" applyBorder="1" applyAlignment="1">
      <alignment horizontal="center" vertical="center"/>
    </xf>
    <xf numFmtId="1" fontId="658" fillId="8" borderId="1" xfId="0" applyNumberFormat="1" applyFont="1" applyFill="1" applyBorder="1" applyAlignment="1">
      <alignment horizontal="center" vertical="center"/>
    </xf>
    <xf numFmtId="165" fontId="659" fillId="8" borderId="1" xfId="0" applyNumberFormat="1" applyFont="1" applyFill="1" applyBorder="1" applyAlignment="1">
      <alignment horizontal="center" vertical="center"/>
    </xf>
    <xf numFmtId="1" fontId="660" fillId="8" borderId="1" xfId="0" applyNumberFormat="1" applyFont="1" applyFill="1" applyBorder="1" applyAlignment="1">
      <alignment horizontal="center" vertical="center"/>
    </xf>
    <xf numFmtId="1" fontId="661" fillId="8" borderId="1" xfId="0" applyNumberFormat="1" applyFont="1" applyFill="1" applyBorder="1" applyAlignment="1">
      <alignment horizontal="center" vertical="center"/>
    </xf>
    <xf numFmtId="1" fontId="662" fillId="8" borderId="1" xfId="0" applyNumberFormat="1" applyFont="1" applyFill="1" applyBorder="1" applyAlignment="1">
      <alignment horizontal="center" vertical="center"/>
    </xf>
    <xf numFmtId="1" fontId="663" fillId="8" borderId="1" xfId="0" applyNumberFormat="1" applyFont="1" applyFill="1" applyBorder="1" applyAlignment="1">
      <alignment horizontal="center" vertical="center"/>
    </xf>
    <xf numFmtId="165" fontId="664" fillId="8" borderId="1" xfId="0" applyNumberFormat="1" applyFont="1" applyFill="1" applyBorder="1" applyAlignment="1">
      <alignment horizontal="center" vertical="center"/>
    </xf>
    <xf numFmtId="1" fontId="665" fillId="8" borderId="1" xfId="0" applyNumberFormat="1" applyFont="1" applyFill="1" applyBorder="1" applyAlignment="1">
      <alignment horizontal="center" vertical="center"/>
    </xf>
    <xf numFmtId="165" fontId="666" fillId="8" borderId="1" xfId="0" applyNumberFormat="1" applyFont="1" applyFill="1" applyBorder="1" applyAlignment="1">
      <alignment horizontal="center" vertical="center"/>
    </xf>
    <xf numFmtId="1" fontId="667" fillId="8" borderId="1" xfId="0" applyNumberFormat="1" applyFont="1" applyFill="1" applyBorder="1" applyAlignment="1">
      <alignment horizontal="center" vertical="center"/>
    </xf>
    <xf numFmtId="165" fontId="668" fillId="8" borderId="1" xfId="0" applyNumberFormat="1" applyFont="1" applyFill="1" applyBorder="1" applyAlignment="1">
      <alignment horizontal="center" vertical="center"/>
    </xf>
    <xf numFmtId="2" fontId="669" fillId="8" borderId="1" xfId="0" applyNumberFormat="1" applyFont="1" applyFill="1" applyBorder="1" applyAlignment="1">
      <alignment horizontal="center" vertical="center"/>
    </xf>
    <xf numFmtId="2" fontId="670" fillId="8" borderId="1" xfId="0" applyNumberFormat="1" applyFont="1" applyFill="1" applyBorder="1" applyAlignment="1">
      <alignment horizontal="center" vertical="center"/>
    </xf>
    <xf numFmtId="2" fontId="671" fillId="8" borderId="1" xfId="0" applyNumberFormat="1" applyFont="1" applyFill="1" applyBorder="1" applyAlignment="1">
      <alignment horizontal="center" vertical="center"/>
    </xf>
    <xf numFmtId="2" fontId="672" fillId="8" borderId="1" xfId="0" applyNumberFormat="1" applyFont="1" applyFill="1" applyBorder="1" applyAlignment="1">
      <alignment horizontal="center" vertical="center"/>
    </xf>
    <xf numFmtId="2" fontId="673" fillId="8" borderId="1" xfId="0" applyNumberFormat="1" applyFont="1" applyFill="1" applyBorder="1" applyAlignment="1">
      <alignment horizontal="center" vertical="center"/>
    </xf>
    <xf numFmtId="2" fontId="674" fillId="8" borderId="1" xfId="0" applyNumberFormat="1" applyFont="1" applyFill="1" applyBorder="1" applyAlignment="1">
      <alignment horizontal="center" vertical="center"/>
    </xf>
    <xf numFmtId="2" fontId="675" fillId="8" borderId="1" xfId="0" applyNumberFormat="1" applyFont="1" applyFill="1" applyBorder="1" applyAlignment="1">
      <alignment horizontal="center" vertical="center"/>
    </xf>
    <xf numFmtId="2" fontId="676" fillId="8" borderId="1" xfId="0" applyNumberFormat="1" applyFont="1" applyFill="1" applyBorder="1" applyAlignment="1">
      <alignment horizontal="center" vertical="center"/>
    </xf>
    <xf numFmtId="2" fontId="677" fillId="8" borderId="1" xfId="0" applyNumberFormat="1" applyFont="1" applyFill="1" applyBorder="1" applyAlignment="1">
      <alignment horizontal="center" vertical="center"/>
    </xf>
    <xf numFmtId="2" fontId="678" fillId="8" borderId="1" xfId="0" applyNumberFormat="1" applyFont="1" applyFill="1" applyBorder="1" applyAlignment="1">
      <alignment horizontal="center" vertical="center"/>
    </xf>
    <xf numFmtId="2" fontId="679" fillId="8" borderId="1" xfId="0" applyNumberFormat="1" applyFont="1" applyFill="1" applyBorder="1" applyAlignment="1">
      <alignment horizontal="center" vertical="center"/>
    </xf>
    <xf numFmtId="2" fontId="680" fillId="8" borderId="1" xfId="0" applyNumberFormat="1" applyFont="1" applyFill="1" applyBorder="1" applyAlignment="1">
      <alignment horizontal="center" vertical="center"/>
    </xf>
    <xf numFmtId="2" fontId="681" fillId="8" borderId="1" xfId="0" applyNumberFormat="1" applyFont="1" applyFill="1" applyBorder="1" applyAlignment="1">
      <alignment horizontal="center" vertical="center"/>
    </xf>
    <xf numFmtId="2" fontId="682" fillId="8" borderId="1" xfId="0" applyNumberFormat="1" applyFont="1" applyFill="1" applyBorder="1" applyAlignment="1">
      <alignment horizontal="center" vertical="center"/>
    </xf>
    <xf numFmtId="2" fontId="683" fillId="8" borderId="1" xfId="0" applyNumberFormat="1" applyFont="1" applyFill="1" applyBorder="1" applyAlignment="1">
      <alignment horizontal="center" vertical="center"/>
    </xf>
    <xf numFmtId="2" fontId="684" fillId="8" borderId="1" xfId="0" applyNumberFormat="1" applyFont="1" applyFill="1" applyBorder="1" applyAlignment="1">
      <alignment horizontal="center" vertical="center"/>
    </xf>
    <xf numFmtId="2" fontId="685" fillId="8" borderId="1" xfId="0" applyNumberFormat="1" applyFont="1" applyFill="1" applyBorder="1" applyAlignment="1">
      <alignment horizontal="center" vertical="center"/>
    </xf>
    <xf numFmtId="2" fontId="686" fillId="8" borderId="1" xfId="0" applyNumberFormat="1" applyFont="1" applyFill="1" applyBorder="1" applyAlignment="1">
      <alignment horizontal="center" vertical="center"/>
    </xf>
    <xf numFmtId="2" fontId="687" fillId="8" borderId="1" xfId="0" applyNumberFormat="1" applyFont="1" applyFill="1" applyBorder="1" applyAlignment="1">
      <alignment horizontal="center" vertical="center"/>
    </xf>
    <xf numFmtId="2" fontId="688" fillId="8" borderId="1" xfId="0" applyNumberFormat="1" applyFont="1" applyFill="1" applyBorder="1" applyAlignment="1">
      <alignment horizontal="center" vertical="center"/>
    </xf>
    <xf numFmtId="2" fontId="689" fillId="8" borderId="1" xfId="0" applyNumberFormat="1" applyFont="1" applyFill="1" applyBorder="1" applyAlignment="1">
      <alignment horizontal="center" vertical="center"/>
    </xf>
    <xf numFmtId="2" fontId="690" fillId="8" borderId="1" xfId="0" applyNumberFormat="1" applyFont="1" applyFill="1" applyBorder="1" applyAlignment="1">
      <alignment horizontal="center" vertical="center"/>
    </xf>
    <xf numFmtId="2" fontId="691" fillId="8" borderId="1" xfId="0" applyNumberFormat="1" applyFont="1" applyFill="1" applyBorder="1" applyAlignment="1">
      <alignment horizontal="center" vertical="center"/>
    </xf>
    <xf numFmtId="2" fontId="692" fillId="8" borderId="1" xfId="0" applyNumberFormat="1" applyFont="1" applyFill="1" applyBorder="1" applyAlignment="1">
      <alignment horizontal="center" vertical="center"/>
    </xf>
    <xf numFmtId="2" fontId="693" fillId="8" borderId="1" xfId="0" applyNumberFormat="1" applyFont="1" applyFill="1" applyBorder="1" applyAlignment="1">
      <alignment horizontal="center" vertical="center"/>
    </xf>
    <xf numFmtId="2" fontId="694" fillId="8" borderId="1" xfId="0" applyNumberFormat="1" applyFont="1" applyFill="1" applyBorder="1" applyAlignment="1">
      <alignment horizontal="center" vertical="center"/>
    </xf>
    <xf numFmtId="2" fontId="695" fillId="8" borderId="1" xfId="0" applyNumberFormat="1" applyFont="1" applyFill="1" applyBorder="1" applyAlignment="1">
      <alignment horizontal="center" vertical="center"/>
    </xf>
    <xf numFmtId="2" fontId="696" fillId="8" borderId="1" xfId="0" applyNumberFormat="1" applyFont="1" applyFill="1" applyBorder="1" applyAlignment="1">
      <alignment horizontal="center" vertical="center"/>
    </xf>
    <xf numFmtId="2" fontId="697" fillId="8" borderId="1" xfId="0" applyNumberFormat="1" applyFont="1" applyFill="1" applyBorder="1" applyAlignment="1">
      <alignment horizontal="center" vertical="center"/>
    </xf>
    <xf numFmtId="2" fontId="698" fillId="8" borderId="1" xfId="0" applyNumberFormat="1" applyFont="1" applyFill="1" applyBorder="1" applyAlignment="1">
      <alignment horizontal="center" vertical="center"/>
    </xf>
    <xf numFmtId="2" fontId="699" fillId="8" borderId="1" xfId="0" applyNumberFormat="1" applyFont="1" applyFill="1" applyBorder="1" applyAlignment="1">
      <alignment horizontal="center" vertical="center"/>
    </xf>
    <xf numFmtId="2" fontId="700" fillId="8" borderId="1" xfId="0" applyNumberFormat="1" applyFont="1" applyFill="1" applyBorder="1" applyAlignment="1">
      <alignment horizontal="center" vertical="center"/>
    </xf>
    <xf numFmtId="2" fontId="701" fillId="8" borderId="1" xfId="0" applyNumberFormat="1" applyFont="1" applyFill="1" applyBorder="1" applyAlignment="1">
      <alignment horizontal="center" vertical="center"/>
    </xf>
    <xf numFmtId="2" fontId="702" fillId="8" borderId="1" xfId="0" applyNumberFormat="1" applyFont="1" applyFill="1" applyBorder="1" applyAlignment="1">
      <alignment horizontal="center" vertical="center"/>
    </xf>
    <xf numFmtId="0" fontId="703" fillId="7" borderId="1" xfId="0" applyNumberFormat="1" applyFont="1" applyFill="1" applyBorder="1" applyAlignment="1">
      <alignment horizontal="left" vertical="center"/>
    </xf>
    <xf numFmtId="0" fontId="704" fillId="8" borderId="1" xfId="0" applyNumberFormat="1" applyFont="1" applyFill="1" applyBorder="1" applyAlignment="1">
      <alignment horizontal="center" vertical="center"/>
    </xf>
    <xf numFmtId="164" fontId="705" fillId="8" borderId="1" xfId="0" applyNumberFormat="1" applyFont="1" applyFill="1" applyBorder="1" applyAlignment="1">
      <alignment horizontal="center" vertical="center"/>
    </xf>
    <xf numFmtId="1" fontId="706" fillId="8" borderId="1" xfId="0" applyNumberFormat="1" applyFont="1" applyFill="1" applyBorder="1" applyAlignment="1">
      <alignment horizontal="center" vertical="center"/>
    </xf>
    <xf numFmtId="1" fontId="707" fillId="8" borderId="1" xfId="0" applyNumberFormat="1" applyFont="1" applyFill="1" applyBorder="1" applyAlignment="1">
      <alignment horizontal="center" vertical="center"/>
    </xf>
    <xf numFmtId="1" fontId="708" fillId="8" borderId="1" xfId="0" applyNumberFormat="1" applyFont="1" applyFill="1" applyBorder="1" applyAlignment="1">
      <alignment horizontal="center" vertical="center"/>
    </xf>
    <xf numFmtId="1" fontId="709" fillId="8" borderId="1" xfId="0" applyNumberFormat="1" applyFont="1" applyFill="1" applyBorder="1" applyAlignment="1">
      <alignment horizontal="center" vertical="center"/>
    </xf>
    <xf numFmtId="1" fontId="710" fillId="8" borderId="1" xfId="0" applyNumberFormat="1" applyFont="1" applyFill="1" applyBorder="1" applyAlignment="1">
      <alignment horizontal="center" vertical="center"/>
    </xf>
    <xf numFmtId="1" fontId="711" fillId="8" borderId="1" xfId="0" applyNumberFormat="1" applyFont="1" applyFill="1" applyBorder="1" applyAlignment="1">
      <alignment horizontal="center" vertical="center"/>
    </xf>
    <xf numFmtId="1" fontId="712" fillId="8" borderId="1" xfId="0" applyNumberFormat="1" applyFont="1" applyFill="1" applyBorder="1" applyAlignment="1">
      <alignment horizontal="center" vertical="center"/>
    </xf>
    <xf numFmtId="0" fontId="713" fillId="8" borderId="1" xfId="0" applyNumberFormat="1" applyFont="1" applyFill="1" applyBorder="1" applyAlignment="1">
      <alignment horizontal="center" vertical="center"/>
    </xf>
    <xf numFmtId="0" fontId="714" fillId="8" borderId="1" xfId="0" applyNumberFormat="1" applyFont="1" applyFill="1" applyBorder="1" applyAlignment="1">
      <alignment horizontal="center" vertical="center"/>
    </xf>
    <xf numFmtId="1" fontId="715" fillId="8" borderId="1" xfId="0" applyNumberFormat="1" applyFont="1" applyFill="1" applyBorder="1" applyAlignment="1">
      <alignment horizontal="center" vertical="center"/>
    </xf>
    <xf numFmtId="1" fontId="716" fillId="8" borderId="1" xfId="0" applyNumberFormat="1" applyFont="1" applyFill="1" applyBorder="1" applyAlignment="1">
      <alignment horizontal="center" vertical="center"/>
    </xf>
    <xf numFmtId="1" fontId="717" fillId="8" borderId="1" xfId="0" applyNumberFormat="1" applyFont="1" applyFill="1" applyBorder="1" applyAlignment="1">
      <alignment horizontal="center" vertical="center"/>
    </xf>
    <xf numFmtId="165" fontId="718" fillId="8" borderId="1" xfId="0" applyNumberFormat="1" applyFont="1" applyFill="1" applyBorder="1" applyAlignment="1">
      <alignment horizontal="center" vertical="center"/>
    </xf>
    <xf numFmtId="1" fontId="719" fillId="8" borderId="1" xfId="0" applyNumberFormat="1" applyFont="1" applyFill="1" applyBorder="1" applyAlignment="1">
      <alignment horizontal="center" vertical="center"/>
    </xf>
    <xf numFmtId="165" fontId="720" fillId="8" borderId="1" xfId="0" applyNumberFormat="1" applyFont="1" applyFill="1" applyBorder="1" applyAlignment="1">
      <alignment horizontal="center" vertical="center"/>
    </xf>
    <xf numFmtId="1" fontId="721" fillId="8" borderId="1" xfId="0" applyNumberFormat="1" applyFont="1" applyFill="1" applyBorder="1" applyAlignment="1">
      <alignment horizontal="center" vertical="center"/>
    </xf>
    <xf numFmtId="165" fontId="722" fillId="8" borderId="1" xfId="0" applyNumberFormat="1" applyFont="1" applyFill="1" applyBorder="1" applyAlignment="1">
      <alignment horizontal="center" vertical="center"/>
    </xf>
    <xf numFmtId="1" fontId="723" fillId="8" borderId="1" xfId="0" applyNumberFormat="1" applyFont="1" applyFill="1" applyBorder="1" applyAlignment="1">
      <alignment horizontal="center" vertical="center"/>
    </xf>
    <xf numFmtId="165" fontId="724" fillId="8" borderId="1" xfId="0" applyNumberFormat="1" applyFont="1" applyFill="1" applyBorder="1" applyAlignment="1">
      <alignment horizontal="center" vertical="center"/>
    </xf>
    <xf numFmtId="165" fontId="725" fillId="8" borderId="1" xfId="0" applyNumberFormat="1" applyFont="1" applyFill="1" applyBorder="1" applyAlignment="1">
      <alignment horizontal="center" vertical="center"/>
    </xf>
    <xf numFmtId="1" fontId="726" fillId="8" borderId="1" xfId="0" applyNumberFormat="1" applyFont="1" applyFill="1" applyBorder="1" applyAlignment="1">
      <alignment horizontal="center" vertical="center"/>
    </xf>
    <xf numFmtId="1" fontId="727" fillId="8" borderId="1" xfId="0" applyNumberFormat="1" applyFont="1" applyFill="1" applyBorder="1" applyAlignment="1">
      <alignment horizontal="center" vertical="center"/>
    </xf>
    <xf numFmtId="1" fontId="728" fillId="8" borderId="1" xfId="0" applyNumberFormat="1" applyFont="1" applyFill="1" applyBorder="1" applyAlignment="1">
      <alignment horizontal="center" vertical="center"/>
    </xf>
    <xf numFmtId="165" fontId="729" fillId="8" borderId="1" xfId="0" applyNumberFormat="1" applyFont="1" applyFill="1" applyBorder="1" applyAlignment="1">
      <alignment horizontal="center" vertical="center"/>
    </xf>
    <xf numFmtId="164" fontId="730" fillId="8" borderId="1" xfId="0" applyNumberFormat="1" applyFont="1" applyFill="1" applyBorder="1" applyAlignment="1">
      <alignment horizontal="center" vertical="center"/>
    </xf>
    <xf numFmtId="164" fontId="731" fillId="8" borderId="1" xfId="0" applyNumberFormat="1" applyFont="1" applyFill="1" applyBorder="1" applyAlignment="1">
      <alignment horizontal="center" vertical="center"/>
    </xf>
    <xf numFmtId="1" fontId="732" fillId="8" borderId="1" xfId="0" applyNumberFormat="1" applyFont="1" applyFill="1" applyBorder="1" applyAlignment="1">
      <alignment horizontal="center" vertical="center"/>
    </xf>
    <xf numFmtId="1" fontId="733" fillId="8" borderId="1" xfId="0" applyNumberFormat="1" applyFont="1" applyFill="1" applyBorder="1" applyAlignment="1">
      <alignment horizontal="center" vertical="center"/>
    </xf>
    <xf numFmtId="1" fontId="734" fillId="8" borderId="1" xfId="0" applyNumberFormat="1" applyFont="1" applyFill="1" applyBorder="1" applyAlignment="1">
      <alignment horizontal="center" vertical="center"/>
    </xf>
    <xf numFmtId="165" fontId="735" fillId="8" borderId="1" xfId="0" applyNumberFormat="1" applyFont="1" applyFill="1" applyBorder="1" applyAlignment="1">
      <alignment horizontal="center" vertical="center"/>
    </xf>
    <xf numFmtId="1" fontId="736" fillId="8" borderId="1" xfId="0" applyNumberFormat="1" applyFont="1" applyFill="1" applyBorder="1" applyAlignment="1">
      <alignment horizontal="center" vertical="center"/>
    </xf>
    <xf numFmtId="165" fontId="737" fillId="8" borderId="1" xfId="0" applyNumberFormat="1" applyFont="1" applyFill="1" applyBorder="1" applyAlignment="1">
      <alignment horizontal="center" vertical="center"/>
    </xf>
    <xf numFmtId="1" fontId="738" fillId="8" borderId="1" xfId="0" applyNumberFormat="1" applyFont="1" applyFill="1" applyBorder="1" applyAlignment="1">
      <alignment horizontal="center" vertical="center"/>
    </xf>
    <xf numFmtId="1" fontId="739" fillId="8" borderId="1" xfId="0" applyNumberFormat="1" applyFont="1" applyFill="1" applyBorder="1" applyAlignment="1">
      <alignment horizontal="center" vertical="center"/>
    </xf>
    <xf numFmtId="1" fontId="740" fillId="8" borderId="1" xfId="0" applyNumberFormat="1" applyFont="1" applyFill="1" applyBorder="1" applyAlignment="1">
      <alignment horizontal="center" vertical="center"/>
    </xf>
    <xf numFmtId="1" fontId="741" fillId="8" borderId="1" xfId="0" applyNumberFormat="1" applyFont="1" applyFill="1" applyBorder="1" applyAlignment="1">
      <alignment horizontal="center" vertical="center"/>
    </xf>
    <xf numFmtId="165" fontId="742" fillId="8" borderId="1" xfId="0" applyNumberFormat="1" applyFont="1" applyFill="1" applyBorder="1" applyAlignment="1">
      <alignment horizontal="center" vertical="center"/>
    </xf>
    <xf numFmtId="1" fontId="743" fillId="8" borderId="1" xfId="0" applyNumberFormat="1" applyFont="1" applyFill="1" applyBorder="1" applyAlignment="1">
      <alignment horizontal="center" vertical="center"/>
    </xf>
    <xf numFmtId="165" fontId="744" fillId="8" borderId="1" xfId="0" applyNumberFormat="1" applyFont="1" applyFill="1" applyBorder="1" applyAlignment="1">
      <alignment horizontal="center" vertical="center"/>
    </xf>
    <xf numFmtId="1" fontId="745" fillId="8" borderId="1" xfId="0" applyNumberFormat="1" applyFont="1" applyFill="1" applyBorder="1" applyAlignment="1">
      <alignment horizontal="center" vertical="center"/>
    </xf>
    <xf numFmtId="165" fontId="746" fillId="8" borderId="1" xfId="0" applyNumberFormat="1" applyFont="1" applyFill="1" applyBorder="1" applyAlignment="1">
      <alignment horizontal="center" vertical="center"/>
    </xf>
    <xf numFmtId="2" fontId="747" fillId="8" borderId="1" xfId="0" applyNumberFormat="1" applyFont="1" applyFill="1" applyBorder="1" applyAlignment="1">
      <alignment horizontal="center" vertical="center"/>
    </xf>
    <xf numFmtId="2" fontId="748" fillId="8" borderId="1" xfId="0" applyNumberFormat="1" applyFont="1" applyFill="1" applyBorder="1" applyAlignment="1">
      <alignment horizontal="center" vertical="center"/>
    </xf>
    <xf numFmtId="2" fontId="749" fillId="8" borderId="1" xfId="0" applyNumberFormat="1" applyFont="1" applyFill="1" applyBorder="1" applyAlignment="1">
      <alignment horizontal="center" vertical="center"/>
    </xf>
    <xf numFmtId="2" fontId="750" fillId="8" borderId="1" xfId="0" applyNumberFormat="1" applyFont="1" applyFill="1" applyBorder="1" applyAlignment="1">
      <alignment horizontal="center" vertical="center"/>
    </xf>
    <xf numFmtId="2" fontId="751" fillId="8" borderId="1" xfId="0" applyNumberFormat="1" applyFont="1" applyFill="1" applyBorder="1" applyAlignment="1">
      <alignment horizontal="center" vertical="center"/>
    </xf>
    <xf numFmtId="2" fontId="752" fillId="8" borderId="1" xfId="0" applyNumberFormat="1" applyFont="1" applyFill="1" applyBorder="1" applyAlignment="1">
      <alignment horizontal="center" vertical="center"/>
    </xf>
    <xf numFmtId="2" fontId="753" fillId="8" borderId="1" xfId="0" applyNumberFormat="1" applyFont="1" applyFill="1" applyBorder="1" applyAlignment="1">
      <alignment horizontal="center" vertical="center"/>
    </xf>
    <xf numFmtId="2" fontId="754" fillId="8" borderId="1" xfId="0" applyNumberFormat="1" applyFont="1" applyFill="1" applyBorder="1" applyAlignment="1">
      <alignment horizontal="center" vertical="center"/>
    </xf>
    <xf numFmtId="2" fontId="755" fillId="8" borderId="1" xfId="0" applyNumberFormat="1" applyFont="1" applyFill="1" applyBorder="1" applyAlignment="1">
      <alignment horizontal="center" vertical="center"/>
    </xf>
    <xf numFmtId="2" fontId="756" fillId="8" borderId="1" xfId="0" applyNumberFormat="1" applyFont="1" applyFill="1" applyBorder="1" applyAlignment="1">
      <alignment horizontal="center" vertical="center"/>
    </xf>
    <xf numFmtId="2" fontId="757" fillId="8" borderId="1" xfId="0" applyNumberFormat="1" applyFont="1" applyFill="1" applyBorder="1" applyAlignment="1">
      <alignment horizontal="center" vertical="center"/>
    </xf>
    <xf numFmtId="2" fontId="758" fillId="8" borderId="1" xfId="0" applyNumberFormat="1" applyFont="1" applyFill="1" applyBorder="1" applyAlignment="1">
      <alignment horizontal="center" vertical="center"/>
    </xf>
    <xf numFmtId="2" fontId="759" fillId="8" borderId="1" xfId="0" applyNumberFormat="1" applyFont="1" applyFill="1" applyBorder="1" applyAlignment="1">
      <alignment horizontal="center" vertical="center"/>
    </xf>
    <xf numFmtId="2" fontId="760" fillId="8" borderId="1" xfId="0" applyNumberFormat="1" applyFont="1" applyFill="1" applyBorder="1" applyAlignment="1">
      <alignment horizontal="center" vertical="center"/>
    </xf>
    <xf numFmtId="2" fontId="761" fillId="8" borderId="1" xfId="0" applyNumberFormat="1" applyFont="1" applyFill="1" applyBorder="1" applyAlignment="1">
      <alignment horizontal="center" vertical="center"/>
    </xf>
    <xf numFmtId="2" fontId="762" fillId="8" borderId="1" xfId="0" applyNumberFormat="1" applyFont="1" applyFill="1" applyBorder="1" applyAlignment="1">
      <alignment horizontal="center" vertical="center"/>
    </xf>
    <xf numFmtId="2" fontId="763" fillId="8" borderId="1" xfId="0" applyNumberFormat="1" applyFont="1" applyFill="1" applyBorder="1" applyAlignment="1">
      <alignment horizontal="center" vertical="center"/>
    </xf>
    <xf numFmtId="2" fontId="764" fillId="8" borderId="1" xfId="0" applyNumberFormat="1" applyFont="1" applyFill="1" applyBorder="1" applyAlignment="1">
      <alignment horizontal="center" vertical="center"/>
    </xf>
    <xf numFmtId="2" fontId="765" fillId="8" borderId="1" xfId="0" applyNumberFormat="1" applyFont="1" applyFill="1" applyBorder="1" applyAlignment="1">
      <alignment horizontal="center" vertical="center"/>
    </xf>
    <xf numFmtId="2" fontId="766" fillId="8" borderId="1" xfId="0" applyNumberFormat="1" applyFont="1" applyFill="1" applyBorder="1" applyAlignment="1">
      <alignment horizontal="center" vertical="center"/>
    </xf>
    <xf numFmtId="2" fontId="767" fillId="8" borderId="1" xfId="0" applyNumberFormat="1" applyFont="1" applyFill="1" applyBorder="1" applyAlignment="1">
      <alignment horizontal="center" vertical="center"/>
    </xf>
    <xf numFmtId="2" fontId="768" fillId="8" borderId="1" xfId="0" applyNumberFormat="1" applyFont="1" applyFill="1" applyBorder="1" applyAlignment="1">
      <alignment horizontal="center" vertical="center"/>
    </xf>
    <xf numFmtId="2" fontId="769" fillId="8" borderId="1" xfId="0" applyNumberFormat="1" applyFont="1" applyFill="1" applyBorder="1" applyAlignment="1">
      <alignment horizontal="center" vertical="center"/>
    </xf>
    <xf numFmtId="2" fontId="770" fillId="8" borderId="1" xfId="0" applyNumberFormat="1" applyFont="1" applyFill="1" applyBorder="1" applyAlignment="1">
      <alignment horizontal="center" vertical="center"/>
    </xf>
    <xf numFmtId="2" fontId="771" fillId="8" borderId="1" xfId="0" applyNumberFormat="1" applyFont="1" applyFill="1" applyBorder="1" applyAlignment="1">
      <alignment horizontal="center" vertical="center"/>
    </xf>
    <xf numFmtId="2" fontId="772" fillId="8" borderId="1" xfId="0" applyNumberFormat="1" applyFont="1" applyFill="1" applyBorder="1" applyAlignment="1">
      <alignment horizontal="center" vertical="center"/>
    </xf>
    <xf numFmtId="2" fontId="773" fillId="8" borderId="1" xfId="0" applyNumberFormat="1" applyFont="1" applyFill="1" applyBorder="1" applyAlignment="1">
      <alignment horizontal="center" vertical="center"/>
    </xf>
    <xf numFmtId="2" fontId="774" fillId="8" borderId="1" xfId="0" applyNumberFormat="1" applyFont="1" applyFill="1" applyBorder="1" applyAlignment="1">
      <alignment horizontal="center" vertical="center"/>
    </xf>
    <xf numFmtId="2" fontId="775" fillId="8" borderId="1" xfId="0" applyNumberFormat="1" applyFont="1" applyFill="1" applyBorder="1" applyAlignment="1">
      <alignment horizontal="center" vertical="center"/>
    </xf>
    <xf numFmtId="2" fontId="776" fillId="8" borderId="1" xfId="0" applyNumberFormat="1" applyFont="1" applyFill="1" applyBorder="1" applyAlignment="1">
      <alignment horizontal="center" vertical="center"/>
    </xf>
    <xf numFmtId="2" fontId="777" fillId="8" borderId="1" xfId="0" applyNumberFormat="1" applyFont="1" applyFill="1" applyBorder="1" applyAlignment="1">
      <alignment horizontal="center" vertical="center"/>
    </xf>
    <xf numFmtId="2" fontId="778" fillId="8" borderId="1" xfId="0" applyNumberFormat="1" applyFont="1" applyFill="1" applyBorder="1" applyAlignment="1">
      <alignment horizontal="center" vertical="center"/>
    </xf>
    <xf numFmtId="2" fontId="779" fillId="8" borderId="1" xfId="0" applyNumberFormat="1" applyFont="1" applyFill="1" applyBorder="1" applyAlignment="1">
      <alignment horizontal="center" vertical="center"/>
    </xf>
    <xf numFmtId="2" fontId="780" fillId="8" borderId="1" xfId="0" applyNumberFormat="1" applyFont="1" applyFill="1" applyBorder="1" applyAlignment="1">
      <alignment horizontal="center" vertical="center"/>
    </xf>
    <xf numFmtId="0" fontId="781" fillId="7" borderId="1" xfId="0" applyNumberFormat="1" applyFont="1" applyFill="1" applyBorder="1" applyAlignment="1">
      <alignment horizontal="left" vertical="center"/>
    </xf>
    <xf numFmtId="0" fontId="782" fillId="8" borderId="1" xfId="0" applyNumberFormat="1" applyFont="1" applyFill="1" applyBorder="1" applyAlignment="1">
      <alignment horizontal="center" vertical="center"/>
    </xf>
    <xf numFmtId="164" fontId="783" fillId="8" borderId="1" xfId="0" applyNumberFormat="1" applyFont="1" applyFill="1" applyBorder="1" applyAlignment="1">
      <alignment horizontal="center" vertical="center"/>
    </xf>
    <xf numFmtId="1" fontId="784" fillId="8" borderId="1" xfId="0" applyNumberFormat="1" applyFont="1" applyFill="1" applyBorder="1" applyAlignment="1">
      <alignment horizontal="center" vertical="center"/>
    </xf>
    <xf numFmtId="1" fontId="785" fillId="8" borderId="1" xfId="0" applyNumberFormat="1" applyFont="1" applyFill="1" applyBorder="1" applyAlignment="1">
      <alignment horizontal="center" vertical="center"/>
    </xf>
    <xf numFmtId="1" fontId="786" fillId="8" borderId="1" xfId="0" applyNumberFormat="1" applyFont="1" applyFill="1" applyBorder="1" applyAlignment="1">
      <alignment horizontal="center" vertical="center"/>
    </xf>
    <xf numFmtId="1" fontId="787" fillId="8" borderId="1" xfId="0" applyNumberFormat="1" applyFont="1" applyFill="1" applyBorder="1" applyAlignment="1">
      <alignment horizontal="center" vertical="center"/>
    </xf>
    <xf numFmtId="1" fontId="788" fillId="8" borderId="1" xfId="0" applyNumberFormat="1" applyFont="1" applyFill="1" applyBorder="1" applyAlignment="1">
      <alignment horizontal="center" vertical="center"/>
    </xf>
    <xf numFmtId="1" fontId="789" fillId="8" borderId="1" xfId="0" applyNumberFormat="1" applyFont="1" applyFill="1" applyBorder="1" applyAlignment="1">
      <alignment horizontal="center" vertical="center"/>
    </xf>
    <xf numFmtId="1" fontId="790" fillId="8" borderId="1" xfId="0" applyNumberFormat="1" applyFont="1" applyFill="1" applyBorder="1" applyAlignment="1">
      <alignment horizontal="center" vertical="center"/>
    </xf>
    <xf numFmtId="0" fontId="791" fillId="8" borderId="1" xfId="0" applyNumberFormat="1" applyFont="1" applyFill="1" applyBorder="1" applyAlignment="1">
      <alignment horizontal="center" vertical="center"/>
    </xf>
    <xf numFmtId="0" fontId="792" fillId="8" borderId="1" xfId="0" applyNumberFormat="1" applyFont="1" applyFill="1" applyBorder="1" applyAlignment="1">
      <alignment horizontal="center" vertical="center"/>
    </xf>
    <xf numFmtId="1" fontId="793" fillId="8" borderId="1" xfId="0" applyNumberFormat="1" applyFont="1" applyFill="1" applyBorder="1" applyAlignment="1">
      <alignment horizontal="center" vertical="center"/>
    </xf>
    <xf numFmtId="1" fontId="794" fillId="8" borderId="1" xfId="0" applyNumberFormat="1" applyFont="1" applyFill="1" applyBorder="1" applyAlignment="1">
      <alignment horizontal="center" vertical="center"/>
    </xf>
    <xf numFmtId="1" fontId="795" fillId="8" borderId="1" xfId="0" applyNumberFormat="1" applyFont="1" applyFill="1" applyBorder="1" applyAlignment="1">
      <alignment horizontal="center" vertical="center"/>
    </xf>
    <xf numFmtId="165" fontId="796" fillId="8" borderId="1" xfId="0" applyNumberFormat="1" applyFont="1" applyFill="1" applyBorder="1" applyAlignment="1">
      <alignment horizontal="center" vertical="center"/>
    </xf>
    <xf numFmtId="1" fontId="797" fillId="8" borderId="1" xfId="0" applyNumberFormat="1" applyFont="1" applyFill="1" applyBorder="1" applyAlignment="1">
      <alignment horizontal="center" vertical="center"/>
    </xf>
    <xf numFmtId="165" fontId="798" fillId="8" borderId="1" xfId="0" applyNumberFormat="1" applyFont="1" applyFill="1" applyBorder="1" applyAlignment="1">
      <alignment horizontal="center" vertical="center"/>
    </xf>
    <xf numFmtId="1" fontId="799" fillId="8" borderId="1" xfId="0" applyNumberFormat="1" applyFont="1" applyFill="1" applyBorder="1" applyAlignment="1">
      <alignment horizontal="center" vertical="center"/>
    </xf>
    <xf numFmtId="165" fontId="800" fillId="8" borderId="1" xfId="0" applyNumberFormat="1" applyFont="1" applyFill="1" applyBorder="1" applyAlignment="1">
      <alignment horizontal="center" vertical="center"/>
    </xf>
    <xf numFmtId="1" fontId="801" fillId="8" borderId="1" xfId="0" applyNumberFormat="1" applyFont="1" applyFill="1" applyBorder="1" applyAlignment="1">
      <alignment horizontal="center" vertical="center"/>
    </xf>
    <xf numFmtId="165" fontId="802" fillId="8" borderId="1" xfId="0" applyNumberFormat="1" applyFont="1" applyFill="1" applyBorder="1" applyAlignment="1">
      <alignment horizontal="center" vertical="center"/>
    </xf>
    <xf numFmtId="165" fontId="803" fillId="8" borderId="1" xfId="0" applyNumberFormat="1" applyFont="1" applyFill="1" applyBorder="1" applyAlignment="1">
      <alignment horizontal="center" vertical="center"/>
    </xf>
    <xf numFmtId="1" fontId="804" fillId="8" borderId="1" xfId="0" applyNumberFormat="1" applyFont="1" applyFill="1" applyBorder="1" applyAlignment="1">
      <alignment horizontal="center" vertical="center"/>
    </xf>
    <xf numFmtId="1" fontId="805" fillId="8" borderId="1" xfId="0" applyNumberFormat="1" applyFont="1" applyFill="1" applyBorder="1" applyAlignment="1">
      <alignment horizontal="center" vertical="center"/>
    </xf>
    <xf numFmtId="1" fontId="806" fillId="8" borderId="1" xfId="0" applyNumberFormat="1" applyFont="1" applyFill="1" applyBorder="1" applyAlignment="1">
      <alignment horizontal="center" vertical="center"/>
    </xf>
    <xf numFmtId="165" fontId="807" fillId="8" borderId="1" xfId="0" applyNumberFormat="1" applyFont="1" applyFill="1" applyBorder="1" applyAlignment="1">
      <alignment horizontal="center" vertical="center"/>
    </xf>
    <xf numFmtId="164" fontId="808" fillId="8" borderId="1" xfId="0" applyNumberFormat="1" applyFont="1" applyFill="1" applyBorder="1" applyAlignment="1">
      <alignment horizontal="center" vertical="center"/>
    </xf>
    <xf numFmtId="164" fontId="809" fillId="8" borderId="1" xfId="0" applyNumberFormat="1" applyFont="1" applyFill="1" applyBorder="1" applyAlignment="1">
      <alignment horizontal="center" vertical="center"/>
    </xf>
    <xf numFmtId="1" fontId="810" fillId="8" borderId="1" xfId="0" applyNumberFormat="1" applyFont="1" applyFill="1" applyBorder="1" applyAlignment="1">
      <alignment horizontal="center" vertical="center"/>
    </xf>
    <xf numFmtId="1" fontId="811" fillId="8" borderId="1" xfId="0" applyNumberFormat="1" applyFont="1" applyFill="1" applyBorder="1" applyAlignment="1">
      <alignment horizontal="center" vertical="center"/>
    </xf>
    <xf numFmtId="1" fontId="812" fillId="8" borderId="1" xfId="0" applyNumberFormat="1" applyFont="1" applyFill="1" applyBorder="1" applyAlignment="1">
      <alignment horizontal="center" vertical="center"/>
    </xf>
    <xf numFmtId="165" fontId="813" fillId="8" borderId="1" xfId="0" applyNumberFormat="1" applyFont="1" applyFill="1" applyBorder="1" applyAlignment="1">
      <alignment horizontal="center" vertical="center"/>
    </xf>
    <xf numFmtId="1" fontId="814" fillId="8" borderId="1" xfId="0" applyNumberFormat="1" applyFont="1" applyFill="1" applyBorder="1" applyAlignment="1">
      <alignment horizontal="center" vertical="center"/>
    </xf>
    <xf numFmtId="165" fontId="815" fillId="8" borderId="1" xfId="0" applyNumberFormat="1" applyFont="1" applyFill="1" applyBorder="1" applyAlignment="1">
      <alignment horizontal="center" vertical="center"/>
    </xf>
    <xf numFmtId="1" fontId="816" fillId="8" borderId="1" xfId="0" applyNumberFormat="1" applyFont="1" applyFill="1" applyBorder="1" applyAlignment="1">
      <alignment horizontal="center" vertical="center"/>
    </xf>
    <xf numFmtId="1" fontId="817" fillId="8" borderId="1" xfId="0" applyNumberFormat="1" applyFont="1" applyFill="1" applyBorder="1" applyAlignment="1">
      <alignment horizontal="center" vertical="center"/>
    </xf>
    <xf numFmtId="1" fontId="818" fillId="8" borderId="1" xfId="0" applyNumberFormat="1" applyFont="1" applyFill="1" applyBorder="1" applyAlignment="1">
      <alignment horizontal="center" vertical="center"/>
    </xf>
    <xf numFmtId="1" fontId="819" fillId="8" borderId="1" xfId="0" applyNumberFormat="1" applyFont="1" applyFill="1" applyBorder="1" applyAlignment="1">
      <alignment horizontal="center" vertical="center"/>
    </xf>
    <xf numFmtId="165" fontId="820" fillId="8" borderId="1" xfId="0" applyNumberFormat="1" applyFont="1" applyFill="1" applyBorder="1" applyAlignment="1">
      <alignment horizontal="center" vertical="center"/>
    </xf>
    <xf numFmtId="1" fontId="821" fillId="8" borderId="1" xfId="0" applyNumberFormat="1" applyFont="1" applyFill="1" applyBorder="1" applyAlignment="1">
      <alignment horizontal="center" vertical="center"/>
    </xf>
    <xf numFmtId="165" fontId="822" fillId="8" borderId="1" xfId="0" applyNumberFormat="1" applyFont="1" applyFill="1" applyBorder="1" applyAlignment="1">
      <alignment horizontal="center" vertical="center"/>
    </xf>
    <xf numFmtId="1" fontId="823" fillId="8" borderId="1" xfId="0" applyNumberFormat="1" applyFont="1" applyFill="1" applyBorder="1" applyAlignment="1">
      <alignment horizontal="center" vertical="center"/>
    </xf>
    <xf numFmtId="165" fontId="824" fillId="8" borderId="1" xfId="0" applyNumberFormat="1" applyFont="1" applyFill="1" applyBorder="1" applyAlignment="1">
      <alignment horizontal="center" vertical="center"/>
    </xf>
    <xf numFmtId="2" fontId="825" fillId="8" borderId="1" xfId="0" applyNumberFormat="1" applyFont="1" applyFill="1" applyBorder="1" applyAlignment="1">
      <alignment horizontal="center" vertical="center"/>
    </xf>
    <xf numFmtId="2" fontId="826" fillId="8" borderId="1" xfId="0" applyNumberFormat="1" applyFont="1" applyFill="1" applyBorder="1" applyAlignment="1">
      <alignment horizontal="center" vertical="center"/>
    </xf>
    <xf numFmtId="2" fontId="827" fillId="8" borderId="1" xfId="0" applyNumberFormat="1" applyFont="1" applyFill="1" applyBorder="1" applyAlignment="1">
      <alignment horizontal="center" vertical="center"/>
    </xf>
    <xf numFmtId="2" fontId="828" fillId="8" borderId="1" xfId="0" applyNumberFormat="1" applyFont="1" applyFill="1" applyBorder="1" applyAlignment="1">
      <alignment horizontal="center" vertical="center"/>
    </xf>
    <xf numFmtId="2" fontId="829" fillId="8" borderId="1" xfId="0" applyNumberFormat="1" applyFont="1" applyFill="1" applyBorder="1" applyAlignment="1">
      <alignment horizontal="center" vertical="center"/>
    </xf>
    <xf numFmtId="2" fontId="830" fillId="8" borderId="1" xfId="0" applyNumberFormat="1" applyFont="1" applyFill="1" applyBorder="1" applyAlignment="1">
      <alignment horizontal="center" vertical="center"/>
    </xf>
    <xf numFmtId="2" fontId="831" fillId="8" borderId="1" xfId="0" applyNumberFormat="1" applyFont="1" applyFill="1" applyBorder="1" applyAlignment="1">
      <alignment horizontal="center" vertical="center"/>
    </xf>
    <xf numFmtId="2" fontId="832" fillId="8" borderId="1" xfId="0" applyNumberFormat="1" applyFont="1" applyFill="1" applyBorder="1" applyAlignment="1">
      <alignment horizontal="center" vertical="center"/>
    </xf>
    <xf numFmtId="2" fontId="833" fillId="8" borderId="1" xfId="0" applyNumberFormat="1" applyFont="1" applyFill="1" applyBorder="1" applyAlignment="1">
      <alignment horizontal="center" vertical="center"/>
    </xf>
    <xf numFmtId="2" fontId="834" fillId="8" borderId="1" xfId="0" applyNumberFormat="1" applyFont="1" applyFill="1" applyBorder="1" applyAlignment="1">
      <alignment horizontal="center" vertical="center"/>
    </xf>
    <xf numFmtId="2" fontId="835" fillId="8" borderId="1" xfId="0" applyNumberFormat="1" applyFont="1" applyFill="1" applyBorder="1" applyAlignment="1">
      <alignment horizontal="center" vertical="center"/>
    </xf>
    <xf numFmtId="2" fontId="836" fillId="8" borderId="1" xfId="0" applyNumberFormat="1" applyFont="1" applyFill="1" applyBorder="1" applyAlignment="1">
      <alignment horizontal="center" vertical="center"/>
    </xf>
    <xf numFmtId="2" fontId="837" fillId="8" borderId="1" xfId="0" applyNumberFormat="1" applyFont="1" applyFill="1" applyBorder="1" applyAlignment="1">
      <alignment horizontal="center" vertical="center"/>
    </xf>
    <xf numFmtId="2" fontId="838" fillId="8" borderId="1" xfId="0" applyNumberFormat="1" applyFont="1" applyFill="1" applyBorder="1" applyAlignment="1">
      <alignment horizontal="center" vertical="center"/>
    </xf>
    <xf numFmtId="2" fontId="839" fillId="8" borderId="1" xfId="0" applyNumberFormat="1" applyFont="1" applyFill="1" applyBorder="1" applyAlignment="1">
      <alignment horizontal="center" vertical="center"/>
    </xf>
    <xf numFmtId="2" fontId="840" fillId="8" borderId="1" xfId="0" applyNumberFormat="1" applyFont="1" applyFill="1" applyBorder="1" applyAlignment="1">
      <alignment horizontal="center" vertical="center"/>
    </xf>
    <xf numFmtId="2" fontId="841" fillId="8" borderId="1" xfId="0" applyNumberFormat="1" applyFont="1" applyFill="1" applyBorder="1" applyAlignment="1">
      <alignment horizontal="center" vertical="center"/>
    </xf>
    <xf numFmtId="2" fontId="842" fillId="8" borderId="1" xfId="0" applyNumberFormat="1" applyFont="1" applyFill="1" applyBorder="1" applyAlignment="1">
      <alignment horizontal="center" vertical="center"/>
    </xf>
    <xf numFmtId="2" fontId="843" fillId="8" borderId="1" xfId="0" applyNumberFormat="1" applyFont="1" applyFill="1" applyBorder="1" applyAlignment="1">
      <alignment horizontal="center" vertical="center"/>
    </xf>
    <xf numFmtId="2" fontId="844" fillId="8" borderId="1" xfId="0" applyNumberFormat="1" applyFont="1" applyFill="1" applyBorder="1" applyAlignment="1">
      <alignment horizontal="center" vertical="center"/>
    </xf>
    <xf numFmtId="2" fontId="845" fillId="8" borderId="1" xfId="0" applyNumberFormat="1" applyFont="1" applyFill="1" applyBorder="1" applyAlignment="1">
      <alignment horizontal="center" vertical="center"/>
    </xf>
    <xf numFmtId="2" fontId="846" fillId="8" borderId="1" xfId="0" applyNumberFormat="1" applyFont="1" applyFill="1" applyBorder="1" applyAlignment="1">
      <alignment horizontal="center" vertical="center"/>
    </xf>
    <xf numFmtId="2" fontId="847" fillId="8" borderId="1" xfId="0" applyNumberFormat="1" applyFont="1" applyFill="1" applyBorder="1" applyAlignment="1">
      <alignment horizontal="center" vertical="center"/>
    </xf>
    <xf numFmtId="2" fontId="848" fillId="8" borderId="1" xfId="0" applyNumberFormat="1" applyFont="1" applyFill="1" applyBorder="1" applyAlignment="1">
      <alignment horizontal="center" vertical="center"/>
    </xf>
    <xf numFmtId="2" fontId="849" fillId="8" borderId="1" xfId="0" applyNumberFormat="1" applyFont="1" applyFill="1" applyBorder="1" applyAlignment="1">
      <alignment horizontal="center" vertical="center"/>
    </xf>
    <xf numFmtId="2" fontId="850" fillId="8" borderId="1" xfId="0" applyNumberFormat="1" applyFont="1" applyFill="1" applyBorder="1" applyAlignment="1">
      <alignment horizontal="center" vertical="center"/>
    </xf>
    <xf numFmtId="2" fontId="851" fillId="8" borderId="1" xfId="0" applyNumberFormat="1" applyFont="1" applyFill="1" applyBorder="1" applyAlignment="1">
      <alignment horizontal="center" vertical="center"/>
    </xf>
    <xf numFmtId="2" fontId="852" fillId="8" borderId="1" xfId="0" applyNumberFormat="1" applyFont="1" applyFill="1" applyBorder="1" applyAlignment="1">
      <alignment horizontal="center" vertical="center"/>
    </xf>
    <xf numFmtId="2" fontId="853" fillId="8" borderId="1" xfId="0" applyNumberFormat="1" applyFont="1" applyFill="1" applyBorder="1" applyAlignment="1">
      <alignment horizontal="center" vertical="center"/>
    </xf>
    <xf numFmtId="2" fontId="854" fillId="8" borderId="1" xfId="0" applyNumberFormat="1" applyFont="1" applyFill="1" applyBorder="1" applyAlignment="1">
      <alignment horizontal="center" vertical="center"/>
    </xf>
    <xf numFmtId="2" fontId="855" fillId="8" borderId="1" xfId="0" applyNumberFormat="1" applyFont="1" applyFill="1" applyBorder="1" applyAlignment="1">
      <alignment horizontal="center" vertical="center"/>
    </xf>
    <xf numFmtId="2" fontId="856" fillId="8" borderId="1" xfId="0" applyNumberFormat="1" applyFont="1" applyFill="1" applyBorder="1" applyAlignment="1">
      <alignment horizontal="center" vertical="center"/>
    </xf>
    <xf numFmtId="2" fontId="857" fillId="8" borderId="1" xfId="0" applyNumberFormat="1" applyFont="1" applyFill="1" applyBorder="1" applyAlignment="1">
      <alignment horizontal="center" vertical="center"/>
    </xf>
    <xf numFmtId="2" fontId="858" fillId="8" borderId="1" xfId="0" applyNumberFormat="1" applyFont="1" applyFill="1" applyBorder="1" applyAlignment="1">
      <alignment horizontal="center" vertical="center"/>
    </xf>
    <xf numFmtId="0" fontId="859" fillId="7" borderId="1" xfId="0" applyNumberFormat="1" applyFont="1" applyFill="1" applyBorder="1" applyAlignment="1">
      <alignment horizontal="left" vertical="center"/>
    </xf>
    <xf numFmtId="0" fontId="860" fillId="8" borderId="1" xfId="0" applyNumberFormat="1" applyFont="1" applyFill="1" applyBorder="1" applyAlignment="1">
      <alignment horizontal="center" vertical="center"/>
    </xf>
    <xf numFmtId="164" fontId="861" fillId="8" borderId="1" xfId="0" applyNumberFormat="1" applyFont="1" applyFill="1" applyBorder="1" applyAlignment="1">
      <alignment horizontal="center" vertical="center"/>
    </xf>
    <xf numFmtId="1" fontId="862" fillId="8" borderId="1" xfId="0" applyNumberFormat="1" applyFont="1" applyFill="1" applyBorder="1" applyAlignment="1">
      <alignment horizontal="center" vertical="center"/>
    </xf>
    <xf numFmtId="1" fontId="863" fillId="8" borderId="1" xfId="0" applyNumberFormat="1" applyFont="1" applyFill="1" applyBorder="1" applyAlignment="1">
      <alignment horizontal="center" vertical="center"/>
    </xf>
    <xf numFmtId="1" fontId="864" fillId="8" borderId="1" xfId="0" applyNumberFormat="1" applyFont="1" applyFill="1" applyBorder="1" applyAlignment="1">
      <alignment horizontal="center" vertical="center"/>
    </xf>
    <xf numFmtId="1" fontId="865" fillId="8" borderId="1" xfId="0" applyNumberFormat="1" applyFont="1" applyFill="1" applyBorder="1" applyAlignment="1">
      <alignment horizontal="center" vertical="center"/>
    </xf>
    <xf numFmtId="1" fontId="866" fillId="8" borderId="1" xfId="0" applyNumberFormat="1" applyFont="1" applyFill="1" applyBorder="1" applyAlignment="1">
      <alignment horizontal="center" vertical="center"/>
    </xf>
    <xf numFmtId="1" fontId="867" fillId="8" borderId="1" xfId="0" applyNumberFormat="1" applyFont="1" applyFill="1" applyBorder="1" applyAlignment="1">
      <alignment horizontal="center" vertical="center"/>
    </xf>
    <xf numFmtId="1" fontId="868" fillId="8" borderId="1" xfId="0" applyNumberFormat="1" applyFont="1" applyFill="1" applyBorder="1" applyAlignment="1">
      <alignment horizontal="center" vertical="center"/>
    </xf>
    <xf numFmtId="0" fontId="869" fillId="8" borderId="1" xfId="0" applyNumberFormat="1" applyFont="1" applyFill="1" applyBorder="1" applyAlignment="1">
      <alignment horizontal="center" vertical="center"/>
    </xf>
    <xf numFmtId="0" fontId="870" fillId="8" borderId="1" xfId="0" applyNumberFormat="1" applyFont="1" applyFill="1" applyBorder="1" applyAlignment="1">
      <alignment horizontal="center" vertical="center"/>
    </xf>
    <xf numFmtId="1" fontId="871" fillId="8" borderId="1" xfId="0" applyNumberFormat="1" applyFont="1" applyFill="1" applyBorder="1" applyAlignment="1">
      <alignment horizontal="center" vertical="center"/>
    </xf>
    <xf numFmtId="1" fontId="872" fillId="8" borderId="1" xfId="0" applyNumberFormat="1" applyFont="1" applyFill="1" applyBorder="1" applyAlignment="1">
      <alignment horizontal="center" vertical="center"/>
    </xf>
    <xf numFmtId="1" fontId="873" fillId="8" borderId="1" xfId="0" applyNumberFormat="1" applyFont="1" applyFill="1" applyBorder="1" applyAlignment="1">
      <alignment horizontal="center" vertical="center"/>
    </xf>
    <xf numFmtId="165" fontId="874" fillId="8" borderId="1" xfId="0" applyNumberFormat="1" applyFont="1" applyFill="1" applyBorder="1" applyAlignment="1">
      <alignment horizontal="center" vertical="center"/>
    </xf>
    <xf numFmtId="1" fontId="875" fillId="8" borderId="1" xfId="0" applyNumberFormat="1" applyFont="1" applyFill="1" applyBorder="1" applyAlignment="1">
      <alignment horizontal="center" vertical="center"/>
    </xf>
    <xf numFmtId="165" fontId="876" fillId="8" borderId="1" xfId="0" applyNumberFormat="1" applyFont="1" applyFill="1" applyBorder="1" applyAlignment="1">
      <alignment horizontal="center" vertical="center"/>
    </xf>
    <xf numFmtId="1" fontId="877" fillId="8" borderId="1" xfId="0" applyNumberFormat="1" applyFont="1" applyFill="1" applyBorder="1" applyAlignment="1">
      <alignment horizontal="center" vertical="center"/>
    </xf>
    <xf numFmtId="165" fontId="878" fillId="8" borderId="1" xfId="0" applyNumberFormat="1" applyFont="1" applyFill="1" applyBorder="1" applyAlignment="1">
      <alignment horizontal="center" vertical="center"/>
    </xf>
    <xf numFmtId="1" fontId="879" fillId="8" borderId="1" xfId="0" applyNumberFormat="1" applyFont="1" applyFill="1" applyBorder="1" applyAlignment="1">
      <alignment horizontal="center" vertical="center"/>
    </xf>
    <xf numFmtId="165" fontId="880" fillId="8" borderId="1" xfId="0" applyNumberFormat="1" applyFont="1" applyFill="1" applyBorder="1" applyAlignment="1">
      <alignment horizontal="center" vertical="center"/>
    </xf>
    <xf numFmtId="165" fontId="881" fillId="8" borderId="1" xfId="0" applyNumberFormat="1" applyFont="1" applyFill="1" applyBorder="1" applyAlignment="1">
      <alignment horizontal="center" vertical="center"/>
    </xf>
    <xf numFmtId="1" fontId="882" fillId="8" borderId="1" xfId="0" applyNumberFormat="1" applyFont="1" applyFill="1" applyBorder="1" applyAlignment="1">
      <alignment horizontal="center" vertical="center"/>
    </xf>
    <xf numFmtId="1" fontId="883" fillId="8" borderId="1" xfId="0" applyNumberFormat="1" applyFont="1" applyFill="1" applyBorder="1" applyAlignment="1">
      <alignment horizontal="center" vertical="center"/>
    </xf>
    <xf numFmtId="1" fontId="884" fillId="8" borderId="1" xfId="0" applyNumberFormat="1" applyFont="1" applyFill="1" applyBorder="1" applyAlignment="1">
      <alignment horizontal="center" vertical="center"/>
    </xf>
    <xf numFmtId="165" fontId="885" fillId="8" borderId="1" xfId="0" applyNumberFormat="1" applyFont="1" applyFill="1" applyBorder="1" applyAlignment="1">
      <alignment horizontal="center" vertical="center"/>
    </xf>
    <xf numFmtId="164" fontId="886" fillId="8" borderId="1" xfId="0" applyNumberFormat="1" applyFont="1" applyFill="1" applyBorder="1" applyAlignment="1">
      <alignment horizontal="center" vertical="center"/>
    </xf>
    <xf numFmtId="164" fontId="887" fillId="8" borderId="1" xfId="0" applyNumberFormat="1" applyFont="1" applyFill="1" applyBorder="1" applyAlignment="1">
      <alignment horizontal="center" vertical="center"/>
    </xf>
    <xf numFmtId="1" fontId="888" fillId="8" borderId="1" xfId="0" applyNumberFormat="1" applyFont="1" applyFill="1" applyBorder="1" applyAlignment="1">
      <alignment horizontal="center" vertical="center"/>
    </xf>
    <xf numFmtId="1" fontId="889" fillId="8" borderId="1" xfId="0" applyNumberFormat="1" applyFont="1" applyFill="1" applyBorder="1" applyAlignment="1">
      <alignment horizontal="center" vertical="center"/>
    </xf>
    <xf numFmtId="1" fontId="890" fillId="8" borderId="1" xfId="0" applyNumberFormat="1" applyFont="1" applyFill="1" applyBorder="1" applyAlignment="1">
      <alignment horizontal="center" vertical="center"/>
    </xf>
    <xf numFmtId="165" fontId="891" fillId="8" borderId="1" xfId="0" applyNumberFormat="1" applyFont="1" applyFill="1" applyBorder="1" applyAlignment="1">
      <alignment horizontal="center" vertical="center"/>
    </xf>
    <xf numFmtId="1" fontId="892" fillId="8" borderId="1" xfId="0" applyNumberFormat="1" applyFont="1" applyFill="1" applyBorder="1" applyAlignment="1">
      <alignment horizontal="center" vertical="center"/>
    </xf>
    <xf numFmtId="165" fontId="893" fillId="8" borderId="1" xfId="0" applyNumberFormat="1" applyFont="1" applyFill="1" applyBorder="1" applyAlignment="1">
      <alignment horizontal="center" vertical="center"/>
    </xf>
    <xf numFmtId="1" fontId="894" fillId="8" borderId="1" xfId="0" applyNumberFormat="1" applyFont="1" applyFill="1" applyBorder="1" applyAlignment="1">
      <alignment horizontal="center" vertical="center"/>
    </xf>
    <xf numFmtId="1" fontId="895" fillId="8" borderId="1" xfId="0" applyNumberFormat="1" applyFont="1" applyFill="1" applyBorder="1" applyAlignment="1">
      <alignment horizontal="center" vertical="center"/>
    </xf>
    <xf numFmtId="1" fontId="896" fillId="8" borderId="1" xfId="0" applyNumberFormat="1" applyFont="1" applyFill="1" applyBorder="1" applyAlignment="1">
      <alignment horizontal="center" vertical="center"/>
    </xf>
    <xf numFmtId="1" fontId="897" fillId="8" borderId="1" xfId="0" applyNumberFormat="1" applyFont="1" applyFill="1" applyBorder="1" applyAlignment="1">
      <alignment horizontal="center" vertical="center"/>
    </xf>
    <xf numFmtId="165" fontId="898" fillId="8" borderId="1" xfId="0" applyNumberFormat="1" applyFont="1" applyFill="1" applyBorder="1" applyAlignment="1">
      <alignment horizontal="center" vertical="center"/>
    </xf>
    <xf numFmtId="1" fontId="899" fillId="8" borderId="1" xfId="0" applyNumberFormat="1" applyFont="1" applyFill="1" applyBorder="1" applyAlignment="1">
      <alignment horizontal="center" vertical="center"/>
    </xf>
    <xf numFmtId="165" fontId="900" fillId="8" borderId="1" xfId="0" applyNumberFormat="1" applyFont="1" applyFill="1" applyBorder="1" applyAlignment="1">
      <alignment horizontal="center" vertical="center"/>
    </xf>
    <xf numFmtId="1" fontId="901" fillId="8" borderId="1" xfId="0" applyNumberFormat="1" applyFont="1" applyFill="1" applyBorder="1" applyAlignment="1">
      <alignment horizontal="center" vertical="center"/>
    </xf>
    <xf numFmtId="165" fontId="902" fillId="8" borderId="1" xfId="0" applyNumberFormat="1" applyFont="1" applyFill="1" applyBorder="1" applyAlignment="1">
      <alignment horizontal="center" vertical="center"/>
    </xf>
    <xf numFmtId="2" fontId="903" fillId="8" borderId="1" xfId="0" applyNumberFormat="1" applyFont="1" applyFill="1" applyBorder="1" applyAlignment="1">
      <alignment horizontal="center" vertical="center"/>
    </xf>
    <xf numFmtId="2" fontId="904" fillId="8" borderId="1" xfId="0" applyNumberFormat="1" applyFont="1" applyFill="1" applyBorder="1" applyAlignment="1">
      <alignment horizontal="center" vertical="center"/>
    </xf>
    <xf numFmtId="2" fontId="905" fillId="8" borderId="1" xfId="0" applyNumberFormat="1" applyFont="1" applyFill="1" applyBorder="1" applyAlignment="1">
      <alignment horizontal="center" vertical="center"/>
    </xf>
    <xf numFmtId="2" fontId="906" fillId="8" borderId="1" xfId="0" applyNumberFormat="1" applyFont="1" applyFill="1" applyBorder="1" applyAlignment="1">
      <alignment horizontal="center" vertical="center"/>
    </xf>
    <xf numFmtId="2" fontId="907" fillId="8" borderId="1" xfId="0" applyNumberFormat="1" applyFont="1" applyFill="1" applyBorder="1" applyAlignment="1">
      <alignment horizontal="center" vertical="center"/>
    </xf>
    <xf numFmtId="2" fontId="908" fillId="8" borderId="1" xfId="0" applyNumberFormat="1" applyFont="1" applyFill="1" applyBorder="1" applyAlignment="1">
      <alignment horizontal="center" vertical="center"/>
    </xf>
    <xf numFmtId="2" fontId="909" fillId="8" borderId="1" xfId="0" applyNumberFormat="1" applyFont="1" applyFill="1" applyBorder="1" applyAlignment="1">
      <alignment horizontal="center" vertical="center"/>
    </xf>
    <xf numFmtId="2" fontId="910" fillId="8" borderId="1" xfId="0" applyNumberFormat="1" applyFont="1" applyFill="1" applyBorder="1" applyAlignment="1">
      <alignment horizontal="center" vertical="center"/>
    </xf>
    <xf numFmtId="2" fontId="911" fillId="8" borderId="1" xfId="0" applyNumberFormat="1" applyFont="1" applyFill="1" applyBorder="1" applyAlignment="1">
      <alignment horizontal="center" vertical="center"/>
    </xf>
    <xf numFmtId="2" fontId="912" fillId="8" borderId="1" xfId="0" applyNumberFormat="1" applyFont="1" applyFill="1" applyBorder="1" applyAlignment="1">
      <alignment horizontal="center" vertical="center"/>
    </xf>
    <xf numFmtId="2" fontId="913" fillId="8" borderId="1" xfId="0" applyNumberFormat="1" applyFont="1" applyFill="1" applyBorder="1" applyAlignment="1">
      <alignment horizontal="center" vertical="center"/>
    </xf>
    <xf numFmtId="2" fontId="914" fillId="8" borderId="1" xfId="0" applyNumberFormat="1" applyFont="1" applyFill="1" applyBorder="1" applyAlignment="1">
      <alignment horizontal="center" vertical="center"/>
    </xf>
    <xf numFmtId="2" fontId="915" fillId="8" borderId="1" xfId="0" applyNumberFormat="1" applyFont="1" applyFill="1" applyBorder="1" applyAlignment="1">
      <alignment horizontal="center" vertical="center"/>
    </xf>
    <xf numFmtId="2" fontId="916" fillId="8" borderId="1" xfId="0" applyNumberFormat="1" applyFont="1" applyFill="1" applyBorder="1" applyAlignment="1">
      <alignment horizontal="center" vertical="center"/>
    </xf>
    <xf numFmtId="2" fontId="917" fillId="8" borderId="1" xfId="0" applyNumberFormat="1" applyFont="1" applyFill="1" applyBorder="1" applyAlignment="1">
      <alignment horizontal="center" vertical="center"/>
    </xf>
    <xf numFmtId="2" fontId="918" fillId="8" borderId="1" xfId="0" applyNumberFormat="1" applyFont="1" applyFill="1" applyBorder="1" applyAlignment="1">
      <alignment horizontal="center" vertical="center"/>
    </xf>
    <xf numFmtId="2" fontId="919" fillId="8" borderId="1" xfId="0" applyNumberFormat="1" applyFont="1" applyFill="1" applyBorder="1" applyAlignment="1">
      <alignment horizontal="center" vertical="center"/>
    </xf>
    <xf numFmtId="2" fontId="920" fillId="8" borderId="1" xfId="0" applyNumberFormat="1" applyFont="1" applyFill="1" applyBorder="1" applyAlignment="1">
      <alignment horizontal="center" vertical="center"/>
    </xf>
    <xf numFmtId="2" fontId="921" fillId="8" borderId="1" xfId="0" applyNumberFormat="1" applyFont="1" applyFill="1" applyBorder="1" applyAlignment="1">
      <alignment horizontal="center" vertical="center"/>
    </xf>
    <xf numFmtId="2" fontId="922" fillId="8" borderId="1" xfId="0" applyNumberFormat="1" applyFont="1" applyFill="1" applyBorder="1" applyAlignment="1">
      <alignment horizontal="center" vertical="center"/>
    </xf>
    <xf numFmtId="2" fontId="923" fillId="8" borderId="1" xfId="0" applyNumberFormat="1" applyFont="1" applyFill="1" applyBorder="1" applyAlignment="1">
      <alignment horizontal="center" vertical="center"/>
    </xf>
    <xf numFmtId="2" fontId="924" fillId="8" borderId="1" xfId="0" applyNumberFormat="1" applyFont="1" applyFill="1" applyBorder="1" applyAlignment="1">
      <alignment horizontal="center" vertical="center"/>
    </xf>
    <xf numFmtId="2" fontId="925" fillId="8" borderId="1" xfId="0" applyNumberFormat="1" applyFont="1" applyFill="1" applyBorder="1" applyAlignment="1">
      <alignment horizontal="center" vertical="center"/>
    </xf>
    <xf numFmtId="2" fontId="926" fillId="8" borderId="1" xfId="0" applyNumberFormat="1" applyFont="1" applyFill="1" applyBorder="1" applyAlignment="1">
      <alignment horizontal="center" vertical="center"/>
    </xf>
    <xf numFmtId="2" fontId="927" fillId="8" borderId="1" xfId="0" applyNumberFormat="1" applyFont="1" applyFill="1" applyBorder="1" applyAlignment="1">
      <alignment horizontal="center" vertical="center"/>
    </xf>
    <xf numFmtId="2" fontId="928" fillId="8" borderId="1" xfId="0" applyNumberFormat="1" applyFont="1" applyFill="1" applyBorder="1" applyAlignment="1">
      <alignment horizontal="center" vertical="center"/>
    </xf>
    <xf numFmtId="2" fontId="929" fillId="8" borderId="1" xfId="0" applyNumberFormat="1" applyFont="1" applyFill="1" applyBorder="1" applyAlignment="1">
      <alignment horizontal="center" vertical="center"/>
    </xf>
    <xf numFmtId="2" fontId="930" fillId="8" borderId="1" xfId="0" applyNumberFormat="1" applyFont="1" applyFill="1" applyBorder="1" applyAlignment="1">
      <alignment horizontal="center" vertical="center"/>
    </xf>
    <xf numFmtId="2" fontId="931" fillId="8" borderId="1" xfId="0" applyNumberFormat="1" applyFont="1" applyFill="1" applyBorder="1" applyAlignment="1">
      <alignment horizontal="center" vertical="center"/>
    </xf>
    <xf numFmtId="2" fontId="932" fillId="8" borderId="1" xfId="0" applyNumberFormat="1" applyFont="1" applyFill="1" applyBorder="1" applyAlignment="1">
      <alignment horizontal="center" vertical="center"/>
    </xf>
    <xf numFmtId="2" fontId="933" fillId="8" borderId="1" xfId="0" applyNumberFormat="1" applyFont="1" applyFill="1" applyBorder="1" applyAlignment="1">
      <alignment horizontal="center" vertical="center"/>
    </xf>
    <xf numFmtId="2" fontId="934" fillId="8" borderId="1" xfId="0" applyNumberFormat="1" applyFont="1" applyFill="1" applyBorder="1" applyAlignment="1">
      <alignment horizontal="center" vertical="center"/>
    </xf>
    <xf numFmtId="2" fontId="935" fillId="8" borderId="1" xfId="0" applyNumberFormat="1" applyFont="1" applyFill="1" applyBorder="1" applyAlignment="1">
      <alignment horizontal="center" vertical="center"/>
    </xf>
    <xf numFmtId="2" fontId="936" fillId="8" borderId="1" xfId="0" applyNumberFormat="1" applyFont="1" applyFill="1" applyBorder="1" applyAlignment="1">
      <alignment horizontal="center" vertical="center"/>
    </xf>
    <xf numFmtId="0" fontId="937" fillId="7" borderId="1" xfId="0" applyNumberFormat="1" applyFont="1" applyFill="1" applyBorder="1" applyAlignment="1">
      <alignment horizontal="left" vertical="center"/>
    </xf>
    <xf numFmtId="0" fontId="938" fillId="8" borderId="1" xfId="0" applyNumberFormat="1" applyFont="1" applyFill="1" applyBorder="1" applyAlignment="1">
      <alignment horizontal="center" vertical="center"/>
    </xf>
    <xf numFmtId="164" fontId="939" fillId="8" borderId="1" xfId="0" applyNumberFormat="1" applyFont="1" applyFill="1" applyBorder="1" applyAlignment="1">
      <alignment horizontal="center" vertical="center"/>
    </xf>
    <xf numFmtId="1" fontId="940" fillId="8" borderId="1" xfId="0" applyNumberFormat="1" applyFont="1" applyFill="1" applyBorder="1" applyAlignment="1">
      <alignment horizontal="center" vertical="center"/>
    </xf>
    <xf numFmtId="1" fontId="941" fillId="8" borderId="1" xfId="0" applyNumberFormat="1" applyFont="1" applyFill="1" applyBorder="1" applyAlignment="1">
      <alignment horizontal="center" vertical="center"/>
    </xf>
    <xf numFmtId="1" fontId="942" fillId="8" borderId="1" xfId="0" applyNumberFormat="1" applyFont="1" applyFill="1" applyBorder="1" applyAlignment="1">
      <alignment horizontal="center" vertical="center"/>
    </xf>
    <xf numFmtId="1" fontId="943" fillId="8" borderId="1" xfId="0" applyNumberFormat="1" applyFont="1" applyFill="1" applyBorder="1" applyAlignment="1">
      <alignment horizontal="center" vertical="center"/>
    </xf>
    <xf numFmtId="1" fontId="944" fillId="8" borderId="1" xfId="0" applyNumberFormat="1" applyFont="1" applyFill="1" applyBorder="1" applyAlignment="1">
      <alignment horizontal="center" vertical="center"/>
    </xf>
    <xf numFmtId="1" fontId="945" fillId="8" borderId="1" xfId="0" applyNumberFormat="1" applyFont="1" applyFill="1" applyBorder="1" applyAlignment="1">
      <alignment horizontal="center" vertical="center"/>
    </xf>
    <xf numFmtId="1" fontId="946" fillId="8" borderId="1" xfId="0" applyNumberFormat="1" applyFont="1" applyFill="1" applyBorder="1" applyAlignment="1">
      <alignment horizontal="center" vertical="center"/>
    </xf>
    <xf numFmtId="0" fontId="947" fillId="8" borderId="1" xfId="0" applyNumberFormat="1" applyFont="1" applyFill="1" applyBorder="1" applyAlignment="1">
      <alignment horizontal="center" vertical="center"/>
    </xf>
    <xf numFmtId="0" fontId="948" fillId="8" borderId="1" xfId="0" applyNumberFormat="1" applyFont="1" applyFill="1" applyBorder="1" applyAlignment="1">
      <alignment horizontal="center" vertical="center"/>
    </xf>
    <xf numFmtId="1" fontId="949" fillId="8" borderId="1" xfId="0" applyNumberFormat="1" applyFont="1" applyFill="1" applyBorder="1" applyAlignment="1">
      <alignment horizontal="center" vertical="center"/>
    </xf>
    <xf numFmtId="1" fontId="950" fillId="8" borderId="1" xfId="0" applyNumberFormat="1" applyFont="1" applyFill="1" applyBorder="1" applyAlignment="1">
      <alignment horizontal="center" vertical="center"/>
    </xf>
    <xf numFmtId="1" fontId="951" fillId="8" borderId="1" xfId="0" applyNumberFormat="1" applyFont="1" applyFill="1" applyBorder="1" applyAlignment="1">
      <alignment horizontal="center" vertical="center"/>
    </xf>
    <xf numFmtId="165" fontId="952" fillId="8" borderId="1" xfId="0" applyNumberFormat="1" applyFont="1" applyFill="1" applyBorder="1" applyAlignment="1">
      <alignment horizontal="center" vertical="center"/>
    </xf>
    <xf numFmtId="1" fontId="953" fillId="8" borderId="1" xfId="0" applyNumberFormat="1" applyFont="1" applyFill="1" applyBorder="1" applyAlignment="1">
      <alignment horizontal="center" vertical="center"/>
    </xf>
    <xf numFmtId="165" fontId="954" fillId="8" borderId="1" xfId="0" applyNumberFormat="1" applyFont="1" applyFill="1" applyBorder="1" applyAlignment="1">
      <alignment horizontal="center" vertical="center"/>
    </xf>
    <xf numFmtId="1" fontId="955" fillId="8" borderId="1" xfId="0" applyNumberFormat="1" applyFont="1" applyFill="1" applyBorder="1" applyAlignment="1">
      <alignment horizontal="center" vertical="center"/>
    </xf>
    <xf numFmtId="165" fontId="956" fillId="8" borderId="1" xfId="0" applyNumberFormat="1" applyFont="1" applyFill="1" applyBorder="1" applyAlignment="1">
      <alignment horizontal="center" vertical="center"/>
    </xf>
    <xf numFmtId="1" fontId="957" fillId="8" borderId="1" xfId="0" applyNumberFormat="1" applyFont="1" applyFill="1" applyBorder="1" applyAlignment="1">
      <alignment horizontal="center" vertical="center"/>
    </xf>
    <xf numFmtId="165" fontId="958" fillId="8" borderId="1" xfId="0" applyNumberFormat="1" applyFont="1" applyFill="1" applyBorder="1" applyAlignment="1">
      <alignment horizontal="center" vertical="center"/>
    </xf>
    <xf numFmtId="165" fontId="959" fillId="8" borderId="1" xfId="0" applyNumberFormat="1" applyFont="1" applyFill="1" applyBorder="1" applyAlignment="1">
      <alignment horizontal="center" vertical="center"/>
    </xf>
    <xf numFmtId="1" fontId="960" fillId="8" borderId="1" xfId="0" applyNumberFormat="1" applyFont="1" applyFill="1" applyBorder="1" applyAlignment="1">
      <alignment horizontal="center" vertical="center"/>
    </xf>
    <xf numFmtId="1" fontId="961" fillId="8" borderId="1" xfId="0" applyNumberFormat="1" applyFont="1" applyFill="1" applyBorder="1" applyAlignment="1">
      <alignment horizontal="center" vertical="center"/>
    </xf>
    <xf numFmtId="1" fontId="962" fillId="8" borderId="1" xfId="0" applyNumberFormat="1" applyFont="1" applyFill="1" applyBorder="1" applyAlignment="1">
      <alignment horizontal="center" vertical="center"/>
    </xf>
    <xf numFmtId="165" fontId="963" fillId="8" borderId="1" xfId="0" applyNumberFormat="1" applyFont="1" applyFill="1" applyBorder="1" applyAlignment="1">
      <alignment horizontal="center" vertical="center"/>
    </xf>
    <xf numFmtId="164" fontId="964" fillId="8" borderId="1" xfId="0" applyNumberFormat="1" applyFont="1" applyFill="1" applyBorder="1" applyAlignment="1">
      <alignment horizontal="center" vertical="center"/>
    </xf>
    <xf numFmtId="164" fontId="965" fillId="8" borderId="1" xfId="0" applyNumberFormat="1" applyFont="1" applyFill="1" applyBorder="1" applyAlignment="1">
      <alignment horizontal="center" vertical="center"/>
    </xf>
    <xf numFmtId="1" fontId="966" fillId="8" borderId="1" xfId="0" applyNumberFormat="1" applyFont="1" applyFill="1" applyBorder="1" applyAlignment="1">
      <alignment horizontal="center" vertical="center"/>
    </xf>
    <xf numFmtId="1" fontId="967" fillId="8" borderId="1" xfId="0" applyNumberFormat="1" applyFont="1" applyFill="1" applyBorder="1" applyAlignment="1">
      <alignment horizontal="center" vertical="center"/>
    </xf>
    <xf numFmtId="1" fontId="968" fillId="8" borderId="1" xfId="0" applyNumberFormat="1" applyFont="1" applyFill="1" applyBorder="1" applyAlignment="1">
      <alignment horizontal="center" vertical="center"/>
    </xf>
    <xf numFmtId="165" fontId="969" fillId="8" borderId="1" xfId="0" applyNumberFormat="1" applyFont="1" applyFill="1" applyBorder="1" applyAlignment="1">
      <alignment horizontal="center" vertical="center"/>
    </xf>
    <xf numFmtId="1" fontId="970" fillId="8" borderId="1" xfId="0" applyNumberFormat="1" applyFont="1" applyFill="1" applyBorder="1" applyAlignment="1">
      <alignment horizontal="center" vertical="center"/>
    </xf>
    <xf numFmtId="165" fontId="971" fillId="8" borderId="1" xfId="0" applyNumberFormat="1" applyFont="1" applyFill="1" applyBorder="1" applyAlignment="1">
      <alignment horizontal="center" vertical="center"/>
    </xf>
    <xf numFmtId="1" fontId="972" fillId="8" borderId="1" xfId="0" applyNumberFormat="1" applyFont="1" applyFill="1" applyBorder="1" applyAlignment="1">
      <alignment horizontal="center" vertical="center"/>
    </xf>
    <xf numFmtId="1" fontId="973" fillId="8" borderId="1" xfId="0" applyNumberFormat="1" applyFont="1" applyFill="1" applyBorder="1" applyAlignment="1">
      <alignment horizontal="center" vertical="center"/>
    </xf>
    <xf numFmtId="1" fontId="974" fillId="8" borderId="1" xfId="0" applyNumberFormat="1" applyFont="1" applyFill="1" applyBorder="1" applyAlignment="1">
      <alignment horizontal="center" vertical="center"/>
    </xf>
    <xf numFmtId="1" fontId="975" fillId="8" borderId="1" xfId="0" applyNumberFormat="1" applyFont="1" applyFill="1" applyBorder="1" applyAlignment="1">
      <alignment horizontal="center" vertical="center"/>
    </xf>
    <xf numFmtId="165" fontId="976" fillId="8" borderId="1" xfId="0" applyNumberFormat="1" applyFont="1" applyFill="1" applyBorder="1" applyAlignment="1">
      <alignment horizontal="center" vertical="center"/>
    </xf>
    <xf numFmtId="1" fontId="977" fillId="8" borderId="1" xfId="0" applyNumberFormat="1" applyFont="1" applyFill="1" applyBorder="1" applyAlignment="1">
      <alignment horizontal="center" vertical="center"/>
    </xf>
    <xf numFmtId="165" fontId="978" fillId="8" borderId="1" xfId="0" applyNumberFormat="1" applyFont="1" applyFill="1" applyBorder="1" applyAlignment="1">
      <alignment horizontal="center" vertical="center"/>
    </xf>
    <xf numFmtId="1" fontId="979" fillId="8" borderId="1" xfId="0" applyNumberFormat="1" applyFont="1" applyFill="1" applyBorder="1" applyAlignment="1">
      <alignment horizontal="center" vertical="center"/>
    </xf>
    <xf numFmtId="165" fontId="980" fillId="8" borderId="1" xfId="0" applyNumberFormat="1" applyFont="1" applyFill="1" applyBorder="1" applyAlignment="1">
      <alignment horizontal="center" vertical="center"/>
    </xf>
    <xf numFmtId="2" fontId="981" fillId="8" borderId="1" xfId="0" applyNumberFormat="1" applyFont="1" applyFill="1" applyBorder="1" applyAlignment="1">
      <alignment horizontal="center" vertical="center"/>
    </xf>
    <xf numFmtId="2" fontId="982" fillId="8" borderId="1" xfId="0" applyNumberFormat="1" applyFont="1" applyFill="1" applyBorder="1" applyAlignment="1">
      <alignment horizontal="center" vertical="center"/>
    </xf>
    <xf numFmtId="2" fontId="983" fillId="8" borderId="1" xfId="0" applyNumberFormat="1" applyFont="1" applyFill="1" applyBorder="1" applyAlignment="1">
      <alignment horizontal="center" vertical="center"/>
    </xf>
    <xf numFmtId="2" fontId="984" fillId="8" borderId="1" xfId="0" applyNumberFormat="1" applyFont="1" applyFill="1" applyBorder="1" applyAlignment="1">
      <alignment horizontal="center" vertical="center"/>
    </xf>
    <xf numFmtId="2" fontId="985" fillId="8" borderId="1" xfId="0" applyNumberFormat="1" applyFont="1" applyFill="1" applyBorder="1" applyAlignment="1">
      <alignment horizontal="center" vertical="center"/>
    </xf>
    <xf numFmtId="2" fontId="986" fillId="8" borderId="1" xfId="0" applyNumberFormat="1" applyFont="1" applyFill="1" applyBorder="1" applyAlignment="1">
      <alignment horizontal="center" vertical="center"/>
    </xf>
    <xf numFmtId="2" fontId="987" fillId="8" borderId="1" xfId="0" applyNumberFormat="1" applyFont="1" applyFill="1" applyBorder="1" applyAlignment="1">
      <alignment horizontal="center" vertical="center"/>
    </xf>
    <xf numFmtId="2" fontId="988" fillId="8" borderId="1" xfId="0" applyNumberFormat="1" applyFont="1" applyFill="1" applyBorder="1" applyAlignment="1">
      <alignment horizontal="center" vertical="center"/>
    </xf>
    <xf numFmtId="2" fontId="989" fillId="8" borderId="1" xfId="0" applyNumberFormat="1" applyFont="1" applyFill="1" applyBorder="1" applyAlignment="1">
      <alignment horizontal="center" vertical="center"/>
    </xf>
    <xf numFmtId="2" fontId="990" fillId="8" borderId="1" xfId="0" applyNumberFormat="1" applyFont="1" applyFill="1" applyBorder="1" applyAlignment="1">
      <alignment horizontal="center" vertical="center"/>
    </xf>
    <xf numFmtId="2" fontId="991" fillId="8" borderId="1" xfId="0" applyNumberFormat="1" applyFont="1" applyFill="1" applyBorder="1" applyAlignment="1">
      <alignment horizontal="center" vertical="center"/>
    </xf>
    <xf numFmtId="2" fontId="992" fillId="8" borderId="1" xfId="0" applyNumberFormat="1" applyFont="1" applyFill="1" applyBorder="1" applyAlignment="1">
      <alignment horizontal="center" vertical="center"/>
    </xf>
    <xf numFmtId="2" fontId="993" fillId="8" borderId="1" xfId="0" applyNumberFormat="1" applyFont="1" applyFill="1" applyBorder="1" applyAlignment="1">
      <alignment horizontal="center" vertical="center"/>
    </xf>
    <xf numFmtId="2" fontId="994" fillId="8" borderId="1" xfId="0" applyNumberFormat="1" applyFont="1" applyFill="1" applyBorder="1" applyAlignment="1">
      <alignment horizontal="center" vertical="center"/>
    </xf>
    <xf numFmtId="2" fontId="995" fillId="8" borderId="1" xfId="0" applyNumberFormat="1" applyFont="1" applyFill="1" applyBorder="1" applyAlignment="1">
      <alignment horizontal="center" vertical="center"/>
    </xf>
    <xf numFmtId="2" fontId="996" fillId="8" borderId="1" xfId="0" applyNumberFormat="1" applyFont="1" applyFill="1" applyBorder="1" applyAlignment="1">
      <alignment horizontal="center" vertical="center"/>
    </xf>
    <xf numFmtId="2" fontId="997" fillId="8" borderId="1" xfId="0" applyNumberFormat="1" applyFont="1" applyFill="1" applyBorder="1" applyAlignment="1">
      <alignment horizontal="center" vertical="center"/>
    </xf>
    <xf numFmtId="2" fontId="998" fillId="8" borderId="1" xfId="0" applyNumberFormat="1" applyFont="1" applyFill="1" applyBorder="1" applyAlignment="1">
      <alignment horizontal="center" vertical="center"/>
    </xf>
    <xf numFmtId="2" fontId="999" fillId="8" borderId="1" xfId="0" applyNumberFormat="1" applyFont="1" applyFill="1" applyBorder="1" applyAlignment="1">
      <alignment horizontal="center" vertical="center"/>
    </xf>
    <xf numFmtId="2" fontId="1000" fillId="8" borderId="1" xfId="0" applyNumberFormat="1" applyFont="1" applyFill="1" applyBorder="1" applyAlignment="1">
      <alignment horizontal="center" vertical="center"/>
    </xf>
    <xf numFmtId="2" fontId="1001" fillId="8" borderId="1" xfId="0" applyNumberFormat="1" applyFont="1" applyFill="1" applyBorder="1" applyAlignment="1">
      <alignment horizontal="center" vertical="center"/>
    </xf>
    <xf numFmtId="2" fontId="1002" fillId="8" borderId="1" xfId="0" applyNumberFormat="1" applyFont="1" applyFill="1" applyBorder="1" applyAlignment="1">
      <alignment horizontal="center" vertical="center"/>
    </xf>
    <xf numFmtId="2" fontId="1003" fillId="8" borderId="1" xfId="0" applyNumberFormat="1" applyFont="1" applyFill="1" applyBorder="1" applyAlignment="1">
      <alignment horizontal="center" vertical="center"/>
    </xf>
    <xf numFmtId="2" fontId="1004" fillId="8" borderId="1" xfId="0" applyNumberFormat="1" applyFont="1" applyFill="1" applyBorder="1" applyAlignment="1">
      <alignment horizontal="center" vertical="center"/>
    </xf>
    <xf numFmtId="2" fontId="1005" fillId="8" borderId="1" xfId="0" applyNumberFormat="1" applyFont="1" applyFill="1" applyBorder="1" applyAlignment="1">
      <alignment horizontal="center" vertical="center"/>
    </xf>
    <xf numFmtId="2" fontId="1006" fillId="8" borderId="1" xfId="0" applyNumberFormat="1" applyFont="1" applyFill="1" applyBorder="1" applyAlignment="1">
      <alignment horizontal="center" vertical="center"/>
    </xf>
    <xf numFmtId="2" fontId="1007" fillId="8" borderId="1" xfId="0" applyNumberFormat="1" applyFont="1" applyFill="1" applyBorder="1" applyAlignment="1">
      <alignment horizontal="center" vertical="center"/>
    </xf>
    <xf numFmtId="2" fontId="1008" fillId="8" borderId="1" xfId="0" applyNumberFormat="1" applyFont="1" applyFill="1" applyBorder="1" applyAlignment="1">
      <alignment horizontal="center" vertical="center"/>
    </xf>
    <xf numFmtId="2" fontId="1009" fillId="8" borderId="1" xfId="0" applyNumberFormat="1" applyFont="1" applyFill="1" applyBorder="1" applyAlignment="1">
      <alignment horizontal="center" vertical="center"/>
    </xf>
    <xf numFmtId="2" fontId="1010" fillId="8" borderId="1" xfId="0" applyNumberFormat="1" applyFont="1" applyFill="1" applyBorder="1" applyAlignment="1">
      <alignment horizontal="center" vertical="center"/>
    </xf>
    <xf numFmtId="2" fontId="1011" fillId="8" borderId="1" xfId="0" applyNumberFormat="1" applyFont="1" applyFill="1" applyBorder="1" applyAlignment="1">
      <alignment horizontal="center" vertical="center"/>
    </xf>
    <xf numFmtId="2" fontId="1012" fillId="8" borderId="1" xfId="0" applyNumberFormat="1" applyFont="1" applyFill="1" applyBorder="1" applyAlignment="1">
      <alignment horizontal="center" vertical="center"/>
    </xf>
    <xf numFmtId="2" fontId="1013" fillId="8" borderId="1" xfId="0" applyNumberFormat="1" applyFont="1" applyFill="1" applyBorder="1" applyAlignment="1">
      <alignment horizontal="center" vertical="center"/>
    </xf>
    <xf numFmtId="2" fontId="1014" fillId="8" borderId="1" xfId="0" applyNumberFormat="1" applyFont="1" applyFill="1" applyBorder="1" applyAlignment="1">
      <alignment horizontal="center" vertical="center"/>
    </xf>
    <xf numFmtId="0" fontId="1015" fillId="7" borderId="1" xfId="0" applyNumberFormat="1" applyFont="1" applyFill="1" applyBorder="1" applyAlignment="1">
      <alignment horizontal="left" vertical="center"/>
    </xf>
    <xf numFmtId="0" fontId="1016" fillId="8" borderId="1" xfId="0" applyNumberFormat="1" applyFont="1" applyFill="1" applyBorder="1" applyAlignment="1">
      <alignment horizontal="center" vertical="center"/>
    </xf>
    <xf numFmtId="164" fontId="1017" fillId="8" borderId="1" xfId="0" applyNumberFormat="1" applyFont="1" applyFill="1" applyBorder="1" applyAlignment="1">
      <alignment horizontal="center" vertical="center"/>
    </xf>
    <xf numFmtId="1" fontId="1018" fillId="8" borderId="1" xfId="0" applyNumberFormat="1" applyFont="1" applyFill="1" applyBorder="1" applyAlignment="1">
      <alignment horizontal="center" vertical="center"/>
    </xf>
    <xf numFmtId="1" fontId="1019" fillId="8" borderId="1" xfId="0" applyNumberFormat="1" applyFont="1" applyFill="1" applyBorder="1" applyAlignment="1">
      <alignment horizontal="center" vertical="center"/>
    </xf>
    <xf numFmtId="1" fontId="1020" fillId="8" borderId="1" xfId="0" applyNumberFormat="1" applyFont="1" applyFill="1" applyBorder="1" applyAlignment="1">
      <alignment horizontal="center" vertical="center"/>
    </xf>
    <xf numFmtId="1" fontId="1021" fillId="8" borderId="1" xfId="0" applyNumberFormat="1" applyFont="1" applyFill="1" applyBorder="1" applyAlignment="1">
      <alignment horizontal="center" vertical="center"/>
    </xf>
    <xf numFmtId="1" fontId="1022" fillId="8" borderId="1" xfId="0" applyNumberFormat="1" applyFont="1" applyFill="1" applyBorder="1" applyAlignment="1">
      <alignment horizontal="center" vertical="center"/>
    </xf>
    <xf numFmtId="1" fontId="1023" fillId="8" borderId="1" xfId="0" applyNumberFormat="1" applyFont="1" applyFill="1" applyBorder="1" applyAlignment="1">
      <alignment horizontal="center" vertical="center"/>
    </xf>
    <xf numFmtId="1" fontId="1024" fillId="8" borderId="1" xfId="0" applyNumberFormat="1" applyFont="1" applyFill="1" applyBorder="1" applyAlignment="1">
      <alignment horizontal="center" vertical="center"/>
    </xf>
    <xf numFmtId="0" fontId="1025" fillId="8" borderId="1" xfId="0" applyNumberFormat="1" applyFont="1" applyFill="1" applyBorder="1" applyAlignment="1">
      <alignment horizontal="center" vertical="center"/>
    </xf>
    <xf numFmtId="0" fontId="1026" fillId="8" borderId="1" xfId="0" applyNumberFormat="1" applyFont="1" applyFill="1" applyBorder="1" applyAlignment="1">
      <alignment horizontal="center" vertical="center"/>
    </xf>
    <xf numFmtId="1" fontId="1027" fillId="8" borderId="1" xfId="0" applyNumberFormat="1" applyFont="1" applyFill="1" applyBorder="1" applyAlignment="1">
      <alignment horizontal="center" vertical="center"/>
    </xf>
    <xf numFmtId="1" fontId="1028" fillId="8" borderId="1" xfId="0" applyNumberFormat="1" applyFont="1" applyFill="1" applyBorder="1" applyAlignment="1">
      <alignment horizontal="center" vertical="center"/>
    </xf>
    <xf numFmtId="1" fontId="1029" fillId="8" borderId="1" xfId="0" applyNumberFormat="1" applyFont="1" applyFill="1" applyBorder="1" applyAlignment="1">
      <alignment horizontal="center" vertical="center"/>
    </xf>
    <xf numFmtId="165" fontId="1030" fillId="8" borderId="1" xfId="0" applyNumberFormat="1" applyFont="1" applyFill="1" applyBorder="1" applyAlignment="1">
      <alignment horizontal="center" vertical="center"/>
    </xf>
    <xf numFmtId="1" fontId="1031" fillId="8" borderId="1" xfId="0" applyNumberFormat="1" applyFont="1" applyFill="1" applyBorder="1" applyAlignment="1">
      <alignment horizontal="center" vertical="center"/>
    </xf>
    <xf numFmtId="165" fontId="1032" fillId="8" borderId="1" xfId="0" applyNumberFormat="1" applyFont="1" applyFill="1" applyBorder="1" applyAlignment="1">
      <alignment horizontal="center" vertical="center"/>
    </xf>
    <xf numFmtId="1" fontId="1033" fillId="8" borderId="1" xfId="0" applyNumberFormat="1" applyFont="1" applyFill="1" applyBorder="1" applyAlignment="1">
      <alignment horizontal="center" vertical="center"/>
    </xf>
    <xf numFmtId="165" fontId="1034" fillId="8" borderId="1" xfId="0" applyNumberFormat="1" applyFont="1" applyFill="1" applyBorder="1" applyAlignment="1">
      <alignment horizontal="center" vertical="center"/>
    </xf>
    <xf numFmtId="1" fontId="1035" fillId="8" borderId="1" xfId="0" applyNumberFormat="1" applyFont="1" applyFill="1" applyBorder="1" applyAlignment="1">
      <alignment horizontal="center" vertical="center"/>
    </xf>
    <xf numFmtId="165" fontId="1036" fillId="8" borderId="1" xfId="0" applyNumberFormat="1" applyFont="1" applyFill="1" applyBorder="1" applyAlignment="1">
      <alignment horizontal="center" vertical="center"/>
    </xf>
    <xf numFmtId="165" fontId="1037" fillId="8" borderId="1" xfId="0" applyNumberFormat="1" applyFont="1" applyFill="1" applyBorder="1" applyAlignment="1">
      <alignment horizontal="center" vertical="center"/>
    </xf>
    <xf numFmtId="1" fontId="1038" fillId="8" borderId="1" xfId="0" applyNumberFormat="1" applyFont="1" applyFill="1" applyBorder="1" applyAlignment="1">
      <alignment horizontal="center" vertical="center"/>
    </xf>
    <xf numFmtId="1" fontId="1039" fillId="8" borderId="1" xfId="0" applyNumberFormat="1" applyFont="1" applyFill="1" applyBorder="1" applyAlignment="1">
      <alignment horizontal="center" vertical="center"/>
    </xf>
    <xf numFmtId="1" fontId="1040" fillId="8" borderId="1" xfId="0" applyNumberFormat="1" applyFont="1" applyFill="1" applyBorder="1" applyAlignment="1">
      <alignment horizontal="center" vertical="center"/>
    </xf>
    <xf numFmtId="165" fontId="1041" fillId="8" borderId="1" xfId="0" applyNumberFormat="1" applyFont="1" applyFill="1" applyBorder="1" applyAlignment="1">
      <alignment horizontal="center" vertical="center"/>
    </xf>
    <xf numFmtId="164" fontId="1042" fillId="8" borderId="1" xfId="0" applyNumberFormat="1" applyFont="1" applyFill="1" applyBorder="1" applyAlignment="1">
      <alignment horizontal="center" vertical="center"/>
    </xf>
    <xf numFmtId="164" fontId="1043" fillId="8" borderId="1" xfId="0" applyNumberFormat="1" applyFont="1" applyFill="1" applyBorder="1" applyAlignment="1">
      <alignment horizontal="center" vertical="center"/>
    </xf>
    <xf numFmtId="1" fontId="1044" fillId="8" borderId="1" xfId="0" applyNumberFormat="1" applyFont="1" applyFill="1" applyBorder="1" applyAlignment="1">
      <alignment horizontal="center" vertical="center"/>
    </xf>
    <xf numFmtId="1" fontId="1045" fillId="8" borderId="1" xfId="0" applyNumberFormat="1" applyFont="1" applyFill="1" applyBorder="1" applyAlignment="1">
      <alignment horizontal="center" vertical="center"/>
    </xf>
    <xf numFmtId="1" fontId="1046" fillId="8" borderId="1" xfId="0" applyNumberFormat="1" applyFont="1" applyFill="1" applyBorder="1" applyAlignment="1">
      <alignment horizontal="center" vertical="center"/>
    </xf>
    <xf numFmtId="165" fontId="1047" fillId="8" borderId="1" xfId="0" applyNumberFormat="1" applyFont="1" applyFill="1" applyBorder="1" applyAlignment="1">
      <alignment horizontal="center" vertical="center"/>
    </xf>
    <xf numFmtId="1" fontId="1048" fillId="8" borderId="1" xfId="0" applyNumberFormat="1" applyFont="1" applyFill="1" applyBorder="1" applyAlignment="1">
      <alignment horizontal="center" vertical="center"/>
    </xf>
    <xf numFmtId="165" fontId="1049" fillId="8" borderId="1" xfId="0" applyNumberFormat="1" applyFont="1" applyFill="1" applyBorder="1" applyAlignment="1">
      <alignment horizontal="center" vertical="center"/>
    </xf>
    <xf numFmtId="1" fontId="1050" fillId="8" borderId="1" xfId="0" applyNumberFormat="1" applyFont="1" applyFill="1" applyBorder="1" applyAlignment="1">
      <alignment horizontal="center" vertical="center"/>
    </xf>
    <xf numFmtId="1" fontId="1051" fillId="8" borderId="1" xfId="0" applyNumberFormat="1" applyFont="1" applyFill="1" applyBorder="1" applyAlignment="1">
      <alignment horizontal="center" vertical="center"/>
    </xf>
    <xf numFmtId="1" fontId="1052" fillId="8" borderId="1" xfId="0" applyNumberFormat="1" applyFont="1" applyFill="1" applyBorder="1" applyAlignment="1">
      <alignment horizontal="center" vertical="center"/>
    </xf>
    <xf numFmtId="1" fontId="1053" fillId="8" borderId="1" xfId="0" applyNumberFormat="1" applyFont="1" applyFill="1" applyBorder="1" applyAlignment="1">
      <alignment horizontal="center" vertical="center"/>
    </xf>
    <xf numFmtId="165" fontId="1054" fillId="8" borderId="1" xfId="0" applyNumberFormat="1" applyFont="1" applyFill="1" applyBorder="1" applyAlignment="1">
      <alignment horizontal="center" vertical="center"/>
    </xf>
    <xf numFmtId="1" fontId="1055" fillId="8" borderId="1" xfId="0" applyNumberFormat="1" applyFont="1" applyFill="1" applyBorder="1" applyAlignment="1">
      <alignment horizontal="center" vertical="center"/>
    </xf>
    <xf numFmtId="165" fontId="1056" fillId="8" borderId="1" xfId="0" applyNumberFormat="1" applyFont="1" applyFill="1" applyBorder="1" applyAlignment="1">
      <alignment horizontal="center" vertical="center"/>
    </xf>
    <xf numFmtId="1" fontId="1057" fillId="8" borderId="1" xfId="0" applyNumberFormat="1" applyFont="1" applyFill="1" applyBorder="1" applyAlignment="1">
      <alignment horizontal="center" vertical="center"/>
    </xf>
    <xf numFmtId="165" fontId="1058" fillId="8" borderId="1" xfId="0" applyNumberFormat="1" applyFont="1" applyFill="1" applyBorder="1" applyAlignment="1">
      <alignment horizontal="center" vertical="center"/>
    </xf>
    <xf numFmtId="2" fontId="1059" fillId="8" borderId="1" xfId="0" applyNumberFormat="1" applyFont="1" applyFill="1" applyBorder="1" applyAlignment="1">
      <alignment horizontal="center" vertical="center"/>
    </xf>
    <xf numFmtId="2" fontId="1060" fillId="8" borderId="1" xfId="0" applyNumberFormat="1" applyFont="1" applyFill="1" applyBorder="1" applyAlignment="1">
      <alignment horizontal="center" vertical="center"/>
    </xf>
    <xf numFmtId="2" fontId="1061" fillId="8" borderId="1" xfId="0" applyNumberFormat="1" applyFont="1" applyFill="1" applyBorder="1" applyAlignment="1">
      <alignment horizontal="center" vertical="center"/>
    </xf>
    <xf numFmtId="2" fontId="1062" fillId="8" borderId="1" xfId="0" applyNumberFormat="1" applyFont="1" applyFill="1" applyBorder="1" applyAlignment="1">
      <alignment horizontal="center" vertical="center"/>
    </xf>
    <xf numFmtId="2" fontId="1063" fillId="8" borderId="1" xfId="0" applyNumberFormat="1" applyFont="1" applyFill="1" applyBorder="1" applyAlignment="1">
      <alignment horizontal="center" vertical="center"/>
    </xf>
    <xf numFmtId="2" fontId="1064" fillId="8" borderId="1" xfId="0" applyNumberFormat="1" applyFont="1" applyFill="1" applyBorder="1" applyAlignment="1">
      <alignment horizontal="center" vertical="center"/>
    </xf>
    <xf numFmtId="2" fontId="1065" fillId="8" borderId="1" xfId="0" applyNumberFormat="1" applyFont="1" applyFill="1" applyBorder="1" applyAlignment="1">
      <alignment horizontal="center" vertical="center"/>
    </xf>
    <xf numFmtId="2" fontId="1066" fillId="8" borderId="1" xfId="0" applyNumberFormat="1" applyFont="1" applyFill="1" applyBorder="1" applyAlignment="1">
      <alignment horizontal="center" vertical="center"/>
    </xf>
    <xf numFmtId="2" fontId="1067" fillId="8" borderId="1" xfId="0" applyNumberFormat="1" applyFont="1" applyFill="1" applyBorder="1" applyAlignment="1">
      <alignment horizontal="center" vertical="center"/>
    </xf>
    <xf numFmtId="2" fontId="1068" fillId="8" borderId="1" xfId="0" applyNumberFormat="1" applyFont="1" applyFill="1" applyBorder="1" applyAlignment="1">
      <alignment horizontal="center" vertical="center"/>
    </xf>
    <xf numFmtId="2" fontId="1069" fillId="8" borderId="1" xfId="0" applyNumberFormat="1" applyFont="1" applyFill="1" applyBorder="1" applyAlignment="1">
      <alignment horizontal="center" vertical="center"/>
    </xf>
    <xf numFmtId="2" fontId="1070" fillId="8" borderId="1" xfId="0" applyNumberFormat="1" applyFont="1" applyFill="1" applyBorder="1" applyAlignment="1">
      <alignment horizontal="center" vertical="center"/>
    </xf>
    <xf numFmtId="2" fontId="1071" fillId="8" borderId="1" xfId="0" applyNumberFormat="1" applyFont="1" applyFill="1" applyBorder="1" applyAlignment="1">
      <alignment horizontal="center" vertical="center"/>
    </xf>
    <xf numFmtId="2" fontId="1072" fillId="8" borderId="1" xfId="0" applyNumberFormat="1" applyFont="1" applyFill="1" applyBorder="1" applyAlignment="1">
      <alignment horizontal="center" vertical="center"/>
    </xf>
    <xf numFmtId="2" fontId="1073" fillId="8" borderId="1" xfId="0" applyNumberFormat="1" applyFont="1" applyFill="1" applyBorder="1" applyAlignment="1">
      <alignment horizontal="center" vertical="center"/>
    </xf>
    <xf numFmtId="2" fontId="1074" fillId="8" borderId="1" xfId="0" applyNumberFormat="1" applyFont="1" applyFill="1" applyBorder="1" applyAlignment="1">
      <alignment horizontal="center" vertical="center"/>
    </xf>
    <xf numFmtId="2" fontId="1075" fillId="8" borderId="1" xfId="0" applyNumberFormat="1" applyFont="1" applyFill="1" applyBorder="1" applyAlignment="1">
      <alignment horizontal="center" vertical="center"/>
    </xf>
    <xf numFmtId="2" fontId="1076" fillId="8" borderId="1" xfId="0" applyNumberFormat="1" applyFont="1" applyFill="1" applyBorder="1" applyAlignment="1">
      <alignment horizontal="center" vertical="center"/>
    </xf>
    <xf numFmtId="2" fontId="1077" fillId="8" borderId="1" xfId="0" applyNumberFormat="1" applyFont="1" applyFill="1" applyBorder="1" applyAlignment="1">
      <alignment horizontal="center" vertical="center"/>
    </xf>
    <xf numFmtId="2" fontId="1078" fillId="8" borderId="1" xfId="0" applyNumberFormat="1" applyFont="1" applyFill="1" applyBorder="1" applyAlignment="1">
      <alignment horizontal="center" vertical="center"/>
    </xf>
    <xf numFmtId="2" fontId="1079" fillId="8" borderId="1" xfId="0" applyNumberFormat="1" applyFont="1" applyFill="1" applyBorder="1" applyAlignment="1">
      <alignment horizontal="center" vertical="center"/>
    </xf>
    <xf numFmtId="2" fontId="1080" fillId="8" borderId="1" xfId="0" applyNumberFormat="1" applyFont="1" applyFill="1" applyBorder="1" applyAlignment="1">
      <alignment horizontal="center" vertical="center"/>
    </xf>
    <xf numFmtId="2" fontId="1081" fillId="8" borderId="1" xfId="0" applyNumberFormat="1" applyFont="1" applyFill="1" applyBorder="1" applyAlignment="1">
      <alignment horizontal="center" vertical="center"/>
    </xf>
    <xf numFmtId="2" fontId="1082" fillId="8" borderId="1" xfId="0" applyNumberFormat="1" applyFont="1" applyFill="1" applyBorder="1" applyAlignment="1">
      <alignment horizontal="center" vertical="center"/>
    </xf>
    <xf numFmtId="2" fontId="1083" fillId="8" borderId="1" xfId="0" applyNumberFormat="1" applyFont="1" applyFill="1" applyBorder="1" applyAlignment="1">
      <alignment horizontal="center" vertical="center"/>
    </xf>
    <xf numFmtId="2" fontId="1084" fillId="8" borderId="1" xfId="0" applyNumberFormat="1" applyFont="1" applyFill="1" applyBorder="1" applyAlignment="1">
      <alignment horizontal="center" vertical="center"/>
    </xf>
    <xf numFmtId="2" fontId="1085" fillId="8" borderId="1" xfId="0" applyNumberFormat="1" applyFont="1" applyFill="1" applyBorder="1" applyAlignment="1">
      <alignment horizontal="center" vertical="center"/>
    </xf>
    <xf numFmtId="2" fontId="1086" fillId="8" borderId="1" xfId="0" applyNumberFormat="1" applyFont="1" applyFill="1" applyBorder="1" applyAlignment="1">
      <alignment horizontal="center" vertical="center"/>
    </xf>
    <xf numFmtId="2" fontId="1087" fillId="8" borderId="1" xfId="0" applyNumberFormat="1" applyFont="1" applyFill="1" applyBorder="1" applyAlignment="1">
      <alignment horizontal="center" vertical="center"/>
    </xf>
    <xf numFmtId="2" fontId="1088" fillId="8" borderId="1" xfId="0" applyNumberFormat="1" applyFont="1" applyFill="1" applyBorder="1" applyAlignment="1">
      <alignment horizontal="center" vertical="center"/>
    </xf>
    <xf numFmtId="2" fontId="1089" fillId="8" borderId="1" xfId="0" applyNumberFormat="1" applyFont="1" applyFill="1" applyBorder="1" applyAlignment="1">
      <alignment horizontal="center" vertical="center"/>
    </xf>
    <xf numFmtId="2" fontId="1090" fillId="8" borderId="1" xfId="0" applyNumberFormat="1" applyFont="1" applyFill="1" applyBorder="1" applyAlignment="1">
      <alignment horizontal="center" vertical="center"/>
    </xf>
    <xf numFmtId="2" fontId="1091" fillId="8" borderId="1" xfId="0" applyNumberFormat="1" applyFont="1" applyFill="1" applyBorder="1" applyAlignment="1">
      <alignment horizontal="center" vertical="center"/>
    </xf>
    <xf numFmtId="2" fontId="1092" fillId="8" borderId="1" xfId="0" applyNumberFormat="1" applyFont="1" applyFill="1" applyBorder="1" applyAlignment="1">
      <alignment horizontal="center" vertical="center"/>
    </xf>
    <xf numFmtId="0" fontId="1093" fillId="7" borderId="1" xfId="0" applyNumberFormat="1" applyFont="1" applyFill="1" applyBorder="1" applyAlignment="1">
      <alignment horizontal="left" vertical="center"/>
    </xf>
    <xf numFmtId="0" fontId="1094" fillId="8" borderId="1" xfId="0" applyNumberFormat="1" applyFont="1" applyFill="1" applyBorder="1" applyAlignment="1">
      <alignment horizontal="center" vertical="center"/>
    </xf>
    <xf numFmtId="164" fontId="1095" fillId="8" borderId="1" xfId="0" applyNumberFormat="1" applyFont="1" applyFill="1" applyBorder="1" applyAlignment="1">
      <alignment horizontal="center" vertical="center"/>
    </xf>
    <xf numFmtId="1" fontId="1096" fillId="8" borderId="1" xfId="0" applyNumberFormat="1" applyFont="1" applyFill="1" applyBorder="1" applyAlignment="1">
      <alignment horizontal="center" vertical="center"/>
    </xf>
    <xf numFmtId="1" fontId="1097" fillId="8" borderId="1" xfId="0" applyNumberFormat="1" applyFont="1" applyFill="1" applyBorder="1" applyAlignment="1">
      <alignment horizontal="center" vertical="center"/>
    </xf>
    <xf numFmtId="1" fontId="1098" fillId="8" borderId="1" xfId="0" applyNumberFormat="1" applyFont="1" applyFill="1" applyBorder="1" applyAlignment="1">
      <alignment horizontal="center" vertical="center"/>
    </xf>
    <xf numFmtId="1" fontId="1099" fillId="8" borderId="1" xfId="0" applyNumberFormat="1" applyFont="1" applyFill="1" applyBorder="1" applyAlignment="1">
      <alignment horizontal="center" vertical="center"/>
    </xf>
    <xf numFmtId="1" fontId="1100" fillId="8" borderId="1" xfId="0" applyNumberFormat="1" applyFont="1" applyFill="1" applyBorder="1" applyAlignment="1">
      <alignment horizontal="center" vertical="center"/>
    </xf>
    <xf numFmtId="1" fontId="1101" fillId="8" borderId="1" xfId="0" applyNumberFormat="1" applyFont="1" applyFill="1" applyBorder="1" applyAlignment="1">
      <alignment horizontal="center" vertical="center"/>
    </xf>
    <xf numFmtId="1" fontId="1102" fillId="8" borderId="1" xfId="0" applyNumberFormat="1" applyFont="1" applyFill="1" applyBorder="1" applyAlignment="1">
      <alignment horizontal="center" vertical="center"/>
    </xf>
    <xf numFmtId="0" fontId="1103" fillId="8" borderId="1" xfId="0" applyNumberFormat="1" applyFont="1" applyFill="1" applyBorder="1" applyAlignment="1">
      <alignment horizontal="center" vertical="center"/>
    </xf>
    <xf numFmtId="0" fontId="1104" fillId="8" borderId="1" xfId="0" applyNumberFormat="1" applyFont="1" applyFill="1" applyBorder="1" applyAlignment="1">
      <alignment horizontal="center" vertical="center"/>
    </xf>
    <xf numFmtId="1" fontId="1105" fillId="8" borderId="1" xfId="0" applyNumberFormat="1" applyFont="1" applyFill="1" applyBorder="1" applyAlignment="1">
      <alignment horizontal="center" vertical="center"/>
    </xf>
    <xf numFmtId="1" fontId="1106" fillId="8" borderId="1" xfId="0" applyNumberFormat="1" applyFont="1" applyFill="1" applyBorder="1" applyAlignment="1">
      <alignment horizontal="center" vertical="center"/>
    </xf>
    <xf numFmtId="1" fontId="1107" fillId="8" borderId="1" xfId="0" applyNumberFormat="1" applyFont="1" applyFill="1" applyBorder="1" applyAlignment="1">
      <alignment horizontal="center" vertical="center"/>
    </xf>
    <xf numFmtId="165" fontId="1108" fillId="8" borderId="1" xfId="0" applyNumberFormat="1" applyFont="1" applyFill="1" applyBorder="1" applyAlignment="1">
      <alignment horizontal="center" vertical="center"/>
    </xf>
    <xf numFmtId="1" fontId="1109" fillId="8" borderId="1" xfId="0" applyNumberFormat="1" applyFont="1" applyFill="1" applyBorder="1" applyAlignment="1">
      <alignment horizontal="center" vertical="center"/>
    </xf>
    <xf numFmtId="165" fontId="1110" fillId="8" borderId="1" xfId="0" applyNumberFormat="1" applyFont="1" applyFill="1" applyBorder="1" applyAlignment="1">
      <alignment horizontal="center" vertical="center"/>
    </xf>
    <xf numFmtId="1" fontId="1111" fillId="8" borderId="1" xfId="0" applyNumberFormat="1" applyFont="1" applyFill="1" applyBorder="1" applyAlignment="1">
      <alignment horizontal="center" vertical="center"/>
    </xf>
    <xf numFmtId="165" fontId="1112" fillId="8" borderId="1" xfId="0" applyNumberFormat="1" applyFont="1" applyFill="1" applyBorder="1" applyAlignment="1">
      <alignment horizontal="center" vertical="center"/>
    </xf>
    <xf numFmtId="1" fontId="1113" fillId="8" borderId="1" xfId="0" applyNumberFormat="1" applyFont="1" applyFill="1" applyBorder="1" applyAlignment="1">
      <alignment horizontal="center" vertical="center"/>
    </xf>
    <xf numFmtId="165" fontId="1114" fillId="8" borderId="1" xfId="0" applyNumberFormat="1" applyFont="1" applyFill="1" applyBorder="1" applyAlignment="1">
      <alignment horizontal="center" vertical="center"/>
    </xf>
    <xf numFmtId="165" fontId="1115" fillId="8" borderId="1" xfId="0" applyNumberFormat="1" applyFont="1" applyFill="1" applyBorder="1" applyAlignment="1">
      <alignment horizontal="center" vertical="center"/>
    </xf>
    <xf numFmtId="1" fontId="1116" fillId="8" borderId="1" xfId="0" applyNumberFormat="1" applyFont="1" applyFill="1" applyBorder="1" applyAlignment="1">
      <alignment horizontal="center" vertical="center"/>
    </xf>
    <xf numFmtId="1" fontId="1117" fillId="8" borderId="1" xfId="0" applyNumberFormat="1" applyFont="1" applyFill="1" applyBorder="1" applyAlignment="1">
      <alignment horizontal="center" vertical="center"/>
    </xf>
    <xf numFmtId="1" fontId="1118" fillId="8" borderId="1" xfId="0" applyNumberFormat="1" applyFont="1" applyFill="1" applyBorder="1" applyAlignment="1">
      <alignment horizontal="center" vertical="center"/>
    </xf>
    <xf numFmtId="165" fontId="1119" fillId="8" borderId="1" xfId="0" applyNumberFormat="1" applyFont="1" applyFill="1" applyBorder="1" applyAlignment="1">
      <alignment horizontal="center" vertical="center"/>
    </xf>
    <xf numFmtId="164" fontId="1120" fillId="8" borderId="1" xfId="0" applyNumberFormat="1" applyFont="1" applyFill="1" applyBorder="1" applyAlignment="1">
      <alignment horizontal="center" vertical="center"/>
    </xf>
    <xf numFmtId="164" fontId="1121" fillId="8" borderId="1" xfId="0" applyNumberFormat="1" applyFont="1" applyFill="1" applyBorder="1" applyAlignment="1">
      <alignment horizontal="center" vertical="center"/>
    </xf>
    <xf numFmtId="1" fontId="1122" fillId="8" borderId="1" xfId="0" applyNumberFormat="1" applyFont="1" applyFill="1" applyBorder="1" applyAlignment="1">
      <alignment horizontal="center" vertical="center"/>
    </xf>
    <xf numFmtId="1" fontId="1123" fillId="8" borderId="1" xfId="0" applyNumberFormat="1" applyFont="1" applyFill="1" applyBorder="1" applyAlignment="1">
      <alignment horizontal="center" vertical="center"/>
    </xf>
    <xf numFmtId="1" fontId="1124" fillId="8" borderId="1" xfId="0" applyNumberFormat="1" applyFont="1" applyFill="1" applyBorder="1" applyAlignment="1">
      <alignment horizontal="center" vertical="center"/>
    </xf>
    <xf numFmtId="165" fontId="1125" fillId="8" borderId="1" xfId="0" applyNumberFormat="1" applyFont="1" applyFill="1" applyBorder="1" applyAlignment="1">
      <alignment horizontal="center" vertical="center"/>
    </xf>
    <xf numFmtId="1" fontId="1126" fillId="8" borderId="1" xfId="0" applyNumberFormat="1" applyFont="1" applyFill="1" applyBorder="1" applyAlignment="1">
      <alignment horizontal="center" vertical="center"/>
    </xf>
    <xf numFmtId="165" fontId="1127" fillId="8" borderId="1" xfId="0" applyNumberFormat="1" applyFont="1" applyFill="1" applyBorder="1" applyAlignment="1">
      <alignment horizontal="center" vertical="center"/>
    </xf>
    <xf numFmtId="1" fontId="1128" fillId="8" borderId="1" xfId="0" applyNumberFormat="1" applyFont="1" applyFill="1" applyBorder="1" applyAlignment="1">
      <alignment horizontal="center" vertical="center"/>
    </xf>
    <xf numFmtId="1" fontId="1129" fillId="8" borderId="1" xfId="0" applyNumberFormat="1" applyFont="1" applyFill="1" applyBorder="1" applyAlignment="1">
      <alignment horizontal="center" vertical="center"/>
    </xf>
    <xf numFmtId="1" fontId="1130" fillId="8" borderId="1" xfId="0" applyNumberFormat="1" applyFont="1" applyFill="1" applyBorder="1" applyAlignment="1">
      <alignment horizontal="center" vertical="center"/>
    </xf>
    <xf numFmtId="1" fontId="1131" fillId="8" borderId="1" xfId="0" applyNumberFormat="1" applyFont="1" applyFill="1" applyBorder="1" applyAlignment="1">
      <alignment horizontal="center" vertical="center"/>
    </xf>
    <xf numFmtId="165" fontId="1132" fillId="8" borderId="1" xfId="0" applyNumberFormat="1" applyFont="1" applyFill="1" applyBorder="1" applyAlignment="1">
      <alignment horizontal="center" vertical="center"/>
    </xf>
    <xf numFmtId="1" fontId="1133" fillId="8" borderId="1" xfId="0" applyNumberFormat="1" applyFont="1" applyFill="1" applyBorder="1" applyAlignment="1">
      <alignment horizontal="center" vertical="center"/>
    </xf>
    <xf numFmtId="165" fontId="1134" fillId="8" borderId="1" xfId="0" applyNumberFormat="1" applyFont="1" applyFill="1" applyBorder="1" applyAlignment="1">
      <alignment horizontal="center" vertical="center"/>
    </xf>
    <xf numFmtId="1" fontId="1135" fillId="8" borderId="1" xfId="0" applyNumberFormat="1" applyFont="1" applyFill="1" applyBorder="1" applyAlignment="1">
      <alignment horizontal="center" vertical="center"/>
    </xf>
    <xf numFmtId="165" fontId="1136" fillId="8" borderId="1" xfId="0" applyNumberFormat="1" applyFont="1" applyFill="1" applyBorder="1" applyAlignment="1">
      <alignment horizontal="center" vertical="center"/>
    </xf>
    <xf numFmtId="2" fontId="1137" fillId="8" borderId="1" xfId="0" applyNumberFormat="1" applyFont="1" applyFill="1" applyBorder="1" applyAlignment="1">
      <alignment horizontal="center" vertical="center"/>
    </xf>
    <xf numFmtId="2" fontId="1138" fillId="8" borderId="1" xfId="0" applyNumberFormat="1" applyFont="1" applyFill="1" applyBorder="1" applyAlignment="1">
      <alignment horizontal="center" vertical="center"/>
    </xf>
    <xf numFmtId="2" fontId="1139" fillId="8" borderId="1" xfId="0" applyNumberFormat="1" applyFont="1" applyFill="1" applyBorder="1" applyAlignment="1">
      <alignment horizontal="center" vertical="center"/>
    </xf>
    <xf numFmtId="2" fontId="1140" fillId="8" borderId="1" xfId="0" applyNumberFormat="1" applyFont="1" applyFill="1" applyBorder="1" applyAlignment="1">
      <alignment horizontal="center" vertical="center"/>
    </xf>
    <xf numFmtId="2" fontId="1141" fillId="8" borderId="1" xfId="0" applyNumberFormat="1" applyFont="1" applyFill="1" applyBorder="1" applyAlignment="1">
      <alignment horizontal="center" vertical="center"/>
    </xf>
    <xf numFmtId="2" fontId="1142" fillId="8" borderId="1" xfId="0" applyNumberFormat="1" applyFont="1" applyFill="1" applyBorder="1" applyAlignment="1">
      <alignment horizontal="center" vertical="center"/>
    </xf>
    <xf numFmtId="2" fontId="1143" fillId="8" borderId="1" xfId="0" applyNumberFormat="1" applyFont="1" applyFill="1" applyBorder="1" applyAlignment="1">
      <alignment horizontal="center" vertical="center"/>
    </xf>
    <xf numFmtId="2" fontId="1144" fillId="8" borderId="1" xfId="0" applyNumberFormat="1" applyFont="1" applyFill="1" applyBorder="1" applyAlignment="1">
      <alignment horizontal="center" vertical="center"/>
    </xf>
    <xf numFmtId="2" fontId="1145" fillId="8" borderId="1" xfId="0" applyNumberFormat="1" applyFont="1" applyFill="1" applyBorder="1" applyAlignment="1">
      <alignment horizontal="center" vertical="center"/>
    </xf>
    <xf numFmtId="2" fontId="1146" fillId="8" borderId="1" xfId="0" applyNumberFormat="1" applyFont="1" applyFill="1" applyBorder="1" applyAlignment="1">
      <alignment horizontal="center" vertical="center"/>
    </xf>
    <xf numFmtId="2" fontId="1147" fillId="8" borderId="1" xfId="0" applyNumberFormat="1" applyFont="1" applyFill="1" applyBorder="1" applyAlignment="1">
      <alignment horizontal="center" vertical="center"/>
    </xf>
    <xf numFmtId="2" fontId="1148" fillId="8" borderId="1" xfId="0" applyNumberFormat="1" applyFont="1" applyFill="1" applyBorder="1" applyAlignment="1">
      <alignment horizontal="center" vertical="center"/>
    </xf>
    <xf numFmtId="2" fontId="1149" fillId="8" borderId="1" xfId="0" applyNumberFormat="1" applyFont="1" applyFill="1" applyBorder="1" applyAlignment="1">
      <alignment horizontal="center" vertical="center"/>
    </xf>
    <xf numFmtId="2" fontId="1150" fillId="8" borderId="1" xfId="0" applyNumberFormat="1" applyFont="1" applyFill="1" applyBorder="1" applyAlignment="1">
      <alignment horizontal="center" vertical="center"/>
    </xf>
    <xf numFmtId="2" fontId="1151" fillId="8" borderId="1" xfId="0" applyNumberFormat="1" applyFont="1" applyFill="1" applyBorder="1" applyAlignment="1">
      <alignment horizontal="center" vertical="center"/>
    </xf>
    <xf numFmtId="2" fontId="1152" fillId="8" borderId="1" xfId="0" applyNumberFormat="1" applyFont="1" applyFill="1" applyBorder="1" applyAlignment="1">
      <alignment horizontal="center" vertical="center"/>
    </xf>
    <xf numFmtId="2" fontId="1153" fillId="8" borderId="1" xfId="0" applyNumberFormat="1" applyFont="1" applyFill="1" applyBorder="1" applyAlignment="1">
      <alignment horizontal="center" vertical="center"/>
    </xf>
    <xf numFmtId="2" fontId="1154" fillId="8" borderId="1" xfId="0" applyNumberFormat="1" applyFont="1" applyFill="1" applyBorder="1" applyAlignment="1">
      <alignment horizontal="center" vertical="center"/>
    </xf>
    <xf numFmtId="2" fontId="1155" fillId="8" borderId="1" xfId="0" applyNumberFormat="1" applyFont="1" applyFill="1" applyBorder="1" applyAlignment="1">
      <alignment horizontal="center" vertical="center"/>
    </xf>
    <xf numFmtId="2" fontId="1156" fillId="8" borderId="1" xfId="0" applyNumberFormat="1" applyFont="1" applyFill="1" applyBorder="1" applyAlignment="1">
      <alignment horizontal="center" vertical="center"/>
    </xf>
    <xf numFmtId="2" fontId="1157" fillId="8" borderId="1" xfId="0" applyNumberFormat="1" applyFont="1" applyFill="1" applyBorder="1" applyAlignment="1">
      <alignment horizontal="center" vertical="center"/>
    </xf>
    <xf numFmtId="2" fontId="1158" fillId="8" borderId="1" xfId="0" applyNumberFormat="1" applyFont="1" applyFill="1" applyBorder="1" applyAlignment="1">
      <alignment horizontal="center" vertical="center"/>
    </xf>
    <xf numFmtId="2" fontId="1159" fillId="8" borderId="1" xfId="0" applyNumberFormat="1" applyFont="1" applyFill="1" applyBorder="1" applyAlignment="1">
      <alignment horizontal="center" vertical="center"/>
    </xf>
    <xf numFmtId="2" fontId="1160" fillId="8" borderId="1" xfId="0" applyNumberFormat="1" applyFont="1" applyFill="1" applyBorder="1" applyAlignment="1">
      <alignment horizontal="center" vertical="center"/>
    </xf>
    <xf numFmtId="2" fontId="1161" fillId="8" borderId="1" xfId="0" applyNumberFormat="1" applyFont="1" applyFill="1" applyBorder="1" applyAlignment="1">
      <alignment horizontal="center" vertical="center"/>
    </xf>
    <xf numFmtId="2" fontId="1162" fillId="8" borderId="1" xfId="0" applyNumberFormat="1" applyFont="1" applyFill="1" applyBorder="1" applyAlignment="1">
      <alignment horizontal="center" vertical="center"/>
    </xf>
    <xf numFmtId="2" fontId="1163" fillId="8" borderId="1" xfId="0" applyNumberFormat="1" applyFont="1" applyFill="1" applyBorder="1" applyAlignment="1">
      <alignment horizontal="center" vertical="center"/>
    </xf>
    <xf numFmtId="2" fontId="1164" fillId="8" borderId="1" xfId="0" applyNumberFormat="1" applyFont="1" applyFill="1" applyBorder="1" applyAlignment="1">
      <alignment horizontal="center" vertical="center"/>
    </xf>
    <xf numFmtId="2" fontId="1165" fillId="8" borderId="1" xfId="0" applyNumberFormat="1" applyFont="1" applyFill="1" applyBorder="1" applyAlignment="1">
      <alignment horizontal="center" vertical="center"/>
    </xf>
    <xf numFmtId="2" fontId="1166" fillId="8" borderId="1" xfId="0" applyNumberFormat="1" applyFont="1" applyFill="1" applyBorder="1" applyAlignment="1">
      <alignment horizontal="center" vertical="center"/>
    </xf>
    <xf numFmtId="2" fontId="1167" fillId="8" borderId="1" xfId="0" applyNumberFormat="1" applyFont="1" applyFill="1" applyBorder="1" applyAlignment="1">
      <alignment horizontal="center" vertical="center"/>
    </xf>
    <xf numFmtId="2" fontId="1168" fillId="8" borderId="1" xfId="0" applyNumberFormat="1" applyFont="1" applyFill="1" applyBorder="1" applyAlignment="1">
      <alignment horizontal="center" vertical="center"/>
    </xf>
    <xf numFmtId="2" fontId="1169" fillId="8" borderId="1" xfId="0" applyNumberFormat="1" applyFont="1" applyFill="1" applyBorder="1" applyAlignment="1">
      <alignment horizontal="center" vertical="center"/>
    </xf>
    <xf numFmtId="2" fontId="1170" fillId="8" borderId="1" xfId="0" applyNumberFormat="1" applyFont="1" applyFill="1" applyBorder="1" applyAlignment="1">
      <alignment horizontal="center" vertical="center"/>
    </xf>
    <xf numFmtId="0" fontId="1171" fillId="7" borderId="1" xfId="0" applyNumberFormat="1" applyFont="1" applyFill="1" applyBorder="1" applyAlignment="1">
      <alignment horizontal="left" vertical="center"/>
    </xf>
    <xf numFmtId="0" fontId="1172" fillId="8" borderId="1" xfId="0" applyNumberFormat="1" applyFont="1" applyFill="1" applyBorder="1" applyAlignment="1">
      <alignment horizontal="center" vertical="center"/>
    </xf>
    <xf numFmtId="164" fontId="1173" fillId="8" borderId="1" xfId="0" applyNumberFormat="1" applyFont="1" applyFill="1" applyBorder="1" applyAlignment="1">
      <alignment horizontal="center" vertical="center"/>
    </xf>
    <xf numFmtId="1" fontId="1174" fillId="8" borderId="1" xfId="0" applyNumberFormat="1" applyFont="1" applyFill="1" applyBorder="1" applyAlignment="1">
      <alignment horizontal="center" vertical="center"/>
    </xf>
    <xf numFmtId="1" fontId="1175" fillId="8" borderId="1" xfId="0" applyNumberFormat="1" applyFont="1" applyFill="1" applyBorder="1" applyAlignment="1">
      <alignment horizontal="center" vertical="center"/>
    </xf>
    <xf numFmtId="1" fontId="1176" fillId="8" borderId="1" xfId="0" applyNumberFormat="1" applyFont="1" applyFill="1" applyBorder="1" applyAlignment="1">
      <alignment horizontal="center" vertical="center"/>
    </xf>
    <xf numFmtId="1" fontId="1177" fillId="8" borderId="1" xfId="0" applyNumberFormat="1" applyFont="1" applyFill="1" applyBorder="1" applyAlignment="1">
      <alignment horizontal="center" vertical="center"/>
    </xf>
    <xf numFmtId="1" fontId="1178" fillId="8" borderId="1" xfId="0" applyNumberFormat="1" applyFont="1" applyFill="1" applyBorder="1" applyAlignment="1">
      <alignment horizontal="center" vertical="center"/>
    </xf>
    <xf numFmtId="1" fontId="1179" fillId="8" borderId="1" xfId="0" applyNumberFormat="1" applyFont="1" applyFill="1" applyBorder="1" applyAlignment="1">
      <alignment horizontal="center" vertical="center"/>
    </xf>
    <xf numFmtId="1" fontId="1180" fillId="8" borderId="1" xfId="0" applyNumberFormat="1" applyFont="1" applyFill="1" applyBorder="1" applyAlignment="1">
      <alignment horizontal="center" vertical="center"/>
    </xf>
    <xf numFmtId="0" fontId="1181" fillId="8" borderId="1" xfId="0" applyNumberFormat="1" applyFont="1" applyFill="1" applyBorder="1" applyAlignment="1">
      <alignment horizontal="center" vertical="center"/>
    </xf>
    <xf numFmtId="0" fontId="1182" fillId="8" borderId="1" xfId="0" applyNumberFormat="1" applyFont="1" applyFill="1" applyBorder="1" applyAlignment="1">
      <alignment horizontal="center" vertical="center"/>
    </xf>
    <xf numFmtId="1" fontId="1183" fillId="8" borderId="1" xfId="0" applyNumberFormat="1" applyFont="1" applyFill="1" applyBorder="1" applyAlignment="1">
      <alignment horizontal="center" vertical="center"/>
    </xf>
    <xf numFmtId="1" fontId="1184" fillId="8" borderId="1" xfId="0" applyNumberFormat="1" applyFont="1" applyFill="1" applyBorder="1" applyAlignment="1">
      <alignment horizontal="center" vertical="center"/>
    </xf>
    <xf numFmtId="1" fontId="1185" fillId="8" borderId="1" xfId="0" applyNumberFormat="1" applyFont="1" applyFill="1" applyBorder="1" applyAlignment="1">
      <alignment horizontal="center" vertical="center"/>
    </xf>
    <xf numFmtId="165" fontId="1186" fillId="8" borderId="1" xfId="0" applyNumberFormat="1" applyFont="1" applyFill="1" applyBorder="1" applyAlignment="1">
      <alignment horizontal="center" vertical="center"/>
    </xf>
    <xf numFmtId="1" fontId="1187" fillId="8" borderId="1" xfId="0" applyNumberFormat="1" applyFont="1" applyFill="1" applyBorder="1" applyAlignment="1">
      <alignment horizontal="center" vertical="center"/>
    </xf>
    <xf numFmtId="165" fontId="1188" fillId="8" borderId="1" xfId="0" applyNumberFormat="1" applyFont="1" applyFill="1" applyBorder="1" applyAlignment="1">
      <alignment horizontal="center" vertical="center"/>
    </xf>
    <xf numFmtId="1" fontId="1189" fillId="8" borderId="1" xfId="0" applyNumberFormat="1" applyFont="1" applyFill="1" applyBorder="1" applyAlignment="1">
      <alignment horizontal="center" vertical="center"/>
    </xf>
    <xf numFmtId="165" fontId="1190" fillId="8" borderId="1" xfId="0" applyNumberFormat="1" applyFont="1" applyFill="1" applyBorder="1" applyAlignment="1">
      <alignment horizontal="center" vertical="center"/>
    </xf>
    <xf numFmtId="1" fontId="1191" fillId="8" borderId="1" xfId="0" applyNumberFormat="1" applyFont="1" applyFill="1" applyBorder="1" applyAlignment="1">
      <alignment horizontal="center" vertical="center"/>
    </xf>
    <xf numFmtId="165" fontId="1192" fillId="8" borderId="1" xfId="0" applyNumberFormat="1" applyFont="1" applyFill="1" applyBorder="1" applyAlignment="1">
      <alignment horizontal="center" vertical="center"/>
    </xf>
    <xf numFmtId="165" fontId="1193" fillId="8" borderId="1" xfId="0" applyNumberFormat="1" applyFont="1" applyFill="1" applyBorder="1" applyAlignment="1">
      <alignment horizontal="center" vertical="center"/>
    </xf>
    <xf numFmtId="1" fontId="1194" fillId="8" borderId="1" xfId="0" applyNumberFormat="1" applyFont="1" applyFill="1" applyBorder="1" applyAlignment="1">
      <alignment horizontal="center" vertical="center"/>
    </xf>
    <xf numFmtId="1" fontId="1195" fillId="8" borderId="1" xfId="0" applyNumberFormat="1" applyFont="1" applyFill="1" applyBorder="1" applyAlignment="1">
      <alignment horizontal="center" vertical="center"/>
    </xf>
    <xf numFmtId="1" fontId="1196" fillId="8" borderId="1" xfId="0" applyNumberFormat="1" applyFont="1" applyFill="1" applyBorder="1" applyAlignment="1">
      <alignment horizontal="center" vertical="center"/>
    </xf>
    <xf numFmtId="165" fontId="1197" fillId="8" borderId="1" xfId="0" applyNumberFormat="1" applyFont="1" applyFill="1" applyBorder="1" applyAlignment="1">
      <alignment horizontal="center" vertical="center"/>
    </xf>
    <xf numFmtId="164" fontId="1198" fillId="8" borderId="1" xfId="0" applyNumberFormat="1" applyFont="1" applyFill="1" applyBorder="1" applyAlignment="1">
      <alignment horizontal="center" vertical="center"/>
    </xf>
    <xf numFmtId="164" fontId="1199" fillId="8" borderId="1" xfId="0" applyNumberFormat="1" applyFont="1" applyFill="1" applyBorder="1" applyAlignment="1">
      <alignment horizontal="center" vertical="center"/>
    </xf>
    <xf numFmtId="1" fontId="1200" fillId="8" borderId="1" xfId="0" applyNumberFormat="1" applyFont="1" applyFill="1" applyBorder="1" applyAlignment="1">
      <alignment horizontal="center" vertical="center"/>
    </xf>
    <xf numFmtId="1" fontId="1201" fillId="8" borderId="1" xfId="0" applyNumberFormat="1" applyFont="1" applyFill="1" applyBorder="1" applyAlignment="1">
      <alignment horizontal="center" vertical="center"/>
    </xf>
    <xf numFmtId="1" fontId="1202" fillId="8" borderId="1" xfId="0" applyNumberFormat="1" applyFont="1" applyFill="1" applyBorder="1" applyAlignment="1">
      <alignment horizontal="center" vertical="center"/>
    </xf>
    <xf numFmtId="165" fontId="1203" fillId="8" borderId="1" xfId="0" applyNumberFormat="1" applyFont="1" applyFill="1" applyBorder="1" applyAlignment="1">
      <alignment horizontal="center" vertical="center"/>
    </xf>
    <xf numFmtId="1" fontId="1204" fillId="8" borderId="1" xfId="0" applyNumberFormat="1" applyFont="1" applyFill="1" applyBorder="1" applyAlignment="1">
      <alignment horizontal="center" vertical="center"/>
    </xf>
    <xf numFmtId="165" fontId="1205" fillId="8" borderId="1" xfId="0" applyNumberFormat="1" applyFont="1" applyFill="1" applyBorder="1" applyAlignment="1">
      <alignment horizontal="center" vertical="center"/>
    </xf>
    <xf numFmtId="1" fontId="1206" fillId="8" borderId="1" xfId="0" applyNumberFormat="1" applyFont="1" applyFill="1" applyBorder="1" applyAlignment="1">
      <alignment horizontal="center" vertical="center"/>
    </xf>
    <xf numFmtId="1" fontId="1207" fillId="8" borderId="1" xfId="0" applyNumberFormat="1" applyFont="1" applyFill="1" applyBorder="1" applyAlignment="1">
      <alignment horizontal="center" vertical="center"/>
    </xf>
    <xf numFmtId="1" fontId="1208" fillId="8" borderId="1" xfId="0" applyNumberFormat="1" applyFont="1" applyFill="1" applyBorder="1" applyAlignment="1">
      <alignment horizontal="center" vertical="center"/>
    </xf>
    <xf numFmtId="1" fontId="1209" fillId="8" borderId="1" xfId="0" applyNumberFormat="1" applyFont="1" applyFill="1" applyBorder="1" applyAlignment="1">
      <alignment horizontal="center" vertical="center"/>
    </xf>
    <xf numFmtId="165" fontId="1210" fillId="8" borderId="1" xfId="0" applyNumberFormat="1" applyFont="1" applyFill="1" applyBorder="1" applyAlignment="1">
      <alignment horizontal="center" vertical="center"/>
    </xf>
    <xf numFmtId="1" fontId="1211" fillId="8" borderId="1" xfId="0" applyNumberFormat="1" applyFont="1" applyFill="1" applyBorder="1" applyAlignment="1">
      <alignment horizontal="center" vertical="center"/>
    </xf>
    <xf numFmtId="165" fontId="1212" fillId="8" borderId="1" xfId="0" applyNumberFormat="1" applyFont="1" applyFill="1" applyBorder="1" applyAlignment="1">
      <alignment horizontal="center" vertical="center"/>
    </xf>
    <xf numFmtId="1" fontId="1213" fillId="8" borderId="1" xfId="0" applyNumberFormat="1" applyFont="1" applyFill="1" applyBorder="1" applyAlignment="1">
      <alignment horizontal="center" vertical="center"/>
    </xf>
    <xf numFmtId="165" fontId="1214" fillId="8" borderId="1" xfId="0" applyNumberFormat="1" applyFont="1" applyFill="1" applyBorder="1" applyAlignment="1">
      <alignment horizontal="center" vertical="center"/>
    </xf>
    <xf numFmtId="2" fontId="1215" fillId="8" borderId="1" xfId="0" applyNumberFormat="1" applyFont="1" applyFill="1" applyBorder="1" applyAlignment="1">
      <alignment horizontal="center" vertical="center"/>
    </xf>
    <xf numFmtId="2" fontId="1216" fillId="8" borderId="1" xfId="0" applyNumberFormat="1" applyFont="1" applyFill="1" applyBorder="1" applyAlignment="1">
      <alignment horizontal="center" vertical="center"/>
    </xf>
    <xf numFmtId="2" fontId="1217" fillId="8" borderId="1" xfId="0" applyNumberFormat="1" applyFont="1" applyFill="1" applyBorder="1" applyAlignment="1">
      <alignment horizontal="center" vertical="center"/>
    </xf>
    <xf numFmtId="2" fontId="1218" fillId="8" borderId="1" xfId="0" applyNumberFormat="1" applyFont="1" applyFill="1" applyBorder="1" applyAlignment="1">
      <alignment horizontal="center" vertical="center"/>
    </xf>
    <xf numFmtId="2" fontId="1219" fillId="8" borderId="1" xfId="0" applyNumberFormat="1" applyFont="1" applyFill="1" applyBorder="1" applyAlignment="1">
      <alignment horizontal="center" vertical="center"/>
    </xf>
    <xf numFmtId="2" fontId="1220" fillId="8" borderId="1" xfId="0" applyNumberFormat="1" applyFont="1" applyFill="1" applyBorder="1" applyAlignment="1">
      <alignment horizontal="center" vertical="center"/>
    </xf>
    <xf numFmtId="2" fontId="1221" fillId="8" borderId="1" xfId="0" applyNumberFormat="1" applyFont="1" applyFill="1" applyBorder="1" applyAlignment="1">
      <alignment horizontal="center" vertical="center"/>
    </xf>
    <xf numFmtId="2" fontId="1222" fillId="8" borderId="1" xfId="0" applyNumberFormat="1" applyFont="1" applyFill="1" applyBorder="1" applyAlignment="1">
      <alignment horizontal="center" vertical="center"/>
    </xf>
    <xf numFmtId="2" fontId="1223" fillId="8" borderId="1" xfId="0" applyNumberFormat="1" applyFont="1" applyFill="1" applyBorder="1" applyAlignment="1">
      <alignment horizontal="center" vertical="center"/>
    </xf>
    <xf numFmtId="2" fontId="1224" fillId="8" borderId="1" xfId="0" applyNumberFormat="1" applyFont="1" applyFill="1" applyBorder="1" applyAlignment="1">
      <alignment horizontal="center" vertical="center"/>
    </xf>
    <xf numFmtId="2" fontId="1225" fillId="8" borderId="1" xfId="0" applyNumberFormat="1" applyFont="1" applyFill="1" applyBorder="1" applyAlignment="1">
      <alignment horizontal="center" vertical="center"/>
    </xf>
    <xf numFmtId="2" fontId="1226" fillId="8" borderId="1" xfId="0" applyNumberFormat="1" applyFont="1" applyFill="1" applyBorder="1" applyAlignment="1">
      <alignment horizontal="center" vertical="center"/>
    </xf>
    <xf numFmtId="2" fontId="1227" fillId="8" borderId="1" xfId="0" applyNumberFormat="1" applyFont="1" applyFill="1" applyBorder="1" applyAlignment="1">
      <alignment horizontal="center" vertical="center"/>
    </xf>
    <xf numFmtId="2" fontId="1228" fillId="8" borderId="1" xfId="0" applyNumberFormat="1" applyFont="1" applyFill="1" applyBorder="1" applyAlignment="1">
      <alignment horizontal="center" vertical="center"/>
    </xf>
    <xf numFmtId="2" fontId="1229" fillId="8" borderId="1" xfId="0" applyNumberFormat="1" applyFont="1" applyFill="1" applyBorder="1" applyAlignment="1">
      <alignment horizontal="center" vertical="center"/>
    </xf>
    <xf numFmtId="2" fontId="1230" fillId="8" borderId="1" xfId="0" applyNumberFormat="1" applyFont="1" applyFill="1" applyBorder="1" applyAlignment="1">
      <alignment horizontal="center" vertical="center"/>
    </xf>
    <xf numFmtId="2" fontId="1231" fillId="8" borderId="1" xfId="0" applyNumberFormat="1" applyFont="1" applyFill="1" applyBorder="1" applyAlignment="1">
      <alignment horizontal="center" vertical="center"/>
    </xf>
    <xf numFmtId="2" fontId="1232" fillId="8" borderId="1" xfId="0" applyNumberFormat="1" applyFont="1" applyFill="1" applyBorder="1" applyAlignment="1">
      <alignment horizontal="center" vertical="center"/>
    </xf>
    <xf numFmtId="2" fontId="1233" fillId="8" borderId="1" xfId="0" applyNumberFormat="1" applyFont="1" applyFill="1" applyBorder="1" applyAlignment="1">
      <alignment horizontal="center" vertical="center"/>
    </xf>
    <xf numFmtId="2" fontId="1234" fillId="8" borderId="1" xfId="0" applyNumberFormat="1" applyFont="1" applyFill="1" applyBorder="1" applyAlignment="1">
      <alignment horizontal="center" vertical="center"/>
    </xf>
    <xf numFmtId="2" fontId="1235" fillId="8" borderId="1" xfId="0" applyNumberFormat="1" applyFont="1" applyFill="1" applyBorder="1" applyAlignment="1">
      <alignment horizontal="center" vertical="center"/>
    </xf>
    <xf numFmtId="2" fontId="1236" fillId="8" borderId="1" xfId="0" applyNumberFormat="1" applyFont="1" applyFill="1" applyBorder="1" applyAlignment="1">
      <alignment horizontal="center" vertical="center"/>
    </xf>
    <xf numFmtId="2" fontId="1237" fillId="8" borderId="1" xfId="0" applyNumberFormat="1" applyFont="1" applyFill="1" applyBorder="1" applyAlignment="1">
      <alignment horizontal="center" vertical="center"/>
    </xf>
    <xf numFmtId="2" fontId="1238" fillId="8" borderId="1" xfId="0" applyNumberFormat="1" applyFont="1" applyFill="1" applyBorder="1" applyAlignment="1">
      <alignment horizontal="center" vertical="center"/>
    </xf>
    <xf numFmtId="2" fontId="1239" fillId="8" borderId="1" xfId="0" applyNumberFormat="1" applyFont="1" applyFill="1" applyBorder="1" applyAlignment="1">
      <alignment horizontal="center" vertical="center"/>
    </xf>
    <xf numFmtId="2" fontId="1240" fillId="8" borderId="1" xfId="0" applyNumberFormat="1" applyFont="1" applyFill="1" applyBorder="1" applyAlignment="1">
      <alignment horizontal="center" vertical="center"/>
    </xf>
    <xf numFmtId="2" fontId="1241" fillId="8" borderId="1" xfId="0" applyNumberFormat="1" applyFont="1" applyFill="1" applyBorder="1" applyAlignment="1">
      <alignment horizontal="center" vertical="center"/>
    </xf>
    <xf numFmtId="2" fontId="1242" fillId="8" borderId="1" xfId="0" applyNumberFormat="1" applyFont="1" applyFill="1" applyBorder="1" applyAlignment="1">
      <alignment horizontal="center" vertical="center"/>
    </xf>
    <xf numFmtId="2" fontId="1243" fillId="8" borderId="1" xfId="0" applyNumberFormat="1" applyFont="1" applyFill="1" applyBorder="1" applyAlignment="1">
      <alignment horizontal="center" vertical="center"/>
    </xf>
    <xf numFmtId="2" fontId="1244" fillId="8" borderId="1" xfId="0" applyNumberFormat="1" applyFont="1" applyFill="1" applyBorder="1" applyAlignment="1">
      <alignment horizontal="center" vertical="center"/>
    </xf>
    <xf numFmtId="2" fontId="1245" fillId="8" borderId="1" xfId="0" applyNumberFormat="1" applyFont="1" applyFill="1" applyBorder="1" applyAlignment="1">
      <alignment horizontal="center" vertical="center"/>
    </xf>
    <xf numFmtId="2" fontId="1246" fillId="8" borderId="1" xfId="0" applyNumberFormat="1" applyFont="1" applyFill="1" applyBorder="1" applyAlignment="1">
      <alignment horizontal="center" vertical="center"/>
    </xf>
    <xf numFmtId="2" fontId="1247" fillId="8" borderId="1" xfId="0" applyNumberFormat="1" applyFont="1" applyFill="1" applyBorder="1" applyAlignment="1">
      <alignment horizontal="center" vertical="center"/>
    </xf>
    <xf numFmtId="2" fontId="1248" fillId="8" borderId="1" xfId="0" applyNumberFormat="1" applyFont="1" applyFill="1" applyBorder="1" applyAlignment="1">
      <alignment horizontal="center" vertical="center"/>
    </xf>
    <xf numFmtId="0" fontId="1249" fillId="7" borderId="1" xfId="0" applyNumberFormat="1" applyFont="1" applyFill="1" applyBorder="1" applyAlignment="1">
      <alignment horizontal="left" vertical="center"/>
    </xf>
    <xf numFmtId="0" fontId="1250" fillId="8" borderId="1" xfId="0" applyNumberFormat="1" applyFont="1" applyFill="1" applyBorder="1" applyAlignment="1">
      <alignment horizontal="center" vertical="center"/>
    </xf>
    <xf numFmtId="164" fontId="1251" fillId="8" borderId="1" xfId="0" applyNumberFormat="1" applyFont="1" applyFill="1" applyBorder="1" applyAlignment="1">
      <alignment horizontal="center" vertical="center"/>
    </xf>
    <xf numFmtId="1" fontId="1252" fillId="8" borderId="1" xfId="0" applyNumberFormat="1" applyFont="1" applyFill="1" applyBorder="1" applyAlignment="1">
      <alignment horizontal="center" vertical="center"/>
    </xf>
    <xf numFmtId="1" fontId="1253" fillId="8" borderId="1" xfId="0" applyNumberFormat="1" applyFont="1" applyFill="1" applyBorder="1" applyAlignment="1">
      <alignment horizontal="center" vertical="center"/>
    </xf>
    <xf numFmtId="1" fontId="1254" fillId="8" borderId="1" xfId="0" applyNumberFormat="1" applyFont="1" applyFill="1" applyBorder="1" applyAlignment="1">
      <alignment horizontal="center" vertical="center"/>
    </xf>
    <xf numFmtId="1" fontId="1255" fillId="8" borderId="1" xfId="0" applyNumberFormat="1" applyFont="1" applyFill="1" applyBorder="1" applyAlignment="1">
      <alignment horizontal="center" vertical="center"/>
    </xf>
    <xf numFmtId="1" fontId="1256" fillId="8" borderId="1" xfId="0" applyNumberFormat="1" applyFont="1" applyFill="1" applyBorder="1" applyAlignment="1">
      <alignment horizontal="center" vertical="center"/>
    </xf>
    <xf numFmtId="1" fontId="1257" fillId="8" borderId="1" xfId="0" applyNumberFormat="1" applyFont="1" applyFill="1" applyBorder="1" applyAlignment="1">
      <alignment horizontal="center" vertical="center"/>
    </xf>
    <xf numFmtId="1" fontId="1258" fillId="8" borderId="1" xfId="0" applyNumberFormat="1" applyFont="1" applyFill="1" applyBorder="1" applyAlignment="1">
      <alignment horizontal="center" vertical="center"/>
    </xf>
    <xf numFmtId="0" fontId="1259" fillId="8" borderId="1" xfId="0" applyNumberFormat="1" applyFont="1" applyFill="1" applyBorder="1" applyAlignment="1">
      <alignment horizontal="center" vertical="center"/>
    </xf>
    <xf numFmtId="0" fontId="1260" fillId="8" borderId="1" xfId="0" applyNumberFormat="1" applyFont="1" applyFill="1" applyBorder="1" applyAlignment="1">
      <alignment horizontal="center" vertical="center"/>
    </xf>
    <xf numFmtId="1" fontId="1261" fillId="8" borderId="1" xfId="0" applyNumberFormat="1" applyFont="1" applyFill="1" applyBorder="1" applyAlignment="1">
      <alignment horizontal="center" vertical="center"/>
    </xf>
    <xf numFmtId="1" fontId="1262" fillId="8" borderId="1" xfId="0" applyNumberFormat="1" applyFont="1" applyFill="1" applyBorder="1" applyAlignment="1">
      <alignment horizontal="center" vertical="center"/>
    </xf>
    <xf numFmtId="1" fontId="1263" fillId="8" borderId="1" xfId="0" applyNumberFormat="1" applyFont="1" applyFill="1" applyBorder="1" applyAlignment="1">
      <alignment horizontal="center" vertical="center"/>
    </xf>
    <xf numFmtId="165" fontId="1264" fillId="8" borderId="1" xfId="0" applyNumberFormat="1" applyFont="1" applyFill="1" applyBorder="1" applyAlignment="1">
      <alignment horizontal="center" vertical="center"/>
    </xf>
    <xf numFmtId="1" fontId="1265" fillId="8" borderId="1" xfId="0" applyNumberFormat="1" applyFont="1" applyFill="1" applyBorder="1" applyAlignment="1">
      <alignment horizontal="center" vertical="center"/>
    </xf>
    <xf numFmtId="165" fontId="1266" fillId="8" borderId="1" xfId="0" applyNumberFormat="1" applyFont="1" applyFill="1" applyBorder="1" applyAlignment="1">
      <alignment horizontal="center" vertical="center"/>
    </xf>
    <xf numFmtId="1" fontId="1267" fillId="8" borderId="1" xfId="0" applyNumberFormat="1" applyFont="1" applyFill="1" applyBorder="1" applyAlignment="1">
      <alignment horizontal="center" vertical="center"/>
    </xf>
    <xf numFmtId="165" fontId="1268" fillId="8" borderId="1" xfId="0" applyNumberFormat="1" applyFont="1" applyFill="1" applyBorder="1" applyAlignment="1">
      <alignment horizontal="center" vertical="center"/>
    </xf>
    <xf numFmtId="1" fontId="1269" fillId="8" borderId="1" xfId="0" applyNumberFormat="1" applyFont="1" applyFill="1" applyBorder="1" applyAlignment="1">
      <alignment horizontal="center" vertical="center"/>
    </xf>
    <xf numFmtId="165" fontId="1270" fillId="8" borderId="1" xfId="0" applyNumberFormat="1" applyFont="1" applyFill="1" applyBorder="1" applyAlignment="1">
      <alignment horizontal="center" vertical="center"/>
    </xf>
    <xf numFmtId="165" fontId="1271" fillId="8" borderId="1" xfId="0" applyNumberFormat="1" applyFont="1" applyFill="1" applyBorder="1" applyAlignment="1">
      <alignment horizontal="center" vertical="center"/>
    </xf>
    <xf numFmtId="1" fontId="1272" fillId="8" borderId="1" xfId="0" applyNumberFormat="1" applyFont="1" applyFill="1" applyBorder="1" applyAlignment="1">
      <alignment horizontal="center" vertical="center"/>
    </xf>
    <xf numFmtId="1" fontId="1273" fillId="8" borderId="1" xfId="0" applyNumberFormat="1" applyFont="1" applyFill="1" applyBorder="1" applyAlignment="1">
      <alignment horizontal="center" vertical="center"/>
    </xf>
    <xf numFmtId="1" fontId="1274" fillId="8" borderId="1" xfId="0" applyNumberFormat="1" applyFont="1" applyFill="1" applyBorder="1" applyAlignment="1">
      <alignment horizontal="center" vertical="center"/>
    </xf>
    <xf numFmtId="165" fontId="1275" fillId="8" borderId="1" xfId="0" applyNumberFormat="1" applyFont="1" applyFill="1" applyBorder="1" applyAlignment="1">
      <alignment horizontal="center" vertical="center"/>
    </xf>
    <xf numFmtId="164" fontId="1276" fillId="8" borderId="1" xfId="0" applyNumberFormat="1" applyFont="1" applyFill="1" applyBorder="1" applyAlignment="1">
      <alignment horizontal="center" vertical="center"/>
    </xf>
    <xf numFmtId="164" fontId="1277" fillId="8" borderId="1" xfId="0" applyNumberFormat="1" applyFont="1" applyFill="1" applyBorder="1" applyAlignment="1">
      <alignment horizontal="center" vertical="center"/>
    </xf>
    <xf numFmtId="1" fontId="1278" fillId="8" borderId="1" xfId="0" applyNumberFormat="1" applyFont="1" applyFill="1" applyBorder="1" applyAlignment="1">
      <alignment horizontal="center" vertical="center"/>
    </xf>
    <xf numFmtId="1" fontId="1279" fillId="8" borderId="1" xfId="0" applyNumberFormat="1" applyFont="1" applyFill="1" applyBorder="1" applyAlignment="1">
      <alignment horizontal="center" vertical="center"/>
    </xf>
    <xf numFmtId="1" fontId="1280" fillId="8" borderId="1" xfId="0" applyNumberFormat="1" applyFont="1" applyFill="1" applyBorder="1" applyAlignment="1">
      <alignment horizontal="center" vertical="center"/>
    </xf>
    <xf numFmtId="165" fontId="1281" fillId="8" borderId="1" xfId="0" applyNumberFormat="1" applyFont="1" applyFill="1" applyBorder="1" applyAlignment="1">
      <alignment horizontal="center" vertical="center"/>
    </xf>
    <xf numFmtId="1" fontId="1282" fillId="8" borderId="1" xfId="0" applyNumberFormat="1" applyFont="1" applyFill="1" applyBorder="1" applyAlignment="1">
      <alignment horizontal="center" vertical="center"/>
    </xf>
    <xf numFmtId="165" fontId="1283" fillId="8" borderId="1" xfId="0" applyNumberFormat="1" applyFont="1" applyFill="1" applyBorder="1" applyAlignment="1">
      <alignment horizontal="center" vertical="center"/>
    </xf>
    <xf numFmtId="1" fontId="1284" fillId="8" borderId="1" xfId="0" applyNumberFormat="1" applyFont="1" applyFill="1" applyBorder="1" applyAlignment="1">
      <alignment horizontal="center" vertical="center"/>
    </xf>
    <xf numFmtId="1" fontId="1285" fillId="8" borderId="1" xfId="0" applyNumberFormat="1" applyFont="1" applyFill="1" applyBorder="1" applyAlignment="1">
      <alignment horizontal="center" vertical="center"/>
    </xf>
    <xf numFmtId="1" fontId="1286" fillId="8" borderId="1" xfId="0" applyNumberFormat="1" applyFont="1" applyFill="1" applyBorder="1" applyAlignment="1">
      <alignment horizontal="center" vertical="center"/>
    </xf>
    <xf numFmtId="1" fontId="1287" fillId="8" borderId="1" xfId="0" applyNumberFormat="1" applyFont="1" applyFill="1" applyBorder="1" applyAlignment="1">
      <alignment horizontal="center" vertical="center"/>
    </xf>
    <xf numFmtId="165" fontId="1288" fillId="8" borderId="1" xfId="0" applyNumberFormat="1" applyFont="1" applyFill="1" applyBorder="1" applyAlignment="1">
      <alignment horizontal="center" vertical="center"/>
    </xf>
    <xf numFmtId="1" fontId="1289" fillId="8" borderId="1" xfId="0" applyNumberFormat="1" applyFont="1" applyFill="1" applyBorder="1" applyAlignment="1">
      <alignment horizontal="center" vertical="center"/>
    </xf>
    <xf numFmtId="165" fontId="1290" fillId="8" borderId="1" xfId="0" applyNumberFormat="1" applyFont="1" applyFill="1" applyBorder="1" applyAlignment="1">
      <alignment horizontal="center" vertical="center"/>
    </xf>
    <xf numFmtId="1" fontId="1291" fillId="8" borderId="1" xfId="0" applyNumberFormat="1" applyFont="1" applyFill="1" applyBorder="1" applyAlignment="1">
      <alignment horizontal="center" vertical="center"/>
    </xf>
    <xf numFmtId="165" fontId="1292" fillId="8" borderId="1" xfId="0" applyNumberFormat="1" applyFont="1" applyFill="1" applyBorder="1" applyAlignment="1">
      <alignment horizontal="center" vertical="center"/>
    </xf>
    <xf numFmtId="2" fontId="1293" fillId="8" borderId="1" xfId="0" applyNumberFormat="1" applyFont="1" applyFill="1" applyBorder="1" applyAlignment="1">
      <alignment horizontal="center" vertical="center"/>
    </xf>
    <xf numFmtId="2" fontId="1294" fillId="8" borderId="1" xfId="0" applyNumberFormat="1" applyFont="1" applyFill="1" applyBorder="1" applyAlignment="1">
      <alignment horizontal="center" vertical="center"/>
    </xf>
    <xf numFmtId="2" fontId="1295" fillId="8" borderId="1" xfId="0" applyNumberFormat="1" applyFont="1" applyFill="1" applyBorder="1" applyAlignment="1">
      <alignment horizontal="center" vertical="center"/>
    </xf>
    <xf numFmtId="2" fontId="1296" fillId="8" borderId="1" xfId="0" applyNumberFormat="1" applyFont="1" applyFill="1" applyBorder="1" applyAlignment="1">
      <alignment horizontal="center" vertical="center"/>
    </xf>
    <xf numFmtId="2" fontId="1297" fillId="8" borderId="1" xfId="0" applyNumberFormat="1" applyFont="1" applyFill="1" applyBorder="1" applyAlignment="1">
      <alignment horizontal="center" vertical="center"/>
    </xf>
    <xf numFmtId="2" fontId="1298" fillId="8" borderId="1" xfId="0" applyNumberFormat="1" applyFont="1" applyFill="1" applyBorder="1" applyAlignment="1">
      <alignment horizontal="center" vertical="center"/>
    </xf>
    <xf numFmtId="2" fontId="1299" fillId="8" borderId="1" xfId="0" applyNumberFormat="1" applyFont="1" applyFill="1" applyBorder="1" applyAlignment="1">
      <alignment horizontal="center" vertical="center"/>
    </xf>
    <xf numFmtId="2" fontId="1300" fillId="8" borderId="1" xfId="0" applyNumberFormat="1" applyFont="1" applyFill="1" applyBorder="1" applyAlignment="1">
      <alignment horizontal="center" vertical="center"/>
    </xf>
    <xf numFmtId="2" fontId="1301" fillId="8" borderId="1" xfId="0" applyNumberFormat="1" applyFont="1" applyFill="1" applyBorder="1" applyAlignment="1">
      <alignment horizontal="center" vertical="center"/>
    </xf>
    <xf numFmtId="2" fontId="1302" fillId="8" borderId="1" xfId="0" applyNumberFormat="1" applyFont="1" applyFill="1" applyBorder="1" applyAlignment="1">
      <alignment horizontal="center" vertical="center"/>
    </xf>
    <xf numFmtId="2" fontId="1303" fillId="8" borderId="1" xfId="0" applyNumberFormat="1" applyFont="1" applyFill="1" applyBorder="1" applyAlignment="1">
      <alignment horizontal="center" vertical="center"/>
    </xf>
    <xf numFmtId="2" fontId="1304" fillId="8" borderId="1" xfId="0" applyNumberFormat="1" applyFont="1" applyFill="1" applyBorder="1" applyAlignment="1">
      <alignment horizontal="center" vertical="center"/>
    </xf>
    <xf numFmtId="2" fontId="1305" fillId="8" borderId="1" xfId="0" applyNumberFormat="1" applyFont="1" applyFill="1" applyBorder="1" applyAlignment="1">
      <alignment horizontal="center" vertical="center"/>
    </xf>
    <xf numFmtId="2" fontId="1306" fillId="8" borderId="1" xfId="0" applyNumberFormat="1" applyFont="1" applyFill="1" applyBorder="1" applyAlignment="1">
      <alignment horizontal="center" vertical="center"/>
    </xf>
    <xf numFmtId="2" fontId="1307" fillId="8" borderId="1" xfId="0" applyNumberFormat="1" applyFont="1" applyFill="1" applyBorder="1" applyAlignment="1">
      <alignment horizontal="center" vertical="center"/>
    </xf>
    <xf numFmtId="2" fontId="1308" fillId="8" borderId="1" xfId="0" applyNumberFormat="1" applyFont="1" applyFill="1" applyBorder="1" applyAlignment="1">
      <alignment horizontal="center" vertical="center"/>
    </xf>
    <xf numFmtId="2" fontId="1309" fillId="8" borderId="1" xfId="0" applyNumberFormat="1" applyFont="1" applyFill="1" applyBorder="1" applyAlignment="1">
      <alignment horizontal="center" vertical="center"/>
    </xf>
    <xf numFmtId="2" fontId="1310" fillId="8" borderId="1" xfId="0" applyNumberFormat="1" applyFont="1" applyFill="1" applyBorder="1" applyAlignment="1">
      <alignment horizontal="center" vertical="center"/>
    </xf>
    <xf numFmtId="2" fontId="1311" fillId="8" borderId="1" xfId="0" applyNumberFormat="1" applyFont="1" applyFill="1" applyBorder="1" applyAlignment="1">
      <alignment horizontal="center" vertical="center"/>
    </xf>
    <xf numFmtId="2" fontId="1312" fillId="8" borderId="1" xfId="0" applyNumberFormat="1" applyFont="1" applyFill="1" applyBorder="1" applyAlignment="1">
      <alignment horizontal="center" vertical="center"/>
    </xf>
    <xf numFmtId="2" fontId="1313" fillId="8" borderId="1" xfId="0" applyNumberFormat="1" applyFont="1" applyFill="1" applyBorder="1" applyAlignment="1">
      <alignment horizontal="center" vertical="center"/>
    </xf>
    <xf numFmtId="2" fontId="1314" fillId="8" borderId="1" xfId="0" applyNumberFormat="1" applyFont="1" applyFill="1" applyBorder="1" applyAlignment="1">
      <alignment horizontal="center" vertical="center"/>
    </xf>
    <xf numFmtId="2" fontId="1315" fillId="8" borderId="1" xfId="0" applyNumberFormat="1" applyFont="1" applyFill="1" applyBorder="1" applyAlignment="1">
      <alignment horizontal="center" vertical="center"/>
    </xf>
    <xf numFmtId="2" fontId="1316" fillId="8" borderId="1" xfId="0" applyNumberFormat="1" applyFont="1" applyFill="1" applyBorder="1" applyAlignment="1">
      <alignment horizontal="center" vertical="center"/>
    </xf>
    <xf numFmtId="2" fontId="1317" fillId="8" borderId="1" xfId="0" applyNumberFormat="1" applyFont="1" applyFill="1" applyBorder="1" applyAlignment="1">
      <alignment horizontal="center" vertical="center"/>
    </xf>
    <xf numFmtId="2" fontId="1318" fillId="8" borderId="1" xfId="0" applyNumberFormat="1" applyFont="1" applyFill="1" applyBorder="1" applyAlignment="1">
      <alignment horizontal="center" vertical="center"/>
    </xf>
    <xf numFmtId="2" fontId="1319" fillId="8" borderId="1" xfId="0" applyNumberFormat="1" applyFont="1" applyFill="1" applyBorder="1" applyAlignment="1">
      <alignment horizontal="center" vertical="center"/>
    </xf>
    <xf numFmtId="2" fontId="1320" fillId="8" borderId="1" xfId="0" applyNumberFormat="1" applyFont="1" applyFill="1" applyBorder="1" applyAlignment="1">
      <alignment horizontal="center" vertical="center"/>
    </xf>
    <xf numFmtId="2" fontId="1321" fillId="8" borderId="1" xfId="0" applyNumberFormat="1" applyFont="1" applyFill="1" applyBorder="1" applyAlignment="1">
      <alignment horizontal="center" vertical="center"/>
    </xf>
    <xf numFmtId="2" fontId="1322" fillId="8" borderId="1" xfId="0" applyNumberFormat="1" applyFont="1" applyFill="1" applyBorder="1" applyAlignment="1">
      <alignment horizontal="center" vertical="center"/>
    </xf>
    <xf numFmtId="2" fontId="1323" fillId="8" borderId="1" xfId="0" applyNumberFormat="1" applyFont="1" applyFill="1" applyBorder="1" applyAlignment="1">
      <alignment horizontal="center" vertical="center"/>
    </xf>
    <xf numFmtId="2" fontId="1324" fillId="8" borderId="1" xfId="0" applyNumberFormat="1" applyFont="1" applyFill="1" applyBorder="1" applyAlignment="1">
      <alignment horizontal="center" vertical="center"/>
    </xf>
    <xf numFmtId="2" fontId="1325" fillId="8" borderId="1" xfId="0" applyNumberFormat="1" applyFont="1" applyFill="1" applyBorder="1" applyAlignment="1">
      <alignment horizontal="center" vertical="center"/>
    </xf>
    <xf numFmtId="2" fontId="1326" fillId="8" borderId="1" xfId="0" applyNumberFormat="1" applyFont="1" applyFill="1" applyBorder="1" applyAlignment="1">
      <alignment horizontal="center" vertical="center"/>
    </xf>
    <xf numFmtId="0" fontId="1327" fillId="7" borderId="1" xfId="0" applyNumberFormat="1" applyFont="1" applyFill="1" applyBorder="1" applyAlignment="1">
      <alignment horizontal="left" vertical="center"/>
    </xf>
    <xf numFmtId="0" fontId="1328" fillId="8" borderId="1" xfId="0" applyNumberFormat="1" applyFont="1" applyFill="1" applyBorder="1" applyAlignment="1">
      <alignment horizontal="center" vertical="center"/>
    </xf>
    <xf numFmtId="164" fontId="1329" fillId="8" borderId="1" xfId="0" applyNumberFormat="1" applyFont="1" applyFill="1" applyBorder="1" applyAlignment="1">
      <alignment horizontal="center" vertical="center"/>
    </xf>
    <xf numFmtId="1" fontId="1330" fillId="8" borderId="1" xfId="0" applyNumberFormat="1" applyFont="1" applyFill="1" applyBorder="1" applyAlignment="1">
      <alignment horizontal="center" vertical="center"/>
    </xf>
    <xf numFmtId="1" fontId="1331" fillId="8" borderId="1" xfId="0" applyNumberFormat="1" applyFont="1" applyFill="1" applyBorder="1" applyAlignment="1">
      <alignment horizontal="center" vertical="center"/>
    </xf>
    <xf numFmtId="1" fontId="1332" fillId="8" borderId="1" xfId="0" applyNumberFormat="1" applyFont="1" applyFill="1" applyBorder="1" applyAlignment="1">
      <alignment horizontal="center" vertical="center"/>
    </xf>
    <xf numFmtId="1" fontId="1333" fillId="8" borderId="1" xfId="0" applyNumberFormat="1" applyFont="1" applyFill="1" applyBorder="1" applyAlignment="1">
      <alignment horizontal="center" vertical="center"/>
    </xf>
    <xf numFmtId="1" fontId="1334" fillId="8" borderId="1" xfId="0" applyNumberFormat="1" applyFont="1" applyFill="1" applyBorder="1" applyAlignment="1">
      <alignment horizontal="center" vertical="center"/>
    </xf>
    <xf numFmtId="1" fontId="1335" fillId="8" borderId="1" xfId="0" applyNumberFormat="1" applyFont="1" applyFill="1" applyBorder="1" applyAlignment="1">
      <alignment horizontal="center" vertical="center"/>
    </xf>
    <xf numFmtId="1" fontId="1336" fillId="8" borderId="1" xfId="0" applyNumberFormat="1" applyFont="1" applyFill="1" applyBorder="1" applyAlignment="1">
      <alignment horizontal="center" vertical="center"/>
    </xf>
    <xf numFmtId="0" fontId="1337" fillId="8" borderId="1" xfId="0" applyNumberFormat="1" applyFont="1" applyFill="1" applyBorder="1" applyAlignment="1">
      <alignment horizontal="center" vertical="center"/>
    </xf>
    <xf numFmtId="0" fontId="1338" fillId="8" borderId="1" xfId="0" applyNumberFormat="1" applyFont="1" applyFill="1" applyBorder="1" applyAlignment="1">
      <alignment horizontal="center" vertical="center"/>
    </xf>
    <xf numFmtId="1" fontId="1339" fillId="8" borderId="1" xfId="0" applyNumberFormat="1" applyFont="1" applyFill="1" applyBorder="1" applyAlignment="1">
      <alignment horizontal="center" vertical="center"/>
    </xf>
    <xf numFmtId="1" fontId="1340" fillId="8" borderId="1" xfId="0" applyNumberFormat="1" applyFont="1" applyFill="1" applyBorder="1" applyAlignment="1">
      <alignment horizontal="center" vertical="center"/>
    </xf>
    <xf numFmtId="1" fontId="1341" fillId="8" borderId="1" xfId="0" applyNumberFormat="1" applyFont="1" applyFill="1" applyBorder="1" applyAlignment="1">
      <alignment horizontal="center" vertical="center"/>
    </xf>
    <xf numFmtId="165" fontId="1342" fillId="8" borderId="1" xfId="0" applyNumberFormat="1" applyFont="1" applyFill="1" applyBorder="1" applyAlignment="1">
      <alignment horizontal="center" vertical="center"/>
    </xf>
    <xf numFmtId="1" fontId="1343" fillId="8" borderId="1" xfId="0" applyNumberFormat="1" applyFont="1" applyFill="1" applyBorder="1" applyAlignment="1">
      <alignment horizontal="center" vertical="center"/>
    </xf>
    <xf numFmtId="165" fontId="1344" fillId="8" borderId="1" xfId="0" applyNumberFormat="1" applyFont="1" applyFill="1" applyBorder="1" applyAlignment="1">
      <alignment horizontal="center" vertical="center"/>
    </xf>
    <xf numFmtId="1" fontId="1345" fillId="8" borderId="1" xfId="0" applyNumberFormat="1" applyFont="1" applyFill="1" applyBorder="1" applyAlignment="1">
      <alignment horizontal="center" vertical="center"/>
    </xf>
    <xf numFmtId="165" fontId="1346" fillId="8" borderId="1" xfId="0" applyNumberFormat="1" applyFont="1" applyFill="1" applyBorder="1" applyAlignment="1">
      <alignment horizontal="center" vertical="center"/>
    </xf>
    <xf numFmtId="1" fontId="1347" fillId="8" borderId="1" xfId="0" applyNumberFormat="1" applyFont="1" applyFill="1" applyBorder="1" applyAlignment="1">
      <alignment horizontal="center" vertical="center"/>
    </xf>
    <xf numFmtId="165" fontId="1348" fillId="8" borderId="1" xfId="0" applyNumberFormat="1" applyFont="1" applyFill="1" applyBorder="1" applyAlignment="1">
      <alignment horizontal="center" vertical="center"/>
    </xf>
    <xf numFmtId="165" fontId="1349" fillId="8" borderId="1" xfId="0" applyNumberFormat="1" applyFont="1" applyFill="1" applyBorder="1" applyAlignment="1">
      <alignment horizontal="center" vertical="center"/>
    </xf>
    <xf numFmtId="1" fontId="1350" fillId="8" borderId="1" xfId="0" applyNumberFormat="1" applyFont="1" applyFill="1" applyBorder="1" applyAlignment="1">
      <alignment horizontal="center" vertical="center"/>
    </xf>
    <xf numFmtId="1" fontId="1351" fillId="8" borderId="1" xfId="0" applyNumberFormat="1" applyFont="1" applyFill="1" applyBorder="1" applyAlignment="1">
      <alignment horizontal="center" vertical="center"/>
    </xf>
    <xf numFmtId="1" fontId="1352" fillId="8" borderId="1" xfId="0" applyNumberFormat="1" applyFont="1" applyFill="1" applyBorder="1" applyAlignment="1">
      <alignment horizontal="center" vertical="center"/>
    </xf>
    <xf numFmtId="165" fontId="1353" fillId="8" borderId="1" xfId="0" applyNumberFormat="1" applyFont="1" applyFill="1" applyBorder="1" applyAlignment="1">
      <alignment horizontal="center" vertical="center"/>
    </xf>
    <xf numFmtId="164" fontId="1354" fillId="8" borderId="1" xfId="0" applyNumberFormat="1" applyFont="1" applyFill="1" applyBorder="1" applyAlignment="1">
      <alignment horizontal="center" vertical="center"/>
    </xf>
    <xf numFmtId="164" fontId="1355" fillId="8" borderId="1" xfId="0" applyNumberFormat="1" applyFont="1" applyFill="1" applyBorder="1" applyAlignment="1">
      <alignment horizontal="center" vertical="center"/>
    </xf>
    <xf numFmtId="1" fontId="1356" fillId="8" borderId="1" xfId="0" applyNumberFormat="1" applyFont="1" applyFill="1" applyBorder="1" applyAlignment="1">
      <alignment horizontal="center" vertical="center"/>
    </xf>
    <xf numFmtId="1" fontId="1357" fillId="8" borderId="1" xfId="0" applyNumberFormat="1" applyFont="1" applyFill="1" applyBorder="1" applyAlignment="1">
      <alignment horizontal="center" vertical="center"/>
    </xf>
    <xf numFmtId="1" fontId="1358" fillId="8" borderId="1" xfId="0" applyNumberFormat="1" applyFont="1" applyFill="1" applyBorder="1" applyAlignment="1">
      <alignment horizontal="center" vertical="center"/>
    </xf>
    <xf numFmtId="165" fontId="1359" fillId="8" borderId="1" xfId="0" applyNumberFormat="1" applyFont="1" applyFill="1" applyBorder="1" applyAlignment="1">
      <alignment horizontal="center" vertical="center"/>
    </xf>
    <xf numFmtId="1" fontId="1360" fillId="8" borderId="1" xfId="0" applyNumberFormat="1" applyFont="1" applyFill="1" applyBorder="1" applyAlignment="1">
      <alignment horizontal="center" vertical="center"/>
    </xf>
    <xf numFmtId="165" fontId="1361" fillId="8" borderId="1" xfId="0" applyNumberFormat="1" applyFont="1" applyFill="1" applyBorder="1" applyAlignment="1">
      <alignment horizontal="center" vertical="center"/>
    </xf>
    <xf numFmtId="1" fontId="1362" fillId="8" borderId="1" xfId="0" applyNumberFormat="1" applyFont="1" applyFill="1" applyBorder="1" applyAlignment="1">
      <alignment horizontal="center" vertical="center"/>
    </xf>
    <xf numFmtId="1" fontId="1363" fillId="8" borderId="1" xfId="0" applyNumberFormat="1" applyFont="1" applyFill="1" applyBorder="1" applyAlignment="1">
      <alignment horizontal="center" vertical="center"/>
    </xf>
    <xf numFmtId="1" fontId="1364" fillId="8" borderId="1" xfId="0" applyNumberFormat="1" applyFont="1" applyFill="1" applyBorder="1" applyAlignment="1">
      <alignment horizontal="center" vertical="center"/>
    </xf>
    <xf numFmtId="1" fontId="1365" fillId="8" borderId="1" xfId="0" applyNumberFormat="1" applyFont="1" applyFill="1" applyBorder="1" applyAlignment="1">
      <alignment horizontal="center" vertical="center"/>
    </xf>
    <xf numFmtId="165" fontId="1366" fillId="8" borderId="1" xfId="0" applyNumberFormat="1" applyFont="1" applyFill="1" applyBorder="1" applyAlignment="1">
      <alignment horizontal="center" vertical="center"/>
    </xf>
    <xf numFmtId="1" fontId="1367" fillId="8" borderId="1" xfId="0" applyNumberFormat="1" applyFont="1" applyFill="1" applyBorder="1" applyAlignment="1">
      <alignment horizontal="center" vertical="center"/>
    </xf>
    <xf numFmtId="165" fontId="1368" fillId="8" borderId="1" xfId="0" applyNumberFormat="1" applyFont="1" applyFill="1" applyBorder="1" applyAlignment="1">
      <alignment horizontal="center" vertical="center"/>
    </xf>
    <xf numFmtId="1" fontId="1369" fillId="8" borderId="1" xfId="0" applyNumberFormat="1" applyFont="1" applyFill="1" applyBorder="1" applyAlignment="1">
      <alignment horizontal="center" vertical="center"/>
    </xf>
    <xf numFmtId="165" fontId="1370" fillId="8" borderId="1" xfId="0" applyNumberFormat="1" applyFont="1" applyFill="1" applyBorder="1" applyAlignment="1">
      <alignment horizontal="center" vertical="center"/>
    </xf>
    <xf numFmtId="2" fontId="1371" fillId="8" borderId="1" xfId="0" applyNumberFormat="1" applyFont="1" applyFill="1" applyBorder="1" applyAlignment="1">
      <alignment horizontal="center" vertical="center"/>
    </xf>
    <xf numFmtId="2" fontId="1372" fillId="8" borderId="1" xfId="0" applyNumberFormat="1" applyFont="1" applyFill="1" applyBorder="1" applyAlignment="1">
      <alignment horizontal="center" vertical="center"/>
    </xf>
    <xf numFmtId="2" fontId="1373" fillId="8" borderId="1" xfId="0" applyNumberFormat="1" applyFont="1" applyFill="1" applyBorder="1" applyAlignment="1">
      <alignment horizontal="center" vertical="center"/>
    </xf>
    <xf numFmtId="2" fontId="1374" fillId="8" borderId="1" xfId="0" applyNumberFormat="1" applyFont="1" applyFill="1" applyBorder="1" applyAlignment="1">
      <alignment horizontal="center" vertical="center"/>
    </xf>
    <xf numFmtId="2" fontId="1375" fillId="8" borderId="1" xfId="0" applyNumberFormat="1" applyFont="1" applyFill="1" applyBorder="1" applyAlignment="1">
      <alignment horizontal="center" vertical="center"/>
    </xf>
    <xf numFmtId="2" fontId="1376" fillId="8" borderId="1" xfId="0" applyNumberFormat="1" applyFont="1" applyFill="1" applyBorder="1" applyAlignment="1">
      <alignment horizontal="center" vertical="center"/>
    </xf>
    <xf numFmtId="2" fontId="1377" fillId="8" borderId="1" xfId="0" applyNumberFormat="1" applyFont="1" applyFill="1" applyBorder="1" applyAlignment="1">
      <alignment horizontal="center" vertical="center"/>
    </xf>
    <xf numFmtId="2" fontId="1378" fillId="8" borderId="1" xfId="0" applyNumberFormat="1" applyFont="1" applyFill="1" applyBorder="1" applyAlignment="1">
      <alignment horizontal="center" vertical="center"/>
    </xf>
    <xf numFmtId="2" fontId="1379" fillId="8" borderId="1" xfId="0" applyNumberFormat="1" applyFont="1" applyFill="1" applyBorder="1" applyAlignment="1">
      <alignment horizontal="center" vertical="center"/>
    </xf>
    <xf numFmtId="2" fontId="1380" fillId="8" borderId="1" xfId="0" applyNumberFormat="1" applyFont="1" applyFill="1" applyBorder="1" applyAlignment="1">
      <alignment horizontal="center" vertical="center"/>
    </xf>
    <xf numFmtId="2" fontId="1381" fillId="8" borderId="1" xfId="0" applyNumberFormat="1" applyFont="1" applyFill="1" applyBorder="1" applyAlignment="1">
      <alignment horizontal="center" vertical="center"/>
    </xf>
    <xf numFmtId="2" fontId="1382" fillId="8" borderId="1" xfId="0" applyNumberFormat="1" applyFont="1" applyFill="1" applyBorder="1" applyAlignment="1">
      <alignment horizontal="center" vertical="center"/>
    </xf>
    <xf numFmtId="2" fontId="1383" fillId="8" borderId="1" xfId="0" applyNumberFormat="1" applyFont="1" applyFill="1" applyBorder="1" applyAlignment="1">
      <alignment horizontal="center" vertical="center"/>
    </xf>
    <xf numFmtId="2" fontId="1384" fillId="8" borderId="1" xfId="0" applyNumberFormat="1" applyFont="1" applyFill="1" applyBorder="1" applyAlignment="1">
      <alignment horizontal="center" vertical="center"/>
    </xf>
    <xf numFmtId="2" fontId="1385" fillId="8" borderId="1" xfId="0" applyNumberFormat="1" applyFont="1" applyFill="1" applyBorder="1" applyAlignment="1">
      <alignment horizontal="center" vertical="center"/>
    </xf>
    <xf numFmtId="2" fontId="1386" fillId="8" borderId="1" xfId="0" applyNumberFormat="1" applyFont="1" applyFill="1" applyBorder="1" applyAlignment="1">
      <alignment horizontal="center" vertical="center"/>
    </xf>
    <xf numFmtId="2" fontId="1387" fillId="8" borderId="1" xfId="0" applyNumberFormat="1" applyFont="1" applyFill="1" applyBorder="1" applyAlignment="1">
      <alignment horizontal="center" vertical="center"/>
    </xf>
    <xf numFmtId="2" fontId="1388" fillId="8" borderId="1" xfId="0" applyNumberFormat="1" applyFont="1" applyFill="1" applyBorder="1" applyAlignment="1">
      <alignment horizontal="center" vertical="center"/>
    </xf>
    <xf numFmtId="2" fontId="1389" fillId="8" borderId="1" xfId="0" applyNumberFormat="1" applyFont="1" applyFill="1" applyBorder="1" applyAlignment="1">
      <alignment horizontal="center" vertical="center"/>
    </xf>
    <xf numFmtId="2" fontId="1390" fillId="8" borderId="1" xfId="0" applyNumberFormat="1" applyFont="1" applyFill="1" applyBorder="1" applyAlignment="1">
      <alignment horizontal="center" vertical="center"/>
    </xf>
    <xf numFmtId="2" fontId="1391" fillId="8" borderId="1" xfId="0" applyNumberFormat="1" applyFont="1" applyFill="1" applyBorder="1" applyAlignment="1">
      <alignment horizontal="center" vertical="center"/>
    </xf>
    <xf numFmtId="2" fontId="1392" fillId="8" borderId="1" xfId="0" applyNumberFormat="1" applyFont="1" applyFill="1" applyBorder="1" applyAlignment="1">
      <alignment horizontal="center" vertical="center"/>
    </xf>
    <xf numFmtId="2" fontId="1393" fillId="8" borderId="1" xfId="0" applyNumberFormat="1" applyFont="1" applyFill="1" applyBorder="1" applyAlignment="1">
      <alignment horizontal="center" vertical="center"/>
    </xf>
    <xf numFmtId="2" fontId="1394" fillId="8" borderId="1" xfId="0" applyNumberFormat="1" applyFont="1" applyFill="1" applyBorder="1" applyAlignment="1">
      <alignment horizontal="center" vertical="center"/>
    </xf>
    <xf numFmtId="2" fontId="1395" fillId="8" borderId="1" xfId="0" applyNumberFormat="1" applyFont="1" applyFill="1" applyBorder="1" applyAlignment="1">
      <alignment horizontal="center" vertical="center"/>
    </xf>
    <xf numFmtId="2" fontId="1396" fillId="8" borderId="1" xfId="0" applyNumberFormat="1" applyFont="1" applyFill="1" applyBorder="1" applyAlignment="1">
      <alignment horizontal="center" vertical="center"/>
    </xf>
    <xf numFmtId="2" fontId="1397" fillId="8" borderId="1" xfId="0" applyNumberFormat="1" applyFont="1" applyFill="1" applyBorder="1" applyAlignment="1">
      <alignment horizontal="center" vertical="center"/>
    </xf>
    <xf numFmtId="2" fontId="1398" fillId="8" borderId="1" xfId="0" applyNumberFormat="1" applyFont="1" applyFill="1" applyBorder="1" applyAlignment="1">
      <alignment horizontal="center" vertical="center"/>
    </xf>
    <xf numFmtId="2" fontId="1399" fillId="8" borderId="1" xfId="0" applyNumberFormat="1" applyFont="1" applyFill="1" applyBorder="1" applyAlignment="1">
      <alignment horizontal="center" vertical="center"/>
    </xf>
    <xf numFmtId="2" fontId="1400" fillId="8" borderId="1" xfId="0" applyNumberFormat="1" applyFont="1" applyFill="1" applyBorder="1" applyAlignment="1">
      <alignment horizontal="center" vertical="center"/>
    </xf>
    <xf numFmtId="2" fontId="1401" fillId="8" borderId="1" xfId="0" applyNumberFormat="1" applyFont="1" applyFill="1" applyBorder="1" applyAlignment="1">
      <alignment horizontal="center" vertical="center"/>
    </xf>
    <xf numFmtId="2" fontId="1402" fillId="8" borderId="1" xfId="0" applyNumberFormat="1" applyFont="1" applyFill="1" applyBorder="1" applyAlignment="1">
      <alignment horizontal="center" vertical="center"/>
    </xf>
    <xf numFmtId="2" fontId="1403" fillId="8" borderId="1" xfId="0" applyNumberFormat="1" applyFont="1" applyFill="1" applyBorder="1" applyAlignment="1">
      <alignment horizontal="center" vertical="center"/>
    </xf>
    <xf numFmtId="2" fontId="1404" fillId="8" borderId="1" xfId="0" applyNumberFormat="1" applyFont="1" applyFill="1" applyBorder="1" applyAlignment="1">
      <alignment horizontal="center" vertical="center"/>
    </xf>
    <xf numFmtId="0" fontId="1405" fillId="7" borderId="1" xfId="0" applyNumberFormat="1" applyFont="1" applyFill="1" applyBorder="1" applyAlignment="1">
      <alignment horizontal="left" vertical="center"/>
    </xf>
    <xf numFmtId="0" fontId="1406" fillId="8" borderId="1" xfId="0" applyNumberFormat="1" applyFont="1" applyFill="1" applyBorder="1" applyAlignment="1">
      <alignment horizontal="center" vertical="center"/>
    </xf>
    <xf numFmtId="164" fontId="1407" fillId="8" borderId="1" xfId="0" applyNumberFormat="1" applyFont="1" applyFill="1" applyBorder="1" applyAlignment="1">
      <alignment horizontal="center" vertical="center"/>
    </xf>
    <xf numFmtId="1" fontId="1408" fillId="8" borderId="1" xfId="0" applyNumberFormat="1" applyFont="1" applyFill="1" applyBorder="1" applyAlignment="1">
      <alignment horizontal="center" vertical="center"/>
    </xf>
    <xf numFmtId="1" fontId="1409" fillId="8" borderId="1" xfId="0" applyNumberFormat="1" applyFont="1" applyFill="1" applyBorder="1" applyAlignment="1">
      <alignment horizontal="center" vertical="center"/>
    </xf>
    <xf numFmtId="1" fontId="1410" fillId="8" borderId="1" xfId="0" applyNumberFormat="1" applyFont="1" applyFill="1" applyBorder="1" applyAlignment="1">
      <alignment horizontal="center" vertical="center"/>
    </xf>
    <xf numFmtId="1" fontId="1411" fillId="8" borderId="1" xfId="0" applyNumberFormat="1" applyFont="1" applyFill="1" applyBorder="1" applyAlignment="1">
      <alignment horizontal="center" vertical="center"/>
    </xf>
    <xf numFmtId="1" fontId="1412" fillId="8" borderId="1" xfId="0" applyNumberFormat="1" applyFont="1" applyFill="1" applyBorder="1" applyAlignment="1">
      <alignment horizontal="center" vertical="center"/>
    </xf>
    <xf numFmtId="1" fontId="1413" fillId="8" borderId="1" xfId="0" applyNumberFormat="1" applyFont="1" applyFill="1" applyBorder="1" applyAlignment="1">
      <alignment horizontal="center" vertical="center"/>
    </xf>
    <xf numFmtId="1" fontId="1414" fillId="8" borderId="1" xfId="0" applyNumberFormat="1" applyFont="1" applyFill="1" applyBorder="1" applyAlignment="1">
      <alignment horizontal="center" vertical="center"/>
    </xf>
    <xf numFmtId="0" fontId="1415" fillId="8" borderId="1" xfId="0" applyNumberFormat="1" applyFont="1" applyFill="1" applyBorder="1" applyAlignment="1">
      <alignment horizontal="center" vertical="center"/>
    </xf>
    <xf numFmtId="0" fontId="1416" fillId="8" borderId="1" xfId="0" applyNumberFormat="1" applyFont="1" applyFill="1" applyBorder="1" applyAlignment="1">
      <alignment horizontal="center" vertical="center"/>
    </xf>
    <xf numFmtId="1" fontId="1417" fillId="8" borderId="1" xfId="0" applyNumberFormat="1" applyFont="1" applyFill="1" applyBorder="1" applyAlignment="1">
      <alignment horizontal="center" vertical="center"/>
    </xf>
    <xf numFmtId="1" fontId="1418" fillId="8" borderId="1" xfId="0" applyNumberFormat="1" applyFont="1" applyFill="1" applyBorder="1" applyAlignment="1">
      <alignment horizontal="center" vertical="center"/>
    </xf>
    <xf numFmtId="1" fontId="1419" fillId="8" borderId="1" xfId="0" applyNumberFormat="1" applyFont="1" applyFill="1" applyBorder="1" applyAlignment="1">
      <alignment horizontal="center" vertical="center"/>
    </xf>
    <xf numFmtId="165" fontId="1420" fillId="8" borderId="1" xfId="0" applyNumberFormat="1" applyFont="1" applyFill="1" applyBorder="1" applyAlignment="1">
      <alignment horizontal="center" vertical="center"/>
    </xf>
    <xf numFmtId="1" fontId="1421" fillId="8" borderId="1" xfId="0" applyNumberFormat="1" applyFont="1" applyFill="1" applyBorder="1" applyAlignment="1">
      <alignment horizontal="center" vertical="center"/>
    </xf>
    <xf numFmtId="165" fontId="1422" fillId="8" borderId="1" xfId="0" applyNumberFormat="1" applyFont="1" applyFill="1" applyBorder="1" applyAlignment="1">
      <alignment horizontal="center" vertical="center"/>
    </xf>
    <xf numFmtId="1" fontId="1423" fillId="8" borderId="1" xfId="0" applyNumberFormat="1" applyFont="1" applyFill="1" applyBorder="1" applyAlignment="1">
      <alignment horizontal="center" vertical="center"/>
    </xf>
    <xf numFmtId="165" fontId="1424" fillId="8" borderId="1" xfId="0" applyNumberFormat="1" applyFont="1" applyFill="1" applyBorder="1" applyAlignment="1">
      <alignment horizontal="center" vertical="center"/>
    </xf>
    <xf numFmtId="1" fontId="1425" fillId="8" borderId="1" xfId="0" applyNumberFormat="1" applyFont="1" applyFill="1" applyBorder="1" applyAlignment="1">
      <alignment horizontal="center" vertical="center"/>
    </xf>
    <xf numFmtId="165" fontId="1426" fillId="8" borderId="1" xfId="0" applyNumberFormat="1" applyFont="1" applyFill="1" applyBorder="1" applyAlignment="1">
      <alignment horizontal="center" vertical="center"/>
    </xf>
    <xf numFmtId="165" fontId="1427" fillId="8" borderId="1" xfId="0" applyNumberFormat="1" applyFont="1" applyFill="1" applyBorder="1" applyAlignment="1">
      <alignment horizontal="center" vertical="center"/>
    </xf>
    <xf numFmtId="1" fontId="1428" fillId="8" borderId="1" xfId="0" applyNumberFormat="1" applyFont="1" applyFill="1" applyBorder="1" applyAlignment="1">
      <alignment horizontal="center" vertical="center"/>
    </xf>
    <xf numFmtId="1" fontId="1429" fillId="8" borderId="1" xfId="0" applyNumberFormat="1" applyFont="1" applyFill="1" applyBorder="1" applyAlignment="1">
      <alignment horizontal="center" vertical="center"/>
    </xf>
    <xf numFmtId="1" fontId="1430" fillId="8" borderId="1" xfId="0" applyNumberFormat="1" applyFont="1" applyFill="1" applyBorder="1" applyAlignment="1">
      <alignment horizontal="center" vertical="center"/>
    </xf>
    <xf numFmtId="165" fontId="1431" fillId="8" borderId="1" xfId="0" applyNumberFormat="1" applyFont="1" applyFill="1" applyBorder="1" applyAlignment="1">
      <alignment horizontal="center" vertical="center"/>
    </xf>
    <xf numFmtId="164" fontId="1432" fillId="8" borderId="1" xfId="0" applyNumberFormat="1" applyFont="1" applyFill="1" applyBorder="1" applyAlignment="1">
      <alignment horizontal="center" vertical="center"/>
    </xf>
    <xf numFmtId="164" fontId="1433" fillId="8" borderId="1" xfId="0" applyNumberFormat="1" applyFont="1" applyFill="1" applyBorder="1" applyAlignment="1">
      <alignment horizontal="center" vertical="center"/>
    </xf>
    <xf numFmtId="1" fontId="1434" fillId="8" borderId="1" xfId="0" applyNumberFormat="1" applyFont="1" applyFill="1" applyBorder="1" applyAlignment="1">
      <alignment horizontal="center" vertical="center"/>
    </xf>
    <xf numFmtId="1" fontId="1435" fillId="8" borderId="1" xfId="0" applyNumberFormat="1" applyFont="1" applyFill="1" applyBorder="1" applyAlignment="1">
      <alignment horizontal="center" vertical="center"/>
    </xf>
    <xf numFmtId="1" fontId="1436" fillId="8" borderId="1" xfId="0" applyNumberFormat="1" applyFont="1" applyFill="1" applyBorder="1" applyAlignment="1">
      <alignment horizontal="center" vertical="center"/>
    </xf>
    <xf numFmtId="165" fontId="1437" fillId="8" borderId="1" xfId="0" applyNumberFormat="1" applyFont="1" applyFill="1" applyBorder="1" applyAlignment="1">
      <alignment horizontal="center" vertical="center"/>
    </xf>
    <xf numFmtId="1" fontId="1438" fillId="8" borderId="1" xfId="0" applyNumberFormat="1" applyFont="1" applyFill="1" applyBorder="1" applyAlignment="1">
      <alignment horizontal="center" vertical="center"/>
    </xf>
    <xf numFmtId="165" fontId="1439" fillId="8" borderId="1" xfId="0" applyNumberFormat="1" applyFont="1" applyFill="1" applyBorder="1" applyAlignment="1">
      <alignment horizontal="center" vertical="center"/>
    </xf>
    <xf numFmtId="1" fontId="1440" fillId="8" borderId="1" xfId="0" applyNumberFormat="1" applyFont="1" applyFill="1" applyBorder="1" applyAlignment="1">
      <alignment horizontal="center" vertical="center"/>
    </xf>
    <xf numFmtId="1" fontId="1441" fillId="8" borderId="1" xfId="0" applyNumberFormat="1" applyFont="1" applyFill="1" applyBorder="1" applyAlignment="1">
      <alignment horizontal="center" vertical="center"/>
    </xf>
    <xf numFmtId="1" fontId="1442" fillId="8" borderId="1" xfId="0" applyNumberFormat="1" applyFont="1" applyFill="1" applyBorder="1" applyAlignment="1">
      <alignment horizontal="center" vertical="center"/>
    </xf>
    <xf numFmtId="1" fontId="1443" fillId="8" borderId="1" xfId="0" applyNumberFormat="1" applyFont="1" applyFill="1" applyBorder="1" applyAlignment="1">
      <alignment horizontal="center" vertical="center"/>
    </xf>
    <xf numFmtId="165" fontId="1444" fillId="8" borderId="1" xfId="0" applyNumberFormat="1" applyFont="1" applyFill="1" applyBorder="1" applyAlignment="1">
      <alignment horizontal="center" vertical="center"/>
    </xf>
    <xf numFmtId="1" fontId="1445" fillId="8" borderId="1" xfId="0" applyNumberFormat="1" applyFont="1" applyFill="1" applyBorder="1" applyAlignment="1">
      <alignment horizontal="center" vertical="center"/>
    </xf>
    <xf numFmtId="165" fontId="1446" fillId="8" borderId="1" xfId="0" applyNumberFormat="1" applyFont="1" applyFill="1" applyBorder="1" applyAlignment="1">
      <alignment horizontal="center" vertical="center"/>
    </xf>
    <xf numFmtId="1" fontId="1447" fillId="8" borderId="1" xfId="0" applyNumberFormat="1" applyFont="1" applyFill="1" applyBorder="1" applyAlignment="1">
      <alignment horizontal="center" vertical="center"/>
    </xf>
    <xf numFmtId="165" fontId="1448" fillId="8" borderId="1" xfId="0" applyNumberFormat="1" applyFont="1" applyFill="1" applyBorder="1" applyAlignment="1">
      <alignment horizontal="center" vertical="center"/>
    </xf>
    <xf numFmtId="2" fontId="1449" fillId="8" borderId="1" xfId="0" applyNumberFormat="1" applyFont="1" applyFill="1" applyBorder="1" applyAlignment="1">
      <alignment horizontal="center" vertical="center"/>
    </xf>
    <xf numFmtId="2" fontId="1450" fillId="8" borderId="1" xfId="0" applyNumberFormat="1" applyFont="1" applyFill="1" applyBorder="1" applyAlignment="1">
      <alignment horizontal="center" vertical="center"/>
    </xf>
    <xf numFmtId="2" fontId="1451" fillId="8" borderId="1" xfId="0" applyNumberFormat="1" applyFont="1" applyFill="1" applyBorder="1" applyAlignment="1">
      <alignment horizontal="center" vertical="center"/>
    </xf>
    <xf numFmtId="2" fontId="1452" fillId="8" borderId="1" xfId="0" applyNumberFormat="1" applyFont="1" applyFill="1" applyBorder="1" applyAlignment="1">
      <alignment horizontal="center" vertical="center"/>
    </xf>
    <xf numFmtId="2" fontId="1453" fillId="8" borderId="1" xfId="0" applyNumberFormat="1" applyFont="1" applyFill="1" applyBorder="1" applyAlignment="1">
      <alignment horizontal="center" vertical="center"/>
    </xf>
    <xf numFmtId="2" fontId="1454" fillId="8" borderId="1" xfId="0" applyNumberFormat="1" applyFont="1" applyFill="1" applyBorder="1" applyAlignment="1">
      <alignment horizontal="center" vertical="center"/>
    </xf>
    <xf numFmtId="2" fontId="1455" fillId="8" borderId="1" xfId="0" applyNumberFormat="1" applyFont="1" applyFill="1" applyBorder="1" applyAlignment="1">
      <alignment horizontal="center" vertical="center"/>
    </xf>
    <xf numFmtId="2" fontId="1456" fillId="8" borderId="1" xfId="0" applyNumberFormat="1" applyFont="1" applyFill="1" applyBorder="1" applyAlignment="1">
      <alignment horizontal="center" vertical="center"/>
    </xf>
    <xf numFmtId="2" fontId="1457" fillId="8" borderId="1" xfId="0" applyNumberFormat="1" applyFont="1" applyFill="1" applyBorder="1" applyAlignment="1">
      <alignment horizontal="center" vertical="center"/>
    </xf>
    <xf numFmtId="2" fontId="1458" fillId="8" borderId="1" xfId="0" applyNumberFormat="1" applyFont="1" applyFill="1" applyBorder="1" applyAlignment="1">
      <alignment horizontal="center" vertical="center"/>
    </xf>
    <xf numFmtId="2" fontId="1459" fillId="8" borderId="1" xfId="0" applyNumberFormat="1" applyFont="1" applyFill="1" applyBorder="1" applyAlignment="1">
      <alignment horizontal="center" vertical="center"/>
    </xf>
    <xf numFmtId="2" fontId="1460" fillId="8" borderId="1" xfId="0" applyNumberFormat="1" applyFont="1" applyFill="1" applyBorder="1" applyAlignment="1">
      <alignment horizontal="center" vertical="center"/>
    </xf>
    <xf numFmtId="2" fontId="1461" fillId="8" borderId="1" xfId="0" applyNumberFormat="1" applyFont="1" applyFill="1" applyBorder="1" applyAlignment="1">
      <alignment horizontal="center" vertical="center"/>
    </xf>
    <xf numFmtId="2" fontId="1462" fillId="8" borderId="1" xfId="0" applyNumberFormat="1" applyFont="1" applyFill="1" applyBorder="1" applyAlignment="1">
      <alignment horizontal="center" vertical="center"/>
    </xf>
    <xf numFmtId="2" fontId="1463" fillId="8" borderId="1" xfId="0" applyNumberFormat="1" applyFont="1" applyFill="1" applyBorder="1" applyAlignment="1">
      <alignment horizontal="center" vertical="center"/>
    </xf>
    <xf numFmtId="2" fontId="1464" fillId="8" borderId="1" xfId="0" applyNumberFormat="1" applyFont="1" applyFill="1" applyBorder="1" applyAlignment="1">
      <alignment horizontal="center" vertical="center"/>
    </xf>
    <xf numFmtId="2" fontId="1465" fillId="8" borderId="1" xfId="0" applyNumberFormat="1" applyFont="1" applyFill="1" applyBorder="1" applyAlignment="1">
      <alignment horizontal="center" vertical="center"/>
    </xf>
    <xf numFmtId="2" fontId="1466" fillId="8" borderId="1" xfId="0" applyNumberFormat="1" applyFont="1" applyFill="1" applyBorder="1" applyAlignment="1">
      <alignment horizontal="center" vertical="center"/>
    </xf>
    <xf numFmtId="2" fontId="1467" fillId="8" borderId="1" xfId="0" applyNumberFormat="1" applyFont="1" applyFill="1" applyBorder="1" applyAlignment="1">
      <alignment horizontal="center" vertical="center"/>
    </xf>
    <xf numFmtId="2" fontId="1468" fillId="8" borderId="1" xfId="0" applyNumberFormat="1" applyFont="1" applyFill="1" applyBorder="1" applyAlignment="1">
      <alignment horizontal="center" vertical="center"/>
    </xf>
    <xf numFmtId="2" fontId="1469" fillId="8" borderId="1" xfId="0" applyNumberFormat="1" applyFont="1" applyFill="1" applyBorder="1" applyAlignment="1">
      <alignment horizontal="center" vertical="center"/>
    </xf>
    <xf numFmtId="2" fontId="1470" fillId="8" borderId="1" xfId="0" applyNumberFormat="1" applyFont="1" applyFill="1" applyBorder="1" applyAlignment="1">
      <alignment horizontal="center" vertical="center"/>
    </xf>
    <xf numFmtId="2" fontId="1471" fillId="8" borderId="1" xfId="0" applyNumberFormat="1" applyFont="1" applyFill="1" applyBorder="1" applyAlignment="1">
      <alignment horizontal="center" vertical="center"/>
    </xf>
    <xf numFmtId="2" fontId="1472" fillId="8" borderId="1" xfId="0" applyNumberFormat="1" applyFont="1" applyFill="1" applyBorder="1" applyAlignment="1">
      <alignment horizontal="center" vertical="center"/>
    </xf>
    <xf numFmtId="2" fontId="1473" fillId="8" borderId="1" xfId="0" applyNumberFormat="1" applyFont="1" applyFill="1" applyBorder="1" applyAlignment="1">
      <alignment horizontal="center" vertical="center"/>
    </xf>
    <xf numFmtId="2" fontId="1474" fillId="8" borderId="1" xfId="0" applyNumberFormat="1" applyFont="1" applyFill="1" applyBorder="1" applyAlignment="1">
      <alignment horizontal="center" vertical="center"/>
    </xf>
    <xf numFmtId="2" fontId="1475" fillId="8" borderId="1" xfId="0" applyNumberFormat="1" applyFont="1" applyFill="1" applyBorder="1" applyAlignment="1">
      <alignment horizontal="center" vertical="center"/>
    </xf>
    <xf numFmtId="2" fontId="1476" fillId="8" borderId="1" xfId="0" applyNumberFormat="1" applyFont="1" applyFill="1" applyBorder="1" applyAlignment="1">
      <alignment horizontal="center" vertical="center"/>
    </xf>
    <xf numFmtId="2" fontId="1477" fillId="8" borderId="1" xfId="0" applyNumberFormat="1" applyFont="1" applyFill="1" applyBorder="1" applyAlignment="1">
      <alignment horizontal="center" vertical="center"/>
    </xf>
    <xf numFmtId="2" fontId="1478" fillId="8" borderId="1" xfId="0" applyNumberFormat="1" applyFont="1" applyFill="1" applyBorder="1" applyAlignment="1">
      <alignment horizontal="center" vertical="center"/>
    </xf>
    <xf numFmtId="2" fontId="1479" fillId="8" borderId="1" xfId="0" applyNumberFormat="1" applyFont="1" applyFill="1" applyBorder="1" applyAlignment="1">
      <alignment horizontal="center" vertical="center"/>
    </xf>
    <xf numFmtId="2" fontId="1480" fillId="8" borderId="1" xfId="0" applyNumberFormat="1" applyFont="1" applyFill="1" applyBorder="1" applyAlignment="1">
      <alignment horizontal="center" vertical="center"/>
    </xf>
    <xf numFmtId="2" fontId="1481" fillId="8" borderId="1" xfId="0" applyNumberFormat="1" applyFont="1" applyFill="1" applyBorder="1" applyAlignment="1">
      <alignment horizontal="center" vertical="center"/>
    </xf>
    <xf numFmtId="2" fontId="1482" fillId="8" borderId="1" xfId="0" applyNumberFormat="1" applyFont="1" applyFill="1" applyBorder="1" applyAlignment="1">
      <alignment horizontal="center" vertical="center"/>
    </xf>
    <xf numFmtId="0" fontId="1483" fillId="7" borderId="1" xfId="0" applyNumberFormat="1" applyFont="1" applyFill="1" applyBorder="1" applyAlignment="1">
      <alignment horizontal="left" vertical="center"/>
    </xf>
    <xf numFmtId="0" fontId="1484" fillId="8" borderId="1" xfId="0" applyNumberFormat="1" applyFont="1" applyFill="1" applyBorder="1" applyAlignment="1">
      <alignment horizontal="center" vertical="center"/>
    </xf>
    <xf numFmtId="164" fontId="1485" fillId="8" borderId="1" xfId="0" applyNumberFormat="1" applyFont="1" applyFill="1" applyBorder="1" applyAlignment="1">
      <alignment horizontal="center" vertical="center"/>
    </xf>
    <xf numFmtId="1" fontId="1486" fillId="8" borderId="1" xfId="0" applyNumberFormat="1" applyFont="1" applyFill="1" applyBorder="1" applyAlignment="1">
      <alignment horizontal="center" vertical="center"/>
    </xf>
    <xf numFmtId="1" fontId="1487" fillId="8" borderId="1" xfId="0" applyNumberFormat="1" applyFont="1" applyFill="1" applyBorder="1" applyAlignment="1">
      <alignment horizontal="center" vertical="center"/>
    </xf>
    <xf numFmtId="1" fontId="1488" fillId="8" borderId="1" xfId="0" applyNumberFormat="1" applyFont="1" applyFill="1" applyBorder="1" applyAlignment="1">
      <alignment horizontal="center" vertical="center"/>
    </xf>
    <xf numFmtId="1" fontId="1489" fillId="8" borderId="1" xfId="0" applyNumberFormat="1" applyFont="1" applyFill="1" applyBorder="1" applyAlignment="1">
      <alignment horizontal="center" vertical="center"/>
    </xf>
    <xf numFmtId="1" fontId="1490" fillId="8" borderId="1" xfId="0" applyNumberFormat="1" applyFont="1" applyFill="1" applyBorder="1" applyAlignment="1">
      <alignment horizontal="center" vertical="center"/>
    </xf>
    <xf numFmtId="1" fontId="1491" fillId="8" borderId="1" xfId="0" applyNumberFormat="1" applyFont="1" applyFill="1" applyBorder="1" applyAlignment="1">
      <alignment horizontal="center" vertical="center"/>
    </xf>
    <xf numFmtId="1" fontId="1492" fillId="8" borderId="1" xfId="0" applyNumberFormat="1" applyFont="1" applyFill="1" applyBorder="1" applyAlignment="1">
      <alignment horizontal="center" vertical="center"/>
    </xf>
    <xf numFmtId="0" fontId="1493" fillId="8" borderId="1" xfId="0" applyNumberFormat="1" applyFont="1" applyFill="1" applyBorder="1" applyAlignment="1">
      <alignment horizontal="center" vertical="center"/>
    </xf>
    <xf numFmtId="0" fontId="1494" fillId="8" borderId="1" xfId="0" applyNumberFormat="1" applyFont="1" applyFill="1" applyBorder="1" applyAlignment="1">
      <alignment horizontal="center" vertical="center"/>
    </xf>
    <xf numFmtId="1" fontId="1495" fillId="8" borderId="1" xfId="0" applyNumberFormat="1" applyFont="1" applyFill="1" applyBorder="1" applyAlignment="1">
      <alignment horizontal="center" vertical="center"/>
    </xf>
    <xf numFmtId="1" fontId="1496" fillId="8" borderId="1" xfId="0" applyNumberFormat="1" applyFont="1" applyFill="1" applyBorder="1" applyAlignment="1">
      <alignment horizontal="center" vertical="center"/>
    </xf>
    <xf numFmtId="1" fontId="1497" fillId="8" borderId="1" xfId="0" applyNumberFormat="1" applyFont="1" applyFill="1" applyBorder="1" applyAlignment="1">
      <alignment horizontal="center" vertical="center"/>
    </xf>
    <xf numFmtId="165" fontId="1498" fillId="8" borderId="1" xfId="0" applyNumberFormat="1" applyFont="1" applyFill="1" applyBorder="1" applyAlignment="1">
      <alignment horizontal="center" vertical="center"/>
    </xf>
    <xf numFmtId="1" fontId="1499" fillId="8" borderId="1" xfId="0" applyNumberFormat="1" applyFont="1" applyFill="1" applyBorder="1" applyAlignment="1">
      <alignment horizontal="center" vertical="center"/>
    </xf>
    <xf numFmtId="165" fontId="1500" fillId="8" borderId="1" xfId="0" applyNumberFormat="1" applyFont="1" applyFill="1" applyBorder="1" applyAlignment="1">
      <alignment horizontal="center" vertical="center"/>
    </xf>
    <xf numFmtId="1" fontId="1501" fillId="8" borderId="1" xfId="0" applyNumberFormat="1" applyFont="1" applyFill="1" applyBorder="1" applyAlignment="1">
      <alignment horizontal="center" vertical="center"/>
    </xf>
    <xf numFmtId="165" fontId="1502" fillId="8" borderId="1" xfId="0" applyNumberFormat="1" applyFont="1" applyFill="1" applyBorder="1" applyAlignment="1">
      <alignment horizontal="center" vertical="center"/>
    </xf>
    <xf numFmtId="1" fontId="1503" fillId="8" borderId="1" xfId="0" applyNumberFormat="1" applyFont="1" applyFill="1" applyBorder="1" applyAlignment="1">
      <alignment horizontal="center" vertical="center"/>
    </xf>
    <xf numFmtId="165" fontId="1504" fillId="8" borderId="1" xfId="0" applyNumberFormat="1" applyFont="1" applyFill="1" applyBorder="1" applyAlignment="1">
      <alignment horizontal="center" vertical="center"/>
    </xf>
    <xf numFmtId="165" fontId="1505" fillId="8" borderId="1" xfId="0" applyNumberFormat="1" applyFont="1" applyFill="1" applyBorder="1" applyAlignment="1">
      <alignment horizontal="center" vertical="center"/>
    </xf>
    <xf numFmtId="1" fontId="1506" fillId="8" borderId="1" xfId="0" applyNumberFormat="1" applyFont="1" applyFill="1" applyBorder="1" applyAlignment="1">
      <alignment horizontal="center" vertical="center"/>
    </xf>
    <xf numFmtId="1" fontId="1507" fillId="8" borderId="1" xfId="0" applyNumberFormat="1" applyFont="1" applyFill="1" applyBorder="1" applyAlignment="1">
      <alignment horizontal="center" vertical="center"/>
    </xf>
    <xf numFmtId="1" fontId="1508" fillId="8" borderId="1" xfId="0" applyNumberFormat="1" applyFont="1" applyFill="1" applyBorder="1" applyAlignment="1">
      <alignment horizontal="center" vertical="center"/>
    </xf>
    <xf numFmtId="165" fontId="1509" fillId="8" borderId="1" xfId="0" applyNumberFormat="1" applyFont="1" applyFill="1" applyBorder="1" applyAlignment="1">
      <alignment horizontal="center" vertical="center"/>
    </xf>
    <xf numFmtId="164" fontId="1510" fillId="8" borderId="1" xfId="0" applyNumberFormat="1" applyFont="1" applyFill="1" applyBorder="1" applyAlignment="1">
      <alignment horizontal="center" vertical="center"/>
    </xf>
    <xf numFmtId="164" fontId="1511" fillId="8" borderId="1" xfId="0" applyNumberFormat="1" applyFont="1" applyFill="1" applyBorder="1" applyAlignment="1">
      <alignment horizontal="center" vertical="center"/>
    </xf>
    <xf numFmtId="1" fontId="1512" fillId="8" borderId="1" xfId="0" applyNumberFormat="1" applyFont="1" applyFill="1" applyBorder="1" applyAlignment="1">
      <alignment horizontal="center" vertical="center"/>
    </xf>
    <xf numFmtId="1" fontId="1513" fillId="8" borderId="1" xfId="0" applyNumberFormat="1" applyFont="1" applyFill="1" applyBorder="1" applyAlignment="1">
      <alignment horizontal="center" vertical="center"/>
    </xf>
    <xf numFmtId="1" fontId="1514" fillId="8" borderId="1" xfId="0" applyNumberFormat="1" applyFont="1" applyFill="1" applyBorder="1" applyAlignment="1">
      <alignment horizontal="center" vertical="center"/>
    </xf>
    <xf numFmtId="165" fontId="1515" fillId="8" borderId="1" xfId="0" applyNumberFormat="1" applyFont="1" applyFill="1" applyBorder="1" applyAlignment="1">
      <alignment horizontal="center" vertical="center"/>
    </xf>
    <xf numFmtId="1" fontId="1516" fillId="8" borderId="1" xfId="0" applyNumberFormat="1" applyFont="1" applyFill="1" applyBorder="1" applyAlignment="1">
      <alignment horizontal="center" vertical="center"/>
    </xf>
    <xf numFmtId="165" fontId="1517" fillId="8" borderId="1" xfId="0" applyNumberFormat="1" applyFont="1" applyFill="1" applyBorder="1" applyAlignment="1">
      <alignment horizontal="center" vertical="center"/>
    </xf>
    <xf numFmtId="1" fontId="1518" fillId="8" borderId="1" xfId="0" applyNumberFormat="1" applyFont="1" applyFill="1" applyBorder="1" applyAlignment="1">
      <alignment horizontal="center" vertical="center"/>
    </xf>
    <xf numFmtId="1" fontId="1519" fillId="8" borderId="1" xfId="0" applyNumberFormat="1" applyFont="1" applyFill="1" applyBorder="1" applyAlignment="1">
      <alignment horizontal="center" vertical="center"/>
    </xf>
    <xf numFmtId="1" fontId="1520" fillId="8" borderId="1" xfId="0" applyNumberFormat="1" applyFont="1" applyFill="1" applyBorder="1" applyAlignment="1">
      <alignment horizontal="center" vertical="center"/>
    </xf>
    <xf numFmtId="1" fontId="1521" fillId="8" borderId="1" xfId="0" applyNumberFormat="1" applyFont="1" applyFill="1" applyBorder="1" applyAlignment="1">
      <alignment horizontal="center" vertical="center"/>
    </xf>
    <xf numFmtId="165" fontId="1522" fillId="8" borderId="1" xfId="0" applyNumberFormat="1" applyFont="1" applyFill="1" applyBorder="1" applyAlignment="1">
      <alignment horizontal="center" vertical="center"/>
    </xf>
    <xf numFmtId="1" fontId="1523" fillId="8" borderId="1" xfId="0" applyNumberFormat="1" applyFont="1" applyFill="1" applyBorder="1" applyAlignment="1">
      <alignment horizontal="center" vertical="center"/>
    </xf>
    <xf numFmtId="165" fontId="1524" fillId="8" borderId="1" xfId="0" applyNumberFormat="1" applyFont="1" applyFill="1" applyBorder="1" applyAlignment="1">
      <alignment horizontal="center" vertical="center"/>
    </xf>
    <xf numFmtId="1" fontId="1525" fillId="8" borderId="1" xfId="0" applyNumberFormat="1" applyFont="1" applyFill="1" applyBorder="1" applyAlignment="1">
      <alignment horizontal="center" vertical="center"/>
    </xf>
    <xf numFmtId="165" fontId="1526" fillId="8" borderId="1" xfId="0" applyNumberFormat="1" applyFont="1" applyFill="1" applyBorder="1" applyAlignment="1">
      <alignment horizontal="center" vertical="center"/>
    </xf>
    <xf numFmtId="2" fontId="1527" fillId="8" borderId="1" xfId="0" applyNumberFormat="1" applyFont="1" applyFill="1" applyBorder="1" applyAlignment="1">
      <alignment horizontal="center" vertical="center"/>
    </xf>
    <xf numFmtId="2" fontId="1528" fillId="8" borderId="1" xfId="0" applyNumberFormat="1" applyFont="1" applyFill="1" applyBorder="1" applyAlignment="1">
      <alignment horizontal="center" vertical="center"/>
    </xf>
    <xf numFmtId="2" fontId="1529" fillId="8" borderId="1" xfId="0" applyNumberFormat="1" applyFont="1" applyFill="1" applyBorder="1" applyAlignment="1">
      <alignment horizontal="center" vertical="center"/>
    </xf>
    <xf numFmtId="2" fontId="1530" fillId="8" borderId="1" xfId="0" applyNumberFormat="1" applyFont="1" applyFill="1" applyBorder="1" applyAlignment="1">
      <alignment horizontal="center" vertical="center"/>
    </xf>
    <xf numFmtId="2" fontId="1531" fillId="8" borderId="1" xfId="0" applyNumberFormat="1" applyFont="1" applyFill="1" applyBorder="1" applyAlignment="1">
      <alignment horizontal="center" vertical="center"/>
    </xf>
    <xf numFmtId="2" fontId="1532" fillId="8" borderId="1" xfId="0" applyNumberFormat="1" applyFont="1" applyFill="1" applyBorder="1" applyAlignment="1">
      <alignment horizontal="center" vertical="center"/>
    </xf>
    <xf numFmtId="2" fontId="1533" fillId="8" borderId="1" xfId="0" applyNumberFormat="1" applyFont="1" applyFill="1" applyBorder="1" applyAlignment="1">
      <alignment horizontal="center" vertical="center"/>
    </xf>
    <xf numFmtId="2" fontId="1534" fillId="8" borderId="1" xfId="0" applyNumberFormat="1" applyFont="1" applyFill="1" applyBorder="1" applyAlignment="1">
      <alignment horizontal="center" vertical="center"/>
    </xf>
    <xf numFmtId="2" fontId="1535" fillId="8" borderId="1" xfId="0" applyNumberFormat="1" applyFont="1" applyFill="1" applyBorder="1" applyAlignment="1">
      <alignment horizontal="center" vertical="center"/>
    </xf>
    <xf numFmtId="2" fontId="1536" fillId="8" borderId="1" xfId="0" applyNumberFormat="1" applyFont="1" applyFill="1" applyBorder="1" applyAlignment="1">
      <alignment horizontal="center" vertical="center"/>
    </xf>
    <xf numFmtId="2" fontId="1537" fillId="8" borderId="1" xfId="0" applyNumberFormat="1" applyFont="1" applyFill="1" applyBorder="1" applyAlignment="1">
      <alignment horizontal="center" vertical="center"/>
    </xf>
    <xf numFmtId="2" fontId="1538" fillId="8" borderId="1" xfId="0" applyNumberFormat="1" applyFont="1" applyFill="1" applyBorder="1" applyAlignment="1">
      <alignment horizontal="center" vertical="center"/>
    </xf>
    <xf numFmtId="2" fontId="1539" fillId="8" borderId="1" xfId="0" applyNumberFormat="1" applyFont="1" applyFill="1" applyBorder="1" applyAlignment="1">
      <alignment horizontal="center" vertical="center"/>
    </xf>
    <xf numFmtId="2" fontId="1540" fillId="8" borderId="1" xfId="0" applyNumberFormat="1" applyFont="1" applyFill="1" applyBorder="1" applyAlignment="1">
      <alignment horizontal="center" vertical="center"/>
    </xf>
    <xf numFmtId="2" fontId="1541" fillId="8" borderId="1" xfId="0" applyNumberFormat="1" applyFont="1" applyFill="1" applyBorder="1" applyAlignment="1">
      <alignment horizontal="center" vertical="center"/>
    </xf>
    <xf numFmtId="2" fontId="1542" fillId="8" borderId="1" xfId="0" applyNumberFormat="1" applyFont="1" applyFill="1" applyBorder="1" applyAlignment="1">
      <alignment horizontal="center" vertical="center"/>
    </xf>
    <xf numFmtId="2" fontId="1543" fillId="8" borderId="1" xfId="0" applyNumberFormat="1" applyFont="1" applyFill="1" applyBorder="1" applyAlignment="1">
      <alignment horizontal="center" vertical="center"/>
    </xf>
    <xf numFmtId="2" fontId="1544" fillId="8" borderId="1" xfId="0" applyNumberFormat="1" applyFont="1" applyFill="1" applyBorder="1" applyAlignment="1">
      <alignment horizontal="center" vertical="center"/>
    </xf>
    <xf numFmtId="2" fontId="1545" fillId="8" borderId="1" xfId="0" applyNumberFormat="1" applyFont="1" applyFill="1" applyBorder="1" applyAlignment="1">
      <alignment horizontal="center" vertical="center"/>
    </xf>
    <xf numFmtId="2" fontId="1546" fillId="8" borderId="1" xfId="0" applyNumberFormat="1" applyFont="1" applyFill="1" applyBorder="1" applyAlignment="1">
      <alignment horizontal="center" vertical="center"/>
    </xf>
    <xf numFmtId="2" fontId="1547" fillId="8" borderId="1" xfId="0" applyNumberFormat="1" applyFont="1" applyFill="1" applyBorder="1" applyAlignment="1">
      <alignment horizontal="center" vertical="center"/>
    </xf>
    <xf numFmtId="2" fontId="1548" fillId="8" borderId="1" xfId="0" applyNumberFormat="1" applyFont="1" applyFill="1" applyBorder="1" applyAlignment="1">
      <alignment horizontal="center" vertical="center"/>
    </xf>
    <xf numFmtId="2" fontId="1549" fillId="8" borderId="1" xfId="0" applyNumberFormat="1" applyFont="1" applyFill="1" applyBorder="1" applyAlignment="1">
      <alignment horizontal="center" vertical="center"/>
    </xf>
    <xf numFmtId="2" fontId="1550" fillId="8" borderId="1" xfId="0" applyNumberFormat="1" applyFont="1" applyFill="1" applyBorder="1" applyAlignment="1">
      <alignment horizontal="center" vertical="center"/>
    </xf>
    <xf numFmtId="2" fontId="1551" fillId="8" borderId="1" xfId="0" applyNumberFormat="1" applyFont="1" applyFill="1" applyBorder="1" applyAlignment="1">
      <alignment horizontal="center" vertical="center"/>
    </xf>
    <xf numFmtId="2" fontId="1552" fillId="8" borderId="1" xfId="0" applyNumberFormat="1" applyFont="1" applyFill="1" applyBorder="1" applyAlignment="1">
      <alignment horizontal="center" vertical="center"/>
    </xf>
    <xf numFmtId="2" fontId="1553" fillId="8" borderId="1" xfId="0" applyNumberFormat="1" applyFont="1" applyFill="1" applyBorder="1" applyAlignment="1">
      <alignment horizontal="center" vertical="center"/>
    </xf>
    <xf numFmtId="2" fontId="1554" fillId="8" borderId="1" xfId="0" applyNumberFormat="1" applyFont="1" applyFill="1" applyBorder="1" applyAlignment="1">
      <alignment horizontal="center" vertical="center"/>
    </xf>
    <xf numFmtId="2" fontId="1555" fillId="8" borderId="1" xfId="0" applyNumberFormat="1" applyFont="1" applyFill="1" applyBorder="1" applyAlignment="1">
      <alignment horizontal="center" vertical="center"/>
    </xf>
    <xf numFmtId="2" fontId="1556" fillId="8" borderId="1" xfId="0" applyNumberFormat="1" applyFont="1" applyFill="1" applyBorder="1" applyAlignment="1">
      <alignment horizontal="center" vertical="center"/>
    </xf>
    <xf numFmtId="2" fontId="1557" fillId="8" borderId="1" xfId="0" applyNumberFormat="1" applyFont="1" applyFill="1" applyBorder="1" applyAlignment="1">
      <alignment horizontal="center" vertical="center"/>
    </xf>
    <xf numFmtId="2" fontId="1558" fillId="8" borderId="1" xfId="0" applyNumberFormat="1" applyFont="1" applyFill="1" applyBorder="1" applyAlignment="1">
      <alignment horizontal="center" vertical="center"/>
    </xf>
    <xf numFmtId="2" fontId="1559" fillId="8" borderId="1" xfId="0" applyNumberFormat="1" applyFont="1" applyFill="1" applyBorder="1" applyAlignment="1">
      <alignment horizontal="center" vertical="center"/>
    </xf>
    <xf numFmtId="2" fontId="1560" fillId="8" borderId="1" xfId="0" applyNumberFormat="1" applyFont="1" applyFill="1" applyBorder="1" applyAlignment="1">
      <alignment horizontal="center" vertical="center"/>
    </xf>
    <xf numFmtId="0" fontId="1561" fillId="7" borderId="1" xfId="0" applyNumberFormat="1" applyFont="1" applyFill="1" applyBorder="1" applyAlignment="1">
      <alignment horizontal="left" vertical="center"/>
    </xf>
    <xf numFmtId="0" fontId="1562" fillId="8" borderId="1" xfId="0" applyNumberFormat="1" applyFont="1" applyFill="1" applyBorder="1" applyAlignment="1">
      <alignment horizontal="center" vertical="center"/>
    </xf>
    <xf numFmtId="164" fontId="1563" fillId="8" borderId="1" xfId="0" applyNumberFormat="1" applyFont="1" applyFill="1" applyBorder="1" applyAlignment="1">
      <alignment horizontal="center" vertical="center"/>
    </xf>
    <xf numFmtId="1" fontId="1564" fillId="8" borderId="1" xfId="0" applyNumberFormat="1" applyFont="1" applyFill="1" applyBorder="1" applyAlignment="1">
      <alignment horizontal="center" vertical="center"/>
    </xf>
    <xf numFmtId="1" fontId="1565" fillId="8" borderId="1" xfId="0" applyNumberFormat="1" applyFont="1" applyFill="1" applyBorder="1" applyAlignment="1">
      <alignment horizontal="center" vertical="center"/>
    </xf>
    <xf numFmtId="1" fontId="1566" fillId="8" borderId="1" xfId="0" applyNumberFormat="1" applyFont="1" applyFill="1" applyBorder="1" applyAlignment="1">
      <alignment horizontal="center" vertical="center"/>
    </xf>
    <xf numFmtId="1" fontId="1567" fillId="8" borderId="1" xfId="0" applyNumberFormat="1" applyFont="1" applyFill="1" applyBorder="1" applyAlignment="1">
      <alignment horizontal="center" vertical="center"/>
    </xf>
    <xf numFmtId="1" fontId="1568" fillId="8" borderId="1" xfId="0" applyNumberFormat="1" applyFont="1" applyFill="1" applyBorder="1" applyAlignment="1">
      <alignment horizontal="center" vertical="center"/>
    </xf>
    <xf numFmtId="1" fontId="1569" fillId="8" borderId="1" xfId="0" applyNumberFormat="1" applyFont="1" applyFill="1" applyBorder="1" applyAlignment="1">
      <alignment horizontal="center" vertical="center"/>
    </xf>
    <xf numFmtId="1" fontId="1570" fillId="8" borderId="1" xfId="0" applyNumberFormat="1" applyFont="1" applyFill="1" applyBorder="1" applyAlignment="1">
      <alignment horizontal="center" vertical="center"/>
    </xf>
    <xf numFmtId="0" fontId="1571" fillId="8" borderId="1" xfId="0" applyNumberFormat="1" applyFont="1" applyFill="1" applyBorder="1" applyAlignment="1">
      <alignment horizontal="center" vertical="center"/>
    </xf>
    <xf numFmtId="0" fontId="1572" fillId="8" borderId="1" xfId="0" applyNumberFormat="1" applyFont="1" applyFill="1" applyBorder="1" applyAlignment="1">
      <alignment horizontal="center" vertical="center"/>
    </xf>
    <xf numFmtId="1" fontId="1573" fillId="8" borderId="1" xfId="0" applyNumberFormat="1" applyFont="1" applyFill="1" applyBorder="1" applyAlignment="1">
      <alignment horizontal="center" vertical="center"/>
    </xf>
    <xf numFmtId="1" fontId="1574" fillId="8" borderId="1" xfId="0" applyNumberFormat="1" applyFont="1" applyFill="1" applyBorder="1" applyAlignment="1">
      <alignment horizontal="center" vertical="center"/>
    </xf>
    <xf numFmtId="1" fontId="1575" fillId="8" borderId="1" xfId="0" applyNumberFormat="1" applyFont="1" applyFill="1" applyBorder="1" applyAlignment="1">
      <alignment horizontal="center" vertical="center"/>
    </xf>
    <xf numFmtId="165" fontId="1576" fillId="8" borderId="1" xfId="0" applyNumberFormat="1" applyFont="1" applyFill="1" applyBorder="1" applyAlignment="1">
      <alignment horizontal="center" vertical="center"/>
    </xf>
    <xf numFmtId="1" fontId="1577" fillId="8" borderId="1" xfId="0" applyNumberFormat="1" applyFont="1" applyFill="1" applyBorder="1" applyAlignment="1">
      <alignment horizontal="center" vertical="center"/>
    </xf>
    <xf numFmtId="165" fontId="1578" fillId="8" borderId="1" xfId="0" applyNumberFormat="1" applyFont="1" applyFill="1" applyBorder="1" applyAlignment="1">
      <alignment horizontal="center" vertical="center"/>
    </xf>
    <xf numFmtId="1" fontId="1579" fillId="8" borderId="1" xfId="0" applyNumberFormat="1" applyFont="1" applyFill="1" applyBorder="1" applyAlignment="1">
      <alignment horizontal="center" vertical="center"/>
    </xf>
    <xf numFmtId="165" fontId="1580" fillId="8" borderId="1" xfId="0" applyNumberFormat="1" applyFont="1" applyFill="1" applyBorder="1" applyAlignment="1">
      <alignment horizontal="center" vertical="center"/>
    </xf>
    <xf numFmtId="1" fontId="1581" fillId="8" borderId="1" xfId="0" applyNumberFormat="1" applyFont="1" applyFill="1" applyBorder="1" applyAlignment="1">
      <alignment horizontal="center" vertical="center"/>
    </xf>
    <xf numFmtId="165" fontId="1582" fillId="8" borderId="1" xfId="0" applyNumberFormat="1" applyFont="1" applyFill="1" applyBorder="1" applyAlignment="1">
      <alignment horizontal="center" vertical="center"/>
    </xf>
    <xf numFmtId="165" fontId="1583" fillId="8" borderId="1" xfId="0" applyNumberFormat="1" applyFont="1" applyFill="1" applyBorder="1" applyAlignment="1">
      <alignment horizontal="center" vertical="center"/>
    </xf>
    <xf numFmtId="1" fontId="1584" fillId="8" borderId="1" xfId="0" applyNumberFormat="1" applyFont="1" applyFill="1" applyBorder="1" applyAlignment="1">
      <alignment horizontal="center" vertical="center"/>
    </xf>
    <xf numFmtId="1" fontId="1585" fillId="8" borderId="1" xfId="0" applyNumberFormat="1" applyFont="1" applyFill="1" applyBorder="1" applyAlignment="1">
      <alignment horizontal="center" vertical="center"/>
    </xf>
    <xf numFmtId="1" fontId="1586" fillId="8" borderId="1" xfId="0" applyNumberFormat="1" applyFont="1" applyFill="1" applyBorder="1" applyAlignment="1">
      <alignment horizontal="center" vertical="center"/>
    </xf>
    <xf numFmtId="165" fontId="1587" fillId="8" borderId="1" xfId="0" applyNumberFormat="1" applyFont="1" applyFill="1" applyBorder="1" applyAlignment="1">
      <alignment horizontal="center" vertical="center"/>
    </xf>
    <xf numFmtId="164" fontId="1588" fillId="8" borderId="1" xfId="0" applyNumberFormat="1" applyFont="1" applyFill="1" applyBorder="1" applyAlignment="1">
      <alignment horizontal="center" vertical="center"/>
    </xf>
    <xf numFmtId="164" fontId="1589" fillId="8" borderId="1" xfId="0" applyNumberFormat="1" applyFont="1" applyFill="1" applyBorder="1" applyAlignment="1">
      <alignment horizontal="center" vertical="center"/>
    </xf>
    <xf numFmtId="1" fontId="1590" fillId="8" borderId="1" xfId="0" applyNumberFormat="1" applyFont="1" applyFill="1" applyBorder="1" applyAlignment="1">
      <alignment horizontal="center" vertical="center"/>
    </xf>
    <xf numFmtId="1" fontId="1591" fillId="8" borderId="1" xfId="0" applyNumberFormat="1" applyFont="1" applyFill="1" applyBorder="1" applyAlignment="1">
      <alignment horizontal="center" vertical="center"/>
    </xf>
    <xf numFmtId="1" fontId="1592" fillId="8" borderId="1" xfId="0" applyNumberFormat="1" applyFont="1" applyFill="1" applyBorder="1" applyAlignment="1">
      <alignment horizontal="center" vertical="center"/>
    </xf>
    <xf numFmtId="165" fontId="1593" fillId="8" borderId="1" xfId="0" applyNumberFormat="1" applyFont="1" applyFill="1" applyBorder="1" applyAlignment="1">
      <alignment horizontal="center" vertical="center"/>
    </xf>
    <xf numFmtId="1" fontId="1594" fillId="8" borderId="1" xfId="0" applyNumberFormat="1" applyFont="1" applyFill="1" applyBorder="1" applyAlignment="1">
      <alignment horizontal="center" vertical="center"/>
    </xf>
    <xf numFmtId="165" fontId="1595" fillId="8" borderId="1" xfId="0" applyNumberFormat="1" applyFont="1" applyFill="1" applyBorder="1" applyAlignment="1">
      <alignment horizontal="center" vertical="center"/>
    </xf>
    <xf numFmtId="1" fontId="1596" fillId="8" borderId="1" xfId="0" applyNumberFormat="1" applyFont="1" applyFill="1" applyBorder="1" applyAlignment="1">
      <alignment horizontal="center" vertical="center"/>
    </xf>
    <xf numFmtId="1" fontId="1597" fillId="8" borderId="1" xfId="0" applyNumberFormat="1" applyFont="1" applyFill="1" applyBorder="1" applyAlignment="1">
      <alignment horizontal="center" vertical="center"/>
    </xf>
    <xf numFmtId="1" fontId="1598" fillId="8" borderId="1" xfId="0" applyNumberFormat="1" applyFont="1" applyFill="1" applyBorder="1" applyAlignment="1">
      <alignment horizontal="center" vertical="center"/>
    </xf>
    <xf numFmtId="1" fontId="1599" fillId="8" borderId="1" xfId="0" applyNumberFormat="1" applyFont="1" applyFill="1" applyBorder="1" applyAlignment="1">
      <alignment horizontal="center" vertical="center"/>
    </xf>
    <xf numFmtId="165" fontId="1600" fillId="8" borderId="1" xfId="0" applyNumberFormat="1" applyFont="1" applyFill="1" applyBorder="1" applyAlignment="1">
      <alignment horizontal="center" vertical="center"/>
    </xf>
    <xf numFmtId="1" fontId="1601" fillId="8" borderId="1" xfId="0" applyNumberFormat="1" applyFont="1" applyFill="1" applyBorder="1" applyAlignment="1">
      <alignment horizontal="center" vertical="center"/>
    </xf>
    <xf numFmtId="165" fontId="1602" fillId="8" borderId="1" xfId="0" applyNumberFormat="1" applyFont="1" applyFill="1" applyBorder="1" applyAlignment="1">
      <alignment horizontal="center" vertical="center"/>
    </xf>
    <xf numFmtId="1" fontId="1603" fillId="8" borderId="1" xfId="0" applyNumberFormat="1" applyFont="1" applyFill="1" applyBorder="1" applyAlignment="1">
      <alignment horizontal="center" vertical="center"/>
    </xf>
    <xf numFmtId="165" fontId="1604" fillId="8" borderId="1" xfId="0" applyNumberFormat="1" applyFont="1" applyFill="1" applyBorder="1" applyAlignment="1">
      <alignment horizontal="center" vertical="center"/>
    </xf>
    <xf numFmtId="2" fontId="1605" fillId="8" borderId="1" xfId="0" applyNumberFormat="1" applyFont="1" applyFill="1" applyBorder="1" applyAlignment="1">
      <alignment horizontal="center" vertical="center"/>
    </xf>
    <xf numFmtId="2" fontId="1606" fillId="8" borderId="1" xfId="0" applyNumberFormat="1" applyFont="1" applyFill="1" applyBorder="1" applyAlignment="1">
      <alignment horizontal="center" vertical="center"/>
    </xf>
    <xf numFmtId="2" fontId="1607" fillId="8" borderId="1" xfId="0" applyNumberFormat="1" applyFont="1" applyFill="1" applyBorder="1" applyAlignment="1">
      <alignment horizontal="center" vertical="center"/>
    </xf>
    <xf numFmtId="2" fontId="1608" fillId="8" borderId="1" xfId="0" applyNumberFormat="1" applyFont="1" applyFill="1" applyBorder="1" applyAlignment="1">
      <alignment horizontal="center" vertical="center"/>
    </xf>
    <xf numFmtId="2" fontId="1609" fillId="8" borderId="1" xfId="0" applyNumberFormat="1" applyFont="1" applyFill="1" applyBorder="1" applyAlignment="1">
      <alignment horizontal="center" vertical="center"/>
    </xf>
    <xf numFmtId="2" fontId="1610" fillId="8" borderId="1" xfId="0" applyNumberFormat="1" applyFont="1" applyFill="1" applyBorder="1" applyAlignment="1">
      <alignment horizontal="center" vertical="center"/>
    </xf>
    <xf numFmtId="2" fontId="1611" fillId="8" borderId="1" xfId="0" applyNumberFormat="1" applyFont="1" applyFill="1" applyBorder="1" applyAlignment="1">
      <alignment horizontal="center" vertical="center"/>
    </xf>
    <xf numFmtId="2" fontId="1612" fillId="8" borderId="1" xfId="0" applyNumberFormat="1" applyFont="1" applyFill="1" applyBorder="1" applyAlignment="1">
      <alignment horizontal="center" vertical="center"/>
    </xf>
    <xf numFmtId="2" fontId="1613" fillId="8" borderId="1" xfId="0" applyNumberFormat="1" applyFont="1" applyFill="1" applyBorder="1" applyAlignment="1">
      <alignment horizontal="center" vertical="center"/>
    </xf>
    <xf numFmtId="2" fontId="1614" fillId="8" borderId="1" xfId="0" applyNumberFormat="1" applyFont="1" applyFill="1" applyBorder="1" applyAlignment="1">
      <alignment horizontal="center" vertical="center"/>
    </xf>
    <xf numFmtId="2" fontId="1615" fillId="8" borderId="1" xfId="0" applyNumberFormat="1" applyFont="1" applyFill="1" applyBorder="1" applyAlignment="1">
      <alignment horizontal="center" vertical="center"/>
    </xf>
    <xf numFmtId="2" fontId="1616" fillId="8" borderId="1" xfId="0" applyNumberFormat="1" applyFont="1" applyFill="1" applyBorder="1" applyAlignment="1">
      <alignment horizontal="center" vertical="center"/>
    </xf>
    <xf numFmtId="2" fontId="1617" fillId="8" borderId="1" xfId="0" applyNumberFormat="1" applyFont="1" applyFill="1" applyBorder="1" applyAlignment="1">
      <alignment horizontal="center" vertical="center"/>
    </xf>
    <xf numFmtId="2" fontId="1618" fillId="8" borderId="1" xfId="0" applyNumberFormat="1" applyFont="1" applyFill="1" applyBorder="1" applyAlignment="1">
      <alignment horizontal="center" vertical="center"/>
    </xf>
    <xf numFmtId="2" fontId="1619" fillId="8" borderId="1" xfId="0" applyNumberFormat="1" applyFont="1" applyFill="1" applyBorder="1" applyAlignment="1">
      <alignment horizontal="center" vertical="center"/>
    </xf>
    <xf numFmtId="2" fontId="1620" fillId="8" borderId="1" xfId="0" applyNumberFormat="1" applyFont="1" applyFill="1" applyBorder="1" applyAlignment="1">
      <alignment horizontal="center" vertical="center"/>
    </xf>
    <xf numFmtId="2" fontId="1621" fillId="8" borderId="1" xfId="0" applyNumberFormat="1" applyFont="1" applyFill="1" applyBorder="1" applyAlignment="1">
      <alignment horizontal="center" vertical="center"/>
    </xf>
    <xf numFmtId="2" fontId="1622" fillId="8" borderId="1" xfId="0" applyNumberFormat="1" applyFont="1" applyFill="1" applyBorder="1" applyAlignment="1">
      <alignment horizontal="center" vertical="center"/>
    </xf>
    <xf numFmtId="2" fontId="1623" fillId="8" borderId="1" xfId="0" applyNumberFormat="1" applyFont="1" applyFill="1" applyBorder="1" applyAlignment="1">
      <alignment horizontal="center" vertical="center"/>
    </xf>
    <xf numFmtId="2" fontId="1624" fillId="8" borderId="1" xfId="0" applyNumberFormat="1" applyFont="1" applyFill="1" applyBorder="1" applyAlignment="1">
      <alignment horizontal="center" vertical="center"/>
    </xf>
    <xf numFmtId="2" fontId="1625" fillId="8" borderId="1" xfId="0" applyNumberFormat="1" applyFont="1" applyFill="1" applyBorder="1" applyAlignment="1">
      <alignment horizontal="center" vertical="center"/>
    </xf>
    <xf numFmtId="2" fontId="1626" fillId="8" borderId="1" xfId="0" applyNumberFormat="1" applyFont="1" applyFill="1" applyBorder="1" applyAlignment="1">
      <alignment horizontal="center" vertical="center"/>
    </xf>
    <xf numFmtId="2" fontId="1627" fillId="8" borderId="1" xfId="0" applyNumberFormat="1" applyFont="1" applyFill="1" applyBorder="1" applyAlignment="1">
      <alignment horizontal="center" vertical="center"/>
    </xf>
    <xf numFmtId="2" fontId="1628" fillId="8" borderId="1" xfId="0" applyNumberFormat="1" applyFont="1" applyFill="1" applyBorder="1" applyAlignment="1">
      <alignment horizontal="center" vertical="center"/>
    </xf>
    <xf numFmtId="2" fontId="1629" fillId="8" borderId="1" xfId="0" applyNumberFormat="1" applyFont="1" applyFill="1" applyBorder="1" applyAlignment="1">
      <alignment horizontal="center" vertical="center"/>
    </xf>
    <xf numFmtId="2" fontId="1630" fillId="8" borderId="1" xfId="0" applyNumberFormat="1" applyFont="1" applyFill="1" applyBorder="1" applyAlignment="1">
      <alignment horizontal="center" vertical="center"/>
    </xf>
    <xf numFmtId="2" fontId="1631" fillId="8" borderId="1" xfId="0" applyNumberFormat="1" applyFont="1" applyFill="1" applyBorder="1" applyAlignment="1">
      <alignment horizontal="center" vertical="center"/>
    </xf>
    <xf numFmtId="2" fontId="1632" fillId="8" borderId="1" xfId="0" applyNumberFormat="1" applyFont="1" applyFill="1" applyBorder="1" applyAlignment="1">
      <alignment horizontal="center" vertical="center"/>
    </xf>
    <xf numFmtId="2" fontId="1633" fillId="8" borderId="1" xfId="0" applyNumberFormat="1" applyFont="1" applyFill="1" applyBorder="1" applyAlignment="1">
      <alignment horizontal="center" vertical="center"/>
    </xf>
    <xf numFmtId="2" fontId="1634" fillId="8" borderId="1" xfId="0" applyNumberFormat="1" applyFont="1" applyFill="1" applyBorder="1" applyAlignment="1">
      <alignment horizontal="center" vertical="center"/>
    </xf>
    <xf numFmtId="2" fontId="1635" fillId="8" borderId="1" xfId="0" applyNumberFormat="1" applyFont="1" applyFill="1" applyBorder="1" applyAlignment="1">
      <alignment horizontal="center" vertical="center"/>
    </xf>
    <xf numFmtId="2" fontId="1636" fillId="8" borderId="1" xfId="0" applyNumberFormat="1" applyFont="1" applyFill="1" applyBorder="1" applyAlignment="1">
      <alignment horizontal="center" vertical="center"/>
    </xf>
    <xf numFmtId="2" fontId="1637" fillId="8" borderId="1" xfId="0" applyNumberFormat="1" applyFont="1" applyFill="1" applyBorder="1" applyAlignment="1">
      <alignment horizontal="center" vertical="center"/>
    </xf>
    <xf numFmtId="2" fontId="1638" fillId="8" borderId="1" xfId="0" applyNumberFormat="1" applyFont="1" applyFill="1" applyBorder="1" applyAlignment="1">
      <alignment horizontal="center" vertical="center"/>
    </xf>
    <xf numFmtId="0" fontId="1639" fillId="7" borderId="1" xfId="0" applyNumberFormat="1" applyFont="1" applyFill="1" applyBorder="1" applyAlignment="1">
      <alignment horizontal="left" vertical="center"/>
    </xf>
    <xf numFmtId="0" fontId="1640" fillId="8" borderId="1" xfId="0" applyNumberFormat="1" applyFont="1" applyFill="1" applyBorder="1" applyAlignment="1">
      <alignment horizontal="center" vertical="center"/>
    </xf>
    <xf numFmtId="164" fontId="1641" fillId="8" borderId="1" xfId="0" applyNumberFormat="1" applyFont="1" applyFill="1" applyBorder="1" applyAlignment="1">
      <alignment horizontal="center" vertical="center"/>
    </xf>
    <xf numFmtId="1" fontId="1642" fillId="8" borderId="1" xfId="0" applyNumberFormat="1" applyFont="1" applyFill="1" applyBorder="1" applyAlignment="1">
      <alignment horizontal="center" vertical="center"/>
    </xf>
    <xf numFmtId="1" fontId="1643" fillId="8" borderId="1" xfId="0" applyNumberFormat="1" applyFont="1" applyFill="1" applyBorder="1" applyAlignment="1">
      <alignment horizontal="center" vertical="center"/>
    </xf>
    <xf numFmtId="1" fontId="1644" fillId="8" borderId="1" xfId="0" applyNumberFormat="1" applyFont="1" applyFill="1" applyBorder="1" applyAlignment="1">
      <alignment horizontal="center" vertical="center"/>
    </xf>
    <xf numFmtId="1" fontId="1645" fillId="8" borderId="1" xfId="0" applyNumberFormat="1" applyFont="1" applyFill="1" applyBorder="1" applyAlignment="1">
      <alignment horizontal="center" vertical="center"/>
    </xf>
    <xf numFmtId="1" fontId="1646" fillId="8" borderId="1" xfId="0" applyNumberFormat="1" applyFont="1" applyFill="1" applyBorder="1" applyAlignment="1">
      <alignment horizontal="center" vertical="center"/>
    </xf>
    <xf numFmtId="1" fontId="1647" fillId="8" borderId="1" xfId="0" applyNumberFormat="1" applyFont="1" applyFill="1" applyBorder="1" applyAlignment="1">
      <alignment horizontal="center" vertical="center"/>
    </xf>
    <xf numFmtId="1" fontId="1648" fillId="8" borderId="1" xfId="0" applyNumberFormat="1" applyFont="1" applyFill="1" applyBorder="1" applyAlignment="1">
      <alignment horizontal="center" vertical="center"/>
    </xf>
    <xf numFmtId="0" fontId="1649" fillId="8" borderId="1" xfId="0" applyNumberFormat="1" applyFont="1" applyFill="1" applyBorder="1" applyAlignment="1">
      <alignment horizontal="center" vertical="center"/>
    </xf>
    <xf numFmtId="0" fontId="1650" fillId="8" borderId="1" xfId="0" applyNumberFormat="1" applyFont="1" applyFill="1" applyBorder="1" applyAlignment="1">
      <alignment horizontal="center" vertical="center"/>
    </xf>
    <xf numFmtId="1" fontId="1651" fillId="8" borderId="1" xfId="0" applyNumberFormat="1" applyFont="1" applyFill="1" applyBorder="1" applyAlignment="1">
      <alignment horizontal="center" vertical="center"/>
    </xf>
    <xf numFmtId="1" fontId="1652" fillId="8" borderId="1" xfId="0" applyNumberFormat="1" applyFont="1" applyFill="1" applyBorder="1" applyAlignment="1">
      <alignment horizontal="center" vertical="center"/>
    </xf>
    <xf numFmtId="1" fontId="1653" fillId="8" borderId="1" xfId="0" applyNumberFormat="1" applyFont="1" applyFill="1" applyBorder="1" applyAlignment="1">
      <alignment horizontal="center" vertical="center"/>
    </xf>
    <xf numFmtId="165" fontId="1654" fillId="8" borderId="1" xfId="0" applyNumberFormat="1" applyFont="1" applyFill="1" applyBorder="1" applyAlignment="1">
      <alignment horizontal="center" vertical="center"/>
    </xf>
    <xf numFmtId="1" fontId="1655" fillId="8" borderId="1" xfId="0" applyNumberFormat="1" applyFont="1" applyFill="1" applyBorder="1" applyAlignment="1">
      <alignment horizontal="center" vertical="center"/>
    </xf>
    <xf numFmtId="165" fontId="1656" fillId="8" borderId="1" xfId="0" applyNumberFormat="1" applyFont="1" applyFill="1" applyBorder="1" applyAlignment="1">
      <alignment horizontal="center" vertical="center"/>
    </xf>
    <xf numFmtId="1" fontId="1657" fillId="8" borderId="1" xfId="0" applyNumberFormat="1" applyFont="1" applyFill="1" applyBorder="1" applyAlignment="1">
      <alignment horizontal="center" vertical="center"/>
    </xf>
    <xf numFmtId="165" fontId="1658" fillId="8" borderId="1" xfId="0" applyNumberFormat="1" applyFont="1" applyFill="1" applyBorder="1" applyAlignment="1">
      <alignment horizontal="center" vertical="center"/>
    </xf>
    <xf numFmtId="1" fontId="1659" fillId="8" borderId="1" xfId="0" applyNumberFormat="1" applyFont="1" applyFill="1" applyBorder="1" applyAlignment="1">
      <alignment horizontal="center" vertical="center"/>
    </xf>
    <xf numFmtId="165" fontId="1660" fillId="8" borderId="1" xfId="0" applyNumberFormat="1" applyFont="1" applyFill="1" applyBorder="1" applyAlignment="1">
      <alignment horizontal="center" vertical="center"/>
    </xf>
    <xf numFmtId="165" fontId="1661" fillId="8" borderId="1" xfId="0" applyNumberFormat="1" applyFont="1" applyFill="1" applyBorder="1" applyAlignment="1">
      <alignment horizontal="center" vertical="center"/>
    </xf>
    <xf numFmtId="1" fontId="1662" fillId="8" borderId="1" xfId="0" applyNumberFormat="1" applyFont="1" applyFill="1" applyBorder="1" applyAlignment="1">
      <alignment horizontal="center" vertical="center"/>
    </xf>
    <xf numFmtId="1" fontId="1663" fillId="8" borderId="1" xfId="0" applyNumberFormat="1" applyFont="1" applyFill="1" applyBorder="1" applyAlignment="1">
      <alignment horizontal="center" vertical="center"/>
    </xf>
    <xf numFmtId="1" fontId="1664" fillId="8" borderId="1" xfId="0" applyNumberFormat="1" applyFont="1" applyFill="1" applyBorder="1" applyAlignment="1">
      <alignment horizontal="center" vertical="center"/>
    </xf>
    <xf numFmtId="165" fontId="1665" fillId="8" borderId="1" xfId="0" applyNumberFormat="1" applyFont="1" applyFill="1" applyBorder="1" applyAlignment="1">
      <alignment horizontal="center" vertical="center"/>
    </xf>
    <xf numFmtId="164" fontId="1666" fillId="8" borderId="1" xfId="0" applyNumberFormat="1" applyFont="1" applyFill="1" applyBorder="1" applyAlignment="1">
      <alignment horizontal="center" vertical="center"/>
    </xf>
    <xf numFmtId="164" fontId="1667" fillId="8" borderId="1" xfId="0" applyNumberFormat="1" applyFont="1" applyFill="1" applyBorder="1" applyAlignment="1">
      <alignment horizontal="center" vertical="center"/>
    </xf>
    <xf numFmtId="1" fontId="1668" fillId="8" borderId="1" xfId="0" applyNumberFormat="1" applyFont="1" applyFill="1" applyBorder="1" applyAlignment="1">
      <alignment horizontal="center" vertical="center"/>
    </xf>
    <xf numFmtId="1" fontId="1669" fillId="8" borderId="1" xfId="0" applyNumberFormat="1" applyFont="1" applyFill="1" applyBorder="1" applyAlignment="1">
      <alignment horizontal="center" vertical="center"/>
    </xf>
    <xf numFmtId="1" fontId="1670" fillId="8" borderId="1" xfId="0" applyNumberFormat="1" applyFont="1" applyFill="1" applyBorder="1" applyAlignment="1">
      <alignment horizontal="center" vertical="center"/>
    </xf>
    <xf numFmtId="165" fontId="1671" fillId="8" borderId="1" xfId="0" applyNumberFormat="1" applyFont="1" applyFill="1" applyBorder="1" applyAlignment="1">
      <alignment horizontal="center" vertical="center"/>
    </xf>
    <xf numFmtId="1" fontId="1672" fillId="8" borderId="1" xfId="0" applyNumberFormat="1" applyFont="1" applyFill="1" applyBorder="1" applyAlignment="1">
      <alignment horizontal="center" vertical="center"/>
    </xf>
    <xf numFmtId="165" fontId="1673" fillId="8" borderId="1" xfId="0" applyNumberFormat="1" applyFont="1" applyFill="1" applyBorder="1" applyAlignment="1">
      <alignment horizontal="center" vertical="center"/>
    </xf>
    <xf numFmtId="1" fontId="1674" fillId="8" borderId="1" xfId="0" applyNumberFormat="1" applyFont="1" applyFill="1" applyBorder="1" applyAlignment="1">
      <alignment horizontal="center" vertical="center"/>
    </xf>
    <xf numFmtId="1" fontId="1675" fillId="8" borderId="1" xfId="0" applyNumberFormat="1" applyFont="1" applyFill="1" applyBorder="1" applyAlignment="1">
      <alignment horizontal="center" vertical="center"/>
    </xf>
    <xf numFmtId="1" fontId="1676" fillId="8" borderId="1" xfId="0" applyNumberFormat="1" applyFont="1" applyFill="1" applyBorder="1" applyAlignment="1">
      <alignment horizontal="center" vertical="center"/>
    </xf>
    <xf numFmtId="1" fontId="1677" fillId="8" borderId="1" xfId="0" applyNumberFormat="1" applyFont="1" applyFill="1" applyBorder="1" applyAlignment="1">
      <alignment horizontal="center" vertical="center"/>
    </xf>
    <xf numFmtId="165" fontId="1678" fillId="8" borderId="1" xfId="0" applyNumberFormat="1" applyFont="1" applyFill="1" applyBorder="1" applyAlignment="1">
      <alignment horizontal="center" vertical="center"/>
    </xf>
    <xf numFmtId="1" fontId="1679" fillId="8" borderId="1" xfId="0" applyNumberFormat="1" applyFont="1" applyFill="1" applyBorder="1" applyAlignment="1">
      <alignment horizontal="center" vertical="center"/>
    </xf>
    <xf numFmtId="165" fontId="1680" fillId="8" borderId="1" xfId="0" applyNumberFormat="1" applyFont="1" applyFill="1" applyBorder="1" applyAlignment="1">
      <alignment horizontal="center" vertical="center"/>
    </xf>
    <xf numFmtId="1" fontId="1681" fillId="8" borderId="1" xfId="0" applyNumberFormat="1" applyFont="1" applyFill="1" applyBorder="1" applyAlignment="1">
      <alignment horizontal="center" vertical="center"/>
    </xf>
    <xf numFmtId="165" fontId="1682" fillId="8" borderId="1" xfId="0" applyNumberFormat="1" applyFont="1" applyFill="1" applyBorder="1" applyAlignment="1">
      <alignment horizontal="center" vertical="center"/>
    </xf>
    <xf numFmtId="2" fontId="1683" fillId="8" borderId="1" xfId="0" applyNumberFormat="1" applyFont="1" applyFill="1" applyBorder="1" applyAlignment="1">
      <alignment horizontal="center" vertical="center"/>
    </xf>
    <xf numFmtId="2" fontId="1684" fillId="8" borderId="1" xfId="0" applyNumberFormat="1" applyFont="1" applyFill="1" applyBorder="1" applyAlignment="1">
      <alignment horizontal="center" vertical="center"/>
    </xf>
    <xf numFmtId="2" fontId="1685" fillId="8" borderId="1" xfId="0" applyNumberFormat="1" applyFont="1" applyFill="1" applyBorder="1" applyAlignment="1">
      <alignment horizontal="center" vertical="center"/>
    </xf>
    <xf numFmtId="2" fontId="1686" fillId="8" borderId="1" xfId="0" applyNumberFormat="1" applyFont="1" applyFill="1" applyBorder="1" applyAlignment="1">
      <alignment horizontal="center" vertical="center"/>
    </xf>
    <xf numFmtId="2" fontId="1687" fillId="8" borderId="1" xfId="0" applyNumberFormat="1" applyFont="1" applyFill="1" applyBorder="1" applyAlignment="1">
      <alignment horizontal="center" vertical="center"/>
    </xf>
    <xf numFmtId="2" fontId="1688" fillId="8" borderId="1" xfId="0" applyNumberFormat="1" applyFont="1" applyFill="1" applyBorder="1" applyAlignment="1">
      <alignment horizontal="center" vertical="center"/>
    </xf>
    <xf numFmtId="2" fontId="1689" fillId="8" borderId="1" xfId="0" applyNumberFormat="1" applyFont="1" applyFill="1" applyBorder="1" applyAlignment="1">
      <alignment horizontal="center" vertical="center"/>
    </xf>
    <xf numFmtId="2" fontId="1690" fillId="8" borderId="1" xfId="0" applyNumberFormat="1" applyFont="1" applyFill="1" applyBorder="1" applyAlignment="1">
      <alignment horizontal="center" vertical="center"/>
    </xf>
    <xf numFmtId="2" fontId="1691" fillId="8" borderId="1" xfId="0" applyNumberFormat="1" applyFont="1" applyFill="1" applyBorder="1" applyAlignment="1">
      <alignment horizontal="center" vertical="center"/>
    </xf>
    <xf numFmtId="2" fontId="1692" fillId="8" borderId="1" xfId="0" applyNumberFormat="1" applyFont="1" applyFill="1" applyBorder="1" applyAlignment="1">
      <alignment horizontal="center" vertical="center"/>
    </xf>
    <xf numFmtId="2" fontId="1693" fillId="8" borderId="1" xfId="0" applyNumberFormat="1" applyFont="1" applyFill="1" applyBorder="1" applyAlignment="1">
      <alignment horizontal="center" vertical="center"/>
    </xf>
    <xf numFmtId="2" fontId="1694" fillId="8" borderId="1" xfId="0" applyNumberFormat="1" applyFont="1" applyFill="1" applyBorder="1" applyAlignment="1">
      <alignment horizontal="center" vertical="center"/>
    </xf>
    <xf numFmtId="2" fontId="1695" fillId="8" borderId="1" xfId="0" applyNumberFormat="1" applyFont="1" applyFill="1" applyBorder="1" applyAlignment="1">
      <alignment horizontal="center" vertical="center"/>
    </xf>
    <xf numFmtId="2" fontId="1696" fillId="8" borderId="1" xfId="0" applyNumberFormat="1" applyFont="1" applyFill="1" applyBorder="1" applyAlignment="1">
      <alignment horizontal="center" vertical="center"/>
    </xf>
    <xf numFmtId="2" fontId="1697" fillId="8" borderId="1" xfId="0" applyNumberFormat="1" applyFont="1" applyFill="1" applyBorder="1" applyAlignment="1">
      <alignment horizontal="center" vertical="center"/>
    </xf>
    <xf numFmtId="2" fontId="1698" fillId="8" borderId="1" xfId="0" applyNumberFormat="1" applyFont="1" applyFill="1" applyBorder="1" applyAlignment="1">
      <alignment horizontal="center" vertical="center"/>
    </xf>
    <xf numFmtId="2" fontId="1699" fillId="8" borderId="1" xfId="0" applyNumberFormat="1" applyFont="1" applyFill="1" applyBorder="1" applyAlignment="1">
      <alignment horizontal="center" vertical="center"/>
    </xf>
    <xf numFmtId="2" fontId="1700" fillId="8" borderId="1" xfId="0" applyNumberFormat="1" applyFont="1" applyFill="1" applyBorder="1" applyAlignment="1">
      <alignment horizontal="center" vertical="center"/>
    </xf>
    <xf numFmtId="2" fontId="1701" fillId="8" borderId="1" xfId="0" applyNumberFormat="1" applyFont="1" applyFill="1" applyBorder="1" applyAlignment="1">
      <alignment horizontal="center" vertical="center"/>
    </xf>
    <xf numFmtId="2" fontId="1702" fillId="8" borderId="1" xfId="0" applyNumberFormat="1" applyFont="1" applyFill="1" applyBorder="1" applyAlignment="1">
      <alignment horizontal="center" vertical="center"/>
    </xf>
    <xf numFmtId="2" fontId="1703" fillId="8" borderId="1" xfId="0" applyNumberFormat="1" applyFont="1" applyFill="1" applyBorder="1" applyAlignment="1">
      <alignment horizontal="center" vertical="center"/>
    </xf>
    <xf numFmtId="2" fontId="1704" fillId="8" borderId="1" xfId="0" applyNumberFormat="1" applyFont="1" applyFill="1" applyBorder="1" applyAlignment="1">
      <alignment horizontal="center" vertical="center"/>
    </xf>
    <xf numFmtId="2" fontId="1705" fillId="8" borderId="1" xfId="0" applyNumberFormat="1" applyFont="1" applyFill="1" applyBorder="1" applyAlignment="1">
      <alignment horizontal="center" vertical="center"/>
    </xf>
    <xf numFmtId="2" fontId="1706" fillId="8" borderId="1" xfId="0" applyNumberFormat="1" applyFont="1" applyFill="1" applyBorder="1" applyAlignment="1">
      <alignment horizontal="center" vertical="center"/>
    </xf>
    <xf numFmtId="2" fontId="1707" fillId="8" borderId="1" xfId="0" applyNumberFormat="1" applyFont="1" applyFill="1" applyBorder="1" applyAlignment="1">
      <alignment horizontal="center" vertical="center"/>
    </xf>
    <xf numFmtId="2" fontId="1708" fillId="8" borderId="1" xfId="0" applyNumberFormat="1" applyFont="1" applyFill="1" applyBorder="1" applyAlignment="1">
      <alignment horizontal="center" vertical="center"/>
    </xf>
    <xf numFmtId="2" fontId="1709" fillId="8" borderId="1" xfId="0" applyNumberFormat="1" applyFont="1" applyFill="1" applyBorder="1" applyAlignment="1">
      <alignment horizontal="center" vertical="center"/>
    </xf>
    <xf numFmtId="2" fontId="1710" fillId="8" borderId="1" xfId="0" applyNumberFormat="1" applyFont="1" applyFill="1" applyBorder="1" applyAlignment="1">
      <alignment horizontal="center" vertical="center"/>
    </xf>
    <xf numFmtId="2" fontId="1711" fillId="8" borderId="1" xfId="0" applyNumberFormat="1" applyFont="1" applyFill="1" applyBorder="1" applyAlignment="1">
      <alignment horizontal="center" vertical="center"/>
    </xf>
    <xf numFmtId="2" fontId="1712" fillId="8" borderId="1" xfId="0" applyNumberFormat="1" applyFont="1" applyFill="1" applyBorder="1" applyAlignment="1">
      <alignment horizontal="center" vertical="center"/>
    </xf>
    <xf numFmtId="2" fontId="1713" fillId="8" borderId="1" xfId="0" applyNumberFormat="1" applyFont="1" applyFill="1" applyBorder="1" applyAlignment="1">
      <alignment horizontal="center" vertical="center"/>
    </xf>
    <xf numFmtId="2" fontId="1714" fillId="8" borderId="1" xfId="0" applyNumberFormat="1" applyFont="1" applyFill="1" applyBorder="1" applyAlignment="1">
      <alignment horizontal="center" vertical="center"/>
    </xf>
    <xf numFmtId="2" fontId="1715" fillId="8" borderId="1" xfId="0" applyNumberFormat="1" applyFont="1" applyFill="1" applyBorder="1" applyAlignment="1">
      <alignment horizontal="center" vertical="center"/>
    </xf>
    <xf numFmtId="2" fontId="1716" fillId="8" borderId="1" xfId="0" applyNumberFormat="1" applyFont="1" applyFill="1" applyBorder="1" applyAlignment="1">
      <alignment horizontal="center" vertical="center"/>
    </xf>
    <xf numFmtId="0" fontId="1717" fillId="7" borderId="1" xfId="0" applyNumberFormat="1" applyFont="1" applyFill="1" applyBorder="1" applyAlignment="1">
      <alignment horizontal="left" vertical="center"/>
    </xf>
    <xf numFmtId="0" fontId="1718" fillId="8" borderId="1" xfId="0" applyNumberFormat="1" applyFont="1" applyFill="1" applyBorder="1" applyAlignment="1">
      <alignment horizontal="center" vertical="center"/>
    </xf>
    <xf numFmtId="164" fontId="1719" fillId="8" borderId="1" xfId="0" applyNumberFormat="1" applyFont="1" applyFill="1" applyBorder="1" applyAlignment="1">
      <alignment horizontal="center" vertical="center"/>
    </xf>
    <xf numFmtId="1" fontId="1720" fillId="8" borderId="1" xfId="0" applyNumberFormat="1" applyFont="1" applyFill="1" applyBorder="1" applyAlignment="1">
      <alignment horizontal="center" vertical="center"/>
    </xf>
    <xf numFmtId="1" fontId="1721" fillId="8" borderId="1" xfId="0" applyNumberFormat="1" applyFont="1" applyFill="1" applyBorder="1" applyAlignment="1">
      <alignment horizontal="center" vertical="center"/>
    </xf>
    <xf numFmtId="1" fontId="1722" fillId="8" borderId="1" xfId="0" applyNumberFormat="1" applyFont="1" applyFill="1" applyBorder="1" applyAlignment="1">
      <alignment horizontal="center" vertical="center"/>
    </xf>
    <xf numFmtId="1" fontId="1723" fillId="8" borderId="1" xfId="0" applyNumberFormat="1" applyFont="1" applyFill="1" applyBorder="1" applyAlignment="1">
      <alignment horizontal="center" vertical="center"/>
    </xf>
    <xf numFmtId="1" fontId="1724" fillId="8" borderId="1" xfId="0" applyNumberFormat="1" applyFont="1" applyFill="1" applyBorder="1" applyAlignment="1">
      <alignment horizontal="center" vertical="center"/>
    </xf>
    <xf numFmtId="1" fontId="1725" fillId="8" borderId="1" xfId="0" applyNumberFormat="1" applyFont="1" applyFill="1" applyBorder="1" applyAlignment="1">
      <alignment horizontal="center" vertical="center"/>
    </xf>
    <xf numFmtId="1" fontId="1726" fillId="8" borderId="1" xfId="0" applyNumberFormat="1" applyFont="1" applyFill="1" applyBorder="1" applyAlignment="1">
      <alignment horizontal="center" vertical="center"/>
    </xf>
    <xf numFmtId="0" fontId="1727" fillId="8" borderId="1" xfId="0" applyNumberFormat="1" applyFont="1" applyFill="1" applyBorder="1" applyAlignment="1">
      <alignment horizontal="center" vertical="center"/>
    </xf>
    <xf numFmtId="0" fontId="1728" fillId="8" borderId="1" xfId="0" applyNumberFormat="1" applyFont="1" applyFill="1" applyBorder="1" applyAlignment="1">
      <alignment horizontal="center" vertical="center"/>
    </xf>
    <xf numFmtId="1" fontId="1729" fillId="8" borderId="1" xfId="0" applyNumberFormat="1" applyFont="1" applyFill="1" applyBorder="1" applyAlignment="1">
      <alignment horizontal="center" vertical="center"/>
    </xf>
    <xf numFmtId="1" fontId="1730" fillId="8" borderId="1" xfId="0" applyNumberFormat="1" applyFont="1" applyFill="1" applyBorder="1" applyAlignment="1">
      <alignment horizontal="center" vertical="center"/>
    </xf>
    <xf numFmtId="1" fontId="1731" fillId="8" borderId="1" xfId="0" applyNumberFormat="1" applyFont="1" applyFill="1" applyBorder="1" applyAlignment="1">
      <alignment horizontal="center" vertical="center"/>
    </xf>
    <xf numFmtId="165" fontId="1732" fillId="8" borderId="1" xfId="0" applyNumberFormat="1" applyFont="1" applyFill="1" applyBorder="1" applyAlignment="1">
      <alignment horizontal="center" vertical="center"/>
    </xf>
    <xf numFmtId="1" fontId="1733" fillId="8" borderId="1" xfId="0" applyNumberFormat="1" applyFont="1" applyFill="1" applyBorder="1" applyAlignment="1">
      <alignment horizontal="center" vertical="center"/>
    </xf>
    <xf numFmtId="165" fontId="1734" fillId="8" borderId="1" xfId="0" applyNumberFormat="1" applyFont="1" applyFill="1" applyBorder="1" applyAlignment="1">
      <alignment horizontal="center" vertical="center"/>
    </xf>
    <xf numFmtId="1" fontId="1735" fillId="8" borderId="1" xfId="0" applyNumberFormat="1" applyFont="1" applyFill="1" applyBorder="1" applyAlignment="1">
      <alignment horizontal="center" vertical="center"/>
    </xf>
    <xf numFmtId="165" fontId="1736" fillId="8" borderId="1" xfId="0" applyNumberFormat="1" applyFont="1" applyFill="1" applyBorder="1" applyAlignment="1">
      <alignment horizontal="center" vertical="center"/>
    </xf>
    <xf numFmtId="1" fontId="1737" fillId="8" borderId="1" xfId="0" applyNumberFormat="1" applyFont="1" applyFill="1" applyBorder="1" applyAlignment="1">
      <alignment horizontal="center" vertical="center"/>
    </xf>
    <xf numFmtId="165" fontId="1738" fillId="8" borderId="1" xfId="0" applyNumberFormat="1" applyFont="1" applyFill="1" applyBorder="1" applyAlignment="1">
      <alignment horizontal="center" vertical="center"/>
    </xf>
    <xf numFmtId="165" fontId="1739" fillId="8" borderId="1" xfId="0" applyNumberFormat="1" applyFont="1" applyFill="1" applyBorder="1" applyAlignment="1">
      <alignment horizontal="center" vertical="center"/>
    </xf>
    <xf numFmtId="1" fontId="1740" fillId="8" borderId="1" xfId="0" applyNumberFormat="1" applyFont="1" applyFill="1" applyBorder="1" applyAlignment="1">
      <alignment horizontal="center" vertical="center"/>
    </xf>
    <xf numFmtId="1" fontId="1741" fillId="8" borderId="1" xfId="0" applyNumberFormat="1" applyFont="1" applyFill="1" applyBorder="1" applyAlignment="1">
      <alignment horizontal="center" vertical="center"/>
    </xf>
    <xf numFmtId="1" fontId="1742" fillId="8" borderId="1" xfId="0" applyNumberFormat="1" applyFont="1" applyFill="1" applyBorder="1" applyAlignment="1">
      <alignment horizontal="center" vertical="center"/>
    </xf>
    <xf numFmtId="165" fontId="1743" fillId="8" borderId="1" xfId="0" applyNumberFormat="1" applyFont="1" applyFill="1" applyBorder="1" applyAlignment="1">
      <alignment horizontal="center" vertical="center"/>
    </xf>
    <xf numFmtId="164" fontId="1744" fillId="8" borderId="1" xfId="0" applyNumberFormat="1" applyFont="1" applyFill="1" applyBorder="1" applyAlignment="1">
      <alignment horizontal="center" vertical="center"/>
    </xf>
    <xf numFmtId="164" fontId="1745" fillId="8" borderId="1" xfId="0" applyNumberFormat="1" applyFont="1" applyFill="1" applyBorder="1" applyAlignment="1">
      <alignment horizontal="center" vertical="center"/>
    </xf>
    <xf numFmtId="1" fontId="1746" fillId="8" borderId="1" xfId="0" applyNumberFormat="1" applyFont="1" applyFill="1" applyBorder="1" applyAlignment="1">
      <alignment horizontal="center" vertical="center"/>
    </xf>
    <xf numFmtId="1" fontId="1747" fillId="8" borderId="1" xfId="0" applyNumberFormat="1" applyFont="1" applyFill="1" applyBorder="1" applyAlignment="1">
      <alignment horizontal="center" vertical="center"/>
    </xf>
    <xf numFmtId="1" fontId="1748" fillId="8" borderId="1" xfId="0" applyNumberFormat="1" applyFont="1" applyFill="1" applyBorder="1" applyAlignment="1">
      <alignment horizontal="center" vertical="center"/>
    </xf>
    <xf numFmtId="165" fontId="1749" fillId="8" borderId="1" xfId="0" applyNumberFormat="1" applyFont="1" applyFill="1" applyBorder="1" applyAlignment="1">
      <alignment horizontal="center" vertical="center"/>
    </xf>
    <xf numFmtId="1" fontId="1750" fillId="8" borderId="1" xfId="0" applyNumberFormat="1" applyFont="1" applyFill="1" applyBorder="1" applyAlignment="1">
      <alignment horizontal="center" vertical="center"/>
    </xf>
    <xf numFmtId="165" fontId="1751" fillId="8" borderId="1" xfId="0" applyNumberFormat="1" applyFont="1" applyFill="1" applyBorder="1" applyAlignment="1">
      <alignment horizontal="center" vertical="center"/>
    </xf>
    <xf numFmtId="1" fontId="1752" fillId="8" borderId="1" xfId="0" applyNumberFormat="1" applyFont="1" applyFill="1" applyBorder="1" applyAlignment="1">
      <alignment horizontal="center" vertical="center"/>
    </xf>
    <xf numFmtId="1" fontId="1753" fillId="8" borderId="1" xfId="0" applyNumberFormat="1" applyFont="1" applyFill="1" applyBorder="1" applyAlignment="1">
      <alignment horizontal="center" vertical="center"/>
    </xf>
    <xf numFmtId="1" fontId="1754" fillId="8" borderId="1" xfId="0" applyNumberFormat="1" applyFont="1" applyFill="1" applyBorder="1" applyAlignment="1">
      <alignment horizontal="center" vertical="center"/>
    </xf>
    <xf numFmtId="1" fontId="1755" fillId="8" borderId="1" xfId="0" applyNumberFormat="1" applyFont="1" applyFill="1" applyBorder="1" applyAlignment="1">
      <alignment horizontal="center" vertical="center"/>
    </xf>
    <xf numFmtId="165" fontId="1756" fillId="8" borderId="1" xfId="0" applyNumberFormat="1" applyFont="1" applyFill="1" applyBorder="1" applyAlignment="1">
      <alignment horizontal="center" vertical="center"/>
    </xf>
    <xf numFmtId="1" fontId="1757" fillId="8" borderId="1" xfId="0" applyNumberFormat="1" applyFont="1" applyFill="1" applyBorder="1" applyAlignment="1">
      <alignment horizontal="center" vertical="center"/>
    </xf>
    <xf numFmtId="165" fontId="1758" fillId="8" borderId="1" xfId="0" applyNumberFormat="1" applyFont="1" applyFill="1" applyBorder="1" applyAlignment="1">
      <alignment horizontal="center" vertical="center"/>
    </xf>
    <xf numFmtId="1" fontId="1759" fillId="8" borderId="1" xfId="0" applyNumberFormat="1" applyFont="1" applyFill="1" applyBorder="1" applyAlignment="1">
      <alignment horizontal="center" vertical="center"/>
    </xf>
    <xf numFmtId="165" fontId="1760" fillId="8" borderId="1" xfId="0" applyNumberFormat="1" applyFont="1" applyFill="1" applyBorder="1" applyAlignment="1">
      <alignment horizontal="center" vertical="center"/>
    </xf>
    <xf numFmtId="2" fontId="1761" fillId="8" borderId="1" xfId="0" applyNumberFormat="1" applyFont="1" applyFill="1" applyBorder="1" applyAlignment="1">
      <alignment horizontal="center" vertical="center"/>
    </xf>
    <xf numFmtId="2" fontId="1762" fillId="8" borderId="1" xfId="0" applyNumberFormat="1" applyFont="1" applyFill="1" applyBorder="1" applyAlignment="1">
      <alignment horizontal="center" vertical="center"/>
    </xf>
    <xf numFmtId="2" fontId="1763" fillId="8" borderId="1" xfId="0" applyNumberFormat="1" applyFont="1" applyFill="1" applyBorder="1" applyAlignment="1">
      <alignment horizontal="center" vertical="center"/>
    </xf>
    <xf numFmtId="2" fontId="1764" fillId="8" borderId="1" xfId="0" applyNumberFormat="1" applyFont="1" applyFill="1" applyBorder="1" applyAlignment="1">
      <alignment horizontal="center" vertical="center"/>
    </xf>
    <xf numFmtId="2" fontId="1765" fillId="8" borderId="1" xfId="0" applyNumberFormat="1" applyFont="1" applyFill="1" applyBorder="1" applyAlignment="1">
      <alignment horizontal="center" vertical="center"/>
    </xf>
    <xf numFmtId="2" fontId="1766" fillId="8" borderId="1" xfId="0" applyNumberFormat="1" applyFont="1" applyFill="1" applyBorder="1" applyAlignment="1">
      <alignment horizontal="center" vertical="center"/>
    </xf>
    <xf numFmtId="2" fontId="1767" fillId="8" borderId="1" xfId="0" applyNumberFormat="1" applyFont="1" applyFill="1" applyBorder="1" applyAlignment="1">
      <alignment horizontal="center" vertical="center"/>
    </xf>
    <xf numFmtId="2" fontId="1768" fillId="8" borderId="1" xfId="0" applyNumberFormat="1" applyFont="1" applyFill="1" applyBorder="1" applyAlignment="1">
      <alignment horizontal="center" vertical="center"/>
    </xf>
    <xf numFmtId="2" fontId="1769" fillId="8" borderId="1" xfId="0" applyNumberFormat="1" applyFont="1" applyFill="1" applyBorder="1" applyAlignment="1">
      <alignment horizontal="center" vertical="center"/>
    </xf>
    <xf numFmtId="2" fontId="1770" fillId="8" borderId="1" xfId="0" applyNumberFormat="1" applyFont="1" applyFill="1" applyBorder="1" applyAlignment="1">
      <alignment horizontal="center" vertical="center"/>
    </xf>
    <xf numFmtId="2" fontId="1771" fillId="8" borderId="1" xfId="0" applyNumberFormat="1" applyFont="1" applyFill="1" applyBorder="1" applyAlignment="1">
      <alignment horizontal="center" vertical="center"/>
    </xf>
    <xf numFmtId="2" fontId="1772" fillId="8" borderId="1" xfId="0" applyNumberFormat="1" applyFont="1" applyFill="1" applyBorder="1" applyAlignment="1">
      <alignment horizontal="center" vertical="center"/>
    </xf>
    <xf numFmtId="2" fontId="1773" fillId="8" borderId="1" xfId="0" applyNumberFormat="1" applyFont="1" applyFill="1" applyBorder="1" applyAlignment="1">
      <alignment horizontal="center" vertical="center"/>
    </xf>
    <xf numFmtId="2" fontId="1774" fillId="8" borderId="1" xfId="0" applyNumberFormat="1" applyFont="1" applyFill="1" applyBorder="1" applyAlignment="1">
      <alignment horizontal="center" vertical="center"/>
    </xf>
    <xf numFmtId="2" fontId="1775" fillId="8" borderId="1" xfId="0" applyNumberFormat="1" applyFont="1" applyFill="1" applyBorder="1" applyAlignment="1">
      <alignment horizontal="center" vertical="center"/>
    </xf>
    <xf numFmtId="2" fontId="1776" fillId="8" borderId="1" xfId="0" applyNumberFormat="1" applyFont="1" applyFill="1" applyBorder="1" applyAlignment="1">
      <alignment horizontal="center" vertical="center"/>
    </xf>
    <xf numFmtId="2" fontId="1777" fillId="8" borderId="1" xfId="0" applyNumberFormat="1" applyFont="1" applyFill="1" applyBorder="1" applyAlignment="1">
      <alignment horizontal="center" vertical="center"/>
    </xf>
    <xf numFmtId="2" fontId="1778" fillId="8" borderId="1" xfId="0" applyNumberFormat="1" applyFont="1" applyFill="1" applyBorder="1" applyAlignment="1">
      <alignment horizontal="center" vertical="center"/>
    </xf>
    <xf numFmtId="2" fontId="1779" fillId="8" borderId="1" xfId="0" applyNumberFormat="1" applyFont="1" applyFill="1" applyBorder="1" applyAlignment="1">
      <alignment horizontal="center" vertical="center"/>
    </xf>
    <xf numFmtId="2" fontId="1780" fillId="8" borderId="1" xfId="0" applyNumberFormat="1" applyFont="1" applyFill="1" applyBorder="1" applyAlignment="1">
      <alignment horizontal="center" vertical="center"/>
    </xf>
    <xf numFmtId="2" fontId="1781" fillId="8" borderId="1" xfId="0" applyNumberFormat="1" applyFont="1" applyFill="1" applyBorder="1" applyAlignment="1">
      <alignment horizontal="center" vertical="center"/>
    </xf>
    <xf numFmtId="2" fontId="1782" fillId="8" borderId="1" xfId="0" applyNumberFormat="1" applyFont="1" applyFill="1" applyBorder="1" applyAlignment="1">
      <alignment horizontal="center" vertical="center"/>
    </xf>
    <xf numFmtId="2" fontId="1783" fillId="8" borderId="1" xfId="0" applyNumberFormat="1" applyFont="1" applyFill="1" applyBorder="1" applyAlignment="1">
      <alignment horizontal="center" vertical="center"/>
    </xf>
    <xf numFmtId="2" fontId="1784" fillId="8" borderId="1" xfId="0" applyNumberFormat="1" applyFont="1" applyFill="1" applyBorder="1" applyAlignment="1">
      <alignment horizontal="center" vertical="center"/>
    </xf>
    <xf numFmtId="2" fontId="1785" fillId="8" borderId="1" xfId="0" applyNumberFormat="1" applyFont="1" applyFill="1" applyBorder="1" applyAlignment="1">
      <alignment horizontal="center" vertical="center"/>
    </xf>
    <xf numFmtId="2" fontId="1786" fillId="8" borderId="1" xfId="0" applyNumberFormat="1" applyFont="1" applyFill="1" applyBorder="1" applyAlignment="1">
      <alignment horizontal="center" vertical="center"/>
    </xf>
    <xf numFmtId="2" fontId="1787" fillId="8" borderId="1" xfId="0" applyNumberFormat="1" applyFont="1" applyFill="1" applyBorder="1" applyAlignment="1">
      <alignment horizontal="center" vertical="center"/>
    </xf>
    <xf numFmtId="2" fontId="1788" fillId="8" borderId="1" xfId="0" applyNumberFormat="1" applyFont="1" applyFill="1" applyBorder="1" applyAlignment="1">
      <alignment horizontal="center" vertical="center"/>
    </xf>
    <xf numFmtId="2" fontId="1789" fillId="8" borderId="1" xfId="0" applyNumberFormat="1" applyFont="1" applyFill="1" applyBorder="1" applyAlignment="1">
      <alignment horizontal="center" vertical="center"/>
    </xf>
    <xf numFmtId="2" fontId="1790" fillId="8" borderId="1" xfId="0" applyNumberFormat="1" applyFont="1" applyFill="1" applyBorder="1" applyAlignment="1">
      <alignment horizontal="center" vertical="center"/>
    </xf>
    <xf numFmtId="2" fontId="1791" fillId="8" borderId="1" xfId="0" applyNumberFormat="1" applyFont="1" applyFill="1" applyBorder="1" applyAlignment="1">
      <alignment horizontal="center" vertical="center"/>
    </xf>
    <xf numFmtId="2" fontId="1792" fillId="8" borderId="1" xfId="0" applyNumberFormat="1" applyFont="1" applyFill="1" applyBorder="1" applyAlignment="1">
      <alignment horizontal="center" vertical="center"/>
    </xf>
    <xf numFmtId="2" fontId="1793" fillId="8" borderId="1" xfId="0" applyNumberFormat="1" applyFont="1" applyFill="1" applyBorder="1" applyAlignment="1">
      <alignment horizontal="center" vertical="center"/>
    </xf>
    <xf numFmtId="2" fontId="1794" fillId="8" borderId="1" xfId="0" applyNumberFormat="1" applyFont="1" applyFill="1" applyBorder="1" applyAlignment="1">
      <alignment horizontal="center" vertical="center"/>
    </xf>
    <xf numFmtId="0" fontId="1795" fillId="7" borderId="1" xfId="0" applyNumberFormat="1" applyFont="1" applyFill="1" applyBorder="1" applyAlignment="1">
      <alignment horizontal="left" vertical="center"/>
    </xf>
    <xf numFmtId="0" fontId="1796" fillId="8" borderId="1" xfId="0" applyNumberFormat="1" applyFont="1" applyFill="1" applyBorder="1" applyAlignment="1">
      <alignment horizontal="center" vertical="center"/>
    </xf>
    <xf numFmtId="164" fontId="1797" fillId="8" borderId="1" xfId="0" applyNumberFormat="1" applyFont="1" applyFill="1" applyBorder="1" applyAlignment="1">
      <alignment horizontal="center" vertical="center"/>
    </xf>
    <xf numFmtId="1" fontId="1798" fillId="8" borderId="1" xfId="0" applyNumberFormat="1" applyFont="1" applyFill="1" applyBorder="1" applyAlignment="1">
      <alignment horizontal="center" vertical="center"/>
    </xf>
    <xf numFmtId="1" fontId="1799" fillId="8" borderId="1" xfId="0" applyNumberFormat="1" applyFont="1" applyFill="1" applyBorder="1" applyAlignment="1">
      <alignment horizontal="center" vertical="center"/>
    </xf>
    <xf numFmtId="1" fontId="1800" fillId="8" borderId="1" xfId="0" applyNumberFormat="1" applyFont="1" applyFill="1" applyBorder="1" applyAlignment="1">
      <alignment horizontal="center" vertical="center"/>
    </xf>
    <xf numFmtId="1" fontId="1801" fillId="8" borderId="1" xfId="0" applyNumberFormat="1" applyFont="1" applyFill="1" applyBorder="1" applyAlignment="1">
      <alignment horizontal="center" vertical="center"/>
    </xf>
    <xf numFmtId="1" fontId="1802" fillId="8" borderId="1" xfId="0" applyNumberFormat="1" applyFont="1" applyFill="1" applyBorder="1" applyAlignment="1">
      <alignment horizontal="center" vertical="center"/>
    </xf>
    <xf numFmtId="1" fontId="1803" fillId="8" borderId="1" xfId="0" applyNumberFormat="1" applyFont="1" applyFill="1" applyBorder="1" applyAlignment="1">
      <alignment horizontal="center" vertical="center"/>
    </xf>
    <xf numFmtId="1" fontId="1804" fillId="8" borderId="1" xfId="0" applyNumberFormat="1" applyFont="1" applyFill="1" applyBorder="1" applyAlignment="1">
      <alignment horizontal="center" vertical="center"/>
    </xf>
    <xf numFmtId="0" fontId="1805" fillId="8" borderId="1" xfId="0" applyNumberFormat="1" applyFont="1" applyFill="1" applyBorder="1" applyAlignment="1">
      <alignment horizontal="center" vertical="center"/>
    </xf>
    <xf numFmtId="0" fontId="1806" fillId="8" borderId="1" xfId="0" applyNumberFormat="1" applyFont="1" applyFill="1" applyBorder="1" applyAlignment="1">
      <alignment horizontal="center" vertical="center"/>
    </xf>
    <xf numFmtId="1" fontId="1807" fillId="8" borderId="1" xfId="0" applyNumberFormat="1" applyFont="1" applyFill="1" applyBorder="1" applyAlignment="1">
      <alignment horizontal="center" vertical="center"/>
    </xf>
    <xf numFmtId="1" fontId="1808" fillId="8" borderId="1" xfId="0" applyNumberFormat="1" applyFont="1" applyFill="1" applyBorder="1" applyAlignment="1">
      <alignment horizontal="center" vertical="center"/>
    </xf>
    <xf numFmtId="1" fontId="1809" fillId="8" borderId="1" xfId="0" applyNumberFormat="1" applyFont="1" applyFill="1" applyBorder="1" applyAlignment="1">
      <alignment horizontal="center" vertical="center"/>
    </xf>
    <xf numFmtId="165" fontId="1810" fillId="8" borderId="1" xfId="0" applyNumberFormat="1" applyFont="1" applyFill="1" applyBorder="1" applyAlignment="1">
      <alignment horizontal="center" vertical="center"/>
    </xf>
    <xf numFmtId="1" fontId="1811" fillId="8" borderId="1" xfId="0" applyNumberFormat="1" applyFont="1" applyFill="1" applyBorder="1" applyAlignment="1">
      <alignment horizontal="center" vertical="center"/>
    </xf>
    <xf numFmtId="165" fontId="1812" fillId="8" borderId="1" xfId="0" applyNumberFormat="1" applyFont="1" applyFill="1" applyBorder="1" applyAlignment="1">
      <alignment horizontal="center" vertical="center"/>
    </xf>
    <xf numFmtId="1" fontId="1813" fillId="8" borderId="1" xfId="0" applyNumberFormat="1" applyFont="1" applyFill="1" applyBorder="1" applyAlignment="1">
      <alignment horizontal="center" vertical="center"/>
    </xf>
    <xf numFmtId="165" fontId="1814" fillId="8" borderId="1" xfId="0" applyNumberFormat="1" applyFont="1" applyFill="1" applyBorder="1" applyAlignment="1">
      <alignment horizontal="center" vertical="center"/>
    </xf>
    <xf numFmtId="1" fontId="1815" fillId="8" borderId="1" xfId="0" applyNumberFormat="1" applyFont="1" applyFill="1" applyBorder="1" applyAlignment="1">
      <alignment horizontal="center" vertical="center"/>
    </xf>
    <xf numFmtId="165" fontId="1816" fillId="8" borderId="1" xfId="0" applyNumberFormat="1" applyFont="1" applyFill="1" applyBorder="1" applyAlignment="1">
      <alignment horizontal="center" vertical="center"/>
    </xf>
    <xf numFmtId="165" fontId="1817" fillId="8" borderId="1" xfId="0" applyNumberFormat="1" applyFont="1" applyFill="1" applyBorder="1" applyAlignment="1">
      <alignment horizontal="center" vertical="center"/>
    </xf>
    <xf numFmtId="1" fontId="1818" fillId="8" borderId="1" xfId="0" applyNumberFormat="1" applyFont="1" applyFill="1" applyBorder="1" applyAlignment="1">
      <alignment horizontal="center" vertical="center"/>
    </xf>
    <xf numFmtId="1" fontId="1819" fillId="8" borderId="1" xfId="0" applyNumberFormat="1" applyFont="1" applyFill="1" applyBorder="1" applyAlignment="1">
      <alignment horizontal="center" vertical="center"/>
    </xf>
    <xf numFmtId="1" fontId="1820" fillId="8" borderId="1" xfId="0" applyNumberFormat="1" applyFont="1" applyFill="1" applyBorder="1" applyAlignment="1">
      <alignment horizontal="center" vertical="center"/>
    </xf>
    <xf numFmtId="165" fontId="1821" fillId="8" borderId="1" xfId="0" applyNumberFormat="1" applyFont="1" applyFill="1" applyBorder="1" applyAlignment="1">
      <alignment horizontal="center" vertical="center"/>
    </xf>
    <xf numFmtId="164" fontId="1822" fillId="8" borderId="1" xfId="0" applyNumberFormat="1" applyFont="1" applyFill="1" applyBorder="1" applyAlignment="1">
      <alignment horizontal="center" vertical="center"/>
    </xf>
    <xf numFmtId="164" fontId="1823" fillId="8" borderId="1" xfId="0" applyNumberFormat="1" applyFont="1" applyFill="1" applyBorder="1" applyAlignment="1">
      <alignment horizontal="center" vertical="center"/>
    </xf>
    <xf numFmtId="1" fontId="1824" fillId="8" borderId="1" xfId="0" applyNumberFormat="1" applyFont="1" applyFill="1" applyBorder="1" applyAlignment="1">
      <alignment horizontal="center" vertical="center"/>
    </xf>
    <xf numFmtId="1" fontId="1825" fillId="8" borderId="1" xfId="0" applyNumberFormat="1" applyFont="1" applyFill="1" applyBorder="1" applyAlignment="1">
      <alignment horizontal="center" vertical="center"/>
    </xf>
    <xf numFmtId="1" fontId="1826" fillId="8" borderId="1" xfId="0" applyNumberFormat="1" applyFont="1" applyFill="1" applyBorder="1" applyAlignment="1">
      <alignment horizontal="center" vertical="center"/>
    </xf>
    <xf numFmtId="165" fontId="1827" fillId="8" borderId="1" xfId="0" applyNumberFormat="1" applyFont="1" applyFill="1" applyBorder="1" applyAlignment="1">
      <alignment horizontal="center" vertical="center"/>
    </xf>
    <xf numFmtId="1" fontId="1828" fillId="8" borderId="1" xfId="0" applyNumberFormat="1" applyFont="1" applyFill="1" applyBorder="1" applyAlignment="1">
      <alignment horizontal="center" vertical="center"/>
    </xf>
    <xf numFmtId="165" fontId="1829" fillId="8" borderId="1" xfId="0" applyNumberFormat="1" applyFont="1" applyFill="1" applyBorder="1" applyAlignment="1">
      <alignment horizontal="center" vertical="center"/>
    </xf>
    <xf numFmtId="1" fontId="1830" fillId="8" borderId="1" xfId="0" applyNumberFormat="1" applyFont="1" applyFill="1" applyBorder="1" applyAlignment="1">
      <alignment horizontal="center" vertical="center"/>
    </xf>
    <xf numFmtId="1" fontId="1831" fillId="8" borderId="1" xfId="0" applyNumberFormat="1" applyFont="1" applyFill="1" applyBorder="1" applyAlignment="1">
      <alignment horizontal="center" vertical="center"/>
    </xf>
    <xf numFmtId="1" fontId="1832" fillId="8" borderId="1" xfId="0" applyNumberFormat="1" applyFont="1" applyFill="1" applyBorder="1" applyAlignment="1">
      <alignment horizontal="center" vertical="center"/>
    </xf>
    <xf numFmtId="1" fontId="1833" fillId="8" borderId="1" xfId="0" applyNumberFormat="1" applyFont="1" applyFill="1" applyBorder="1" applyAlignment="1">
      <alignment horizontal="center" vertical="center"/>
    </xf>
    <xf numFmtId="165" fontId="1834" fillId="8" borderId="1" xfId="0" applyNumberFormat="1" applyFont="1" applyFill="1" applyBorder="1" applyAlignment="1">
      <alignment horizontal="center" vertical="center"/>
    </xf>
    <xf numFmtId="1" fontId="1835" fillId="8" borderId="1" xfId="0" applyNumberFormat="1" applyFont="1" applyFill="1" applyBorder="1" applyAlignment="1">
      <alignment horizontal="center" vertical="center"/>
    </xf>
    <xf numFmtId="165" fontId="1836" fillId="8" borderId="1" xfId="0" applyNumberFormat="1" applyFont="1" applyFill="1" applyBorder="1" applyAlignment="1">
      <alignment horizontal="center" vertical="center"/>
    </xf>
    <xf numFmtId="1" fontId="1837" fillId="8" borderId="1" xfId="0" applyNumberFormat="1" applyFont="1" applyFill="1" applyBorder="1" applyAlignment="1">
      <alignment horizontal="center" vertical="center"/>
    </xf>
    <xf numFmtId="165" fontId="1838" fillId="8" borderId="1" xfId="0" applyNumberFormat="1" applyFont="1" applyFill="1" applyBorder="1" applyAlignment="1">
      <alignment horizontal="center" vertical="center"/>
    </xf>
    <xf numFmtId="2" fontId="1839" fillId="8" borderId="1" xfId="0" applyNumberFormat="1" applyFont="1" applyFill="1" applyBorder="1" applyAlignment="1">
      <alignment horizontal="center" vertical="center"/>
    </xf>
    <xf numFmtId="2" fontId="1840" fillId="8" borderId="1" xfId="0" applyNumberFormat="1" applyFont="1" applyFill="1" applyBorder="1" applyAlignment="1">
      <alignment horizontal="center" vertical="center"/>
    </xf>
    <xf numFmtId="2" fontId="1841" fillId="8" borderId="1" xfId="0" applyNumberFormat="1" applyFont="1" applyFill="1" applyBorder="1" applyAlignment="1">
      <alignment horizontal="center" vertical="center"/>
    </xf>
    <xf numFmtId="2" fontId="1842" fillId="8" borderId="1" xfId="0" applyNumberFormat="1" applyFont="1" applyFill="1" applyBorder="1" applyAlignment="1">
      <alignment horizontal="center" vertical="center"/>
    </xf>
    <xf numFmtId="2" fontId="1843" fillId="8" borderId="1" xfId="0" applyNumberFormat="1" applyFont="1" applyFill="1" applyBorder="1" applyAlignment="1">
      <alignment horizontal="center" vertical="center"/>
    </xf>
    <xf numFmtId="2" fontId="1844" fillId="8" borderId="1" xfId="0" applyNumberFormat="1" applyFont="1" applyFill="1" applyBorder="1" applyAlignment="1">
      <alignment horizontal="center" vertical="center"/>
    </xf>
    <xf numFmtId="2" fontId="1845" fillId="8" borderId="1" xfId="0" applyNumberFormat="1" applyFont="1" applyFill="1" applyBorder="1" applyAlignment="1">
      <alignment horizontal="center" vertical="center"/>
    </xf>
    <xf numFmtId="2" fontId="1846" fillId="8" borderId="1" xfId="0" applyNumberFormat="1" applyFont="1" applyFill="1" applyBorder="1" applyAlignment="1">
      <alignment horizontal="center" vertical="center"/>
    </xf>
    <xf numFmtId="2" fontId="1847" fillId="8" borderId="1" xfId="0" applyNumberFormat="1" applyFont="1" applyFill="1" applyBorder="1" applyAlignment="1">
      <alignment horizontal="center" vertical="center"/>
    </xf>
    <xf numFmtId="2" fontId="1848" fillId="8" borderId="1" xfId="0" applyNumberFormat="1" applyFont="1" applyFill="1" applyBorder="1" applyAlignment="1">
      <alignment horizontal="center" vertical="center"/>
    </xf>
    <xf numFmtId="2" fontId="1849" fillId="8" borderId="1" xfId="0" applyNumberFormat="1" applyFont="1" applyFill="1" applyBorder="1" applyAlignment="1">
      <alignment horizontal="center" vertical="center"/>
    </xf>
    <xf numFmtId="2" fontId="1850" fillId="8" borderId="1" xfId="0" applyNumberFormat="1" applyFont="1" applyFill="1" applyBorder="1" applyAlignment="1">
      <alignment horizontal="center" vertical="center"/>
    </xf>
    <xf numFmtId="2" fontId="1851" fillId="8" borderId="1" xfId="0" applyNumberFormat="1" applyFont="1" applyFill="1" applyBorder="1" applyAlignment="1">
      <alignment horizontal="center" vertical="center"/>
    </xf>
    <xf numFmtId="2" fontId="1852" fillId="8" borderId="1" xfId="0" applyNumberFormat="1" applyFont="1" applyFill="1" applyBorder="1" applyAlignment="1">
      <alignment horizontal="center" vertical="center"/>
    </xf>
    <xf numFmtId="2" fontId="1853" fillId="8" borderId="1" xfId="0" applyNumberFormat="1" applyFont="1" applyFill="1" applyBorder="1" applyAlignment="1">
      <alignment horizontal="center" vertical="center"/>
    </xf>
    <xf numFmtId="2" fontId="1854" fillId="8" borderId="1" xfId="0" applyNumberFormat="1" applyFont="1" applyFill="1" applyBorder="1" applyAlignment="1">
      <alignment horizontal="center" vertical="center"/>
    </xf>
    <xf numFmtId="2" fontId="1855" fillId="8" borderId="1" xfId="0" applyNumberFormat="1" applyFont="1" applyFill="1" applyBorder="1" applyAlignment="1">
      <alignment horizontal="center" vertical="center"/>
    </xf>
    <xf numFmtId="2" fontId="1856" fillId="8" borderId="1" xfId="0" applyNumberFormat="1" applyFont="1" applyFill="1" applyBorder="1" applyAlignment="1">
      <alignment horizontal="center" vertical="center"/>
    </xf>
    <xf numFmtId="2" fontId="1857" fillId="8" borderId="1" xfId="0" applyNumberFormat="1" applyFont="1" applyFill="1" applyBorder="1" applyAlignment="1">
      <alignment horizontal="center" vertical="center"/>
    </xf>
    <xf numFmtId="2" fontId="1858" fillId="8" borderId="1" xfId="0" applyNumberFormat="1" applyFont="1" applyFill="1" applyBorder="1" applyAlignment="1">
      <alignment horizontal="center" vertical="center"/>
    </xf>
    <xf numFmtId="2" fontId="1859" fillId="8" borderId="1" xfId="0" applyNumberFormat="1" applyFont="1" applyFill="1" applyBorder="1" applyAlignment="1">
      <alignment horizontal="center" vertical="center"/>
    </xf>
    <xf numFmtId="2" fontId="1860" fillId="8" borderId="1" xfId="0" applyNumberFormat="1" applyFont="1" applyFill="1" applyBorder="1" applyAlignment="1">
      <alignment horizontal="center" vertical="center"/>
    </xf>
    <xf numFmtId="2" fontId="1861" fillId="8" borderId="1" xfId="0" applyNumberFormat="1" applyFont="1" applyFill="1" applyBorder="1" applyAlignment="1">
      <alignment horizontal="center" vertical="center"/>
    </xf>
    <xf numFmtId="2" fontId="1862" fillId="8" borderId="1" xfId="0" applyNumberFormat="1" applyFont="1" applyFill="1" applyBorder="1" applyAlignment="1">
      <alignment horizontal="center" vertical="center"/>
    </xf>
    <xf numFmtId="2" fontId="1863" fillId="8" borderId="1" xfId="0" applyNumberFormat="1" applyFont="1" applyFill="1" applyBorder="1" applyAlignment="1">
      <alignment horizontal="center" vertical="center"/>
    </xf>
    <xf numFmtId="2" fontId="1864" fillId="8" borderId="1" xfId="0" applyNumberFormat="1" applyFont="1" applyFill="1" applyBorder="1" applyAlignment="1">
      <alignment horizontal="center" vertical="center"/>
    </xf>
    <xf numFmtId="2" fontId="1865" fillId="8" borderId="1" xfId="0" applyNumberFormat="1" applyFont="1" applyFill="1" applyBorder="1" applyAlignment="1">
      <alignment horizontal="center" vertical="center"/>
    </xf>
    <xf numFmtId="2" fontId="1866" fillId="8" borderId="1" xfId="0" applyNumberFormat="1" applyFont="1" applyFill="1" applyBorder="1" applyAlignment="1">
      <alignment horizontal="center" vertical="center"/>
    </xf>
    <xf numFmtId="2" fontId="1867" fillId="8" borderId="1" xfId="0" applyNumberFormat="1" applyFont="1" applyFill="1" applyBorder="1" applyAlignment="1">
      <alignment horizontal="center" vertical="center"/>
    </xf>
    <xf numFmtId="2" fontId="1868" fillId="8" borderId="1" xfId="0" applyNumberFormat="1" applyFont="1" applyFill="1" applyBorder="1" applyAlignment="1">
      <alignment horizontal="center" vertical="center"/>
    </xf>
    <xf numFmtId="2" fontId="1869" fillId="8" borderId="1" xfId="0" applyNumberFormat="1" applyFont="1" applyFill="1" applyBorder="1" applyAlignment="1">
      <alignment horizontal="center" vertical="center"/>
    </xf>
    <xf numFmtId="2" fontId="1870" fillId="8" borderId="1" xfId="0" applyNumberFormat="1" applyFont="1" applyFill="1" applyBorder="1" applyAlignment="1">
      <alignment horizontal="center" vertical="center"/>
    </xf>
    <xf numFmtId="2" fontId="1871" fillId="8" borderId="1" xfId="0" applyNumberFormat="1" applyFont="1" applyFill="1" applyBorder="1" applyAlignment="1">
      <alignment horizontal="center" vertical="center"/>
    </xf>
    <xf numFmtId="2" fontId="1872" fillId="8" borderId="1" xfId="0" applyNumberFormat="1" applyFont="1" applyFill="1" applyBorder="1" applyAlignment="1">
      <alignment horizontal="center" vertical="center"/>
    </xf>
    <xf numFmtId="0" fontId="1873" fillId="7" borderId="1" xfId="0" applyNumberFormat="1" applyFont="1" applyFill="1" applyBorder="1" applyAlignment="1">
      <alignment horizontal="left" vertical="center"/>
    </xf>
    <xf numFmtId="0" fontId="1874" fillId="8" borderId="1" xfId="0" applyNumberFormat="1" applyFont="1" applyFill="1" applyBorder="1" applyAlignment="1">
      <alignment horizontal="center" vertical="center"/>
    </xf>
    <xf numFmtId="164" fontId="1875" fillId="8" borderId="1" xfId="0" applyNumberFormat="1" applyFont="1" applyFill="1" applyBorder="1" applyAlignment="1">
      <alignment horizontal="center" vertical="center"/>
    </xf>
    <xf numFmtId="1" fontId="1876" fillId="8" borderId="1" xfId="0" applyNumberFormat="1" applyFont="1" applyFill="1" applyBorder="1" applyAlignment="1">
      <alignment horizontal="center" vertical="center"/>
    </xf>
    <xf numFmtId="1" fontId="1877" fillId="8" borderId="1" xfId="0" applyNumberFormat="1" applyFont="1" applyFill="1" applyBorder="1" applyAlignment="1">
      <alignment horizontal="center" vertical="center"/>
    </xf>
    <xf numFmtId="1" fontId="1878" fillId="8" borderId="1" xfId="0" applyNumberFormat="1" applyFont="1" applyFill="1" applyBorder="1" applyAlignment="1">
      <alignment horizontal="center" vertical="center"/>
    </xf>
    <xf numFmtId="1" fontId="1879" fillId="8" borderId="1" xfId="0" applyNumberFormat="1" applyFont="1" applyFill="1" applyBorder="1" applyAlignment="1">
      <alignment horizontal="center" vertical="center"/>
    </xf>
    <xf numFmtId="1" fontId="1880" fillId="8" borderId="1" xfId="0" applyNumberFormat="1" applyFont="1" applyFill="1" applyBorder="1" applyAlignment="1">
      <alignment horizontal="center" vertical="center"/>
    </xf>
    <xf numFmtId="1" fontId="1881" fillId="8" borderId="1" xfId="0" applyNumberFormat="1" applyFont="1" applyFill="1" applyBorder="1" applyAlignment="1">
      <alignment horizontal="center" vertical="center"/>
    </xf>
    <xf numFmtId="1" fontId="1882" fillId="8" borderId="1" xfId="0" applyNumberFormat="1" applyFont="1" applyFill="1" applyBorder="1" applyAlignment="1">
      <alignment horizontal="center" vertical="center"/>
    </xf>
    <xf numFmtId="0" fontId="1883" fillId="8" borderId="1" xfId="0" applyNumberFormat="1" applyFont="1" applyFill="1" applyBorder="1" applyAlignment="1">
      <alignment horizontal="center" vertical="center"/>
    </xf>
    <xf numFmtId="0" fontId="1884" fillId="8" borderId="1" xfId="0" applyNumberFormat="1" applyFont="1" applyFill="1" applyBorder="1" applyAlignment="1">
      <alignment horizontal="center" vertical="center"/>
    </xf>
    <xf numFmtId="1" fontId="1885" fillId="8" borderId="1" xfId="0" applyNumberFormat="1" applyFont="1" applyFill="1" applyBorder="1" applyAlignment="1">
      <alignment horizontal="center" vertical="center"/>
    </xf>
    <xf numFmtId="1" fontId="1886" fillId="8" borderId="1" xfId="0" applyNumberFormat="1" applyFont="1" applyFill="1" applyBorder="1" applyAlignment="1">
      <alignment horizontal="center" vertical="center"/>
    </xf>
    <xf numFmtId="1" fontId="1887" fillId="8" borderId="1" xfId="0" applyNumberFormat="1" applyFont="1" applyFill="1" applyBorder="1" applyAlignment="1">
      <alignment horizontal="center" vertical="center"/>
    </xf>
    <xf numFmtId="165" fontId="1888" fillId="8" borderId="1" xfId="0" applyNumberFormat="1" applyFont="1" applyFill="1" applyBorder="1" applyAlignment="1">
      <alignment horizontal="center" vertical="center"/>
    </xf>
    <xf numFmtId="1" fontId="1889" fillId="8" borderId="1" xfId="0" applyNumberFormat="1" applyFont="1" applyFill="1" applyBorder="1" applyAlignment="1">
      <alignment horizontal="center" vertical="center"/>
    </xf>
    <xf numFmtId="165" fontId="1890" fillId="8" borderId="1" xfId="0" applyNumberFormat="1" applyFont="1" applyFill="1" applyBorder="1" applyAlignment="1">
      <alignment horizontal="center" vertical="center"/>
    </xf>
    <xf numFmtId="1" fontId="1891" fillId="8" borderId="1" xfId="0" applyNumberFormat="1" applyFont="1" applyFill="1" applyBorder="1" applyAlignment="1">
      <alignment horizontal="center" vertical="center"/>
    </xf>
    <xf numFmtId="165" fontId="1892" fillId="8" borderId="1" xfId="0" applyNumberFormat="1" applyFont="1" applyFill="1" applyBorder="1" applyAlignment="1">
      <alignment horizontal="center" vertical="center"/>
    </xf>
    <xf numFmtId="1" fontId="1893" fillId="8" borderId="1" xfId="0" applyNumberFormat="1" applyFont="1" applyFill="1" applyBorder="1" applyAlignment="1">
      <alignment horizontal="center" vertical="center"/>
    </xf>
    <xf numFmtId="165" fontId="1894" fillId="8" borderId="1" xfId="0" applyNumberFormat="1" applyFont="1" applyFill="1" applyBorder="1" applyAlignment="1">
      <alignment horizontal="center" vertical="center"/>
    </xf>
    <xf numFmtId="165" fontId="1895" fillId="8" borderId="1" xfId="0" applyNumberFormat="1" applyFont="1" applyFill="1" applyBorder="1" applyAlignment="1">
      <alignment horizontal="center" vertical="center"/>
    </xf>
    <xf numFmtId="1" fontId="1896" fillId="8" borderId="1" xfId="0" applyNumberFormat="1" applyFont="1" applyFill="1" applyBorder="1" applyAlignment="1">
      <alignment horizontal="center" vertical="center"/>
    </xf>
    <xf numFmtId="1" fontId="1897" fillId="8" borderId="1" xfId="0" applyNumberFormat="1" applyFont="1" applyFill="1" applyBorder="1" applyAlignment="1">
      <alignment horizontal="center" vertical="center"/>
    </xf>
    <xf numFmtId="1" fontId="1898" fillId="8" borderId="1" xfId="0" applyNumberFormat="1" applyFont="1" applyFill="1" applyBorder="1" applyAlignment="1">
      <alignment horizontal="center" vertical="center"/>
    </xf>
    <xf numFmtId="165" fontId="1899" fillId="8" borderId="1" xfId="0" applyNumberFormat="1" applyFont="1" applyFill="1" applyBorder="1" applyAlignment="1">
      <alignment horizontal="center" vertical="center"/>
    </xf>
    <xf numFmtId="164" fontId="1900" fillId="8" borderId="1" xfId="0" applyNumberFormat="1" applyFont="1" applyFill="1" applyBorder="1" applyAlignment="1">
      <alignment horizontal="center" vertical="center"/>
    </xf>
    <xf numFmtId="164" fontId="1901" fillId="8" borderId="1" xfId="0" applyNumberFormat="1" applyFont="1" applyFill="1" applyBorder="1" applyAlignment="1">
      <alignment horizontal="center" vertical="center"/>
    </xf>
    <xf numFmtId="1" fontId="1902" fillId="8" borderId="1" xfId="0" applyNumberFormat="1" applyFont="1" applyFill="1" applyBorder="1" applyAlignment="1">
      <alignment horizontal="center" vertical="center"/>
    </xf>
    <xf numFmtId="1" fontId="1903" fillId="8" borderId="1" xfId="0" applyNumberFormat="1" applyFont="1" applyFill="1" applyBorder="1" applyAlignment="1">
      <alignment horizontal="center" vertical="center"/>
    </xf>
    <xf numFmtId="1" fontId="1904" fillId="8" borderId="1" xfId="0" applyNumberFormat="1" applyFont="1" applyFill="1" applyBorder="1" applyAlignment="1">
      <alignment horizontal="center" vertical="center"/>
    </xf>
    <xf numFmtId="165" fontId="1905" fillId="8" borderId="1" xfId="0" applyNumberFormat="1" applyFont="1" applyFill="1" applyBorder="1" applyAlignment="1">
      <alignment horizontal="center" vertical="center"/>
    </xf>
    <xf numFmtId="1" fontId="1906" fillId="8" borderId="1" xfId="0" applyNumberFormat="1" applyFont="1" applyFill="1" applyBorder="1" applyAlignment="1">
      <alignment horizontal="center" vertical="center"/>
    </xf>
    <xf numFmtId="165" fontId="1907" fillId="8" borderId="1" xfId="0" applyNumberFormat="1" applyFont="1" applyFill="1" applyBorder="1" applyAlignment="1">
      <alignment horizontal="center" vertical="center"/>
    </xf>
    <xf numFmtId="1" fontId="1908" fillId="8" borderId="1" xfId="0" applyNumberFormat="1" applyFont="1" applyFill="1" applyBorder="1" applyAlignment="1">
      <alignment horizontal="center" vertical="center"/>
    </xf>
    <xf numFmtId="1" fontId="1909" fillId="8" borderId="1" xfId="0" applyNumberFormat="1" applyFont="1" applyFill="1" applyBorder="1" applyAlignment="1">
      <alignment horizontal="center" vertical="center"/>
    </xf>
    <xf numFmtId="1" fontId="1910" fillId="8" borderId="1" xfId="0" applyNumberFormat="1" applyFont="1" applyFill="1" applyBorder="1" applyAlignment="1">
      <alignment horizontal="center" vertical="center"/>
    </xf>
    <xf numFmtId="1" fontId="1911" fillId="8" borderId="1" xfId="0" applyNumberFormat="1" applyFont="1" applyFill="1" applyBorder="1" applyAlignment="1">
      <alignment horizontal="center" vertical="center"/>
    </xf>
    <xf numFmtId="165" fontId="1912" fillId="8" borderId="1" xfId="0" applyNumberFormat="1" applyFont="1" applyFill="1" applyBorder="1" applyAlignment="1">
      <alignment horizontal="center" vertical="center"/>
    </xf>
    <xf numFmtId="1" fontId="1913" fillId="8" borderId="1" xfId="0" applyNumberFormat="1" applyFont="1" applyFill="1" applyBorder="1" applyAlignment="1">
      <alignment horizontal="center" vertical="center"/>
    </xf>
    <xf numFmtId="165" fontId="1914" fillId="8" borderId="1" xfId="0" applyNumberFormat="1" applyFont="1" applyFill="1" applyBorder="1" applyAlignment="1">
      <alignment horizontal="center" vertical="center"/>
    </xf>
    <xf numFmtId="1" fontId="1915" fillId="8" borderId="1" xfId="0" applyNumberFormat="1" applyFont="1" applyFill="1" applyBorder="1" applyAlignment="1">
      <alignment horizontal="center" vertical="center"/>
    </xf>
    <xf numFmtId="165" fontId="1916" fillId="8" borderId="1" xfId="0" applyNumberFormat="1" applyFont="1" applyFill="1" applyBorder="1" applyAlignment="1">
      <alignment horizontal="center" vertical="center"/>
    </xf>
    <xf numFmtId="2" fontId="1917" fillId="8" borderId="1" xfId="0" applyNumberFormat="1" applyFont="1" applyFill="1" applyBorder="1" applyAlignment="1">
      <alignment horizontal="center" vertical="center"/>
    </xf>
    <xf numFmtId="2" fontId="1918" fillId="8" borderId="1" xfId="0" applyNumberFormat="1" applyFont="1" applyFill="1" applyBorder="1" applyAlignment="1">
      <alignment horizontal="center" vertical="center"/>
    </xf>
    <xf numFmtId="2" fontId="1919" fillId="8" borderId="1" xfId="0" applyNumberFormat="1" applyFont="1" applyFill="1" applyBorder="1" applyAlignment="1">
      <alignment horizontal="center" vertical="center"/>
    </xf>
    <xf numFmtId="2" fontId="1920" fillId="8" borderId="1" xfId="0" applyNumberFormat="1" applyFont="1" applyFill="1" applyBorder="1" applyAlignment="1">
      <alignment horizontal="center" vertical="center"/>
    </xf>
    <xf numFmtId="2" fontId="1921" fillId="8" borderId="1" xfId="0" applyNumberFormat="1" applyFont="1" applyFill="1" applyBorder="1" applyAlignment="1">
      <alignment horizontal="center" vertical="center"/>
    </xf>
    <xf numFmtId="2" fontId="1922" fillId="8" borderId="1" xfId="0" applyNumberFormat="1" applyFont="1" applyFill="1" applyBorder="1" applyAlignment="1">
      <alignment horizontal="center" vertical="center"/>
    </xf>
    <xf numFmtId="2" fontId="1923" fillId="8" borderId="1" xfId="0" applyNumberFormat="1" applyFont="1" applyFill="1" applyBorder="1" applyAlignment="1">
      <alignment horizontal="center" vertical="center"/>
    </xf>
    <xf numFmtId="2" fontId="1924" fillId="8" borderId="1" xfId="0" applyNumberFormat="1" applyFont="1" applyFill="1" applyBorder="1" applyAlignment="1">
      <alignment horizontal="center" vertical="center"/>
    </xf>
    <xf numFmtId="2" fontId="1925" fillId="8" borderId="1" xfId="0" applyNumberFormat="1" applyFont="1" applyFill="1" applyBorder="1" applyAlignment="1">
      <alignment horizontal="center" vertical="center"/>
    </xf>
    <xf numFmtId="2" fontId="1926" fillId="8" borderId="1" xfId="0" applyNumberFormat="1" applyFont="1" applyFill="1" applyBorder="1" applyAlignment="1">
      <alignment horizontal="center" vertical="center"/>
    </xf>
    <xf numFmtId="2" fontId="1927" fillId="8" borderId="1" xfId="0" applyNumberFormat="1" applyFont="1" applyFill="1" applyBorder="1" applyAlignment="1">
      <alignment horizontal="center" vertical="center"/>
    </xf>
    <xf numFmtId="2" fontId="1928" fillId="8" borderId="1" xfId="0" applyNumberFormat="1" applyFont="1" applyFill="1" applyBorder="1" applyAlignment="1">
      <alignment horizontal="center" vertical="center"/>
    </xf>
    <xf numFmtId="2" fontId="1929" fillId="8" borderId="1" xfId="0" applyNumberFormat="1" applyFont="1" applyFill="1" applyBorder="1" applyAlignment="1">
      <alignment horizontal="center" vertical="center"/>
    </xf>
    <xf numFmtId="2" fontId="1930" fillId="8" borderId="1" xfId="0" applyNumberFormat="1" applyFont="1" applyFill="1" applyBorder="1" applyAlignment="1">
      <alignment horizontal="center" vertical="center"/>
    </xf>
    <xf numFmtId="2" fontId="1931" fillId="8" borderId="1" xfId="0" applyNumberFormat="1" applyFont="1" applyFill="1" applyBorder="1" applyAlignment="1">
      <alignment horizontal="center" vertical="center"/>
    </xf>
    <xf numFmtId="2" fontId="1932" fillId="8" borderId="1" xfId="0" applyNumberFormat="1" applyFont="1" applyFill="1" applyBorder="1" applyAlignment="1">
      <alignment horizontal="center" vertical="center"/>
    </xf>
    <xf numFmtId="2" fontId="1933" fillId="8" borderId="1" xfId="0" applyNumberFormat="1" applyFont="1" applyFill="1" applyBorder="1" applyAlignment="1">
      <alignment horizontal="center" vertical="center"/>
    </xf>
    <xf numFmtId="2" fontId="1934" fillId="8" borderId="1" xfId="0" applyNumberFormat="1" applyFont="1" applyFill="1" applyBorder="1" applyAlignment="1">
      <alignment horizontal="center" vertical="center"/>
    </xf>
    <xf numFmtId="2" fontId="1935" fillId="8" borderId="1" xfId="0" applyNumberFormat="1" applyFont="1" applyFill="1" applyBorder="1" applyAlignment="1">
      <alignment horizontal="center" vertical="center"/>
    </xf>
    <xf numFmtId="2" fontId="1936" fillId="8" borderId="1" xfId="0" applyNumberFormat="1" applyFont="1" applyFill="1" applyBorder="1" applyAlignment="1">
      <alignment horizontal="center" vertical="center"/>
    </xf>
    <xf numFmtId="2" fontId="1937" fillId="8" borderId="1" xfId="0" applyNumberFormat="1" applyFont="1" applyFill="1" applyBorder="1" applyAlignment="1">
      <alignment horizontal="center" vertical="center"/>
    </xf>
    <xf numFmtId="2" fontId="1938" fillId="8" borderId="1" xfId="0" applyNumberFormat="1" applyFont="1" applyFill="1" applyBorder="1" applyAlignment="1">
      <alignment horizontal="center" vertical="center"/>
    </xf>
    <xf numFmtId="2" fontId="1939" fillId="8" borderId="1" xfId="0" applyNumberFormat="1" applyFont="1" applyFill="1" applyBorder="1" applyAlignment="1">
      <alignment horizontal="center" vertical="center"/>
    </xf>
    <xf numFmtId="2" fontId="1940" fillId="8" borderId="1" xfId="0" applyNumberFormat="1" applyFont="1" applyFill="1" applyBorder="1" applyAlignment="1">
      <alignment horizontal="center" vertical="center"/>
    </xf>
    <xf numFmtId="2" fontId="1941" fillId="8" borderId="1" xfId="0" applyNumberFormat="1" applyFont="1" applyFill="1" applyBorder="1" applyAlignment="1">
      <alignment horizontal="center" vertical="center"/>
    </xf>
    <xf numFmtId="2" fontId="1942" fillId="8" borderId="1" xfId="0" applyNumberFormat="1" applyFont="1" applyFill="1" applyBorder="1" applyAlignment="1">
      <alignment horizontal="center" vertical="center"/>
    </xf>
    <xf numFmtId="2" fontId="1943" fillId="8" borderId="1" xfId="0" applyNumberFormat="1" applyFont="1" applyFill="1" applyBorder="1" applyAlignment="1">
      <alignment horizontal="center" vertical="center"/>
    </xf>
    <xf numFmtId="2" fontId="1944" fillId="8" borderId="1" xfId="0" applyNumberFormat="1" applyFont="1" applyFill="1" applyBorder="1" applyAlignment="1">
      <alignment horizontal="center" vertical="center"/>
    </xf>
    <xf numFmtId="2" fontId="1945" fillId="8" borderId="1" xfId="0" applyNumberFormat="1" applyFont="1" applyFill="1" applyBorder="1" applyAlignment="1">
      <alignment horizontal="center" vertical="center"/>
    </xf>
    <xf numFmtId="2" fontId="1946" fillId="8" borderId="1" xfId="0" applyNumberFormat="1" applyFont="1" applyFill="1" applyBorder="1" applyAlignment="1">
      <alignment horizontal="center" vertical="center"/>
    </xf>
    <xf numFmtId="2" fontId="1947" fillId="8" borderId="1" xfId="0" applyNumberFormat="1" applyFont="1" applyFill="1" applyBorder="1" applyAlignment="1">
      <alignment horizontal="center" vertical="center"/>
    </xf>
    <xf numFmtId="2" fontId="1948" fillId="8" borderId="1" xfId="0" applyNumberFormat="1" applyFont="1" applyFill="1" applyBorder="1" applyAlignment="1">
      <alignment horizontal="center" vertical="center"/>
    </xf>
    <xf numFmtId="2" fontId="1949" fillId="8" borderId="1" xfId="0" applyNumberFormat="1" applyFont="1" applyFill="1" applyBorder="1" applyAlignment="1">
      <alignment horizontal="center" vertical="center"/>
    </xf>
    <xf numFmtId="2" fontId="1950" fillId="8" borderId="1" xfId="0" applyNumberFormat="1" applyFont="1" applyFill="1" applyBorder="1" applyAlignment="1">
      <alignment horizontal="center" vertical="center"/>
    </xf>
    <xf numFmtId="0" fontId="1951" fillId="7" borderId="1" xfId="0" applyNumberFormat="1" applyFont="1" applyFill="1" applyBorder="1" applyAlignment="1">
      <alignment horizontal="left" vertical="center"/>
    </xf>
    <xf numFmtId="0" fontId="1952" fillId="8" borderId="1" xfId="0" applyNumberFormat="1" applyFont="1" applyFill="1" applyBorder="1" applyAlignment="1">
      <alignment horizontal="center" vertical="center"/>
    </xf>
    <xf numFmtId="164" fontId="1953" fillId="8" borderId="1" xfId="0" applyNumberFormat="1" applyFont="1" applyFill="1" applyBorder="1" applyAlignment="1">
      <alignment horizontal="center" vertical="center"/>
    </xf>
    <xf numFmtId="1" fontId="1954" fillId="8" borderId="1" xfId="0" applyNumberFormat="1" applyFont="1" applyFill="1" applyBorder="1" applyAlignment="1">
      <alignment horizontal="center" vertical="center"/>
    </xf>
    <xf numFmtId="1" fontId="1955" fillId="8" borderId="1" xfId="0" applyNumberFormat="1" applyFont="1" applyFill="1" applyBorder="1" applyAlignment="1">
      <alignment horizontal="center" vertical="center"/>
    </xf>
    <xf numFmtId="1" fontId="1956" fillId="8" borderId="1" xfId="0" applyNumberFormat="1" applyFont="1" applyFill="1" applyBorder="1" applyAlignment="1">
      <alignment horizontal="center" vertical="center"/>
    </xf>
    <xf numFmtId="1" fontId="1957" fillId="8" borderId="1" xfId="0" applyNumberFormat="1" applyFont="1" applyFill="1" applyBorder="1" applyAlignment="1">
      <alignment horizontal="center" vertical="center"/>
    </xf>
    <xf numFmtId="1" fontId="1958" fillId="8" borderId="1" xfId="0" applyNumberFormat="1" applyFont="1" applyFill="1" applyBorder="1" applyAlignment="1">
      <alignment horizontal="center" vertical="center"/>
    </xf>
    <xf numFmtId="1" fontId="1959" fillId="8" borderId="1" xfId="0" applyNumberFormat="1" applyFont="1" applyFill="1" applyBorder="1" applyAlignment="1">
      <alignment horizontal="center" vertical="center"/>
    </xf>
    <xf numFmtId="1" fontId="1960" fillId="8" borderId="1" xfId="0" applyNumberFormat="1" applyFont="1" applyFill="1" applyBorder="1" applyAlignment="1">
      <alignment horizontal="center" vertical="center"/>
    </xf>
    <xf numFmtId="0" fontId="1961" fillId="8" borderId="1" xfId="0" applyNumberFormat="1" applyFont="1" applyFill="1" applyBorder="1" applyAlignment="1">
      <alignment horizontal="center" vertical="center"/>
    </xf>
    <xf numFmtId="0" fontId="1962" fillId="8" borderId="1" xfId="0" applyNumberFormat="1" applyFont="1" applyFill="1" applyBorder="1" applyAlignment="1">
      <alignment horizontal="center" vertical="center"/>
    </xf>
    <xf numFmtId="1" fontId="1963" fillId="8" borderId="1" xfId="0" applyNumberFormat="1" applyFont="1" applyFill="1" applyBorder="1" applyAlignment="1">
      <alignment horizontal="center" vertical="center"/>
    </xf>
    <xf numFmtId="1" fontId="1964" fillId="8" borderId="1" xfId="0" applyNumberFormat="1" applyFont="1" applyFill="1" applyBorder="1" applyAlignment="1">
      <alignment horizontal="center" vertical="center"/>
    </xf>
    <xf numFmtId="1" fontId="1965" fillId="8" borderId="1" xfId="0" applyNumberFormat="1" applyFont="1" applyFill="1" applyBorder="1" applyAlignment="1">
      <alignment horizontal="center" vertical="center"/>
    </xf>
    <xf numFmtId="165" fontId="1966" fillId="8" borderId="1" xfId="0" applyNumberFormat="1" applyFont="1" applyFill="1" applyBorder="1" applyAlignment="1">
      <alignment horizontal="center" vertical="center"/>
    </xf>
    <xf numFmtId="1" fontId="1967" fillId="8" borderId="1" xfId="0" applyNumberFormat="1" applyFont="1" applyFill="1" applyBorder="1" applyAlignment="1">
      <alignment horizontal="center" vertical="center"/>
    </xf>
    <xf numFmtId="165" fontId="1968" fillId="8" borderId="1" xfId="0" applyNumberFormat="1" applyFont="1" applyFill="1" applyBorder="1" applyAlignment="1">
      <alignment horizontal="center" vertical="center"/>
    </xf>
    <xf numFmtId="1" fontId="1969" fillId="8" borderId="1" xfId="0" applyNumberFormat="1" applyFont="1" applyFill="1" applyBorder="1" applyAlignment="1">
      <alignment horizontal="center" vertical="center"/>
    </xf>
    <xf numFmtId="165" fontId="1970" fillId="8" borderId="1" xfId="0" applyNumberFormat="1" applyFont="1" applyFill="1" applyBorder="1" applyAlignment="1">
      <alignment horizontal="center" vertical="center"/>
    </xf>
    <xf numFmtId="1" fontId="1971" fillId="8" borderId="1" xfId="0" applyNumberFormat="1" applyFont="1" applyFill="1" applyBorder="1" applyAlignment="1">
      <alignment horizontal="center" vertical="center"/>
    </xf>
    <xf numFmtId="165" fontId="1972" fillId="8" borderId="1" xfId="0" applyNumberFormat="1" applyFont="1" applyFill="1" applyBorder="1" applyAlignment="1">
      <alignment horizontal="center" vertical="center"/>
    </xf>
    <xf numFmtId="165" fontId="1973" fillId="8" borderId="1" xfId="0" applyNumberFormat="1" applyFont="1" applyFill="1" applyBorder="1" applyAlignment="1">
      <alignment horizontal="center" vertical="center"/>
    </xf>
    <xf numFmtId="1" fontId="1974" fillId="8" borderId="1" xfId="0" applyNumberFormat="1" applyFont="1" applyFill="1" applyBorder="1" applyAlignment="1">
      <alignment horizontal="center" vertical="center"/>
    </xf>
    <xf numFmtId="1" fontId="1975" fillId="8" borderId="1" xfId="0" applyNumberFormat="1" applyFont="1" applyFill="1" applyBorder="1" applyAlignment="1">
      <alignment horizontal="center" vertical="center"/>
    </xf>
    <xf numFmtId="1" fontId="1976" fillId="8" borderId="1" xfId="0" applyNumberFormat="1" applyFont="1" applyFill="1" applyBorder="1" applyAlignment="1">
      <alignment horizontal="center" vertical="center"/>
    </xf>
    <xf numFmtId="165" fontId="1977" fillId="8" borderId="1" xfId="0" applyNumberFormat="1" applyFont="1" applyFill="1" applyBorder="1" applyAlignment="1">
      <alignment horizontal="center" vertical="center"/>
    </xf>
    <xf numFmtId="164" fontId="1978" fillId="8" borderId="1" xfId="0" applyNumberFormat="1" applyFont="1" applyFill="1" applyBorder="1" applyAlignment="1">
      <alignment horizontal="center" vertical="center"/>
    </xf>
    <xf numFmtId="164" fontId="1979" fillId="8" borderId="1" xfId="0" applyNumberFormat="1" applyFont="1" applyFill="1" applyBorder="1" applyAlignment="1">
      <alignment horizontal="center" vertical="center"/>
    </xf>
    <xf numFmtId="1" fontId="1980" fillId="8" borderId="1" xfId="0" applyNumberFormat="1" applyFont="1" applyFill="1" applyBorder="1" applyAlignment="1">
      <alignment horizontal="center" vertical="center"/>
    </xf>
    <xf numFmtId="1" fontId="1981" fillId="8" borderId="1" xfId="0" applyNumberFormat="1" applyFont="1" applyFill="1" applyBorder="1" applyAlignment="1">
      <alignment horizontal="center" vertical="center"/>
    </xf>
    <xf numFmtId="1" fontId="1982" fillId="8" borderId="1" xfId="0" applyNumberFormat="1" applyFont="1" applyFill="1" applyBorder="1" applyAlignment="1">
      <alignment horizontal="center" vertical="center"/>
    </xf>
    <xf numFmtId="165" fontId="1983" fillId="8" borderId="1" xfId="0" applyNumberFormat="1" applyFont="1" applyFill="1" applyBorder="1" applyAlignment="1">
      <alignment horizontal="center" vertical="center"/>
    </xf>
    <xf numFmtId="1" fontId="1984" fillId="8" borderId="1" xfId="0" applyNumberFormat="1" applyFont="1" applyFill="1" applyBorder="1" applyAlignment="1">
      <alignment horizontal="center" vertical="center"/>
    </xf>
    <xf numFmtId="165" fontId="1985" fillId="8" borderId="1" xfId="0" applyNumberFormat="1" applyFont="1" applyFill="1" applyBorder="1" applyAlignment="1">
      <alignment horizontal="center" vertical="center"/>
    </xf>
    <xf numFmtId="1" fontId="1986" fillId="8" borderId="1" xfId="0" applyNumberFormat="1" applyFont="1" applyFill="1" applyBorder="1" applyAlignment="1">
      <alignment horizontal="center" vertical="center"/>
    </xf>
    <xf numFmtId="1" fontId="1987" fillId="8" borderId="1" xfId="0" applyNumberFormat="1" applyFont="1" applyFill="1" applyBorder="1" applyAlignment="1">
      <alignment horizontal="center" vertical="center"/>
    </xf>
    <xf numFmtId="1" fontId="1988" fillId="8" borderId="1" xfId="0" applyNumberFormat="1" applyFont="1" applyFill="1" applyBorder="1" applyAlignment="1">
      <alignment horizontal="center" vertical="center"/>
    </xf>
    <xf numFmtId="1" fontId="1989" fillId="8" borderId="1" xfId="0" applyNumberFormat="1" applyFont="1" applyFill="1" applyBorder="1" applyAlignment="1">
      <alignment horizontal="center" vertical="center"/>
    </xf>
    <xf numFmtId="165" fontId="1990" fillId="8" borderId="1" xfId="0" applyNumberFormat="1" applyFont="1" applyFill="1" applyBorder="1" applyAlignment="1">
      <alignment horizontal="center" vertical="center"/>
    </xf>
    <xf numFmtId="1" fontId="1991" fillId="8" borderId="1" xfId="0" applyNumberFormat="1" applyFont="1" applyFill="1" applyBorder="1" applyAlignment="1">
      <alignment horizontal="center" vertical="center"/>
    </xf>
    <xf numFmtId="165" fontId="1992" fillId="8" borderId="1" xfId="0" applyNumberFormat="1" applyFont="1" applyFill="1" applyBorder="1" applyAlignment="1">
      <alignment horizontal="center" vertical="center"/>
    </xf>
    <xf numFmtId="1" fontId="1993" fillId="8" borderId="1" xfId="0" applyNumberFormat="1" applyFont="1" applyFill="1" applyBorder="1" applyAlignment="1">
      <alignment horizontal="center" vertical="center"/>
    </xf>
    <xf numFmtId="165" fontId="1994" fillId="8" borderId="1" xfId="0" applyNumberFormat="1" applyFont="1" applyFill="1" applyBorder="1" applyAlignment="1">
      <alignment horizontal="center" vertical="center"/>
    </xf>
    <xf numFmtId="2" fontId="1995" fillId="8" borderId="1" xfId="0" applyNumberFormat="1" applyFont="1" applyFill="1" applyBorder="1" applyAlignment="1">
      <alignment horizontal="center" vertical="center"/>
    </xf>
    <xf numFmtId="2" fontId="1996" fillId="8" borderId="1" xfId="0" applyNumberFormat="1" applyFont="1" applyFill="1" applyBorder="1" applyAlignment="1">
      <alignment horizontal="center" vertical="center"/>
    </xf>
    <xf numFmtId="2" fontId="1997" fillId="8" borderId="1" xfId="0" applyNumberFormat="1" applyFont="1" applyFill="1" applyBorder="1" applyAlignment="1">
      <alignment horizontal="center" vertical="center"/>
    </xf>
    <xf numFmtId="2" fontId="1998" fillId="8" borderId="1" xfId="0" applyNumberFormat="1" applyFont="1" applyFill="1" applyBorder="1" applyAlignment="1">
      <alignment horizontal="center" vertical="center"/>
    </xf>
    <xf numFmtId="2" fontId="1999" fillId="8" borderId="1" xfId="0" applyNumberFormat="1" applyFont="1" applyFill="1" applyBorder="1" applyAlignment="1">
      <alignment horizontal="center" vertical="center"/>
    </xf>
    <xf numFmtId="2" fontId="2000" fillId="8" borderId="1" xfId="0" applyNumberFormat="1" applyFont="1" applyFill="1" applyBorder="1" applyAlignment="1">
      <alignment horizontal="center" vertical="center"/>
    </xf>
    <xf numFmtId="2" fontId="2001" fillId="8" borderId="1" xfId="0" applyNumberFormat="1" applyFont="1" applyFill="1" applyBorder="1" applyAlignment="1">
      <alignment horizontal="center" vertical="center"/>
    </xf>
    <xf numFmtId="2" fontId="2002" fillId="8" borderId="1" xfId="0" applyNumberFormat="1" applyFont="1" applyFill="1" applyBorder="1" applyAlignment="1">
      <alignment horizontal="center" vertical="center"/>
    </xf>
    <xf numFmtId="2" fontId="2003" fillId="8" borderId="1" xfId="0" applyNumberFormat="1" applyFont="1" applyFill="1" applyBorder="1" applyAlignment="1">
      <alignment horizontal="center" vertical="center"/>
    </xf>
    <xf numFmtId="2" fontId="2004" fillId="8" borderId="1" xfId="0" applyNumberFormat="1" applyFont="1" applyFill="1" applyBorder="1" applyAlignment="1">
      <alignment horizontal="center" vertical="center"/>
    </xf>
    <xf numFmtId="2" fontId="2005" fillId="8" borderId="1" xfId="0" applyNumberFormat="1" applyFont="1" applyFill="1" applyBorder="1" applyAlignment="1">
      <alignment horizontal="center" vertical="center"/>
    </xf>
    <xf numFmtId="2" fontId="2006" fillId="8" borderId="1" xfId="0" applyNumberFormat="1" applyFont="1" applyFill="1" applyBorder="1" applyAlignment="1">
      <alignment horizontal="center" vertical="center"/>
    </xf>
    <xf numFmtId="2" fontId="2007" fillId="8" borderId="1" xfId="0" applyNumberFormat="1" applyFont="1" applyFill="1" applyBorder="1" applyAlignment="1">
      <alignment horizontal="center" vertical="center"/>
    </xf>
    <xf numFmtId="2" fontId="2008" fillId="8" borderId="1" xfId="0" applyNumberFormat="1" applyFont="1" applyFill="1" applyBorder="1" applyAlignment="1">
      <alignment horizontal="center" vertical="center"/>
    </xf>
    <xf numFmtId="2" fontId="2009" fillId="8" borderId="1" xfId="0" applyNumberFormat="1" applyFont="1" applyFill="1" applyBorder="1" applyAlignment="1">
      <alignment horizontal="center" vertical="center"/>
    </xf>
    <xf numFmtId="2" fontId="2010" fillId="8" borderId="1" xfId="0" applyNumberFormat="1" applyFont="1" applyFill="1" applyBorder="1" applyAlignment="1">
      <alignment horizontal="center" vertical="center"/>
    </xf>
    <xf numFmtId="2" fontId="2011" fillId="8" borderId="1" xfId="0" applyNumberFormat="1" applyFont="1" applyFill="1" applyBorder="1" applyAlignment="1">
      <alignment horizontal="center" vertical="center"/>
    </xf>
    <xf numFmtId="2" fontId="2012" fillId="8" borderId="1" xfId="0" applyNumberFormat="1" applyFont="1" applyFill="1" applyBorder="1" applyAlignment="1">
      <alignment horizontal="center" vertical="center"/>
    </xf>
    <xf numFmtId="2" fontId="2013" fillId="8" borderId="1" xfId="0" applyNumberFormat="1" applyFont="1" applyFill="1" applyBorder="1" applyAlignment="1">
      <alignment horizontal="center" vertical="center"/>
    </xf>
    <xf numFmtId="2" fontId="2014" fillId="8" borderId="1" xfId="0" applyNumberFormat="1" applyFont="1" applyFill="1" applyBorder="1" applyAlignment="1">
      <alignment horizontal="center" vertical="center"/>
    </xf>
    <xf numFmtId="2" fontId="2015" fillId="8" borderId="1" xfId="0" applyNumberFormat="1" applyFont="1" applyFill="1" applyBorder="1" applyAlignment="1">
      <alignment horizontal="center" vertical="center"/>
    </xf>
    <xf numFmtId="2" fontId="2016" fillId="8" borderId="1" xfId="0" applyNumberFormat="1" applyFont="1" applyFill="1" applyBorder="1" applyAlignment="1">
      <alignment horizontal="center" vertical="center"/>
    </xf>
    <xf numFmtId="2" fontId="2017" fillId="8" borderId="1" xfId="0" applyNumberFormat="1" applyFont="1" applyFill="1" applyBorder="1" applyAlignment="1">
      <alignment horizontal="center" vertical="center"/>
    </xf>
    <xf numFmtId="2" fontId="2018" fillId="8" borderId="1" xfId="0" applyNumberFormat="1" applyFont="1" applyFill="1" applyBorder="1" applyAlignment="1">
      <alignment horizontal="center" vertical="center"/>
    </xf>
    <xf numFmtId="2" fontId="2019" fillId="8" borderId="1" xfId="0" applyNumberFormat="1" applyFont="1" applyFill="1" applyBorder="1" applyAlignment="1">
      <alignment horizontal="center" vertical="center"/>
    </xf>
    <xf numFmtId="2" fontId="2020" fillId="8" borderId="1" xfId="0" applyNumberFormat="1" applyFont="1" applyFill="1" applyBorder="1" applyAlignment="1">
      <alignment horizontal="center" vertical="center"/>
    </xf>
    <xf numFmtId="2" fontId="2021" fillId="8" borderId="1" xfId="0" applyNumberFormat="1" applyFont="1" applyFill="1" applyBorder="1" applyAlignment="1">
      <alignment horizontal="center" vertical="center"/>
    </xf>
    <xf numFmtId="2" fontId="2022" fillId="8" borderId="1" xfId="0" applyNumberFormat="1" applyFont="1" applyFill="1" applyBorder="1" applyAlignment="1">
      <alignment horizontal="center" vertical="center"/>
    </xf>
    <xf numFmtId="2" fontId="2023" fillId="8" borderId="1" xfId="0" applyNumberFormat="1" applyFont="1" applyFill="1" applyBorder="1" applyAlignment="1">
      <alignment horizontal="center" vertical="center"/>
    </xf>
    <xf numFmtId="2" fontId="2024" fillId="8" borderId="1" xfId="0" applyNumberFormat="1" applyFont="1" applyFill="1" applyBorder="1" applyAlignment="1">
      <alignment horizontal="center" vertical="center"/>
    </xf>
    <xf numFmtId="2" fontId="2025" fillId="8" borderId="1" xfId="0" applyNumberFormat="1" applyFont="1" applyFill="1" applyBorder="1" applyAlignment="1">
      <alignment horizontal="center" vertical="center"/>
    </xf>
    <xf numFmtId="2" fontId="2026" fillId="8" borderId="1" xfId="0" applyNumberFormat="1" applyFont="1" applyFill="1" applyBorder="1" applyAlignment="1">
      <alignment horizontal="center" vertical="center"/>
    </xf>
    <xf numFmtId="2" fontId="2027" fillId="8" borderId="1" xfId="0" applyNumberFormat="1" applyFont="1" applyFill="1" applyBorder="1" applyAlignment="1">
      <alignment horizontal="center" vertical="center"/>
    </xf>
    <xf numFmtId="2" fontId="2028" fillId="8" borderId="1" xfId="0" applyNumberFormat="1" applyFont="1" applyFill="1" applyBorder="1" applyAlignment="1">
      <alignment horizontal="center" vertical="center"/>
    </xf>
    <xf numFmtId="0" fontId="2029" fillId="7" borderId="1" xfId="0" applyNumberFormat="1" applyFont="1" applyFill="1" applyBorder="1" applyAlignment="1">
      <alignment horizontal="left" vertical="center"/>
    </xf>
    <xf numFmtId="0" fontId="2030" fillId="8" borderId="1" xfId="0" applyNumberFormat="1" applyFont="1" applyFill="1" applyBorder="1" applyAlignment="1">
      <alignment horizontal="center" vertical="center"/>
    </xf>
    <xf numFmtId="164" fontId="2031" fillId="8" borderId="1" xfId="0" applyNumberFormat="1" applyFont="1" applyFill="1" applyBorder="1" applyAlignment="1">
      <alignment horizontal="center" vertical="center"/>
    </xf>
    <xf numFmtId="1" fontId="2032" fillId="8" borderId="1" xfId="0" applyNumberFormat="1" applyFont="1" applyFill="1" applyBorder="1" applyAlignment="1">
      <alignment horizontal="center" vertical="center"/>
    </xf>
    <xf numFmtId="1" fontId="2033" fillId="8" borderId="1" xfId="0" applyNumberFormat="1" applyFont="1" applyFill="1" applyBorder="1" applyAlignment="1">
      <alignment horizontal="center" vertical="center"/>
    </xf>
    <xf numFmtId="1" fontId="2034" fillId="8" borderId="1" xfId="0" applyNumberFormat="1" applyFont="1" applyFill="1" applyBorder="1" applyAlignment="1">
      <alignment horizontal="center" vertical="center"/>
    </xf>
    <xf numFmtId="1" fontId="2035" fillId="8" borderId="1" xfId="0" applyNumberFormat="1" applyFont="1" applyFill="1" applyBorder="1" applyAlignment="1">
      <alignment horizontal="center" vertical="center"/>
    </xf>
    <xf numFmtId="1" fontId="2036" fillId="8" borderId="1" xfId="0" applyNumberFormat="1" applyFont="1" applyFill="1" applyBorder="1" applyAlignment="1">
      <alignment horizontal="center" vertical="center"/>
    </xf>
    <xf numFmtId="1" fontId="2037" fillId="8" borderId="1" xfId="0" applyNumberFormat="1" applyFont="1" applyFill="1" applyBorder="1" applyAlignment="1">
      <alignment horizontal="center" vertical="center"/>
    </xf>
    <xf numFmtId="1" fontId="2038" fillId="8" borderId="1" xfId="0" applyNumberFormat="1" applyFont="1" applyFill="1" applyBorder="1" applyAlignment="1">
      <alignment horizontal="center" vertical="center"/>
    </xf>
    <xf numFmtId="0" fontId="2039" fillId="8" borderId="1" xfId="0" applyNumberFormat="1" applyFont="1" applyFill="1" applyBorder="1" applyAlignment="1">
      <alignment horizontal="center" vertical="center"/>
    </xf>
    <xf numFmtId="0" fontId="2040" fillId="8" borderId="1" xfId="0" applyNumberFormat="1" applyFont="1" applyFill="1" applyBorder="1" applyAlignment="1">
      <alignment horizontal="center" vertical="center"/>
    </xf>
    <xf numFmtId="1" fontId="2041" fillId="8" borderId="1" xfId="0" applyNumberFormat="1" applyFont="1" applyFill="1" applyBorder="1" applyAlignment="1">
      <alignment horizontal="center" vertical="center"/>
    </xf>
    <xf numFmtId="1" fontId="2042" fillId="8" borderId="1" xfId="0" applyNumberFormat="1" applyFont="1" applyFill="1" applyBorder="1" applyAlignment="1">
      <alignment horizontal="center" vertical="center"/>
    </xf>
    <xf numFmtId="1" fontId="2043" fillId="8" borderId="1" xfId="0" applyNumberFormat="1" applyFont="1" applyFill="1" applyBorder="1" applyAlignment="1">
      <alignment horizontal="center" vertical="center"/>
    </xf>
    <xf numFmtId="165" fontId="2044" fillId="8" borderId="1" xfId="0" applyNumberFormat="1" applyFont="1" applyFill="1" applyBorder="1" applyAlignment="1">
      <alignment horizontal="center" vertical="center"/>
    </xf>
    <xf numFmtId="1" fontId="2045" fillId="8" borderId="1" xfId="0" applyNumberFormat="1" applyFont="1" applyFill="1" applyBorder="1" applyAlignment="1">
      <alignment horizontal="center" vertical="center"/>
    </xf>
    <xf numFmtId="165" fontId="2046" fillId="8" borderId="1" xfId="0" applyNumberFormat="1" applyFont="1" applyFill="1" applyBorder="1" applyAlignment="1">
      <alignment horizontal="center" vertical="center"/>
    </xf>
    <xf numFmtId="1" fontId="2047" fillId="8" borderId="1" xfId="0" applyNumberFormat="1" applyFont="1" applyFill="1" applyBorder="1" applyAlignment="1">
      <alignment horizontal="center" vertical="center"/>
    </xf>
    <xf numFmtId="165" fontId="2048" fillId="8" borderId="1" xfId="0" applyNumberFormat="1" applyFont="1" applyFill="1" applyBorder="1" applyAlignment="1">
      <alignment horizontal="center" vertical="center"/>
    </xf>
    <xf numFmtId="1" fontId="2049" fillId="8" borderId="1" xfId="0" applyNumberFormat="1" applyFont="1" applyFill="1" applyBorder="1" applyAlignment="1">
      <alignment horizontal="center" vertical="center"/>
    </xf>
    <xf numFmtId="165" fontId="2050" fillId="8" borderId="1" xfId="0" applyNumberFormat="1" applyFont="1" applyFill="1" applyBorder="1" applyAlignment="1">
      <alignment horizontal="center" vertical="center"/>
    </xf>
    <xf numFmtId="165" fontId="2051" fillId="8" borderId="1" xfId="0" applyNumberFormat="1" applyFont="1" applyFill="1" applyBorder="1" applyAlignment="1">
      <alignment horizontal="center" vertical="center"/>
    </xf>
    <xf numFmtId="1" fontId="2052" fillId="8" borderId="1" xfId="0" applyNumberFormat="1" applyFont="1" applyFill="1" applyBorder="1" applyAlignment="1">
      <alignment horizontal="center" vertical="center"/>
    </xf>
    <xf numFmtId="1" fontId="2053" fillId="8" borderId="1" xfId="0" applyNumberFormat="1" applyFont="1" applyFill="1" applyBorder="1" applyAlignment="1">
      <alignment horizontal="center" vertical="center"/>
    </xf>
    <xf numFmtId="1" fontId="2054" fillId="8" borderId="1" xfId="0" applyNumberFormat="1" applyFont="1" applyFill="1" applyBorder="1" applyAlignment="1">
      <alignment horizontal="center" vertical="center"/>
    </xf>
    <xf numFmtId="165" fontId="2055" fillId="8" borderId="1" xfId="0" applyNumberFormat="1" applyFont="1" applyFill="1" applyBorder="1" applyAlignment="1">
      <alignment horizontal="center" vertical="center"/>
    </xf>
    <xf numFmtId="164" fontId="2056" fillId="8" borderId="1" xfId="0" applyNumberFormat="1" applyFont="1" applyFill="1" applyBorder="1" applyAlignment="1">
      <alignment horizontal="center" vertical="center"/>
    </xf>
    <xf numFmtId="164" fontId="2057" fillId="8" borderId="1" xfId="0" applyNumberFormat="1" applyFont="1" applyFill="1" applyBorder="1" applyAlignment="1">
      <alignment horizontal="center" vertical="center"/>
    </xf>
    <xf numFmtId="1" fontId="2058" fillId="8" borderId="1" xfId="0" applyNumberFormat="1" applyFont="1" applyFill="1" applyBorder="1" applyAlignment="1">
      <alignment horizontal="center" vertical="center"/>
    </xf>
    <xf numFmtId="1" fontId="2059" fillId="8" borderId="1" xfId="0" applyNumberFormat="1" applyFont="1" applyFill="1" applyBorder="1" applyAlignment="1">
      <alignment horizontal="center" vertical="center"/>
    </xf>
    <xf numFmtId="1" fontId="2060" fillId="8" borderId="1" xfId="0" applyNumberFormat="1" applyFont="1" applyFill="1" applyBorder="1" applyAlignment="1">
      <alignment horizontal="center" vertical="center"/>
    </xf>
    <xf numFmtId="165" fontId="2061" fillId="8" borderId="1" xfId="0" applyNumberFormat="1" applyFont="1" applyFill="1" applyBorder="1" applyAlignment="1">
      <alignment horizontal="center" vertical="center"/>
    </xf>
    <xf numFmtId="1" fontId="2062" fillId="8" borderId="1" xfId="0" applyNumberFormat="1" applyFont="1" applyFill="1" applyBorder="1" applyAlignment="1">
      <alignment horizontal="center" vertical="center"/>
    </xf>
    <xf numFmtId="165" fontId="2063" fillId="8" borderId="1" xfId="0" applyNumberFormat="1" applyFont="1" applyFill="1" applyBorder="1" applyAlignment="1">
      <alignment horizontal="center" vertical="center"/>
    </xf>
    <xf numFmtId="1" fontId="2064" fillId="8" borderId="1" xfId="0" applyNumberFormat="1" applyFont="1" applyFill="1" applyBorder="1" applyAlignment="1">
      <alignment horizontal="center" vertical="center"/>
    </xf>
    <xf numFmtId="1" fontId="2065" fillId="8" borderId="1" xfId="0" applyNumberFormat="1" applyFont="1" applyFill="1" applyBorder="1" applyAlignment="1">
      <alignment horizontal="center" vertical="center"/>
    </xf>
    <xf numFmtId="1" fontId="2066" fillId="8" borderId="1" xfId="0" applyNumberFormat="1" applyFont="1" applyFill="1" applyBorder="1" applyAlignment="1">
      <alignment horizontal="center" vertical="center"/>
    </xf>
    <xf numFmtId="1" fontId="2067" fillId="8" borderId="1" xfId="0" applyNumberFormat="1" applyFont="1" applyFill="1" applyBorder="1" applyAlignment="1">
      <alignment horizontal="center" vertical="center"/>
    </xf>
    <xf numFmtId="165" fontId="2068" fillId="8" borderId="1" xfId="0" applyNumberFormat="1" applyFont="1" applyFill="1" applyBorder="1" applyAlignment="1">
      <alignment horizontal="center" vertical="center"/>
    </xf>
    <xf numFmtId="1" fontId="2069" fillId="8" borderId="1" xfId="0" applyNumberFormat="1" applyFont="1" applyFill="1" applyBorder="1" applyAlignment="1">
      <alignment horizontal="center" vertical="center"/>
    </xf>
    <xf numFmtId="165" fontId="2070" fillId="8" borderId="1" xfId="0" applyNumberFormat="1" applyFont="1" applyFill="1" applyBorder="1" applyAlignment="1">
      <alignment horizontal="center" vertical="center"/>
    </xf>
    <xf numFmtId="1" fontId="2071" fillId="8" borderId="1" xfId="0" applyNumberFormat="1" applyFont="1" applyFill="1" applyBorder="1" applyAlignment="1">
      <alignment horizontal="center" vertical="center"/>
    </xf>
    <xf numFmtId="165" fontId="2072" fillId="8" borderId="1" xfId="0" applyNumberFormat="1" applyFont="1" applyFill="1" applyBorder="1" applyAlignment="1">
      <alignment horizontal="center" vertical="center"/>
    </xf>
    <xf numFmtId="2" fontId="2073" fillId="8" borderId="1" xfId="0" applyNumberFormat="1" applyFont="1" applyFill="1" applyBorder="1" applyAlignment="1">
      <alignment horizontal="center" vertical="center"/>
    </xf>
    <xf numFmtId="2" fontId="2074" fillId="8" borderId="1" xfId="0" applyNumberFormat="1" applyFont="1" applyFill="1" applyBorder="1" applyAlignment="1">
      <alignment horizontal="center" vertical="center"/>
    </xf>
    <xf numFmtId="2" fontId="2075" fillId="8" borderId="1" xfId="0" applyNumberFormat="1" applyFont="1" applyFill="1" applyBorder="1" applyAlignment="1">
      <alignment horizontal="center" vertical="center"/>
    </xf>
    <xf numFmtId="2" fontId="2076" fillId="8" borderId="1" xfId="0" applyNumberFormat="1" applyFont="1" applyFill="1" applyBorder="1" applyAlignment="1">
      <alignment horizontal="center" vertical="center"/>
    </xf>
    <xf numFmtId="2" fontId="2077" fillId="8" borderId="1" xfId="0" applyNumberFormat="1" applyFont="1" applyFill="1" applyBorder="1" applyAlignment="1">
      <alignment horizontal="center" vertical="center"/>
    </xf>
    <xf numFmtId="2" fontId="2078" fillId="8" borderId="1" xfId="0" applyNumberFormat="1" applyFont="1" applyFill="1" applyBorder="1" applyAlignment="1">
      <alignment horizontal="center" vertical="center"/>
    </xf>
    <xf numFmtId="2" fontId="2079" fillId="8" borderId="1" xfId="0" applyNumberFormat="1" applyFont="1" applyFill="1" applyBorder="1" applyAlignment="1">
      <alignment horizontal="center" vertical="center"/>
    </xf>
    <xf numFmtId="2" fontId="2080" fillId="8" borderId="1" xfId="0" applyNumberFormat="1" applyFont="1" applyFill="1" applyBorder="1" applyAlignment="1">
      <alignment horizontal="center" vertical="center"/>
    </xf>
    <xf numFmtId="2" fontId="2081" fillId="8" borderId="1" xfId="0" applyNumberFormat="1" applyFont="1" applyFill="1" applyBorder="1" applyAlignment="1">
      <alignment horizontal="center" vertical="center"/>
    </xf>
    <xf numFmtId="2" fontId="2082" fillId="8" borderId="1" xfId="0" applyNumberFormat="1" applyFont="1" applyFill="1" applyBorder="1" applyAlignment="1">
      <alignment horizontal="center" vertical="center"/>
    </xf>
    <xf numFmtId="2" fontId="2083" fillId="8" borderId="1" xfId="0" applyNumberFormat="1" applyFont="1" applyFill="1" applyBorder="1" applyAlignment="1">
      <alignment horizontal="center" vertical="center"/>
    </xf>
    <xf numFmtId="2" fontId="2084" fillId="8" borderId="1" xfId="0" applyNumberFormat="1" applyFont="1" applyFill="1" applyBorder="1" applyAlignment="1">
      <alignment horizontal="center" vertical="center"/>
    </xf>
    <xf numFmtId="2" fontId="2085" fillId="8" borderId="1" xfId="0" applyNumberFormat="1" applyFont="1" applyFill="1" applyBorder="1" applyAlignment="1">
      <alignment horizontal="center" vertical="center"/>
    </xf>
    <xf numFmtId="2" fontId="2086" fillId="8" borderId="1" xfId="0" applyNumberFormat="1" applyFont="1" applyFill="1" applyBorder="1" applyAlignment="1">
      <alignment horizontal="center" vertical="center"/>
    </xf>
    <xf numFmtId="2" fontId="2087" fillId="8" borderId="1" xfId="0" applyNumberFormat="1" applyFont="1" applyFill="1" applyBorder="1" applyAlignment="1">
      <alignment horizontal="center" vertical="center"/>
    </xf>
    <xf numFmtId="2" fontId="2088" fillId="8" borderId="1" xfId="0" applyNumberFormat="1" applyFont="1" applyFill="1" applyBorder="1" applyAlignment="1">
      <alignment horizontal="center" vertical="center"/>
    </xf>
    <xf numFmtId="2" fontId="2089" fillId="8" borderId="1" xfId="0" applyNumberFormat="1" applyFont="1" applyFill="1" applyBorder="1" applyAlignment="1">
      <alignment horizontal="center" vertical="center"/>
    </xf>
    <xf numFmtId="2" fontId="2090" fillId="8" borderId="1" xfId="0" applyNumberFormat="1" applyFont="1" applyFill="1" applyBorder="1" applyAlignment="1">
      <alignment horizontal="center" vertical="center"/>
    </xf>
    <xf numFmtId="2" fontId="2091" fillId="8" borderId="1" xfId="0" applyNumberFormat="1" applyFont="1" applyFill="1" applyBorder="1" applyAlignment="1">
      <alignment horizontal="center" vertical="center"/>
    </xf>
    <xf numFmtId="2" fontId="2092" fillId="8" borderId="1" xfId="0" applyNumberFormat="1" applyFont="1" applyFill="1" applyBorder="1" applyAlignment="1">
      <alignment horizontal="center" vertical="center"/>
    </xf>
    <xf numFmtId="2" fontId="2093" fillId="8" borderId="1" xfId="0" applyNumberFormat="1" applyFont="1" applyFill="1" applyBorder="1" applyAlignment="1">
      <alignment horizontal="center" vertical="center"/>
    </xf>
    <xf numFmtId="2" fontId="2094" fillId="8" borderId="1" xfId="0" applyNumberFormat="1" applyFont="1" applyFill="1" applyBorder="1" applyAlignment="1">
      <alignment horizontal="center" vertical="center"/>
    </xf>
    <xf numFmtId="2" fontId="2095" fillId="8" borderId="1" xfId="0" applyNumberFormat="1" applyFont="1" applyFill="1" applyBorder="1" applyAlignment="1">
      <alignment horizontal="center" vertical="center"/>
    </xf>
    <xf numFmtId="2" fontId="2096" fillId="8" borderId="1" xfId="0" applyNumberFormat="1" applyFont="1" applyFill="1" applyBorder="1" applyAlignment="1">
      <alignment horizontal="center" vertical="center"/>
    </xf>
    <xf numFmtId="2" fontId="2097" fillId="8" borderId="1" xfId="0" applyNumberFormat="1" applyFont="1" applyFill="1" applyBorder="1" applyAlignment="1">
      <alignment horizontal="center" vertical="center"/>
    </xf>
    <xf numFmtId="2" fontId="2098" fillId="8" borderId="1" xfId="0" applyNumberFormat="1" applyFont="1" applyFill="1" applyBorder="1" applyAlignment="1">
      <alignment horizontal="center" vertical="center"/>
    </xf>
    <xf numFmtId="2" fontId="2099" fillId="8" borderId="1" xfId="0" applyNumberFormat="1" applyFont="1" applyFill="1" applyBorder="1" applyAlignment="1">
      <alignment horizontal="center" vertical="center"/>
    </xf>
    <xf numFmtId="2" fontId="2100" fillId="8" borderId="1" xfId="0" applyNumberFormat="1" applyFont="1" applyFill="1" applyBorder="1" applyAlignment="1">
      <alignment horizontal="center" vertical="center"/>
    </xf>
    <xf numFmtId="2" fontId="2101" fillId="8" borderId="1" xfId="0" applyNumberFormat="1" applyFont="1" applyFill="1" applyBorder="1" applyAlignment="1">
      <alignment horizontal="center" vertical="center"/>
    </xf>
    <xf numFmtId="2" fontId="2102" fillId="8" borderId="1" xfId="0" applyNumberFormat="1" applyFont="1" applyFill="1" applyBorder="1" applyAlignment="1">
      <alignment horizontal="center" vertical="center"/>
    </xf>
    <xf numFmtId="2" fontId="2103" fillId="8" borderId="1" xfId="0" applyNumberFormat="1" applyFont="1" applyFill="1" applyBorder="1" applyAlignment="1">
      <alignment horizontal="center" vertical="center"/>
    </xf>
    <xf numFmtId="2" fontId="2104" fillId="8" borderId="1" xfId="0" applyNumberFormat="1" applyFont="1" applyFill="1" applyBorder="1" applyAlignment="1">
      <alignment horizontal="center" vertical="center"/>
    </xf>
    <xf numFmtId="2" fontId="2105" fillId="8" borderId="1" xfId="0" applyNumberFormat="1" applyFont="1" applyFill="1" applyBorder="1" applyAlignment="1">
      <alignment horizontal="center" vertical="center"/>
    </xf>
    <xf numFmtId="2" fontId="2106" fillId="8" borderId="1" xfId="0" applyNumberFormat="1" applyFont="1" applyFill="1" applyBorder="1" applyAlignment="1">
      <alignment horizontal="center" vertical="center"/>
    </xf>
    <xf numFmtId="0" fontId="2107" fillId="7" borderId="1" xfId="0" applyNumberFormat="1" applyFont="1" applyFill="1" applyBorder="1" applyAlignment="1">
      <alignment horizontal="left" vertical="center"/>
    </xf>
    <xf numFmtId="0" fontId="2108" fillId="8" borderId="1" xfId="0" applyNumberFormat="1" applyFont="1" applyFill="1" applyBorder="1" applyAlignment="1">
      <alignment horizontal="center" vertical="center"/>
    </xf>
    <xf numFmtId="164" fontId="2109" fillId="8" borderId="1" xfId="0" applyNumberFormat="1" applyFont="1" applyFill="1" applyBorder="1" applyAlignment="1">
      <alignment horizontal="center" vertical="center"/>
    </xf>
    <xf numFmtId="1" fontId="2110" fillId="8" borderId="1" xfId="0" applyNumberFormat="1" applyFont="1" applyFill="1" applyBorder="1" applyAlignment="1">
      <alignment horizontal="center" vertical="center"/>
    </xf>
    <xf numFmtId="1" fontId="2111" fillId="8" borderId="1" xfId="0" applyNumberFormat="1" applyFont="1" applyFill="1" applyBorder="1" applyAlignment="1">
      <alignment horizontal="center" vertical="center"/>
    </xf>
    <xf numFmtId="1" fontId="2112" fillId="8" borderId="1" xfId="0" applyNumberFormat="1" applyFont="1" applyFill="1" applyBorder="1" applyAlignment="1">
      <alignment horizontal="center" vertical="center"/>
    </xf>
    <xf numFmtId="1" fontId="2113" fillId="8" borderId="1" xfId="0" applyNumberFormat="1" applyFont="1" applyFill="1" applyBorder="1" applyAlignment="1">
      <alignment horizontal="center" vertical="center"/>
    </xf>
    <xf numFmtId="1" fontId="2114" fillId="8" borderId="1" xfId="0" applyNumberFormat="1" applyFont="1" applyFill="1" applyBorder="1" applyAlignment="1">
      <alignment horizontal="center" vertical="center"/>
    </xf>
    <xf numFmtId="1" fontId="2115" fillId="8" borderId="1" xfId="0" applyNumberFormat="1" applyFont="1" applyFill="1" applyBorder="1" applyAlignment="1">
      <alignment horizontal="center" vertical="center"/>
    </xf>
    <xf numFmtId="1" fontId="2116" fillId="8" borderId="1" xfId="0" applyNumberFormat="1" applyFont="1" applyFill="1" applyBorder="1" applyAlignment="1">
      <alignment horizontal="center" vertical="center"/>
    </xf>
    <xf numFmtId="0" fontId="2117" fillId="8" borderId="1" xfId="0" applyNumberFormat="1" applyFont="1" applyFill="1" applyBorder="1" applyAlignment="1">
      <alignment horizontal="center" vertical="center"/>
    </xf>
    <xf numFmtId="0" fontId="2118" fillId="8" borderId="1" xfId="0" applyNumberFormat="1" applyFont="1" applyFill="1" applyBorder="1" applyAlignment="1">
      <alignment horizontal="center" vertical="center"/>
    </xf>
    <xf numFmtId="1" fontId="2119" fillId="8" borderId="1" xfId="0" applyNumberFormat="1" applyFont="1" applyFill="1" applyBorder="1" applyAlignment="1">
      <alignment horizontal="center" vertical="center"/>
    </xf>
    <xf numFmtId="1" fontId="2120" fillId="8" borderId="1" xfId="0" applyNumberFormat="1" applyFont="1" applyFill="1" applyBorder="1" applyAlignment="1">
      <alignment horizontal="center" vertical="center"/>
    </xf>
    <xf numFmtId="1" fontId="2121" fillId="8" borderId="1" xfId="0" applyNumberFormat="1" applyFont="1" applyFill="1" applyBorder="1" applyAlignment="1">
      <alignment horizontal="center" vertical="center"/>
    </xf>
    <xf numFmtId="165" fontId="2122" fillId="8" borderId="1" xfId="0" applyNumberFormat="1" applyFont="1" applyFill="1" applyBorder="1" applyAlignment="1">
      <alignment horizontal="center" vertical="center"/>
    </xf>
    <xf numFmtId="1" fontId="2123" fillId="8" borderId="1" xfId="0" applyNumberFormat="1" applyFont="1" applyFill="1" applyBorder="1" applyAlignment="1">
      <alignment horizontal="center" vertical="center"/>
    </xf>
    <xf numFmtId="165" fontId="2124" fillId="8" borderId="1" xfId="0" applyNumberFormat="1" applyFont="1" applyFill="1" applyBorder="1" applyAlignment="1">
      <alignment horizontal="center" vertical="center"/>
    </xf>
    <xf numFmtId="1" fontId="2125" fillId="8" borderId="1" xfId="0" applyNumberFormat="1" applyFont="1" applyFill="1" applyBorder="1" applyAlignment="1">
      <alignment horizontal="center" vertical="center"/>
    </xf>
    <xf numFmtId="165" fontId="2126" fillId="8" borderId="1" xfId="0" applyNumberFormat="1" applyFont="1" applyFill="1" applyBorder="1" applyAlignment="1">
      <alignment horizontal="center" vertical="center"/>
    </xf>
    <xf numFmtId="1" fontId="2127" fillId="8" borderId="1" xfId="0" applyNumberFormat="1" applyFont="1" applyFill="1" applyBorder="1" applyAlignment="1">
      <alignment horizontal="center" vertical="center"/>
    </xf>
    <xf numFmtId="165" fontId="2128" fillId="8" borderId="1" xfId="0" applyNumberFormat="1" applyFont="1" applyFill="1" applyBorder="1" applyAlignment="1">
      <alignment horizontal="center" vertical="center"/>
    </xf>
    <xf numFmtId="165" fontId="2129" fillId="8" borderId="1" xfId="0" applyNumberFormat="1" applyFont="1" applyFill="1" applyBorder="1" applyAlignment="1">
      <alignment horizontal="center" vertical="center"/>
    </xf>
    <xf numFmtId="1" fontId="2130" fillId="8" borderId="1" xfId="0" applyNumberFormat="1" applyFont="1" applyFill="1" applyBorder="1" applyAlignment="1">
      <alignment horizontal="center" vertical="center"/>
    </xf>
    <xf numFmtId="1" fontId="2131" fillId="8" borderId="1" xfId="0" applyNumberFormat="1" applyFont="1" applyFill="1" applyBorder="1" applyAlignment="1">
      <alignment horizontal="center" vertical="center"/>
    </xf>
    <xf numFmtId="1" fontId="2132" fillId="8" borderId="1" xfId="0" applyNumberFormat="1" applyFont="1" applyFill="1" applyBorder="1" applyAlignment="1">
      <alignment horizontal="center" vertical="center"/>
    </xf>
    <xf numFmtId="165" fontId="2133" fillId="8" borderId="1" xfId="0" applyNumberFormat="1" applyFont="1" applyFill="1" applyBorder="1" applyAlignment="1">
      <alignment horizontal="center" vertical="center"/>
    </xf>
    <xf numFmtId="164" fontId="2134" fillId="8" borderId="1" xfId="0" applyNumberFormat="1" applyFont="1" applyFill="1" applyBorder="1" applyAlignment="1">
      <alignment horizontal="center" vertical="center"/>
    </xf>
    <xf numFmtId="164" fontId="2135" fillId="8" borderId="1" xfId="0" applyNumberFormat="1" applyFont="1" applyFill="1" applyBorder="1" applyAlignment="1">
      <alignment horizontal="center" vertical="center"/>
    </xf>
    <xf numFmtId="1" fontId="2136" fillId="8" borderId="1" xfId="0" applyNumberFormat="1" applyFont="1" applyFill="1" applyBorder="1" applyAlignment="1">
      <alignment horizontal="center" vertical="center"/>
    </xf>
    <xf numFmtId="1" fontId="2137" fillId="8" borderId="1" xfId="0" applyNumberFormat="1" applyFont="1" applyFill="1" applyBorder="1" applyAlignment="1">
      <alignment horizontal="center" vertical="center"/>
    </xf>
    <xf numFmtId="1" fontId="2138" fillId="8" borderId="1" xfId="0" applyNumberFormat="1" applyFont="1" applyFill="1" applyBorder="1" applyAlignment="1">
      <alignment horizontal="center" vertical="center"/>
    </xf>
    <xf numFmtId="165" fontId="2139" fillId="8" borderId="1" xfId="0" applyNumberFormat="1" applyFont="1" applyFill="1" applyBorder="1" applyAlignment="1">
      <alignment horizontal="center" vertical="center"/>
    </xf>
    <xf numFmtId="1" fontId="2140" fillId="8" borderId="1" xfId="0" applyNumberFormat="1" applyFont="1" applyFill="1" applyBorder="1" applyAlignment="1">
      <alignment horizontal="center" vertical="center"/>
    </xf>
    <xf numFmtId="165" fontId="2141" fillId="8" borderId="1" xfId="0" applyNumberFormat="1" applyFont="1" applyFill="1" applyBorder="1" applyAlignment="1">
      <alignment horizontal="center" vertical="center"/>
    </xf>
    <xf numFmtId="1" fontId="2142" fillId="8" borderId="1" xfId="0" applyNumberFormat="1" applyFont="1" applyFill="1" applyBorder="1" applyAlignment="1">
      <alignment horizontal="center" vertical="center"/>
    </xf>
    <xf numFmtId="1" fontId="2143" fillId="8" borderId="1" xfId="0" applyNumberFormat="1" applyFont="1" applyFill="1" applyBorder="1" applyAlignment="1">
      <alignment horizontal="center" vertical="center"/>
    </xf>
    <xf numFmtId="1" fontId="2144" fillId="8" borderId="1" xfId="0" applyNumberFormat="1" applyFont="1" applyFill="1" applyBorder="1" applyAlignment="1">
      <alignment horizontal="center" vertical="center"/>
    </xf>
    <xf numFmtId="1" fontId="2145" fillId="8" borderId="1" xfId="0" applyNumberFormat="1" applyFont="1" applyFill="1" applyBorder="1" applyAlignment="1">
      <alignment horizontal="center" vertical="center"/>
    </xf>
    <xf numFmtId="165" fontId="2146" fillId="8" borderId="1" xfId="0" applyNumberFormat="1" applyFont="1" applyFill="1" applyBorder="1" applyAlignment="1">
      <alignment horizontal="center" vertical="center"/>
    </xf>
    <xf numFmtId="1" fontId="2147" fillId="8" borderId="1" xfId="0" applyNumberFormat="1" applyFont="1" applyFill="1" applyBorder="1" applyAlignment="1">
      <alignment horizontal="center" vertical="center"/>
    </xf>
    <xf numFmtId="165" fontId="2148" fillId="8" borderId="1" xfId="0" applyNumberFormat="1" applyFont="1" applyFill="1" applyBorder="1" applyAlignment="1">
      <alignment horizontal="center" vertical="center"/>
    </xf>
    <xf numFmtId="1" fontId="2149" fillId="8" borderId="1" xfId="0" applyNumberFormat="1" applyFont="1" applyFill="1" applyBorder="1" applyAlignment="1">
      <alignment horizontal="center" vertical="center"/>
    </xf>
    <xf numFmtId="165" fontId="2150" fillId="8" borderId="1" xfId="0" applyNumberFormat="1" applyFont="1" applyFill="1" applyBorder="1" applyAlignment="1">
      <alignment horizontal="center" vertical="center"/>
    </xf>
    <xf numFmtId="2" fontId="2151" fillId="8" borderId="1" xfId="0" applyNumberFormat="1" applyFont="1" applyFill="1" applyBorder="1" applyAlignment="1">
      <alignment horizontal="center" vertical="center"/>
    </xf>
    <xf numFmtId="2" fontId="2152" fillId="8" borderId="1" xfId="0" applyNumberFormat="1" applyFont="1" applyFill="1" applyBorder="1" applyAlignment="1">
      <alignment horizontal="center" vertical="center"/>
    </xf>
    <xf numFmtId="2" fontId="2153" fillId="8" borderId="1" xfId="0" applyNumberFormat="1" applyFont="1" applyFill="1" applyBorder="1" applyAlignment="1">
      <alignment horizontal="center" vertical="center"/>
    </xf>
    <xf numFmtId="2" fontId="2154" fillId="8" borderId="1" xfId="0" applyNumberFormat="1" applyFont="1" applyFill="1" applyBorder="1" applyAlignment="1">
      <alignment horizontal="center" vertical="center"/>
    </xf>
    <xf numFmtId="2" fontId="2155" fillId="8" borderId="1" xfId="0" applyNumberFormat="1" applyFont="1" applyFill="1" applyBorder="1" applyAlignment="1">
      <alignment horizontal="center" vertical="center"/>
    </xf>
    <xf numFmtId="2" fontId="2156" fillId="8" borderId="1" xfId="0" applyNumberFormat="1" applyFont="1" applyFill="1" applyBorder="1" applyAlignment="1">
      <alignment horizontal="center" vertical="center"/>
    </xf>
    <xf numFmtId="2" fontId="2157" fillId="8" borderId="1" xfId="0" applyNumberFormat="1" applyFont="1" applyFill="1" applyBorder="1" applyAlignment="1">
      <alignment horizontal="center" vertical="center"/>
    </xf>
    <xf numFmtId="2" fontId="2158" fillId="8" borderId="1" xfId="0" applyNumberFormat="1" applyFont="1" applyFill="1" applyBorder="1" applyAlignment="1">
      <alignment horizontal="center" vertical="center"/>
    </xf>
    <xf numFmtId="2" fontId="2159" fillId="8" borderId="1" xfId="0" applyNumberFormat="1" applyFont="1" applyFill="1" applyBorder="1" applyAlignment="1">
      <alignment horizontal="center" vertical="center"/>
    </xf>
    <xf numFmtId="2" fontId="2160" fillId="8" borderId="1" xfId="0" applyNumberFormat="1" applyFont="1" applyFill="1" applyBorder="1" applyAlignment="1">
      <alignment horizontal="center" vertical="center"/>
    </xf>
    <xf numFmtId="2" fontId="2161" fillId="8" borderId="1" xfId="0" applyNumberFormat="1" applyFont="1" applyFill="1" applyBorder="1" applyAlignment="1">
      <alignment horizontal="center" vertical="center"/>
    </xf>
    <xf numFmtId="2" fontId="2162" fillId="8" borderId="1" xfId="0" applyNumberFormat="1" applyFont="1" applyFill="1" applyBorder="1" applyAlignment="1">
      <alignment horizontal="center" vertical="center"/>
    </xf>
    <xf numFmtId="2" fontId="2163" fillId="8" borderId="1" xfId="0" applyNumberFormat="1" applyFont="1" applyFill="1" applyBorder="1" applyAlignment="1">
      <alignment horizontal="center" vertical="center"/>
    </xf>
    <xf numFmtId="2" fontId="2164" fillId="8" borderId="1" xfId="0" applyNumberFormat="1" applyFont="1" applyFill="1" applyBorder="1" applyAlignment="1">
      <alignment horizontal="center" vertical="center"/>
    </xf>
    <xf numFmtId="2" fontId="2165" fillId="8" borderId="1" xfId="0" applyNumberFormat="1" applyFont="1" applyFill="1" applyBorder="1" applyAlignment="1">
      <alignment horizontal="center" vertical="center"/>
    </xf>
    <xf numFmtId="2" fontId="2166" fillId="8" borderId="1" xfId="0" applyNumberFormat="1" applyFont="1" applyFill="1" applyBorder="1" applyAlignment="1">
      <alignment horizontal="center" vertical="center"/>
    </xf>
    <xf numFmtId="2" fontId="2167" fillId="8" borderId="1" xfId="0" applyNumberFormat="1" applyFont="1" applyFill="1" applyBorder="1" applyAlignment="1">
      <alignment horizontal="center" vertical="center"/>
    </xf>
    <xf numFmtId="2" fontId="2168" fillId="8" borderId="1" xfId="0" applyNumberFormat="1" applyFont="1" applyFill="1" applyBorder="1" applyAlignment="1">
      <alignment horizontal="center" vertical="center"/>
    </xf>
    <xf numFmtId="2" fontId="2169" fillId="8" borderId="1" xfId="0" applyNumberFormat="1" applyFont="1" applyFill="1" applyBorder="1" applyAlignment="1">
      <alignment horizontal="center" vertical="center"/>
    </xf>
    <xf numFmtId="2" fontId="2170" fillId="8" borderId="1" xfId="0" applyNumberFormat="1" applyFont="1" applyFill="1" applyBorder="1" applyAlignment="1">
      <alignment horizontal="center" vertical="center"/>
    </xf>
    <xf numFmtId="2" fontId="2171" fillId="8" borderId="1" xfId="0" applyNumberFormat="1" applyFont="1" applyFill="1" applyBorder="1" applyAlignment="1">
      <alignment horizontal="center" vertical="center"/>
    </xf>
    <xf numFmtId="2" fontId="2172" fillId="8" borderId="1" xfId="0" applyNumberFormat="1" applyFont="1" applyFill="1" applyBorder="1" applyAlignment="1">
      <alignment horizontal="center" vertical="center"/>
    </xf>
    <xf numFmtId="2" fontId="2173" fillId="8" borderId="1" xfId="0" applyNumberFormat="1" applyFont="1" applyFill="1" applyBorder="1" applyAlignment="1">
      <alignment horizontal="center" vertical="center"/>
    </xf>
    <xf numFmtId="2" fontId="2174" fillId="8" borderId="1" xfId="0" applyNumberFormat="1" applyFont="1" applyFill="1" applyBorder="1" applyAlignment="1">
      <alignment horizontal="center" vertical="center"/>
    </xf>
    <xf numFmtId="2" fontId="2175" fillId="8" borderId="1" xfId="0" applyNumberFormat="1" applyFont="1" applyFill="1" applyBorder="1" applyAlignment="1">
      <alignment horizontal="center" vertical="center"/>
    </xf>
    <xf numFmtId="2" fontId="2176" fillId="8" borderId="1" xfId="0" applyNumberFormat="1" applyFont="1" applyFill="1" applyBorder="1" applyAlignment="1">
      <alignment horizontal="center" vertical="center"/>
    </xf>
    <xf numFmtId="2" fontId="2177" fillId="8" borderId="1" xfId="0" applyNumberFormat="1" applyFont="1" applyFill="1" applyBorder="1" applyAlignment="1">
      <alignment horizontal="center" vertical="center"/>
    </xf>
    <xf numFmtId="2" fontId="2178" fillId="8" borderId="1" xfId="0" applyNumberFormat="1" applyFont="1" applyFill="1" applyBorder="1" applyAlignment="1">
      <alignment horizontal="center" vertical="center"/>
    </xf>
    <xf numFmtId="2" fontId="2179" fillId="8" borderId="1" xfId="0" applyNumberFormat="1" applyFont="1" applyFill="1" applyBorder="1" applyAlignment="1">
      <alignment horizontal="center" vertical="center"/>
    </xf>
    <xf numFmtId="2" fontId="2180" fillId="8" borderId="1" xfId="0" applyNumberFormat="1" applyFont="1" applyFill="1" applyBorder="1" applyAlignment="1">
      <alignment horizontal="center" vertical="center"/>
    </xf>
    <xf numFmtId="2" fontId="2181" fillId="8" borderId="1" xfId="0" applyNumberFormat="1" applyFont="1" applyFill="1" applyBorder="1" applyAlignment="1">
      <alignment horizontal="center" vertical="center"/>
    </xf>
    <xf numFmtId="2" fontId="2182" fillId="8" borderId="1" xfId="0" applyNumberFormat="1" applyFont="1" applyFill="1" applyBorder="1" applyAlignment="1">
      <alignment horizontal="center" vertical="center"/>
    </xf>
    <xf numFmtId="2" fontId="2183" fillId="8" borderId="1" xfId="0" applyNumberFormat="1" applyFont="1" applyFill="1" applyBorder="1" applyAlignment="1">
      <alignment horizontal="center" vertical="center"/>
    </xf>
    <xf numFmtId="2" fontId="2184" fillId="8" borderId="1" xfId="0" applyNumberFormat="1" applyFont="1" applyFill="1" applyBorder="1" applyAlignment="1">
      <alignment horizontal="center" vertical="center"/>
    </xf>
    <xf numFmtId="0" fontId="2185" fillId="7" borderId="1" xfId="0" applyNumberFormat="1" applyFont="1" applyFill="1" applyBorder="1" applyAlignment="1">
      <alignment horizontal="left" vertical="center"/>
    </xf>
    <xf numFmtId="0" fontId="2186" fillId="8" borderId="1" xfId="0" applyNumberFormat="1" applyFont="1" applyFill="1" applyBorder="1" applyAlignment="1">
      <alignment horizontal="center" vertical="center"/>
    </xf>
    <xf numFmtId="164" fontId="2187" fillId="8" borderId="1" xfId="0" applyNumberFormat="1" applyFont="1" applyFill="1" applyBorder="1" applyAlignment="1">
      <alignment horizontal="center" vertical="center"/>
    </xf>
    <xf numFmtId="1" fontId="2188" fillId="8" borderId="1" xfId="0" applyNumberFormat="1" applyFont="1" applyFill="1" applyBorder="1" applyAlignment="1">
      <alignment horizontal="center" vertical="center"/>
    </xf>
    <xf numFmtId="1" fontId="2189" fillId="8" borderId="1" xfId="0" applyNumberFormat="1" applyFont="1" applyFill="1" applyBorder="1" applyAlignment="1">
      <alignment horizontal="center" vertical="center"/>
    </xf>
    <xf numFmtId="1" fontId="2190" fillId="8" borderId="1" xfId="0" applyNumberFormat="1" applyFont="1" applyFill="1" applyBorder="1" applyAlignment="1">
      <alignment horizontal="center" vertical="center"/>
    </xf>
    <xf numFmtId="1" fontId="2191" fillId="8" borderId="1" xfId="0" applyNumberFormat="1" applyFont="1" applyFill="1" applyBorder="1" applyAlignment="1">
      <alignment horizontal="center" vertical="center"/>
    </xf>
    <xf numFmtId="1" fontId="2192" fillId="8" borderId="1" xfId="0" applyNumberFormat="1" applyFont="1" applyFill="1" applyBorder="1" applyAlignment="1">
      <alignment horizontal="center" vertical="center"/>
    </xf>
    <xf numFmtId="1" fontId="2193" fillId="8" borderId="1" xfId="0" applyNumberFormat="1" applyFont="1" applyFill="1" applyBorder="1" applyAlignment="1">
      <alignment horizontal="center" vertical="center"/>
    </xf>
    <xf numFmtId="1" fontId="2194" fillId="8" borderId="1" xfId="0" applyNumberFormat="1" applyFont="1" applyFill="1" applyBorder="1" applyAlignment="1">
      <alignment horizontal="center" vertical="center"/>
    </xf>
    <xf numFmtId="0" fontId="2195" fillId="8" borderId="1" xfId="0" applyNumberFormat="1" applyFont="1" applyFill="1" applyBorder="1" applyAlignment="1">
      <alignment horizontal="center" vertical="center"/>
    </xf>
    <xf numFmtId="0" fontId="2196" fillId="8" borderId="1" xfId="0" applyNumberFormat="1" applyFont="1" applyFill="1" applyBorder="1" applyAlignment="1">
      <alignment horizontal="center" vertical="center"/>
    </xf>
    <xf numFmtId="1" fontId="2197" fillId="8" borderId="1" xfId="0" applyNumberFormat="1" applyFont="1" applyFill="1" applyBorder="1" applyAlignment="1">
      <alignment horizontal="center" vertical="center"/>
    </xf>
    <xf numFmtId="1" fontId="2198" fillId="8" borderId="1" xfId="0" applyNumberFormat="1" applyFont="1" applyFill="1" applyBorder="1" applyAlignment="1">
      <alignment horizontal="center" vertical="center"/>
    </xf>
    <xf numFmtId="1" fontId="2199" fillId="8" borderId="1" xfId="0" applyNumberFormat="1" applyFont="1" applyFill="1" applyBorder="1" applyAlignment="1">
      <alignment horizontal="center" vertical="center"/>
    </xf>
    <xf numFmtId="165" fontId="2200" fillId="8" borderId="1" xfId="0" applyNumberFormat="1" applyFont="1" applyFill="1" applyBorder="1" applyAlignment="1">
      <alignment horizontal="center" vertical="center"/>
    </xf>
    <xf numFmtId="1" fontId="2201" fillId="8" borderId="1" xfId="0" applyNumberFormat="1" applyFont="1" applyFill="1" applyBorder="1" applyAlignment="1">
      <alignment horizontal="center" vertical="center"/>
    </xf>
    <xf numFmtId="165" fontId="2202" fillId="8" borderId="1" xfId="0" applyNumberFormat="1" applyFont="1" applyFill="1" applyBorder="1" applyAlignment="1">
      <alignment horizontal="center" vertical="center"/>
    </xf>
    <xf numFmtId="1" fontId="2203" fillId="8" borderId="1" xfId="0" applyNumberFormat="1" applyFont="1" applyFill="1" applyBorder="1" applyAlignment="1">
      <alignment horizontal="center" vertical="center"/>
    </xf>
    <xf numFmtId="165" fontId="2204" fillId="8" borderId="1" xfId="0" applyNumberFormat="1" applyFont="1" applyFill="1" applyBorder="1" applyAlignment="1">
      <alignment horizontal="center" vertical="center"/>
    </xf>
    <xf numFmtId="1" fontId="2205" fillId="8" borderId="1" xfId="0" applyNumberFormat="1" applyFont="1" applyFill="1" applyBorder="1" applyAlignment="1">
      <alignment horizontal="center" vertical="center"/>
    </xf>
    <xf numFmtId="165" fontId="2206" fillId="8" borderId="1" xfId="0" applyNumberFormat="1" applyFont="1" applyFill="1" applyBorder="1" applyAlignment="1">
      <alignment horizontal="center" vertical="center"/>
    </xf>
    <xf numFmtId="165" fontId="2207" fillId="8" borderId="1" xfId="0" applyNumberFormat="1" applyFont="1" applyFill="1" applyBorder="1" applyAlignment="1">
      <alignment horizontal="center" vertical="center"/>
    </xf>
    <xf numFmtId="1" fontId="2208" fillId="8" borderId="1" xfId="0" applyNumberFormat="1" applyFont="1" applyFill="1" applyBorder="1" applyAlignment="1">
      <alignment horizontal="center" vertical="center"/>
    </xf>
    <xf numFmtId="1" fontId="2209" fillId="8" borderId="1" xfId="0" applyNumberFormat="1" applyFont="1" applyFill="1" applyBorder="1" applyAlignment="1">
      <alignment horizontal="center" vertical="center"/>
    </xf>
    <xf numFmtId="1" fontId="2210" fillId="8" borderId="1" xfId="0" applyNumberFormat="1" applyFont="1" applyFill="1" applyBorder="1" applyAlignment="1">
      <alignment horizontal="center" vertical="center"/>
    </xf>
    <xf numFmtId="165" fontId="2211" fillId="8" borderId="1" xfId="0" applyNumberFormat="1" applyFont="1" applyFill="1" applyBorder="1" applyAlignment="1">
      <alignment horizontal="center" vertical="center"/>
    </xf>
    <xf numFmtId="164" fontId="2212" fillId="8" borderId="1" xfId="0" applyNumberFormat="1" applyFont="1" applyFill="1" applyBorder="1" applyAlignment="1">
      <alignment horizontal="center" vertical="center"/>
    </xf>
    <xf numFmtId="164" fontId="2213" fillId="8" borderId="1" xfId="0" applyNumberFormat="1" applyFont="1" applyFill="1" applyBorder="1" applyAlignment="1">
      <alignment horizontal="center" vertical="center"/>
    </xf>
    <xf numFmtId="1" fontId="2214" fillId="8" borderId="1" xfId="0" applyNumberFormat="1" applyFont="1" applyFill="1" applyBorder="1" applyAlignment="1">
      <alignment horizontal="center" vertical="center"/>
    </xf>
    <xf numFmtId="1" fontId="2215" fillId="8" borderId="1" xfId="0" applyNumberFormat="1" applyFont="1" applyFill="1" applyBorder="1" applyAlignment="1">
      <alignment horizontal="center" vertical="center"/>
    </xf>
    <xf numFmtId="1" fontId="2216" fillId="8" borderId="1" xfId="0" applyNumberFormat="1" applyFont="1" applyFill="1" applyBorder="1" applyAlignment="1">
      <alignment horizontal="center" vertical="center"/>
    </xf>
    <xf numFmtId="165" fontId="2217" fillId="8" borderId="1" xfId="0" applyNumberFormat="1" applyFont="1" applyFill="1" applyBorder="1" applyAlignment="1">
      <alignment horizontal="center" vertical="center"/>
    </xf>
    <xf numFmtId="1" fontId="2218" fillId="8" borderId="1" xfId="0" applyNumberFormat="1" applyFont="1" applyFill="1" applyBorder="1" applyAlignment="1">
      <alignment horizontal="center" vertical="center"/>
    </xf>
    <xf numFmtId="165" fontId="2219" fillId="8" borderId="1" xfId="0" applyNumberFormat="1" applyFont="1" applyFill="1" applyBorder="1" applyAlignment="1">
      <alignment horizontal="center" vertical="center"/>
    </xf>
    <xf numFmtId="1" fontId="2220" fillId="8" borderId="1" xfId="0" applyNumberFormat="1" applyFont="1" applyFill="1" applyBorder="1" applyAlignment="1">
      <alignment horizontal="center" vertical="center"/>
    </xf>
    <xf numFmtId="1" fontId="2221" fillId="8" borderId="1" xfId="0" applyNumberFormat="1" applyFont="1" applyFill="1" applyBorder="1" applyAlignment="1">
      <alignment horizontal="center" vertical="center"/>
    </xf>
    <xf numFmtId="1" fontId="2222" fillId="8" borderId="1" xfId="0" applyNumberFormat="1" applyFont="1" applyFill="1" applyBorder="1" applyAlignment="1">
      <alignment horizontal="center" vertical="center"/>
    </xf>
    <xf numFmtId="1" fontId="2223" fillId="8" borderId="1" xfId="0" applyNumberFormat="1" applyFont="1" applyFill="1" applyBorder="1" applyAlignment="1">
      <alignment horizontal="center" vertical="center"/>
    </xf>
    <xf numFmtId="165" fontId="2224" fillId="8" borderId="1" xfId="0" applyNumberFormat="1" applyFont="1" applyFill="1" applyBorder="1" applyAlignment="1">
      <alignment horizontal="center" vertical="center"/>
    </xf>
    <xf numFmtId="1" fontId="2225" fillId="8" borderId="1" xfId="0" applyNumberFormat="1" applyFont="1" applyFill="1" applyBorder="1" applyAlignment="1">
      <alignment horizontal="center" vertical="center"/>
    </xf>
    <xf numFmtId="165" fontId="2226" fillId="8" borderId="1" xfId="0" applyNumberFormat="1" applyFont="1" applyFill="1" applyBorder="1" applyAlignment="1">
      <alignment horizontal="center" vertical="center"/>
    </xf>
    <xf numFmtId="1" fontId="2227" fillId="8" borderId="1" xfId="0" applyNumberFormat="1" applyFont="1" applyFill="1" applyBorder="1" applyAlignment="1">
      <alignment horizontal="center" vertical="center"/>
    </xf>
    <xf numFmtId="165" fontId="2228" fillId="8" borderId="1" xfId="0" applyNumberFormat="1" applyFont="1" applyFill="1" applyBorder="1" applyAlignment="1">
      <alignment horizontal="center" vertical="center"/>
    </xf>
    <xf numFmtId="2" fontId="2229" fillId="8" borderId="1" xfId="0" applyNumberFormat="1" applyFont="1" applyFill="1" applyBorder="1" applyAlignment="1">
      <alignment horizontal="center" vertical="center"/>
    </xf>
    <xf numFmtId="2" fontId="2230" fillId="8" borderId="1" xfId="0" applyNumberFormat="1" applyFont="1" applyFill="1" applyBorder="1" applyAlignment="1">
      <alignment horizontal="center" vertical="center"/>
    </xf>
    <xf numFmtId="2" fontId="2231" fillId="8" borderId="1" xfId="0" applyNumberFormat="1" applyFont="1" applyFill="1" applyBorder="1" applyAlignment="1">
      <alignment horizontal="center" vertical="center"/>
    </xf>
    <xf numFmtId="2" fontId="2232" fillId="8" borderId="1" xfId="0" applyNumberFormat="1" applyFont="1" applyFill="1" applyBorder="1" applyAlignment="1">
      <alignment horizontal="center" vertical="center"/>
    </xf>
    <xf numFmtId="2" fontId="2233" fillId="8" borderId="1" xfId="0" applyNumberFormat="1" applyFont="1" applyFill="1" applyBorder="1" applyAlignment="1">
      <alignment horizontal="center" vertical="center"/>
    </xf>
    <xf numFmtId="2" fontId="2234" fillId="8" borderId="1" xfId="0" applyNumberFormat="1" applyFont="1" applyFill="1" applyBorder="1" applyAlignment="1">
      <alignment horizontal="center" vertical="center"/>
    </xf>
    <xf numFmtId="2" fontId="2235" fillId="8" borderId="1" xfId="0" applyNumberFormat="1" applyFont="1" applyFill="1" applyBorder="1" applyAlignment="1">
      <alignment horizontal="center" vertical="center"/>
    </xf>
    <xf numFmtId="2" fontId="2236" fillId="8" borderId="1" xfId="0" applyNumberFormat="1" applyFont="1" applyFill="1" applyBorder="1" applyAlignment="1">
      <alignment horizontal="center" vertical="center"/>
    </xf>
    <xf numFmtId="2" fontId="2237" fillId="8" borderId="1" xfId="0" applyNumberFormat="1" applyFont="1" applyFill="1" applyBorder="1" applyAlignment="1">
      <alignment horizontal="center" vertical="center"/>
    </xf>
    <xf numFmtId="2" fontId="2238" fillId="8" borderId="1" xfId="0" applyNumberFormat="1" applyFont="1" applyFill="1" applyBorder="1" applyAlignment="1">
      <alignment horizontal="center" vertical="center"/>
    </xf>
    <xf numFmtId="2" fontId="2239" fillId="8" borderId="1" xfId="0" applyNumberFormat="1" applyFont="1" applyFill="1" applyBorder="1" applyAlignment="1">
      <alignment horizontal="center" vertical="center"/>
    </xf>
    <xf numFmtId="2" fontId="2240" fillId="8" borderId="1" xfId="0" applyNumberFormat="1" applyFont="1" applyFill="1" applyBorder="1" applyAlignment="1">
      <alignment horizontal="center" vertical="center"/>
    </xf>
    <xf numFmtId="2" fontId="2241" fillId="8" borderId="1" xfId="0" applyNumberFormat="1" applyFont="1" applyFill="1" applyBorder="1" applyAlignment="1">
      <alignment horizontal="center" vertical="center"/>
    </xf>
    <xf numFmtId="2" fontId="2242" fillId="8" borderId="1" xfId="0" applyNumberFormat="1" applyFont="1" applyFill="1" applyBorder="1" applyAlignment="1">
      <alignment horizontal="center" vertical="center"/>
    </xf>
    <xf numFmtId="2" fontId="2243" fillId="8" borderId="1" xfId="0" applyNumberFormat="1" applyFont="1" applyFill="1" applyBorder="1" applyAlignment="1">
      <alignment horizontal="center" vertical="center"/>
    </xf>
    <xf numFmtId="2" fontId="2244" fillId="8" borderId="1" xfId="0" applyNumberFormat="1" applyFont="1" applyFill="1" applyBorder="1" applyAlignment="1">
      <alignment horizontal="center" vertical="center"/>
    </xf>
    <xf numFmtId="2" fontId="2245" fillId="8" borderId="1" xfId="0" applyNumberFormat="1" applyFont="1" applyFill="1" applyBorder="1" applyAlignment="1">
      <alignment horizontal="center" vertical="center"/>
    </xf>
    <xf numFmtId="2" fontId="2246" fillId="8" borderId="1" xfId="0" applyNumberFormat="1" applyFont="1" applyFill="1" applyBorder="1" applyAlignment="1">
      <alignment horizontal="center" vertical="center"/>
    </xf>
    <xf numFmtId="2" fontId="2247" fillId="8" borderId="1" xfId="0" applyNumberFormat="1" applyFont="1" applyFill="1" applyBorder="1" applyAlignment="1">
      <alignment horizontal="center" vertical="center"/>
    </xf>
    <xf numFmtId="2" fontId="2248" fillId="8" borderId="1" xfId="0" applyNumberFormat="1" applyFont="1" applyFill="1" applyBorder="1" applyAlignment="1">
      <alignment horizontal="center" vertical="center"/>
    </xf>
    <xf numFmtId="2" fontId="2249" fillId="8" borderId="1" xfId="0" applyNumberFormat="1" applyFont="1" applyFill="1" applyBorder="1" applyAlignment="1">
      <alignment horizontal="center" vertical="center"/>
    </xf>
    <xf numFmtId="2" fontId="2250" fillId="8" borderId="1" xfId="0" applyNumberFormat="1" applyFont="1" applyFill="1" applyBorder="1" applyAlignment="1">
      <alignment horizontal="center" vertical="center"/>
    </xf>
    <xf numFmtId="2" fontId="2251" fillId="8" borderId="1" xfId="0" applyNumberFormat="1" applyFont="1" applyFill="1" applyBorder="1" applyAlignment="1">
      <alignment horizontal="center" vertical="center"/>
    </xf>
    <xf numFmtId="2" fontId="2252" fillId="8" borderId="1" xfId="0" applyNumberFormat="1" applyFont="1" applyFill="1" applyBorder="1" applyAlignment="1">
      <alignment horizontal="center" vertical="center"/>
    </xf>
    <xf numFmtId="2" fontId="2253" fillId="8" borderId="1" xfId="0" applyNumberFormat="1" applyFont="1" applyFill="1" applyBorder="1" applyAlignment="1">
      <alignment horizontal="center" vertical="center"/>
    </xf>
    <xf numFmtId="2" fontId="2254" fillId="8" borderId="1" xfId="0" applyNumberFormat="1" applyFont="1" applyFill="1" applyBorder="1" applyAlignment="1">
      <alignment horizontal="center" vertical="center"/>
    </xf>
    <xf numFmtId="2" fontId="2255" fillId="8" borderId="1" xfId="0" applyNumberFormat="1" applyFont="1" applyFill="1" applyBorder="1" applyAlignment="1">
      <alignment horizontal="center" vertical="center"/>
    </xf>
    <xf numFmtId="2" fontId="2256" fillId="8" borderId="1" xfId="0" applyNumberFormat="1" applyFont="1" applyFill="1" applyBorder="1" applyAlignment="1">
      <alignment horizontal="center" vertical="center"/>
    </xf>
    <xf numFmtId="2" fontId="2257" fillId="8" borderId="1" xfId="0" applyNumberFormat="1" applyFont="1" applyFill="1" applyBorder="1" applyAlignment="1">
      <alignment horizontal="center" vertical="center"/>
    </xf>
    <xf numFmtId="2" fontId="2258" fillId="8" borderId="1" xfId="0" applyNumberFormat="1" applyFont="1" applyFill="1" applyBorder="1" applyAlignment="1">
      <alignment horizontal="center" vertical="center"/>
    </xf>
    <xf numFmtId="2" fontId="2259" fillId="8" borderId="1" xfId="0" applyNumberFormat="1" applyFont="1" applyFill="1" applyBorder="1" applyAlignment="1">
      <alignment horizontal="center" vertical="center"/>
    </xf>
    <xf numFmtId="2" fontId="2260" fillId="8" borderId="1" xfId="0" applyNumberFormat="1" applyFont="1" applyFill="1" applyBorder="1" applyAlignment="1">
      <alignment horizontal="center" vertical="center"/>
    </xf>
    <xf numFmtId="2" fontId="2261" fillId="8" borderId="1" xfId="0" applyNumberFormat="1" applyFont="1" applyFill="1" applyBorder="1" applyAlignment="1">
      <alignment horizontal="center" vertical="center"/>
    </xf>
    <xf numFmtId="2" fontId="2262" fillId="8" borderId="1" xfId="0" applyNumberFormat="1" applyFont="1" applyFill="1" applyBorder="1" applyAlignment="1">
      <alignment horizontal="center" vertical="center"/>
    </xf>
    <xf numFmtId="0" fontId="2263" fillId="7" borderId="1" xfId="0" applyNumberFormat="1" applyFont="1" applyFill="1" applyBorder="1" applyAlignment="1">
      <alignment horizontal="left" vertical="center"/>
    </xf>
    <xf numFmtId="0" fontId="2264" fillId="8" borderId="1" xfId="0" applyNumberFormat="1" applyFont="1" applyFill="1" applyBorder="1" applyAlignment="1">
      <alignment horizontal="center" vertical="center"/>
    </xf>
    <xf numFmtId="164" fontId="2265" fillId="8" borderId="1" xfId="0" applyNumberFormat="1" applyFont="1" applyFill="1" applyBorder="1" applyAlignment="1">
      <alignment horizontal="center" vertical="center"/>
    </xf>
    <xf numFmtId="1" fontId="2266" fillId="8" borderId="1" xfId="0" applyNumberFormat="1" applyFont="1" applyFill="1" applyBorder="1" applyAlignment="1">
      <alignment horizontal="center" vertical="center"/>
    </xf>
    <xf numFmtId="1" fontId="2267" fillId="8" borderId="1" xfId="0" applyNumberFormat="1" applyFont="1" applyFill="1" applyBorder="1" applyAlignment="1">
      <alignment horizontal="center" vertical="center"/>
    </xf>
    <xf numFmtId="1" fontId="2268" fillId="8" borderId="1" xfId="0" applyNumberFormat="1" applyFont="1" applyFill="1" applyBorder="1" applyAlignment="1">
      <alignment horizontal="center" vertical="center"/>
    </xf>
    <xf numFmtId="1" fontId="2269" fillId="8" borderId="1" xfId="0" applyNumberFormat="1" applyFont="1" applyFill="1" applyBorder="1" applyAlignment="1">
      <alignment horizontal="center" vertical="center"/>
    </xf>
    <xf numFmtId="1" fontId="2270" fillId="8" borderId="1" xfId="0" applyNumberFormat="1" applyFont="1" applyFill="1" applyBorder="1" applyAlignment="1">
      <alignment horizontal="center" vertical="center"/>
    </xf>
    <xf numFmtId="1" fontId="2271" fillId="8" borderId="1" xfId="0" applyNumberFormat="1" applyFont="1" applyFill="1" applyBorder="1" applyAlignment="1">
      <alignment horizontal="center" vertical="center"/>
    </xf>
    <xf numFmtId="1" fontId="2272" fillId="8" borderId="1" xfId="0" applyNumberFormat="1" applyFont="1" applyFill="1" applyBorder="1" applyAlignment="1">
      <alignment horizontal="center" vertical="center"/>
    </xf>
    <xf numFmtId="0" fontId="2273" fillId="8" borderId="1" xfId="0" applyNumberFormat="1" applyFont="1" applyFill="1" applyBorder="1" applyAlignment="1">
      <alignment horizontal="center" vertical="center"/>
    </xf>
    <xf numFmtId="0" fontId="2274" fillId="8" borderId="1" xfId="0" applyNumberFormat="1" applyFont="1" applyFill="1" applyBorder="1" applyAlignment="1">
      <alignment horizontal="center" vertical="center"/>
    </xf>
    <xf numFmtId="1" fontId="2275" fillId="8" borderId="1" xfId="0" applyNumberFormat="1" applyFont="1" applyFill="1" applyBorder="1" applyAlignment="1">
      <alignment horizontal="center" vertical="center"/>
    </xf>
    <xf numFmtId="1" fontId="2276" fillId="8" borderId="1" xfId="0" applyNumberFormat="1" applyFont="1" applyFill="1" applyBorder="1" applyAlignment="1">
      <alignment horizontal="center" vertical="center"/>
    </xf>
    <xf numFmtId="1" fontId="2277" fillId="8" borderId="1" xfId="0" applyNumberFormat="1" applyFont="1" applyFill="1" applyBorder="1" applyAlignment="1">
      <alignment horizontal="center" vertical="center"/>
    </xf>
    <xf numFmtId="165" fontId="2278" fillId="8" borderId="1" xfId="0" applyNumberFormat="1" applyFont="1" applyFill="1" applyBorder="1" applyAlignment="1">
      <alignment horizontal="center" vertical="center"/>
    </xf>
    <xf numFmtId="1" fontId="2279" fillId="8" borderId="1" xfId="0" applyNumberFormat="1" applyFont="1" applyFill="1" applyBorder="1" applyAlignment="1">
      <alignment horizontal="center" vertical="center"/>
    </xf>
    <xf numFmtId="165" fontId="2280" fillId="8" borderId="1" xfId="0" applyNumberFormat="1" applyFont="1" applyFill="1" applyBorder="1" applyAlignment="1">
      <alignment horizontal="center" vertical="center"/>
    </xf>
    <xf numFmtId="1" fontId="2281" fillId="8" borderId="1" xfId="0" applyNumberFormat="1" applyFont="1" applyFill="1" applyBorder="1" applyAlignment="1">
      <alignment horizontal="center" vertical="center"/>
    </xf>
    <xf numFmtId="165" fontId="2282" fillId="8" borderId="1" xfId="0" applyNumberFormat="1" applyFont="1" applyFill="1" applyBorder="1" applyAlignment="1">
      <alignment horizontal="center" vertical="center"/>
    </xf>
    <xf numFmtId="1" fontId="2283" fillId="8" borderId="1" xfId="0" applyNumberFormat="1" applyFont="1" applyFill="1" applyBorder="1" applyAlignment="1">
      <alignment horizontal="center" vertical="center"/>
    </xf>
    <xf numFmtId="165" fontId="2284" fillId="8" borderId="1" xfId="0" applyNumberFormat="1" applyFont="1" applyFill="1" applyBorder="1" applyAlignment="1">
      <alignment horizontal="center" vertical="center"/>
    </xf>
    <xf numFmtId="165" fontId="2285" fillId="8" borderId="1" xfId="0" applyNumberFormat="1" applyFont="1" applyFill="1" applyBorder="1" applyAlignment="1">
      <alignment horizontal="center" vertical="center"/>
    </xf>
    <xf numFmtId="1" fontId="2286" fillId="8" borderId="1" xfId="0" applyNumberFormat="1" applyFont="1" applyFill="1" applyBorder="1" applyAlignment="1">
      <alignment horizontal="center" vertical="center"/>
    </xf>
    <xf numFmtId="1" fontId="2287" fillId="8" borderId="1" xfId="0" applyNumberFormat="1" applyFont="1" applyFill="1" applyBorder="1" applyAlignment="1">
      <alignment horizontal="center" vertical="center"/>
    </xf>
    <xf numFmtId="1" fontId="2288" fillId="8" borderId="1" xfId="0" applyNumberFormat="1" applyFont="1" applyFill="1" applyBorder="1" applyAlignment="1">
      <alignment horizontal="center" vertical="center"/>
    </xf>
    <xf numFmtId="165" fontId="2289" fillId="8" borderId="1" xfId="0" applyNumberFormat="1" applyFont="1" applyFill="1" applyBorder="1" applyAlignment="1">
      <alignment horizontal="center" vertical="center"/>
    </xf>
    <xf numFmtId="164" fontId="2290" fillId="8" borderId="1" xfId="0" applyNumberFormat="1" applyFont="1" applyFill="1" applyBorder="1" applyAlignment="1">
      <alignment horizontal="center" vertical="center"/>
    </xf>
    <xf numFmtId="164" fontId="2291" fillId="8" borderId="1" xfId="0" applyNumberFormat="1" applyFont="1" applyFill="1" applyBorder="1" applyAlignment="1">
      <alignment horizontal="center" vertical="center"/>
    </xf>
    <xf numFmtId="1" fontId="2292" fillId="8" borderId="1" xfId="0" applyNumberFormat="1" applyFont="1" applyFill="1" applyBorder="1" applyAlignment="1">
      <alignment horizontal="center" vertical="center"/>
    </xf>
    <xf numFmtId="1" fontId="2293" fillId="8" borderId="1" xfId="0" applyNumberFormat="1" applyFont="1" applyFill="1" applyBorder="1" applyAlignment="1">
      <alignment horizontal="center" vertical="center"/>
    </xf>
    <xf numFmtId="1" fontId="2294" fillId="8" borderId="1" xfId="0" applyNumberFormat="1" applyFont="1" applyFill="1" applyBorder="1" applyAlignment="1">
      <alignment horizontal="center" vertical="center"/>
    </xf>
    <xf numFmtId="165" fontId="2295" fillId="8" borderId="1" xfId="0" applyNumberFormat="1" applyFont="1" applyFill="1" applyBorder="1" applyAlignment="1">
      <alignment horizontal="center" vertical="center"/>
    </xf>
    <xf numFmtId="1" fontId="2296" fillId="8" borderId="1" xfId="0" applyNumberFormat="1" applyFont="1" applyFill="1" applyBorder="1" applyAlignment="1">
      <alignment horizontal="center" vertical="center"/>
    </xf>
    <xf numFmtId="165" fontId="2297" fillId="8" borderId="1" xfId="0" applyNumberFormat="1" applyFont="1" applyFill="1" applyBorder="1" applyAlignment="1">
      <alignment horizontal="center" vertical="center"/>
    </xf>
    <xf numFmtId="1" fontId="2298" fillId="8" borderId="1" xfId="0" applyNumberFormat="1" applyFont="1" applyFill="1" applyBorder="1" applyAlignment="1">
      <alignment horizontal="center" vertical="center"/>
    </xf>
    <xf numFmtId="1" fontId="2299" fillId="8" borderId="1" xfId="0" applyNumberFormat="1" applyFont="1" applyFill="1" applyBorder="1" applyAlignment="1">
      <alignment horizontal="center" vertical="center"/>
    </xf>
    <xf numFmtId="1" fontId="2300" fillId="8" borderId="1" xfId="0" applyNumberFormat="1" applyFont="1" applyFill="1" applyBorder="1" applyAlignment="1">
      <alignment horizontal="center" vertical="center"/>
    </xf>
    <xf numFmtId="1" fontId="2301" fillId="8" borderId="1" xfId="0" applyNumberFormat="1" applyFont="1" applyFill="1" applyBorder="1" applyAlignment="1">
      <alignment horizontal="center" vertical="center"/>
    </xf>
    <xf numFmtId="165" fontId="2302" fillId="8" borderId="1" xfId="0" applyNumberFormat="1" applyFont="1" applyFill="1" applyBorder="1" applyAlignment="1">
      <alignment horizontal="center" vertical="center"/>
    </xf>
    <xf numFmtId="1" fontId="2303" fillId="8" borderId="1" xfId="0" applyNumberFormat="1" applyFont="1" applyFill="1" applyBorder="1" applyAlignment="1">
      <alignment horizontal="center" vertical="center"/>
    </xf>
    <xf numFmtId="165" fontId="2304" fillId="8" borderId="1" xfId="0" applyNumberFormat="1" applyFont="1" applyFill="1" applyBorder="1" applyAlignment="1">
      <alignment horizontal="center" vertical="center"/>
    </xf>
    <xf numFmtId="1" fontId="2305" fillId="8" borderId="1" xfId="0" applyNumberFormat="1" applyFont="1" applyFill="1" applyBorder="1" applyAlignment="1">
      <alignment horizontal="center" vertical="center"/>
    </xf>
    <xf numFmtId="165" fontId="2306" fillId="8" borderId="1" xfId="0" applyNumberFormat="1" applyFont="1" applyFill="1" applyBorder="1" applyAlignment="1">
      <alignment horizontal="center" vertical="center"/>
    </xf>
    <xf numFmtId="2" fontId="2307" fillId="8" borderId="1" xfId="0" applyNumberFormat="1" applyFont="1" applyFill="1" applyBorder="1" applyAlignment="1">
      <alignment horizontal="center" vertical="center"/>
    </xf>
    <xf numFmtId="2" fontId="2308" fillId="8" borderId="1" xfId="0" applyNumberFormat="1" applyFont="1" applyFill="1" applyBorder="1" applyAlignment="1">
      <alignment horizontal="center" vertical="center"/>
    </xf>
    <xf numFmtId="2" fontId="2309" fillId="8" borderId="1" xfId="0" applyNumberFormat="1" applyFont="1" applyFill="1" applyBorder="1" applyAlignment="1">
      <alignment horizontal="center" vertical="center"/>
    </xf>
    <xf numFmtId="2" fontId="2310" fillId="8" borderId="1" xfId="0" applyNumberFormat="1" applyFont="1" applyFill="1" applyBorder="1" applyAlignment="1">
      <alignment horizontal="center" vertical="center"/>
    </xf>
    <xf numFmtId="2" fontId="2311" fillId="8" borderId="1" xfId="0" applyNumberFormat="1" applyFont="1" applyFill="1" applyBorder="1" applyAlignment="1">
      <alignment horizontal="center" vertical="center"/>
    </xf>
    <xf numFmtId="2" fontId="2312" fillId="8" borderId="1" xfId="0" applyNumberFormat="1" applyFont="1" applyFill="1" applyBorder="1" applyAlignment="1">
      <alignment horizontal="center" vertical="center"/>
    </xf>
    <xf numFmtId="2" fontId="2313" fillId="8" borderId="1" xfId="0" applyNumberFormat="1" applyFont="1" applyFill="1" applyBorder="1" applyAlignment="1">
      <alignment horizontal="center" vertical="center"/>
    </xf>
    <xf numFmtId="2" fontId="2314" fillId="8" borderId="1" xfId="0" applyNumberFormat="1" applyFont="1" applyFill="1" applyBorder="1" applyAlignment="1">
      <alignment horizontal="center" vertical="center"/>
    </xf>
    <xf numFmtId="2" fontId="2315" fillId="8" borderId="1" xfId="0" applyNumberFormat="1" applyFont="1" applyFill="1" applyBorder="1" applyAlignment="1">
      <alignment horizontal="center" vertical="center"/>
    </xf>
    <xf numFmtId="2" fontId="2316" fillId="8" borderId="1" xfId="0" applyNumberFormat="1" applyFont="1" applyFill="1" applyBorder="1" applyAlignment="1">
      <alignment horizontal="center" vertical="center"/>
    </xf>
    <xf numFmtId="2" fontId="2317" fillId="8" borderId="1" xfId="0" applyNumberFormat="1" applyFont="1" applyFill="1" applyBorder="1" applyAlignment="1">
      <alignment horizontal="center" vertical="center"/>
    </xf>
    <xf numFmtId="2" fontId="2318" fillId="8" borderId="1" xfId="0" applyNumberFormat="1" applyFont="1" applyFill="1" applyBorder="1" applyAlignment="1">
      <alignment horizontal="center" vertical="center"/>
    </xf>
    <xf numFmtId="2" fontId="2319" fillId="8" borderId="1" xfId="0" applyNumberFormat="1" applyFont="1" applyFill="1" applyBorder="1" applyAlignment="1">
      <alignment horizontal="center" vertical="center"/>
    </xf>
    <xf numFmtId="2" fontId="2320" fillId="8" borderId="1" xfId="0" applyNumberFormat="1" applyFont="1" applyFill="1" applyBorder="1" applyAlignment="1">
      <alignment horizontal="center" vertical="center"/>
    </xf>
    <xf numFmtId="2" fontId="2321" fillId="8" borderId="1" xfId="0" applyNumberFormat="1" applyFont="1" applyFill="1" applyBorder="1" applyAlignment="1">
      <alignment horizontal="center" vertical="center"/>
    </xf>
    <xf numFmtId="2" fontId="2322" fillId="8" borderId="1" xfId="0" applyNumberFormat="1" applyFont="1" applyFill="1" applyBorder="1" applyAlignment="1">
      <alignment horizontal="center" vertical="center"/>
    </xf>
    <xf numFmtId="2" fontId="2323" fillId="8" borderId="1" xfId="0" applyNumberFormat="1" applyFont="1" applyFill="1" applyBorder="1" applyAlignment="1">
      <alignment horizontal="center" vertical="center"/>
    </xf>
    <xf numFmtId="2" fontId="2324" fillId="8" borderId="1" xfId="0" applyNumberFormat="1" applyFont="1" applyFill="1" applyBorder="1" applyAlignment="1">
      <alignment horizontal="center" vertical="center"/>
    </xf>
    <xf numFmtId="2" fontId="2325" fillId="8" borderId="1" xfId="0" applyNumberFormat="1" applyFont="1" applyFill="1" applyBorder="1" applyAlignment="1">
      <alignment horizontal="center" vertical="center"/>
    </xf>
    <xf numFmtId="2" fontId="2326" fillId="8" borderId="1" xfId="0" applyNumberFormat="1" applyFont="1" applyFill="1" applyBorder="1" applyAlignment="1">
      <alignment horizontal="center" vertical="center"/>
    </xf>
    <xf numFmtId="2" fontId="2327" fillId="8" borderId="1" xfId="0" applyNumberFormat="1" applyFont="1" applyFill="1" applyBorder="1" applyAlignment="1">
      <alignment horizontal="center" vertical="center"/>
    </xf>
    <xf numFmtId="2" fontId="2328" fillId="8" borderId="1" xfId="0" applyNumberFormat="1" applyFont="1" applyFill="1" applyBorder="1" applyAlignment="1">
      <alignment horizontal="center" vertical="center"/>
    </xf>
    <xf numFmtId="2" fontId="2329" fillId="8" borderId="1" xfId="0" applyNumberFormat="1" applyFont="1" applyFill="1" applyBorder="1" applyAlignment="1">
      <alignment horizontal="center" vertical="center"/>
    </xf>
    <xf numFmtId="2" fontId="2330" fillId="8" borderId="1" xfId="0" applyNumberFormat="1" applyFont="1" applyFill="1" applyBorder="1" applyAlignment="1">
      <alignment horizontal="center" vertical="center"/>
    </xf>
    <xf numFmtId="2" fontId="2331" fillId="8" borderId="1" xfId="0" applyNumberFormat="1" applyFont="1" applyFill="1" applyBorder="1" applyAlignment="1">
      <alignment horizontal="center" vertical="center"/>
    </xf>
    <xf numFmtId="2" fontId="2332" fillId="8" borderId="1" xfId="0" applyNumberFormat="1" applyFont="1" applyFill="1" applyBorder="1" applyAlignment="1">
      <alignment horizontal="center" vertical="center"/>
    </xf>
    <xf numFmtId="2" fontId="2333" fillId="8" borderId="1" xfId="0" applyNumberFormat="1" applyFont="1" applyFill="1" applyBorder="1" applyAlignment="1">
      <alignment horizontal="center" vertical="center"/>
    </xf>
    <xf numFmtId="2" fontId="2334" fillId="8" borderId="1" xfId="0" applyNumberFormat="1" applyFont="1" applyFill="1" applyBorder="1" applyAlignment="1">
      <alignment horizontal="center" vertical="center"/>
    </xf>
    <xf numFmtId="2" fontId="2335" fillId="8" borderId="1" xfId="0" applyNumberFormat="1" applyFont="1" applyFill="1" applyBorder="1" applyAlignment="1">
      <alignment horizontal="center" vertical="center"/>
    </xf>
    <xf numFmtId="2" fontId="2336" fillId="8" borderId="1" xfId="0" applyNumberFormat="1" applyFont="1" applyFill="1" applyBorder="1" applyAlignment="1">
      <alignment horizontal="center" vertical="center"/>
    </xf>
    <xf numFmtId="2" fontId="2337" fillId="8" borderId="1" xfId="0" applyNumberFormat="1" applyFont="1" applyFill="1" applyBorder="1" applyAlignment="1">
      <alignment horizontal="center" vertical="center"/>
    </xf>
    <xf numFmtId="2" fontId="2338" fillId="8" borderId="1" xfId="0" applyNumberFormat="1" applyFont="1" applyFill="1" applyBorder="1" applyAlignment="1">
      <alignment horizontal="center" vertical="center"/>
    </xf>
    <xf numFmtId="2" fontId="2339" fillId="8" borderId="1" xfId="0" applyNumberFormat="1" applyFont="1" applyFill="1" applyBorder="1" applyAlignment="1">
      <alignment horizontal="center" vertical="center"/>
    </xf>
    <xf numFmtId="2" fontId="2340" fillId="8" borderId="1" xfId="0" applyNumberFormat="1" applyFont="1" applyFill="1" applyBorder="1" applyAlignment="1">
      <alignment horizontal="center" vertical="center"/>
    </xf>
    <xf numFmtId="0" fontId="2341" fillId="9" borderId="1" xfId="0" applyNumberFormat="1" applyFont="1" applyFill="1" applyBorder="1" applyAlignment="1">
      <alignment horizontal="left" vertical="center"/>
    </xf>
    <xf numFmtId="0" fontId="2342" fillId="8" borderId="1" xfId="0" applyNumberFormat="1" applyFont="1" applyFill="1" applyBorder="1" applyAlignment="1">
      <alignment horizontal="center" vertical="center"/>
    </xf>
    <xf numFmtId="164" fontId="2343" fillId="8" borderId="1" xfId="0" applyNumberFormat="1" applyFont="1" applyFill="1" applyBorder="1" applyAlignment="1">
      <alignment horizontal="center" vertical="center"/>
    </xf>
    <xf numFmtId="1" fontId="2344" fillId="8" borderId="1" xfId="0" applyNumberFormat="1" applyFont="1" applyFill="1" applyBorder="1" applyAlignment="1">
      <alignment horizontal="center" vertical="center"/>
    </xf>
    <xf numFmtId="1" fontId="2345" fillId="8" borderId="1" xfId="0" applyNumberFormat="1" applyFont="1" applyFill="1" applyBorder="1" applyAlignment="1">
      <alignment horizontal="center" vertical="center"/>
    </xf>
    <xf numFmtId="1" fontId="2346" fillId="8" borderId="1" xfId="0" applyNumberFormat="1" applyFont="1" applyFill="1" applyBorder="1" applyAlignment="1">
      <alignment horizontal="center" vertical="center"/>
    </xf>
    <xf numFmtId="1" fontId="2347" fillId="8" borderId="1" xfId="0" applyNumberFormat="1" applyFont="1" applyFill="1" applyBorder="1" applyAlignment="1">
      <alignment horizontal="center" vertical="center"/>
    </xf>
    <xf numFmtId="1" fontId="2348" fillId="8" borderId="1" xfId="0" applyNumberFormat="1" applyFont="1" applyFill="1" applyBorder="1" applyAlignment="1">
      <alignment horizontal="center" vertical="center"/>
    </xf>
    <xf numFmtId="1" fontId="2349" fillId="8" borderId="1" xfId="0" applyNumberFormat="1" applyFont="1" applyFill="1" applyBorder="1" applyAlignment="1">
      <alignment horizontal="center" vertical="center"/>
    </xf>
    <xf numFmtId="1" fontId="2350" fillId="8" borderId="1" xfId="0" applyNumberFormat="1" applyFont="1" applyFill="1" applyBorder="1" applyAlignment="1">
      <alignment horizontal="center" vertical="center"/>
    </xf>
    <xf numFmtId="0" fontId="2351" fillId="8" borderId="1" xfId="0" applyNumberFormat="1" applyFont="1" applyFill="1" applyBorder="1" applyAlignment="1">
      <alignment horizontal="center" vertical="center"/>
    </xf>
    <xf numFmtId="0" fontId="2352" fillId="8" borderId="1" xfId="0" applyNumberFormat="1" applyFont="1" applyFill="1" applyBorder="1" applyAlignment="1">
      <alignment horizontal="center" vertical="center"/>
    </xf>
    <xf numFmtId="1" fontId="2353" fillId="8" borderId="1" xfId="0" applyNumberFormat="1" applyFont="1" applyFill="1" applyBorder="1" applyAlignment="1">
      <alignment horizontal="center" vertical="center"/>
    </xf>
    <xf numFmtId="1" fontId="2354" fillId="8" borderId="1" xfId="0" applyNumberFormat="1" applyFont="1" applyFill="1" applyBorder="1" applyAlignment="1">
      <alignment horizontal="center" vertical="center"/>
    </xf>
    <xf numFmtId="1" fontId="2355" fillId="8" borderId="1" xfId="0" applyNumberFormat="1" applyFont="1" applyFill="1" applyBorder="1" applyAlignment="1">
      <alignment horizontal="center" vertical="center"/>
    </xf>
    <xf numFmtId="165" fontId="2356" fillId="8" borderId="1" xfId="0" applyNumberFormat="1" applyFont="1" applyFill="1" applyBorder="1" applyAlignment="1">
      <alignment horizontal="center" vertical="center"/>
    </xf>
    <xf numFmtId="1" fontId="2357" fillId="8" borderId="1" xfId="0" applyNumberFormat="1" applyFont="1" applyFill="1" applyBorder="1" applyAlignment="1">
      <alignment horizontal="center" vertical="center"/>
    </xf>
    <xf numFmtId="165" fontId="2358" fillId="8" borderId="1" xfId="0" applyNumberFormat="1" applyFont="1" applyFill="1" applyBorder="1" applyAlignment="1">
      <alignment horizontal="center" vertical="center"/>
    </xf>
    <xf numFmtId="1" fontId="2359" fillId="8" borderId="1" xfId="0" applyNumberFormat="1" applyFont="1" applyFill="1" applyBorder="1" applyAlignment="1">
      <alignment horizontal="center" vertical="center"/>
    </xf>
    <xf numFmtId="165" fontId="2360" fillId="8" borderId="1" xfId="0" applyNumberFormat="1" applyFont="1" applyFill="1" applyBorder="1" applyAlignment="1">
      <alignment horizontal="center" vertical="center"/>
    </xf>
    <xf numFmtId="1" fontId="2361" fillId="8" borderId="1" xfId="0" applyNumberFormat="1" applyFont="1" applyFill="1" applyBorder="1" applyAlignment="1">
      <alignment horizontal="center" vertical="center"/>
    </xf>
    <xf numFmtId="165" fontId="2362" fillId="8" borderId="1" xfId="0" applyNumberFormat="1" applyFont="1" applyFill="1" applyBorder="1" applyAlignment="1">
      <alignment horizontal="center" vertical="center"/>
    </xf>
    <xf numFmtId="165" fontId="2363" fillId="8" borderId="1" xfId="0" applyNumberFormat="1" applyFont="1" applyFill="1" applyBorder="1" applyAlignment="1">
      <alignment horizontal="center" vertical="center"/>
    </xf>
    <xf numFmtId="1" fontId="2364" fillId="8" borderId="1" xfId="0" applyNumberFormat="1" applyFont="1" applyFill="1" applyBorder="1" applyAlignment="1">
      <alignment horizontal="center" vertical="center"/>
    </xf>
    <xf numFmtId="1" fontId="2365" fillId="8" borderId="1" xfId="0" applyNumberFormat="1" applyFont="1" applyFill="1" applyBorder="1" applyAlignment="1">
      <alignment horizontal="center" vertical="center"/>
    </xf>
    <xf numFmtId="1" fontId="2366" fillId="8" borderId="1" xfId="0" applyNumberFormat="1" applyFont="1" applyFill="1" applyBorder="1" applyAlignment="1">
      <alignment horizontal="center" vertical="center"/>
    </xf>
    <xf numFmtId="165" fontId="2367" fillId="8" borderId="1" xfId="0" applyNumberFormat="1" applyFont="1" applyFill="1" applyBorder="1" applyAlignment="1">
      <alignment horizontal="center" vertical="center"/>
    </xf>
    <xf numFmtId="164" fontId="2368" fillId="8" borderId="1" xfId="0" applyNumberFormat="1" applyFont="1" applyFill="1" applyBorder="1" applyAlignment="1">
      <alignment horizontal="center" vertical="center"/>
    </xf>
    <xf numFmtId="164" fontId="2369" fillId="8" borderId="1" xfId="0" applyNumberFormat="1" applyFont="1" applyFill="1" applyBorder="1" applyAlignment="1">
      <alignment horizontal="center" vertical="center"/>
    </xf>
    <xf numFmtId="1" fontId="2370" fillId="8" borderId="1" xfId="0" applyNumberFormat="1" applyFont="1" applyFill="1" applyBorder="1" applyAlignment="1">
      <alignment horizontal="center" vertical="center"/>
    </xf>
    <xf numFmtId="1" fontId="2371" fillId="8" borderId="1" xfId="0" applyNumberFormat="1" applyFont="1" applyFill="1" applyBorder="1" applyAlignment="1">
      <alignment horizontal="center" vertical="center"/>
    </xf>
    <xf numFmtId="1" fontId="2372" fillId="8" borderId="1" xfId="0" applyNumberFormat="1" applyFont="1" applyFill="1" applyBorder="1" applyAlignment="1">
      <alignment horizontal="center" vertical="center"/>
    </xf>
    <xf numFmtId="165" fontId="2373" fillId="8" borderId="1" xfId="0" applyNumberFormat="1" applyFont="1" applyFill="1" applyBorder="1" applyAlignment="1">
      <alignment horizontal="center" vertical="center"/>
    </xf>
    <xf numFmtId="1" fontId="2374" fillId="8" borderId="1" xfId="0" applyNumberFormat="1" applyFont="1" applyFill="1" applyBorder="1" applyAlignment="1">
      <alignment horizontal="center" vertical="center"/>
    </xf>
    <xf numFmtId="165" fontId="2375" fillId="8" borderId="1" xfId="0" applyNumberFormat="1" applyFont="1" applyFill="1" applyBorder="1" applyAlignment="1">
      <alignment horizontal="center" vertical="center"/>
    </xf>
    <xf numFmtId="1" fontId="2376" fillId="8" borderId="1" xfId="0" applyNumberFormat="1" applyFont="1" applyFill="1" applyBorder="1" applyAlignment="1">
      <alignment horizontal="center" vertical="center"/>
    </xf>
    <xf numFmtId="1" fontId="2377" fillId="8" borderId="1" xfId="0" applyNumberFormat="1" applyFont="1" applyFill="1" applyBorder="1" applyAlignment="1">
      <alignment horizontal="center" vertical="center"/>
    </xf>
    <xf numFmtId="1" fontId="2378" fillId="8" borderId="1" xfId="0" applyNumberFormat="1" applyFont="1" applyFill="1" applyBorder="1" applyAlignment="1">
      <alignment horizontal="center" vertical="center"/>
    </xf>
    <xf numFmtId="1" fontId="2379" fillId="8" borderId="1" xfId="0" applyNumberFormat="1" applyFont="1" applyFill="1" applyBorder="1" applyAlignment="1">
      <alignment horizontal="center" vertical="center"/>
    </xf>
    <xf numFmtId="165" fontId="2380" fillId="8" borderId="1" xfId="0" applyNumberFormat="1" applyFont="1" applyFill="1" applyBorder="1" applyAlignment="1">
      <alignment horizontal="center" vertical="center"/>
    </xf>
    <xf numFmtId="1" fontId="2381" fillId="8" borderId="1" xfId="0" applyNumberFormat="1" applyFont="1" applyFill="1" applyBorder="1" applyAlignment="1">
      <alignment horizontal="center" vertical="center"/>
    </xf>
    <xf numFmtId="165" fontId="2382" fillId="8" borderId="1" xfId="0" applyNumberFormat="1" applyFont="1" applyFill="1" applyBorder="1" applyAlignment="1">
      <alignment horizontal="center" vertical="center"/>
    </xf>
    <xf numFmtId="1" fontId="2383" fillId="8" borderId="1" xfId="0" applyNumberFormat="1" applyFont="1" applyFill="1" applyBorder="1" applyAlignment="1">
      <alignment horizontal="center" vertical="center"/>
    </xf>
    <xf numFmtId="165" fontId="2384" fillId="8" borderId="1" xfId="0" applyNumberFormat="1" applyFont="1" applyFill="1" applyBorder="1" applyAlignment="1">
      <alignment horizontal="center" vertical="center"/>
    </xf>
    <xf numFmtId="2" fontId="2385" fillId="8" borderId="1" xfId="0" applyNumberFormat="1" applyFont="1" applyFill="1" applyBorder="1" applyAlignment="1">
      <alignment horizontal="center" vertical="center"/>
    </xf>
    <xf numFmtId="2" fontId="2386" fillId="8" borderId="1" xfId="0" applyNumberFormat="1" applyFont="1" applyFill="1" applyBorder="1" applyAlignment="1">
      <alignment horizontal="center" vertical="center"/>
    </xf>
    <xf numFmtId="2" fontId="2387" fillId="8" borderId="1" xfId="0" applyNumberFormat="1" applyFont="1" applyFill="1" applyBorder="1" applyAlignment="1">
      <alignment horizontal="center" vertical="center"/>
    </xf>
    <xf numFmtId="2" fontId="2388" fillId="8" borderId="1" xfId="0" applyNumberFormat="1" applyFont="1" applyFill="1" applyBorder="1" applyAlignment="1">
      <alignment horizontal="center" vertical="center"/>
    </xf>
    <xf numFmtId="2" fontId="2389" fillId="8" borderId="1" xfId="0" applyNumberFormat="1" applyFont="1" applyFill="1" applyBorder="1" applyAlignment="1">
      <alignment horizontal="center" vertical="center"/>
    </xf>
    <xf numFmtId="2" fontId="2390" fillId="8" borderId="1" xfId="0" applyNumberFormat="1" applyFont="1" applyFill="1" applyBorder="1" applyAlignment="1">
      <alignment horizontal="center" vertical="center"/>
    </xf>
    <xf numFmtId="2" fontId="2391" fillId="8" borderId="1" xfId="0" applyNumberFormat="1" applyFont="1" applyFill="1" applyBorder="1" applyAlignment="1">
      <alignment horizontal="center" vertical="center"/>
    </xf>
    <xf numFmtId="2" fontId="2392" fillId="8" borderId="1" xfId="0" applyNumberFormat="1" applyFont="1" applyFill="1" applyBorder="1" applyAlignment="1">
      <alignment horizontal="center" vertical="center"/>
    </xf>
    <xf numFmtId="2" fontId="2393" fillId="8" borderId="1" xfId="0" applyNumberFormat="1" applyFont="1" applyFill="1" applyBorder="1" applyAlignment="1">
      <alignment horizontal="center" vertical="center"/>
    </xf>
    <xf numFmtId="2" fontId="2394" fillId="8" borderId="1" xfId="0" applyNumberFormat="1" applyFont="1" applyFill="1" applyBorder="1" applyAlignment="1">
      <alignment horizontal="center" vertical="center"/>
    </xf>
    <xf numFmtId="2" fontId="2395" fillId="8" borderId="1" xfId="0" applyNumberFormat="1" applyFont="1" applyFill="1" applyBorder="1" applyAlignment="1">
      <alignment horizontal="center" vertical="center"/>
    </xf>
    <xf numFmtId="2" fontId="2396" fillId="8" borderId="1" xfId="0" applyNumberFormat="1" applyFont="1" applyFill="1" applyBorder="1" applyAlignment="1">
      <alignment horizontal="center" vertical="center"/>
    </xf>
    <xf numFmtId="2" fontId="2397" fillId="8" borderId="1" xfId="0" applyNumberFormat="1" applyFont="1" applyFill="1" applyBorder="1" applyAlignment="1">
      <alignment horizontal="center" vertical="center"/>
    </xf>
    <xf numFmtId="2" fontId="2398" fillId="8" borderId="1" xfId="0" applyNumberFormat="1" applyFont="1" applyFill="1" applyBorder="1" applyAlignment="1">
      <alignment horizontal="center" vertical="center"/>
    </xf>
    <xf numFmtId="2" fontId="2399" fillId="8" borderId="1" xfId="0" applyNumberFormat="1" applyFont="1" applyFill="1" applyBorder="1" applyAlignment="1">
      <alignment horizontal="center" vertical="center"/>
    </xf>
    <xf numFmtId="2" fontId="2400" fillId="8" borderId="1" xfId="0" applyNumberFormat="1" applyFont="1" applyFill="1" applyBorder="1" applyAlignment="1">
      <alignment horizontal="center" vertical="center"/>
    </xf>
    <xf numFmtId="2" fontId="2401" fillId="8" borderId="1" xfId="0" applyNumberFormat="1" applyFont="1" applyFill="1" applyBorder="1" applyAlignment="1">
      <alignment horizontal="center" vertical="center"/>
    </xf>
    <xf numFmtId="2" fontId="2402" fillId="8" borderId="1" xfId="0" applyNumberFormat="1" applyFont="1" applyFill="1" applyBorder="1" applyAlignment="1">
      <alignment horizontal="center" vertical="center"/>
    </xf>
    <xf numFmtId="2" fontId="2403" fillId="8" borderId="1" xfId="0" applyNumberFormat="1" applyFont="1" applyFill="1" applyBorder="1" applyAlignment="1">
      <alignment horizontal="center" vertical="center"/>
    </xf>
    <xf numFmtId="2" fontId="2404" fillId="8" borderId="1" xfId="0" applyNumberFormat="1" applyFont="1" applyFill="1" applyBorder="1" applyAlignment="1">
      <alignment horizontal="center" vertical="center"/>
    </xf>
    <xf numFmtId="2" fontId="2405" fillId="8" borderId="1" xfId="0" applyNumberFormat="1" applyFont="1" applyFill="1" applyBorder="1" applyAlignment="1">
      <alignment horizontal="center" vertical="center"/>
    </xf>
    <xf numFmtId="2" fontId="2406" fillId="8" borderId="1" xfId="0" applyNumberFormat="1" applyFont="1" applyFill="1" applyBorder="1" applyAlignment="1">
      <alignment horizontal="center" vertical="center"/>
    </xf>
    <xf numFmtId="2" fontId="2407" fillId="8" borderId="1" xfId="0" applyNumberFormat="1" applyFont="1" applyFill="1" applyBorder="1" applyAlignment="1">
      <alignment horizontal="center" vertical="center"/>
    </xf>
    <xf numFmtId="2" fontId="2408" fillId="8" borderId="1" xfId="0" applyNumberFormat="1" applyFont="1" applyFill="1" applyBorder="1" applyAlignment="1">
      <alignment horizontal="center" vertical="center"/>
    </xf>
    <xf numFmtId="2" fontId="2409" fillId="8" borderId="1" xfId="0" applyNumberFormat="1" applyFont="1" applyFill="1" applyBorder="1" applyAlignment="1">
      <alignment horizontal="center" vertical="center"/>
    </xf>
    <xf numFmtId="2" fontId="2410" fillId="8" borderId="1" xfId="0" applyNumberFormat="1" applyFont="1" applyFill="1" applyBorder="1" applyAlignment="1">
      <alignment horizontal="center" vertical="center"/>
    </xf>
    <xf numFmtId="2" fontId="2411" fillId="8" borderId="1" xfId="0" applyNumberFormat="1" applyFont="1" applyFill="1" applyBorder="1" applyAlignment="1">
      <alignment horizontal="center" vertical="center"/>
    </xf>
    <xf numFmtId="2" fontId="2412" fillId="8" borderId="1" xfId="0" applyNumberFormat="1" applyFont="1" applyFill="1" applyBorder="1" applyAlignment="1">
      <alignment horizontal="center" vertical="center"/>
    </xf>
    <xf numFmtId="2" fontId="2413" fillId="8" borderId="1" xfId="0" applyNumberFormat="1" applyFont="1" applyFill="1" applyBorder="1" applyAlignment="1">
      <alignment horizontal="center" vertical="center"/>
    </xf>
    <xf numFmtId="2" fontId="2414" fillId="8" borderId="1" xfId="0" applyNumberFormat="1" applyFont="1" applyFill="1" applyBorder="1" applyAlignment="1">
      <alignment horizontal="center" vertical="center"/>
    </xf>
    <xf numFmtId="2" fontId="2415" fillId="8" borderId="1" xfId="0" applyNumberFormat="1" applyFont="1" applyFill="1" applyBorder="1" applyAlignment="1">
      <alignment horizontal="center" vertical="center"/>
    </xf>
    <xf numFmtId="2" fontId="2416" fillId="8" borderId="1" xfId="0" applyNumberFormat="1" applyFont="1" applyFill="1" applyBorder="1" applyAlignment="1">
      <alignment horizontal="center" vertical="center"/>
    </xf>
    <xf numFmtId="2" fontId="2417" fillId="8" borderId="1" xfId="0" applyNumberFormat="1" applyFont="1" applyFill="1" applyBorder="1" applyAlignment="1">
      <alignment horizontal="center" vertical="center"/>
    </xf>
    <xf numFmtId="2" fontId="2418" fillId="8" borderId="1" xfId="0" applyNumberFormat="1" applyFont="1" applyFill="1" applyBorder="1" applyAlignment="1">
      <alignment horizontal="center" vertical="center"/>
    </xf>
    <xf numFmtId="0" fontId="2419" fillId="7" borderId="1" xfId="0" applyNumberFormat="1" applyFont="1" applyFill="1" applyBorder="1" applyAlignment="1">
      <alignment horizontal="left" vertical="center"/>
    </xf>
    <xf numFmtId="0" fontId="2420" fillId="8" borderId="1" xfId="0" applyNumberFormat="1" applyFont="1" applyFill="1" applyBorder="1" applyAlignment="1">
      <alignment horizontal="center" vertical="center"/>
    </xf>
    <xf numFmtId="164" fontId="2421" fillId="8" borderId="1" xfId="0" applyNumberFormat="1" applyFont="1" applyFill="1" applyBorder="1" applyAlignment="1">
      <alignment horizontal="center" vertical="center"/>
    </xf>
    <xf numFmtId="1" fontId="2422" fillId="8" borderId="1" xfId="0" applyNumberFormat="1" applyFont="1" applyFill="1" applyBorder="1" applyAlignment="1">
      <alignment horizontal="center" vertical="center"/>
    </xf>
    <xf numFmtId="1" fontId="2423" fillId="8" borderId="1" xfId="0" applyNumberFormat="1" applyFont="1" applyFill="1" applyBorder="1" applyAlignment="1">
      <alignment horizontal="center" vertical="center"/>
    </xf>
    <xf numFmtId="1" fontId="2424" fillId="8" borderId="1" xfId="0" applyNumberFormat="1" applyFont="1" applyFill="1" applyBorder="1" applyAlignment="1">
      <alignment horizontal="center" vertical="center"/>
    </xf>
    <xf numFmtId="1" fontId="2425" fillId="8" borderId="1" xfId="0" applyNumberFormat="1" applyFont="1" applyFill="1" applyBorder="1" applyAlignment="1">
      <alignment horizontal="center" vertical="center"/>
    </xf>
    <xf numFmtId="1" fontId="2426" fillId="8" borderId="1" xfId="0" applyNumberFormat="1" applyFont="1" applyFill="1" applyBorder="1" applyAlignment="1">
      <alignment horizontal="center" vertical="center"/>
    </xf>
    <xf numFmtId="1" fontId="2427" fillId="8" borderId="1" xfId="0" applyNumberFormat="1" applyFont="1" applyFill="1" applyBorder="1" applyAlignment="1">
      <alignment horizontal="center" vertical="center"/>
    </xf>
    <xf numFmtId="1" fontId="2428" fillId="8" borderId="1" xfId="0" applyNumberFormat="1" applyFont="1" applyFill="1" applyBorder="1" applyAlignment="1">
      <alignment horizontal="center" vertical="center"/>
    </xf>
    <xf numFmtId="0" fontId="2429" fillId="8" borderId="1" xfId="0" applyNumberFormat="1" applyFont="1" applyFill="1" applyBorder="1" applyAlignment="1">
      <alignment horizontal="center" vertical="center"/>
    </xf>
    <xf numFmtId="0" fontId="2430" fillId="8" borderId="1" xfId="0" applyNumberFormat="1" applyFont="1" applyFill="1" applyBorder="1" applyAlignment="1">
      <alignment horizontal="center" vertical="center"/>
    </xf>
    <xf numFmtId="1" fontId="2431" fillId="8" borderId="1" xfId="0" applyNumberFormat="1" applyFont="1" applyFill="1" applyBorder="1" applyAlignment="1">
      <alignment horizontal="center" vertical="center"/>
    </xf>
    <xf numFmtId="1" fontId="2432" fillId="8" borderId="1" xfId="0" applyNumberFormat="1" applyFont="1" applyFill="1" applyBorder="1" applyAlignment="1">
      <alignment horizontal="center" vertical="center"/>
    </xf>
    <xf numFmtId="1" fontId="2433" fillId="8" borderId="1" xfId="0" applyNumberFormat="1" applyFont="1" applyFill="1" applyBorder="1" applyAlignment="1">
      <alignment horizontal="center" vertical="center"/>
    </xf>
    <xf numFmtId="165" fontId="2434" fillId="8" borderId="1" xfId="0" applyNumberFormat="1" applyFont="1" applyFill="1" applyBorder="1" applyAlignment="1">
      <alignment horizontal="center" vertical="center"/>
    </xf>
    <xf numFmtId="1" fontId="2435" fillId="8" borderId="1" xfId="0" applyNumberFormat="1" applyFont="1" applyFill="1" applyBorder="1" applyAlignment="1">
      <alignment horizontal="center" vertical="center"/>
    </xf>
    <xf numFmtId="165" fontId="2436" fillId="8" borderId="1" xfId="0" applyNumberFormat="1" applyFont="1" applyFill="1" applyBorder="1" applyAlignment="1">
      <alignment horizontal="center" vertical="center"/>
    </xf>
    <xf numFmtId="1" fontId="2437" fillId="8" borderId="1" xfId="0" applyNumberFormat="1" applyFont="1" applyFill="1" applyBorder="1" applyAlignment="1">
      <alignment horizontal="center" vertical="center"/>
    </xf>
    <xf numFmtId="165" fontId="2438" fillId="8" borderId="1" xfId="0" applyNumberFormat="1" applyFont="1" applyFill="1" applyBorder="1" applyAlignment="1">
      <alignment horizontal="center" vertical="center"/>
    </xf>
    <xf numFmtId="1" fontId="2439" fillId="8" borderId="1" xfId="0" applyNumberFormat="1" applyFont="1" applyFill="1" applyBorder="1" applyAlignment="1">
      <alignment horizontal="center" vertical="center"/>
    </xf>
    <xf numFmtId="165" fontId="2440" fillId="8" borderId="1" xfId="0" applyNumberFormat="1" applyFont="1" applyFill="1" applyBorder="1" applyAlignment="1">
      <alignment horizontal="center" vertical="center"/>
    </xf>
    <xf numFmtId="165" fontId="2441" fillId="8" borderId="1" xfId="0" applyNumberFormat="1" applyFont="1" applyFill="1" applyBorder="1" applyAlignment="1">
      <alignment horizontal="center" vertical="center"/>
    </xf>
    <xf numFmtId="1" fontId="2442" fillId="8" borderId="1" xfId="0" applyNumberFormat="1" applyFont="1" applyFill="1" applyBorder="1" applyAlignment="1">
      <alignment horizontal="center" vertical="center"/>
    </xf>
    <xf numFmtId="1" fontId="2443" fillId="8" borderId="1" xfId="0" applyNumberFormat="1" applyFont="1" applyFill="1" applyBorder="1" applyAlignment="1">
      <alignment horizontal="center" vertical="center"/>
    </xf>
    <xf numFmtId="1" fontId="2444" fillId="8" borderId="1" xfId="0" applyNumberFormat="1" applyFont="1" applyFill="1" applyBorder="1" applyAlignment="1">
      <alignment horizontal="center" vertical="center"/>
    </xf>
    <xf numFmtId="165" fontId="2445" fillId="8" borderId="1" xfId="0" applyNumberFormat="1" applyFont="1" applyFill="1" applyBorder="1" applyAlignment="1">
      <alignment horizontal="center" vertical="center"/>
    </xf>
    <xf numFmtId="164" fontId="2446" fillId="8" borderId="1" xfId="0" applyNumberFormat="1" applyFont="1" applyFill="1" applyBorder="1" applyAlignment="1">
      <alignment horizontal="center" vertical="center"/>
    </xf>
    <xf numFmtId="164" fontId="2447" fillId="8" borderId="1" xfId="0" applyNumberFormat="1" applyFont="1" applyFill="1" applyBorder="1" applyAlignment="1">
      <alignment horizontal="center" vertical="center"/>
    </xf>
    <xf numFmtId="1" fontId="2448" fillId="8" borderId="1" xfId="0" applyNumberFormat="1" applyFont="1" applyFill="1" applyBorder="1" applyAlignment="1">
      <alignment horizontal="center" vertical="center"/>
    </xf>
    <xf numFmtId="1" fontId="2449" fillId="8" borderId="1" xfId="0" applyNumberFormat="1" applyFont="1" applyFill="1" applyBorder="1" applyAlignment="1">
      <alignment horizontal="center" vertical="center"/>
    </xf>
    <xf numFmtId="1" fontId="2450" fillId="8" borderId="1" xfId="0" applyNumberFormat="1" applyFont="1" applyFill="1" applyBorder="1" applyAlignment="1">
      <alignment horizontal="center" vertical="center"/>
    </xf>
    <xf numFmtId="165" fontId="2451" fillId="8" borderId="1" xfId="0" applyNumberFormat="1" applyFont="1" applyFill="1" applyBorder="1" applyAlignment="1">
      <alignment horizontal="center" vertical="center"/>
    </xf>
    <xf numFmtId="1" fontId="2452" fillId="8" borderId="1" xfId="0" applyNumberFormat="1" applyFont="1" applyFill="1" applyBorder="1" applyAlignment="1">
      <alignment horizontal="center" vertical="center"/>
    </xf>
    <xf numFmtId="165" fontId="2453" fillId="8" borderId="1" xfId="0" applyNumberFormat="1" applyFont="1" applyFill="1" applyBorder="1" applyAlignment="1">
      <alignment horizontal="center" vertical="center"/>
    </xf>
    <xf numFmtId="1" fontId="2454" fillId="8" borderId="1" xfId="0" applyNumberFormat="1" applyFont="1" applyFill="1" applyBorder="1" applyAlignment="1">
      <alignment horizontal="center" vertical="center"/>
    </xf>
    <xf numFmtId="1" fontId="2455" fillId="8" borderId="1" xfId="0" applyNumberFormat="1" applyFont="1" applyFill="1" applyBorder="1" applyAlignment="1">
      <alignment horizontal="center" vertical="center"/>
    </xf>
    <xf numFmtId="1" fontId="2456" fillId="8" borderId="1" xfId="0" applyNumberFormat="1" applyFont="1" applyFill="1" applyBorder="1" applyAlignment="1">
      <alignment horizontal="center" vertical="center"/>
    </xf>
    <xf numFmtId="1" fontId="2457" fillId="8" borderId="1" xfId="0" applyNumberFormat="1" applyFont="1" applyFill="1" applyBorder="1" applyAlignment="1">
      <alignment horizontal="center" vertical="center"/>
    </xf>
    <xf numFmtId="165" fontId="2458" fillId="8" borderId="1" xfId="0" applyNumberFormat="1" applyFont="1" applyFill="1" applyBorder="1" applyAlignment="1">
      <alignment horizontal="center" vertical="center"/>
    </xf>
    <xf numFmtId="1" fontId="2459" fillId="8" borderId="1" xfId="0" applyNumberFormat="1" applyFont="1" applyFill="1" applyBorder="1" applyAlignment="1">
      <alignment horizontal="center" vertical="center"/>
    </xf>
    <xf numFmtId="165" fontId="2460" fillId="8" borderId="1" xfId="0" applyNumberFormat="1" applyFont="1" applyFill="1" applyBorder="1" applyAlignment="1">
      <alignment horizontal="center" vertical="center"/>
    </xf>
    <xf numFmtId="1" fontId="2461" fillId="8" borderId="1" xfId="0" applyNumberFormat="1" applyFont="1" applyFill="1" applyBorder="1" applyAlignment="1">
      <alignment horizontal="center" vertical="center"/>
    </xf>
    <xf numFmtId="165" fontId="2462" fillId="8" borderId="1" xfId="0" applyNumberFormat="1" applyFont="1" applyFill="1" applyBorder="1" applyAlignment="1">
      <alignment horizontal="center" vertical="center"/>
    </xf>
    <xf numFmtId="2" fontId="2463" fillId="8" borderId="1" xfId="0" applyNumberFormat="1" applyFont="1" applyFill="1" applyBorder="1" applyAlignment="1">
      <alignment horizontal="center" vertical="center"/>
    </xf>
    <xf numFmtId="2" fontId="2464" fillId="8" borderId="1" xfId="0" applyNumberFormat="1" applyFont="1" applyFill="1" applyBorder="1" applyAlignment="1">
      <alignment horizontal="center" vertical="center"/>
    </xf>
    <xf numFmtId="2" fontId="2465" fillId="8" borderId="1" xfId="0" applyNumberFormat="1" applyFont="1" applyFill="1" applyBorder="1" applyAlignment="1">
      <alignment horizontal="center" vertical="center"/>
    </xf>
    <xf numFmtId="2" fontId="2466" fillId="8" borderId="1" xfId="0" applyNumberFormat="1" applyFont="1" applyFill="1" applyBorder="1" applyAlignment="1">
      <alignment horizontal="center" vertical="center"/>
    </xf>
    <xf numFmtId="2" fontId="2467" fillId="8" borderId="1" xfId="0" applyNumberFormat="1" applyFont="1" applyFill="1" applyBorder="1" applyAlignment="1">
      <alignment horizontal="center" vertical="center"/>
    </xf>
    <xf numFmtId="2" fontId="2468" fillId="8" borderId="1" xfId="0" applyNumberFormat="1" applyFont="1" applyFill="1" applyBorder="1" applyAlignment="1">
      <alignment horizontal="center" vertical="center"/>
    </xf>
    <xf numFmtId="2" fontId="2469" fillId="8" borderId="1" xfId="0" applyNumberFormat="1" applyFont="1" applyFill="1" applyBorder="1" applyAlignment="1">
      <alignment horizontal="center" vertical="center"/>
    </xf>
    <xf numFmtId="2" fontId="2470" fillId="8" borderId="1" xfId="0" applyNumberFormat="1" applyFont="1" applyFill="1" applyBorder="1" applyAlignment="1">
      <alignment horizontal="center" vertical="center"/>
    </xf>
    <xf numFmtId="2" fontId="2471" fillId="8" borderId="1" xfId="0" applyNumberFormat="1" applyFont="1" applyFill="1" applyBorder="1" applyAlignment="1">
      <alignment horizontal="center" vertical="center"/>
    </xf>
    <xf numFmtId="2" fontId="2472" fillId="8" borderId="1" xfId="0" applyNumberFormat="1" applyFont="1" applyFill="1" applyBorder="1" applyAlignment="1">
      <alignment horizontal="center" vertical="center"/>
    </xf>
    <xf numFmtId="2" fontId="2473" fillId="8" borderId="1" xfId="0" applyNumberFormat="1" applyFont="1" applyFill="1" applyBorder="1" applyAlignment="1">
      <alignment horizontal="center" vertical="center"/>
    </xf>
    <xf numFmtId="2" fontId="2474" fillId="8" borderId="1" xfId="0" applyNumberFormat="1" applyFont="1" applyFill="1" applyBorder="1" applyAlignment="1">
      <alignment horizontal="center" vertical="center"/>
    </xf>
    <xf numFmtId="2" fontId="2475" fillId="8" borderId="1" xfId="0" applyNumberFormat="1" applyFont="1" applyFill="1" applyBorder="1" applyAlignment="1">
      <alignment horizontal="center" vertical="center"/>
    </xf>
    <xf numFmtId="2" fontId="2476" fillId="8" borderId="1" xfId="0" applyNumberFormat="1" applyFont="1" applyFill="1" applyBorder="1" applyAlignment="1">
      <alignment horizontal="center" vertical="center"/>
    </xf>
    <xf numFmtId="2" fontId="2477" fillId="8" borderId="1" xfId="0" applyNumberFormat="1" applyFont="1" applyFill="1" applyBorder="1" applyAlignment="1">
      <alignment horizontal="center" vertical="center"/>
    </xf>
    <xf numFmtId="2" fontId="2478" fillId="8" borderId="1" xfId="0" applyNumberFormat="1" applyFont="1" applyFill="1" applyBorder="1" applyAlignment="1">
      <alignment horizontal="center" vertical="center"/>
    </xf>
    <xf numFmtId="2" fontId="2479" fillId="8" borderId="1" xfId="0" applyNumberFormat="1" applyFont="1" applyFill="1" applyBorder="1" applyAlignment="1">
      <alignment horizontal="center" vertical="center"/>
    </xf>
    <xf numFmtId="2" fontId="2480" fillId="8" borderId="1" xfId="0" applyNumberFormat="1" applyFont="1" applyFill="1" applyBorder="1" applyAlignment="1">
      <alignment horizontal="center" vertical="center"/>
    </xf>
    <xf numFmtId="2" fontId="2481" fillId="8" borderId="1" xfId="0" applyNumberFormat="1" applyFont="1" applyFill="1" applyBorder="1" applyAlignment="1">
      <alignment horizontal="center" vertical="center"/>
    </xf>
    <xf numFmtId="2" fontId="2482" fillId="8" borderId="1" xfId="0" applyNumberFormat="1" applyFont="1" applyFill="1" applyBorder="1" applyAlignment="1">
      <alignment horizontal="center" vertical="center"/>
    </xf>
    <xf numFmtId="2" fontId="2483" fillId="8" borderId="1" xfId="0" applyNumberFormat="1" applyFont="1" applyFill="1" applyBorder="1" applyAlignment="1">
      <alignment horizontal="center" vertical="center"/>
    </xf>
    <xf numFmtId="2" fontId="2484" fillId="8" borderId="1" xfId="0" applyNumberFormat="1" applyFont="1" applyFill="1" applyBorder="1" applyAlignment="1">
      <alignment horizontal="center" vertical="center"/>
    </xf>
    <xf numFmtId="2" fontId="2485" fillId="8" borderId="1" xfId="0" applyNumberFormat="1" applyFont="1" applyFill="1" applyBorder="1" applyAlignment="1">
      <alignment horizontal="center" vertical="center"/>
    </xf>
    <xf numFmtId="2" fontId="2486" fillId="8" borderId="1" xfId="0" applyNumberFormat="1" applyFont="1" applyFill="1" applyBorder="1" applyAlignment="1">
      <alignment horizontal="center" vertical="center"/>
    </xf>
    <xf numFmtId="2" fontId="2487" fillId="8" borderId="1" xfId="0" applyNumberFormat="1" applyFont="1" applyFill="1" applyBorder="1" applyAlignment="1">
      <alignment horizontal="center" vertical="center"/>
    </xf>
    <xf numFmtId="2" fontId="2488" fillId="8" borderId="1" xfId="0" applyNumberFormat="1" applyFont="1" applyFill="1" applyBorder="1" applyAlignment="1">
      <alignment horizontal="center" vertical="center"/>
    </xf>
    <xf numFmtId="2" fontId="2489" fillId="8" borderId="1" xfId="0" applyNumberFormat="1" applyFont="1" applyFill="1" applyBorder="1" applyAlignment="1">
      <alignment horizontal="center" vertical="center"/>
    </xf>
    <xf numFmtId="2" fontId="2490" fillId="8" borderId="1" xfId="0" applyNumberFormat="1" applyFont="1" applyFill="1" applyBorder="1" applyAlignment="1">
      <alignment horizontal="center" vertical="center"/>
    </xf>
    <xf numFmtId="2" fontId="2491" fillId="8" borderId="1" xfId="0" applyNumberFormat="1" applyFont="1" applyFill="1" applyBorder="1" applyAlignment="1">
      <alignment horizontal="center" vertical="center"/>
    </xf>
    <xf numFmtId="2" fontId="2492" fillId="8" borderId="1" xfId="0" applyNumberFormat="1" applyFont="1" applyFill="1" applyBorder="1" applyAlignment="1">
      <alignment horizontal="center" vertical="center"/>
    </xf>
    <xf numFmtId="2" fontId="2493" fillId="8" borderId="1" xfId="0" applyNumberFormat="1" applyFont="1" applyFill="1" applyBorder="1" applyAlignment="1">
      <alignment horizontal="center" vertical="center"/>
    </xf>
    <xf numFmtId="2" fontId="2494" fillId="8" borderId="1" xfId="0" applyNumberFormat="1" applyFont="1" applyFill="1" applyBorder="1" applyAlignment="1">
      <alignment horizontal="center" vertical="center"/>
    </xf>
    <xf numFmtId="2" fontId="2495" fillId="8" borderId="1" xfId="0" applyNumberFormat="1" applyFont="1" applyFill="1" applyBorder="1" applyAlignment="1">
      <alignment horizontal="center" vertical="center"/>
    </xf>
    <xf numFmtId="2" fontId="2496" fillId="8" borderId="1" xfId="0" applyNumberFormat="1" applyFont="1" applyFill="1" applyBorder="1" applyAlignment="1">
      <alignment horizontal="center" vertical="center"/>
    </xf>
    <xf numFmtId="0" fontId="2497" fillId="7" borderId="1" xfId="0" applyNumberFormat="1" applyFont="1" applyFill="1" applyBorder="1" applyAlignment="1">
      <alignment horizontal="left" vertical="center"/>
    </xf>
    <xf numFmtId="0" fontId="2498" fillId="8" borderId="1" xfId="0" applyNumberFormat="1" applyFont="1" applyFill="1" applyBorder="1" applyAlignment="1">
      <alignment horizontal="center" vertical="center"/>
    </xf>
    <xf numFmtId="164" fontId="2499" fillId="8" borderId="1" xfId="0" applyNumberFormat="1" applyFont="1" applyFill="1" applyBorder="1" applyAlignment="1">
      <alignment horizontal="center" vertical="center"/>
    </xf>
    <xf numFmtId="1" fontId="2500" fillId="8" borderId="1" xfId="0" applyNumberFormat="1" applyFont="1" applyFill="1" applyBorder="1" applyAlignment="1">
      <alignment horizontal="center" vertical="center"/>
    </xf>
    <xf numFmtId="1" fontId="2501" fillId="8" borderId="1" xfId="0" applyNumberFormat="1" applyFont="1" applyFill="1" applyBorder="1" applyAlignment="1">
      <alignment horizontal="center" vertical="center"/>
    </xf>
    <xf numFmtId="1" fontId="2502" fillId="8" borderId="1" xfId="0" applyNumberFormat="1" applyFont="1" applyFill="1" applyBorder="1" applyAlignment="1">
      <alignment horizontal="center" vertical="center"/>
    </xf>
    <xf numFmtId="1" fontId="2503" fillId="8" borderId="1" xfId="0" applyNumberFormat="1" applyFont="1" applyFill="1" applyBorder="1" applyAlignment="1">
      <alignment horizontal="center" vertical="center"/>
    </xf>
    <xf numFmtId="1" fontId="2504" fillId="8" borderId="1" xfId="0" applyNumberFormat="1" applyFont="1" applyFill="1" applyBorder="1" applyAlignment="1">
      <alignment horizontal="center" vertical="center"/>
    </xf>
    <xf numFmtId="1" fontId="2505" fillId="8" borderId="1" xfId="0" applyNumberFormat="1" applyFont="1" applyFill="1" applyBorder="1" applyAlignment="1">
      <alignment horizontal="center" vertical="center"/>
    </xf>
    <xf numFmtId="1" fontId="2506" fillId="8" borderId="1" xfId="0" applyNumberFormat="1" applyFont="1" applyFill="1" applyBorder="1" applyAlignment="1">
      <alignment horizontal="center" vertical="center"/>
    </xf>
    <xf numFmtId="0" fontId="2507" fillId="8" borderId="1" xfId="0" applyNumberFormat="1" applyFont="1" applyFill="1" applyBorder="1" applyAlignment="1">
      <alignment horizontal="center" vertical="center"/>
    </xf>
    <xf numFmtId="0" fontId="2508" fillId="8" borderId="1" xfId="0" applyNumberFormat="1" applyFont="1" applyFill="1" applyBorder="1" applyAlignment="1">
      <alignment horizontal="center" vertical="center"/>
    </xf>
    <xf numFmtId="1" fontId="2509" fillId="8" borderId="1" xfId="0" applyNumberFormat="1" applyFont="1" applyFill="1" applyBorder="1" applyAlignment="1">
      <alignment horizontal="center" vertical="center"/>
    </xf>
    <xf numFmtId="1" fontId="2510" fillId="8" borderId="1" xfId="0" applyNumberFormat="1" applyFont="1" applyFill="1" applyBorder="1" applyAlignment="1">
      <alignment horizontal="center" vertical="center"/>
    </xf>
    <xf numFmtId="1" fontId="2511" fillId="8" borderId="1" xfId="0" applyNumberFormat="1" applyFont="1" applyFill="1" applyBorder="1" applyAlignment="1">
      <alignment horizontal="center" vertical="center"/>
    </xf>
    <xf numFmtId="165" fontId="2512" fillId="8" borderId="1" xfId="0" applyNumberFormat="1" applyFont="1" applyFill="1" applyBorder="1" applyAlignment="1">
      <alignment horizontal="center" vertical="center"/>
    </xf>
    <xf numFmtId="1" fontId="2513" fillId="8" borderId="1" xfId="0" applyNumberFormat="1" applyFont="1" applyFill="1" applyBorder="1" applyAlignment="1">
      <alignment horizontal="center" vertical="center"/>
    </xf>
    <xf numFmtId="165" fontId="2514" fillId="8" borderId="1" xfId="0" applyNumberFormat="1" applyFont="1" applyFill="1" applyBorder="1" applyAlignment="1">
      <alignment horizontal="center" vertical="center"/>
    </xf>
    <xf numFmtId="1" fontId="2515" fillId="8" borderId="1" xfId="0" applyNumberFormat="1" applyFont="1" applyFill="1" applyBorder="1" applyAlignment="1">
      <alignment horizontal="center" vertical="center"/>
    </xf>
    <xf numFmtId="165" fontId="2516" fillId="8" borderId="1" xfId="0" applyNumberFormat="1" applyFont="1" applyFill="1" applyBorder="1" applyAlignment="1">
      <alignment horizontal="center" vertical="center"/>
    </xf>
    <xf numFmtId="1" fontId="2517" fillId="8" borderId="1" xfId="0" applyNumberFormat="1" applyFont="1" applyFill="1" applyBorder="1" applyAlignment="1">
      <alignment horizontal="center" vertical="center"/>
    </xf>
    <xf numFmtId="165" fontId="2518" fillId="8" borderId="1" xfId="0" applyNumberFormat="1" applyFont="1" applyFill="1" applyBorder="1" applyAlignment="1">
      <alignment horizontal="center" vertical="center"/>
    </xf>
    <xf numFmtId="165" fontId="2519" fillId="8" borderId="1" xfId="0" applyNumberFormat="1" applyFont="1" applyFill="1" applyBorder="1" applyAlignment="1">
      <alignment horizontal="center" vertical="center"/>
    </xf>
    <xf numFmtId="1" fontId="2520" fillId="8" borderId="1" xfId="0" applyNumberFormat="1" applyFont="1" applyFill="1" applyBorder="1" applyAlignment="1">
      <alignment horizontal="center" vertical="center"/>
    </xf>
    <xf numFmtId="1" fontId="2521" fillId="8" borderId="1" xfId="0" applyNumberFormat="1" applyFont="1" applyFill="1" applyBorder="1" applyAlignment="1">
      <alignment horizontal="center" vertical="center"/>
    </xf>
    <xf numFmtId="1" fontId="2522" fillId="8" borderId="1" xfId="0" applyNumberFormat="1" applyFont="1" applyFill="1" applyBorder="1" applyAlignment="1">
      <alignment horizontal="center" vertical="center"/>
    </xf>
    <xf numFmtId="165" fontId="2523" fillId="8" borderId="1" xfId="0" applyNumberFormat="1" applyFont="1" applyFill="1" applyBorder="1" applyAlignment="1">
      <alignment horizontal="center" vertical="center"/>
    </xf>
    <xf numFmtId="164" fontId="2524" fillId="8" borderId="1" xfId="0" applyNumberFormat="1" applyFont="1" applyFill="1" applyBorder="1" applyAlignment="1">
      <alignment horizontal="center" vertical="center"/>
    </xf>
    <xf numFmtId="164" fontId="2525" fillId="8" borderId="1" xfId="0" applyNumberFormat="1" applyFont="1" applyFill="1" applyBorder="1" applyAlignment="1">
      <alignment horizontal="center" vertical="center"/>
    </xf>
    <xf numFmtId="1" fontId="2526" fillId="8" borderId="1" xfId="0" applyNumberFormat="1" applyFont="1" applyFill="1" applyBorder="1" applyAlignment="1">
      <alignment horizontal="center" vertical="center"/>
    </xf>
    <xf numFmtId="1" fontId="2527" fillId="8" borderId="1" xfId="0" applyNumberFormat="1" applyFont="1" applyFill="1" applyBorder="1" applyAlignment="1">
      <alignment horizontal="center" vertical="center"/>
    </xf>
    <xf numFmtId="1" fontId="2528" fillId="8" borderId="1" xfId="0" applyNumberFormat="1" applyFont="1" applyFill="1" applyBorder="1" applyAlignment="1">
      <alignment horizontal="center" vertical="center"/>
    </xf>
    <xf numFmtId="165" fontId="2529" fillId="8" borderId="1" xfId="0" applyNumberFormat="1" applyFont="1" applyFill="1" applyBorder="1" applyAlignment="1">
      <alignment horizontal="center" vertical="center"/>
    </xf>
    <xf numFmtId="1" fontId="2530" fillId="8" borderId="1" xfId="0" applyNumberFormat="1" applyFont="1" applyFill="1" applyBorder="1" applyAlignment="1">
      <alignment horizontal="center" vertical="center"/>
    </xf>
    <xf numFmtId="165" fontId="2531" fillId="8" borderId="1" xfId="0" applyNumberFormat="1" applyFont="1" applyFill="1" applyBorder="1" applyAlignment="1">
      <alignment horizontal="center" vertical="center"/>
    </xf>
    <xf numFmtId="1" fontId="2532" fillId="8" borderId="1" xfId="0" applyNumberFormat="1" applyFont="1" applyFill="1" applyBorder="1" applyAlignment="1">
      <alignment horizontal="center" vertical="center"/>
    </xf>
    <xf numFmtId="1" fontId="2533" fillId="8" borderId="1" xfId="0" applyNumberFormat="1" applyFont="1" applyFill="1" applyBorder="1" applyAlignment="1">
      <alignment horizontal="center" vertical="center"/>
    </xf>
    <xf numFmtId="1" fontId="2534" fillId="8" borderId="1" xfId="0" applyNumberFormat="1" applyFont="1" applyFill="1" applyBorder="1" applyAlignment="1">
      <alignment horizontal="center" vertical="center"/>
    </xf>
    <xf numFmtId="1" fontId="2535" fillId="8" borderId="1" xfId="0" applyNumberFormat="1" applyFont="1" applyFill="1" applyBorder="1" applyAlignment="1">
      <alignment horizontal="center" vertical="center"/>
    </xf>
    <xf numFmtId="165" fontId="2536" fillId="8" borderId="1" xfId="0" applyNumberFormat="1" applyFont="1" applyFill="1" applyBorder="1" applyAlignment="1">
      <alignment horizontal="center" vertical="center"/>
    </xf>
    <xf numFmtId="1" fontId="2537" fillId="8" borderId="1" xfId="0" applyNumberFormat="1" applyFont="1" applyFill="1" applyBorder="1" applyAlignment="1">
      <alignment horizontal="center" vertical="center"/>
    </xf>
    <xf numFmtId="165" fontId="2538" fillId="8" borderId="1" xfId="0" applyNumberFormat="1" applyFont="1" applyFill="1" applyBorder="1" applyAlignment="1">
      <alignment horizontal="center" vertical="center"/>
    </xf>
    <xf numFmtId="1" fontId="2539" fillId="8" borderId="1" xfId="0" applyNumberFormat="1" applyFont="1" applyFill="1" applyBorder="1" applyAlignment="1">
      <alignment horizontal="center" vertical="center"/>
    </xf>
    <xf numFmtId="165" fontId="2540" fillId="8" borderId="1" xfId="0" applyNumberFormat="1" applyFont="1" applyFill="1" applyBorder="1" applyAlignment="1">
      <alignment horizontal="center" vertical="center"/>
    </xf>
    <xf numFmtId="2" fontId="2541" fillId="8" borderId="1" xfId="0" applyNumberFormat="1" applyFont="1" applyFill="1" applyBorder="1" applyAlignment="1">
      <alignment horizontal="center" vertical="center"/>
    </xf>
    <xf numFmtId="2" fontId="2542" fillId="8" borderId="1" xfId="0" applyNumberFormat="1" applyFont="1" applyFill="1" applyBorder="1" applyAlignment="1">
      <alignment horizontal="center" vertical="center"/>
    </xf>
    <xf numFmtId="2" fontId="2543" fillId="8" borderId="1" xfId="0" applyNumberFormat="1" applyFont="1" applyFill="1" applyBorder="1" applyAlignment="1">
      <alignment horizontal="center" vertical="center"/>
    </xf>
    <xf numFmtId="2" fontId="2544" fillId="8" borderId="1" xfId="0" applyNumberFormat="1" applyFont="1" applyFill="1" applyBorder="1" applyAlignment="1">
      <alignment horizontal="center" vertical="center"/>
    </xf>
    <xf numFmtId="2" fontId="2545" fillId="8" borderId="1" xfId="0" applyNumberFormat="1" applyFont="1" applyFill="1" applyBorder="1" applyAlignment="1">
      <alignment horizontal="center" vertical="center"/>
    </xf>
    <xf numFmtId="2" fontId="2546" fillId="8" borderId="1" xfId="0" applyNumberFormat="1" applyFont="1" applyFill="1" applyBorder="1" applyAlignment="1">
      <alignment horizontal="center" vertical="center"/>
    </xf>
    <xf numFmtId="2" fontId="2547" fillId="8" borderId="1" xfId="0" applyNumberFormat="1" applyFont="1" applyFill="1" applyBorder="1" applyAlignment="1">
      <alignment horizontal="center" vertical="center"/>
    </xf>
    <xf numFmtId="2" fontId="2548" fillId="8" borderId="1" xfId="0" applyNumberFormat="1" applyFont="1" applyFill="1" applyBorder="1" applyAlignment="1">
      <alignment horizontal="center" vertical="center"/>
    </xf>
    <xf numFmtId="2" fontId="2549" fillId="8" borderId="1" xfId="0" applyNumberFormat="1" applyFont="1" applyFill="1" applyBorder="1" applyAlignment="1">
      <alignment horizontal="center" vertical="center"/>
    </xf>
    <xf numFmtId="2" fontId="2550" fillId="8" borderId="1" xfId="0" applyNumberFormat="1" applyFont="1" applyFill="1" applyBorder="1" applyAlignment="1">
      <alignment horizontal="center" vertical="center"/>
    </xf>
    <xf numFmtId="2" fontId="2551" fillId="8" borderId="1" xfId="0" applyNumberFormat="1" applyFont="1" applyFill="1" applyBorder="1" applyAlignment="1">
      <alignment horizontal="center" vertical="center"/>
    </xf>
    <xf numFmtId="2" fontId="2552" fillId="8" borderId="1" xfId="0" applyNumberFormat="1" applyFont="1" applyFill="1" applyBorder="1" applyAlignment="1">
      <alignment horizontal="center" vertical="center"/>
    </xf>
    <xf numFmtId="2" fontId="2553" fillId="8" borderId="1" xfId="0" applyNumberFormat="1" applyFont="1" applyFill="1" applyBorder="1" applyAlignment="1">
      <alignment horizontal="center" vertical="center"/>
    </xf>
    <xf numFmtId="2" fontId="2554" fillId="8" borderId="1" xfId="0" applyNumberFormat="1" applyFont="1" applyFill="1" applyBorder="1" applyAlignment="1">
      <alignment horizontal="center" vertical="center"/>
    </xf>
    <xf numFmtId="2" fontId="2555" fillId="8" borderId="1" xfId="0" applyNumberFormat="1" applyFont="1" applyFill="1" applyBorder="1" applyAlignment="1">
      <alignment horizontal="center" vertical="center"/>
    </xf>
    <xf numFmtId="2" fontId="2556" fillId="8" borderId="1" xfId="0" applyNumberFormat="1" applyFont="1" applyFill="1" applyBorder="1" applyAlignment="1">
      <alignment horizontal="center" vertical="center"/>
    </xf>
    <xf numFmtId="2" fontId="2557" fillId="8" borderId="1" xfId="0" applyNumberFormat="1" applyFont="1" applyFill="1" applyBorder="1" applyAlignment="1">
      <alignment horizontal="center" vertical="center"/>
    </xf>
    <xf numFmtId="2" fontId="2558" fillId="8" borderId="1" xfId="0" applyNumberFormat="1" applyFont="1" applyFill="1" applyBorder="1" applyAlignment="1">
      <alignment horizontal="center" vertical="center"/>
    </xf>
    <xf numFmtId="2" fontId="2559" fillId="8" borderId="1" xfId="0" applyNumberFormat="1" applyFont="1" applyFill="1" applyBorder="1" applyAlignment="1">
      <alignment horizontal="center" vertical="center"/>
    </xf>
    <xf numFmtId="2" fontId="2560" fillId="8" borderId="1" xfId="0" applyNumberFormat="1" applyFont="1" applyFill="1" applyBorder="1" applyAlignment="1">
      <alignment horizontal="center" vertical="center"/>
    </xf>
    <xf numFmtId="2" fontId="2561" fillId="8" borderId="1" xfId="0" applyNumberFormat="1" applyFont="1" applyFill="1" applyBorder="1" applyAlignment="1">
      <alignment horizontal="center" vertical="center"/>
    </xf>
    <xf numFmtId="2" fontId="2562" fillId="8" borderId="1" xfId="0" applyNumberFormat="1" applyFont="1" applyFill="1" applyBorder="1" applyAlignment="1">
      <alignment horizontal="center" vertical="center"/>
    </xf>
    <xf numFmtId="2" fontId="2563" fillId="8" borderId="1" xfId="0" applyNumberFormat="1" applyFont="1" applyFill="1" applyBorder="1" applyAlignment="1">
      <alignment horizontal="center" vertical="center"/>
    </xf>
    <xf numFmtId="2" fontId="2564" fillId="8" borderId="1" xfId="0" applyNumberFormat="1" applyFont="1" applyFill="1" applyBorder="1" applyAlignment="1">
      <alignment horizontal="center" vertical="center"/>
    </xf>
    <xf numFmtId="2" fontId="2565" fillId="8" borderId="1" xfId="0" applyNumberFormat="1" applyFont="1" applyFill="1" applyBorder="1" applyAlignment="1">
      <alignment horizontal="center" vertical="center"/>
    </xf>
    <xf numFmtId="2" fontId="2566" fillId="8" borderId="1" xfId="0" applyNumberFormat="1" applyFont="1" applyFill="1" applyBorder="1" applyAlignment="1">
      <alignment horizontal="center" vertical="center"/>
    </xf>
    <xf numFmtId="2" fontId="2567" fillId="8" borderId="1" xfId="0" applyNumberFormat="1" applyFont="1" applyFill="1" applyBorder="1" applyAlignment="1">
      <alignment horizontal="center" vertical="center"/>
    </xf>
    <xf numFmtId="2" fontId="2568" fillId="8" borderId="1" xfId="0" applyNumberFormat="1" applyFont="1" applyFill="1" applyBorder="1" applyAlignment="1">
      <alignment horizontal="center" vertical="center"/>
    </xf>
    <xf numFmtId="2" fontId="2569" fillId="8" borderId="1" xfId="0" applyNumberFormat="1" applyFont="1" applyFill="1" applyBorder="1" applyAlignment="1">
      <alignment horizontal="center" vertical="center"/>
    </xf>
    <xf numFmtId="2" fontId="2570" fillId="8" borderId="1" xfId="0" applyNumberFormat="1" applyFont="1" applyFill="1" applyBorder="1" applyAlignment="1">
      <alignment horizontal="center" vertical="center"/>
    </xf>
    <xf numFmtId="2" fontId="2571" fillId="8" borderId="1" xfId="0" applyNumberFormat="1" applyFont="1" applyFill="1" applyBorder="1" applyAlignment="1">
      <alignment horizontal="center" vertical="center"/>
    </xf>
    <xf numFmtId="2" fontId="2572" fillId="8" borderId="1" xfId="0" applyNumberFormat="1" applyFont="1" applyFill="1" applyBorder="1" applyAlignment="1">
      <alignment horizontal="center" vertical="center"/>
    </xf>
    <xf numFmtId="2" fontId="2573" fillId="8" borderId="1" xfId="0" applyNumberFormat="1" applyFont="1" applyFill="1" applyBorder="1" applyAlignment="1">
      <alignment horizontal="center" vertical="center"/>
    </xf>
    <xf numFmtId="2" fontId="2574" fillId="8" borderId="1" xfId="0" applyNumberFormat="1" applyFont="1" applyFill="1" applyBorder="1" applyAlignment="1">
      <alignment horizontal="center" vertical="center"/>
    </xf>
    <xf numFmtId="0" fontId="2575" fillId="7" borderId="1" xfId="0" applyNumberFormat="1" applyFont="1" applyFill="1" applyBorder="1" applyAlignment="1">
      <alignment horizontal="left" vertical="center"/>
    </xf>
    <xf numFmtId="0" fontId="2576" fillId="8" borderId="1" xfId="0" applyNumberFormat="1" applyFont="1" applyFill="1" applyBorder="1" applyAlignment="1">
      <alignment horizontal="center" vertical="center"/>
    </xf>
    <xf numFmtId="164" fontId="2577" fillId="8" borderId="1" xfId="0" applyNumberFormat="1" applyFont="1" applyFill="1" applyBorder="1" applyAlignment="1">
      <alignment horizontal="center" vertical="center"/>
    </xf>
    <xf numFmtId="1" fontId="2578" fillId="8" borderId="1" xfId="0" applyNumberFormat="1" applyFont="1" applyFill="1" applyBorder="1" applyAlignment="1">
      <alignment horizontal="center" vertical="center"/>
    </xf>
    <xf numFmtId="1" fontId="2579" fillId="8" borderId="1" xfId="0" applyNumberFormat="1" applyFont="1" applyFill="1" applyBorder="1" applyAlignment="1">
      <alignment horizontal="center" vertical="center"/>
    </xf>
    <xf numFmtId="1" fontId="2580" fillId="8" borderId="1" xfId="0" applyNumberFormat="1" applyFont="1" applyFill="1" applyBorder="1" applyAlignment="1">
      <alignment horizontal="center" vertical="center"/>
    </xf>
    <xf numFmtId="1" fontId="2581" fillId="8" borderId="1" xfId="0" applyNumberFormat="1" applyFont="1" applyFill="1" applyBorder="1" applyAlignment="1">
      <alignment horizontal="center" vertical="center"/>
    </xf>
    <xf numFmtId="1" fontId="2582" fillId="8" borderId="1" xfId="0" applyNumberFormat="1" applyFont="1" applyFill="1" applyBorder="1" applyAlignment="1">
      <alignment horizontal="center" vertical="center"/>
    </xf>
    <xf numFmtId="1" fontId="2583" fillId="8" borderId="1" xfId="0" applyNumberFormat="1" applyFont="1" applyFill="1" applyBorder="1" applyAlignment="1">
      <alignment horizontal="center" vertical="center"/>
    </xf>
    <xf numFmtId="1" fontId="2584" fillId="8" borderId="1" xfId="0" applyNumberFormat="1" applyFont="1" applyFill="1" applyBorder="1" applyAlignment="1">
      <alignment horizontal="center" vertical="center"/>
    </xf>
    <xf numFmtId="0" fontId="2585" fillId="8" borderId="1" xfId="0" applyNumberFormat="1" applyFont="1" applyFill="1" applyBorder="1" applyAlignment="1">
      <alignment horizontal="center" vertical="center"/>
    </xf>
    <xf numFmtId="0" fontId="2586" fillId="8" borderId="1" xfId="0" applyNumberFormat="1" applyFont="1" applyFill="1" applyBorder="1" applyAlignment="1">
      <alignment horizontal="center" vertical="center"/>
    </xf>
    <xf numFmtId="1" fontId="2587" fillId="8" borderId="1" xfId="0" applyNumberFormat="1" applyFont="1" applyFill="1" applyBorder="1" applyAlignment="1">
      <alignment horizontal="center" vertical="center"/>
    </xf>
    <xf numFmtId="1" fontId="2588" fillId="8" borderId="1" xfId="0" applyNumberFormat="1" applyFont="1" applyFill="1" applyBorder="1" applyAlignment="1">
      <alignment horizontal="center" vertical="center"/>
    </xf>
    <xf numFmtId="1" fontId="2589" fillId="8" borderId="1" xfId="0" applyNumberFormat="1" applyFont="1" applyFill="1" applyBorder="1" applyAlignment="1">
      <alignment horizontal="center" vertical="center"/>
    </xf>
    <xf numFmtId="165" fontId="2590" fillId="8" borderId="1" xfId="0" applyNumberFormat="1" applyFont="1" applyFill="1" applyBorder="1" applyAlignment="1">
      <alignment horizontal="center" vertical="center"/>
    </xf>
    <xf numFmtId="1" fontId="2591" fillId="8" borderId="1" xfId="0" applyNumberFormat="1" applyFont="1" applyFill="1" applyBorder="1" applyAlignment="1">
      <alignment horizontal="center" vertical="center"/>
    </xf>
    <xf numFmtId="165" fontId="2592" fillId="8" borderId="1" xfId="0" applyNumberFormat="1" applyFont="1" applyFill="1" applyBorder="1" applyAlignment="1">
      <alignment horizontal="center" vertical="center"/>
    </xf>
    <xf numFmtId="1" fontId="2593" fillId="8" borderId="1" xfId="0" applyNumberFormat="1" applyFont="1" applyFill="1" applyBorder="1" applyAlignment="1">
      <alignment horizontal="center" vertical="center"/>
    </xf>
    <xf numFmtId="165" fontId="2594" fillId="8" borderId="1" xfId="0" applyNumberFormat="1" applyFont="1" applyFill="1" applyBorder="1" applyAlignment="1">
      <alignment horizontal="center" vertical="center"/>
    </xf>
    <xf numFmtId="1" fontId="2595" fillId="8" borderId="1" xfId="0" applyNumberFormat="1" applyFont="1" applyFill="1" applyBorder="1" applyAlignment="1">
      <alignment horizontal="center" vertical="center"/>
    </xf>
    <xf numFmtId="165" fontId="2596" fillId="8" borderId="1" xfId="0" applyNumberFormat="1" applyFont="1" applyFill="1" applyBorder="1" applyAlignment="1">
      <alignment horizontal="center" vertical="center"/>
    </xf>
    <xf numFmtId="165" fontId="2597" fillId="8" borderId="1" xfId="0" applyNumberFormat="1" applyFont="1" applyFill="1" applyBorder="1" applyAlignment="1">
      <alignment horizontal="center" vertical="center"/>
    </xf>
    <xf numFmtId="1" fontId="2598" fillId="8" borderId="1" xfId="0" applyNumberFormat="1" applyFont="1" applyFill="1" applyBorder="1" applyAlignment="1">
      <alignment horizontal="center" vertical="center"/>
    </xf>
    <xf numFmtId="1" fontId="2599" fillId="8" borderId="1" xfId="0" applyNumberFormat="1" applyFont="1" applyFill="1" applyBorder="1" applyAlignment="1">
      <alignment horizontal="center" vertical="center"/>
    </xf>
    <xf numFmtId="1" fontId="2600" fillId="8" borderId="1" xfId="0" applyNumberFormat="1" applyFont="1" applyFill="1" applyBorder="1" applyAlignment="1">
      <alignment horizontal="center" vertical="center"/>
    </xf>
    <xf numFmtId="165" fontId="2601" fillId="8" borderId="1" xfId="0" applyNumberFormat="1" applyFont="1" applyFill="1" applyBorder="1" applyAlignment="1">
      <alignment horizontal="center" vertical="center"/>
    </xf>
    <xf numFmtId="164" fontId="2602" fillId="8" borderId="1" xfId="0" applyNumberFormat="1" applyFont="1" applyFill="1" applyBorder="1" applyAlignment="1">
      <alignment horizontal="center" vertical="center"/>
    </xf>
    <xf numFmtId="164" fontId="2603" fillId="8" borderId="1" xfId="0" applyNumberFormat="1" applyFont="1" applyFill="1" applyBorder="1" applyAlignment="1">
      <alignment horizontal="center" vertical="center"/>
    </xf>
    <xf numFmtId="1" fontId="2604" fillId="8" borderId="1" xfId="0" applyNumberFormat="1" applyFont="1" applyFill="1" applyBorder="1" applyAlignment="1">
      <alignment horizontal="center" vertical="center"/>
    </xf>
    <xf numFmtId="1" fontId="2605" fillId="8" borderId="1" xfId="0" applyNumberFormat="1" applyFont="1" applyFill="1" applyBorder="1" applyAlignment="1">
      <alignment horizontal="center" vertical="center"/>
    </xf>
    <xf numFmtId="1" fontId="2606" fillId="8" borderId="1" xfId="0" applyNumberFormat="1" applyFont="1" applyFill="1" applyBorder="1" applyAlignment="1">
      <alignment horizontal="center" vertical="center"/>
    </xf>
    <xf numFmtId="165" fontId="2607" fillId="8" borderId="1" xfId="0" applyNumberFormat="1" applyFont="1" applyFill="1" applyBorder="1" applyAlignment="1">
      <alignment horizontal="center" vertical="center"/>
    </xf>
    <xf numFmtId="1" fontId="2608" fillId="8" borderId="1" xfId="0" applyNumberFormat="1" applyFont="1" applyFill="1" applyBorder="1" applyAlignment="1">
      <alignment horizontal="center" vertical="center"/>
    </xf>
    <xf numFmtId="165" fontId="2609" fillId="8" borderId="1" xfId="0" applyNumberFormat="1" applyFont="1" applyFill="1" applyBorder="1" applyAlignment="1">
      <alignment horizontal="center" vertical="center"/>
    </xf>
    <xf numFmtId="1" fontId="2610" fillId="8" borderId="1" xfId="0" applyNumberFormat="1" applyFont="1" applyFill="1" applyBorder="1" applyAlignment="1">
      <alignment horizontal="center" vertical="center"/>
    </xf>
    <xf numFmtId="1" fontId="2611" fillId="8" borderId="1" xfId="0" applyNumberFormat="1" applyFont="1" applyFill="1" applyBorder="1" applyAlignment="1">
      <alignment horizontal="center" vertical="center"/>
    </xf>
    <xf numFmtId="1" fontId="2612" fillId="8" borderId="1" xfId="0" applyNumberFormat="1" applyFont="1" applyFill="1" applyBorder="1" applyAlignment="1">
      <alignment horizontal="center" vertical="center"/>
    </xf>
    <xf numFmtId="1" fontId="2613" fillId="8" borderId="1" xfId="0" applyNumberFormat="1" applyFont="1" applyFill="1" applyBorder="1" applyAlignment="1">
      <alignment horizontal="center" vertical="center"/>
    </xf>
    <xf numFmtId="165" fontId="2614" fillId="8" borderId="1" xfId="0" applyNumberFormat="1" applyFont="1" applyFill="1" applyBorder="1" applyAlignment="1">
      <alignment horizontal="center" vertical="center"/>
    </xf>
    <xf numFmtId="1" fontId="2615" fillId="8" borderId="1" xfId="0" applyNumberFormat="1" applyFont="1" applyFill="1" applyBorder="1" applyAlignment="1">
      <alignment horizontal="center" vertical="center"/>
    </xf>
    <xf numFmtId="165" fontId="2616" fillId="8" borderId="1" xfId="0" applyNumberFormat="1" applyFont="1" applyFill="1" applyBorder="1" applyAlignment="1">
      <alignment horizontal="center" vertical="center"/>
    </xf>
    <xf numFmtId="1" fontId="2617" fillId="8" borderId="1" xfId="0" applyNumberFormat="1" applyFont="1" applyFill="1" applyBorder="1" applyAlignment="1">
      <alignment horizontal="center" vertical="center"/>
    </xf>
    <xf numFmtId="165" fontId="2618" fillId="8" borderId="1" xfId="0" applyNumberFormat="1" applyFont="1" applyFill="1" applyBorder="1" applyAlignment="1">
      <alignment horizontal="center" vertical="center"/>
    </xf>
    <xf numFmtId="2" fontId="2619" fillId="8" borderId="1" xfId="0" applyNumberFormat="1" applyFont="1" applyFill="1" applyBorder="1" applyAlignment="1">
      <alignment horizontal="center" vertical="center"/>
    </xf>
    <xf numFmtId="2" fontId="2620" fillId="8" borderId="1" xfId="0" applyNumberFormat="1" applyFont="1" applyFill="1" applyBorder="1" applyAlignment="1">
      <alignment horizontal="center" vertical="center"/>
    </xf>
    <xf numFmtId="2" fontId="2621" fillId="8" borderId="1" xfId="0" applyNumberFormat="1" applyFont="1" applyFill="1" applyBorder="1" applyAlignment="1">
      <alignment horizontal="center" vertical="center"/>
    </xf>
    <xf numFmtId="2" fontId="2622" fillId="8" borderId="1" xfId="0" applyNumberFormat="1" applyFont="1" applyFill="1" applyBorder="1" applyAlignment="1">
      <alignment horizontal="center" vertical="center"/>
    </xf>
    <xf numFmtId="2" fontId="2623" fillId="8" borderId="1" xfId="0" applyNumberFormat="1" applyFont="1" applyFill="1" applyBorder="1" applyAlignment="1">
      <alignment horizontal="center" vertical="center"/>
    </xf>
    <xf numFmtId="2" fontId="2624" fillId="8" borderId="1" xfId="0" applyNumberFormat="1" applyFont="1" applyFill="1" applyBorder="1" applyAlignment="1">
      <alignment horizontal="center" vertical="center"/>
    </xf>
    <xf numFmtId="2" fontId="2625" fillId="8" borderId="1" xfId="0" applyNumberFormat="1" applyFont="1" applyFill="1" applyBorder="1" applyAlignment="1">
      <alignment horizontal="center" vertical="center"/>
    </xf>
    <xf numFmtId="2" fontId="2626" fillId="8" borderId="1" xfId="0" applyNumberFormat="1" applyFont="1" applyFill="1" applyBorder="1" applyAlignment="1">
      <alignment horizontal="center" vertical="center"/>
    </xf>
    <xf numFmtId="2" fontId="2627" fillId="8" borderId="1" xfId="0" applyNumberFormat="1" applyFont="1" applyFill="1" applyBorder="1" applyAlignment="1">
      <alignment horizontal="center" vertical="center"/>
    </xf>
    <xf numFmtId="2" fontId="2628" fillId="8" borderId="1" xfId="0" applyNumberFormat="1" applyFont="1" applyFill="1" applyBorder="1" applyAlignment="1">
      <alignment horizontal="center" vertical="center"/>
    </xf>
    <xf numFmtId="2" fontId="2629" fillId="8" borderId="1" xfId="0" applyNumberFormat="1" applyFont="1" applyFill="1" applyBorder="1" applyAlignment="1">
      <alignment horizontal="center" vertical="center"/>
    </xf>
    <xf numFmtId="2" fontId="2630" fillId="8" borderId="1" xfId="0" applyNumberFormat="1" applyFont="1" applyFill="1" applyBorder="1" applyAlignment="1">
      <alignment horizontal="center" vertical="center"/>
    </xf>
    <xf numFmtId="2" fontId="2631" fillId="8" borderId="1" xfId="0" applyNumberFormat="1" applyFont="1" applyFill="1" applyBorder="1" applyAlignment="1">
      <alignment horizontal="center" vertical="center"/>
    </xf>
    <xf numFmtId="2" fontId="2632" fillId="8" borderId="1" xfId="0" applyNumberFormat="1" applyFont="1" applyFill="1" applyBorder="1" applyAlignment="1">
      <alignment horizontal="center" vertical="center"/>
    </xf>
    <xf numFmtId="2" fontId="2633" fillId="8" borderId="1" xfId="0" applyNumberFormat="1" applyFont="1" applyFill="1" applyBorder="1" applyAlignment="1">
      <alignment horizontal="center" vertical="center"/>
    </xf>
    <xf numFmtId="2" fontId="2634" fillId="8" borderId="1" xfId="0" applyNumberFormat="1" applyFont="1" applyFill="1" applyBorder="1" applyAlignment="1">
      <alignment horizontal="center" vertical="center"/>
    </xf>
    <xf numFmtId="2" fontId="2635" fillId="8" borderId="1" xfId="0" applyNumberFormat="1" applyFont="1" applyFill="1" applyBorder="1" applyAlignment="1">
      <alignment horizontal="center" vertical="center"/>
    </xf>
    <xf numFmtId="2" fontId="2636" fillId="8" borderId="1" xfId="0" applyNumberFormat="1" applyFont="1" applyFill="1" applyBorder="1" applyAlignment="1">
      <alignment horizontal="center" vertical="center"/>
    </xf>
    <xf numFmtId="2" fontId="2637" fillId="8" borderId="1" xfId="0" applyNumberFormat="1" applyFont="1" applyFill="1" applyBorder="1" applyAlignment="1">
      <alignment horizontal="center" vertical="center"/>
    </xf>
    <xf numFmtId="2" fontId="2638" fillId="8" borderId="1" xfId="0" applyNumberFormat="1" applyFont="1" applyFill="1" applyBorder="1" applyAlignment="1">
      <alignment horizontal="center" vertical="center"/>
    </xf>
    <xf numFmtId="2" fontId="2639" fillId="8" borderId="1" xfId="0" applyNumberFormat="1" applyFont="1" applyFill="1" applyBorder="1" applyAlignment="1">
      <alignment horizontal="center" vertical="center"/>
    </xf>
    <xf numFmtId="2" fontId="2640" fillId="8" borderId="1" xfId="0" applyNumberFormat="1" applyFont="1" applyFill="1" applyBorder="1" applyAlignment="1">
      <alignment horizontal="center" vertical="center"/>
    </xf>
    <xf numFmtId="2" fontId="2641" fillId="8" borderId="1" xfId="0" applyNumberFormat="1" applyFont="1" applyFill="1" applyBorder="1" applyAlignment="1">
      <alignment horizontal="center" vertical="center"/>
    </xf>
    <xf numFmtId="2" fontId="2642" fillId="8" borderId="1" xfId="0" applyNumberFormat="1" applyFont="1" applyFill="1" applyBorder="1" applyAlignment="1">
      <alignment horizontal="center" vertical="center"/>
    </xf>
    <xf numFmtId="2" fontId="2643" fillId="8" borderId="1" xfId="0" applyNumberFormat="1" applyFont="1" applyFill="1" applyBorder="1" applyAlignment="1">
      <alignment horizontal="center" vertical="center"/>
    </xf>
    <xf numFmtId="2" fontId="2644" fillId="8" borderId="1" xfId="0" applyNumberFormat="1" applyFont="1" applyFill="1" applyBorder="1" applyAlignment="1">
      <alignment horizontal="center" vertical="center"/>
    </xf>
    <xf numFmtId="2" fontId="2645" fillId="8" borderId="1" xfId="0" applyNumberFormat="1" applyFont="1" applyFill="1" applyBorder="1" applyAlignment="1">
      <alignment horizontal="center" vertical="center"/>
    </xf>
    <xf numFmtId="2" fontId="2646" fillId="8" borderId="1" xfId="0" applyNumberFormat="1" applyFont="1" applyFill="1" applyBorder="1" applyAlignment="1">
      <alignment horizontal="center" vertical="center"/>
    </xf>
    <xf numFmtId="2" fontId="2647" fillId="8" borderId="1" xfId="0" applyNumberFormat="1" applyFont="1" applyFill="1" applyBorder="1" applyAlignment="1">
      <alignment horizontal="center" vertical="center"/>
    </xf>
    <xf numFmtId="2" fontId="2648" fillId="8" borderId="1" xfId="0" applyNumberFormat="1" applyFont="1" applyFill="1" applyBorder="1" applyAlignment="1">
      <alignment horizontal="center" vertical="center"/>
    </xf>
    <xf numFmtId="2" fontId="2649" fillId="8" borderId="1" xfId="0" applyNumberFormat="1" applyFont="1" applyFill="1" applyBorder="1" applyAlignment="1">
      <alignment horizontal="center" vertical="center"/>
    </xf>
    <xf numFmtId="2" fontId="2650" fillId="8" borderId="1" xfId="0" applyNumberFormat="1" applyFont="1" applyFill="1" applyBorder="1" applyAlignment="1">
      <alignment horizontal="center" vertical="center"/>
    </xf>
    <xf numFmtId="2" fontId="2651" fillId="8" borderId="1" xfId="0" applyNumberFormat="1" applyFont="1" applyFill="1" applyBorder="1" applyAlignment="1">
      <alignment horizontal="center" vertical="center"/>
    </xf>
    <xf numFmtId="2" fontId="2652" fillId="8" borderId="1" xfId="0" applyNumberFormat="1" applyFont="1" applyFill="1" applyBorder="1" applyAlignment="1">
      <alignment horizontal="center" vertical="center"/>
    </xf>
    <xf numFmtId="0" fontId="2653" fillId="7" borderId="1" xfId="0" applyNumberFormat="1" applyFont="1" applyFill="1" applyBorder="1" applyAlignment="1">
      <alignment horizontal="left" vertical="center"/>
    </xf>
    <xf numFmtId="0" fontId="2654" fillId="8" borderId="1" xfId="0" applyNumberFormat="1" applyFont="1" applyFill="1" applyBorder="1" applyAlignment="1">
      <alignment horizontal="center" vertical="center"/>
    </xf>
    <xf numFmtId="164" fontId="2655" fillId="8" borderId="1" xfId="0" applyNumberFormat="1" applyFont="1" applyFill="1" applyBorder="1" applyAlignment="1">
      <alignment horizontal="center" vertical="center"/>
    </xf>
    <xf numFmtId="1" fontId="2656" fillId="8" borderId="1" xfId="0" applyNumberFormat="1" applyFont="1" applyFill="1" applyBorder="1" applyAlignment="1">
      <alignment horizontal="center" vertical="center"/>
    </xf>
    <xf numFmtId="1" fontId="2657" fillId="8" borderId="1" xfId="0" applyNumberFormat="1" applyFont="1" applyFill="1" applyBorder="1" applyAlignment="1">
      <alignment horizontal="center" vertical="center"/>
    </xf>
    <xf numFmtId="1" fontId="2658" fillId="8" borderId="1" xfId="0" applyNumberFormat="1" applyFont="1" applyFill="1" applyBorder="1" applyAlignment="1">
      <alignment horizontal="center" vertical="center"/>
    </xf>
    <xf numFmtId="1" fontId="2659" fillId="8" borderId="1" xfId="0" applyNumberFormat="1" applyFont="1" applyFill="1" applyBorder="1" applyAlignment="1">
      <alignment horizontal="center" vertical="center"/>
    </xf>
    <xf numFmtId="1" fontId="2660" fillId="8" borderId="1" xfId="0" applyNumberFormat="1" applyFont="1" applyFill="1" applyBorder="1" applyAlignment="1">
      <alignment horizontal="center" vertical="center"/>
    </xf>
    <xf numFmtId="1" fontId="2661" fillId="8" borderId="1" xfId="0" applyNumberFormat="1" applyFont="1" applyFill="1" applyBorder="1" applyAlignment="1">
      <alignment horizontal="center" vertical="center"/>
    </xf>
    <xf numFmtId="1" fontId="2662" fillId="8" borderId="1" xfId="0" applyNumberFormat="1" applyFont="1" applyFill="1" applyBorder="1" applyAlignment="1">
      <alignment horizontal="center" vertical="center"/>
    </xf>
    <xf numFmtId="0" fontId="2663" fillId="8" borderId="1" xfId="0" applyNumberFormat="1" applyFont="1" applyFill="1" applyBorder="1" applyAlignment="1">
      <alignment horizontal="center" vertical="center"/>
    </xf>
    <xf numFmtId="0" fontId="2664" fillId="8" borderId="1" xfId="0" applyNumberFormat="1" applyFont="1" applyFill="1" applyBorder="1" applyAlignment="1">
      <alignment horizontal="center" vertical="center"/>
    </xf>
    <xf numFmtId="1" fontId="2665" fillId="8" borderId="1" xfId="0" applyNumberFormat="1" applyFont="1" applyFill="1" applyBorder="1" applyAlignment="1">
      <alignment horizontal="center" vertical="center"/>
    </xf>
    <xf numFmtId="1" fontId="2666" fillId="8" borderId="1" xfId="0" applyNumberFormat="1" applyFont="1" applyFill="1" applyBorder="1" applyAlignment="1">
      <alignment horizontal="center" vertical="center"/>
    </xf>
    <xf numFmtId="1" fontId="2667" fillId="8" borderId="1" xfId="0" applyNumberFormat="1" applyFont="1" applyFill="1" applyBorder="1" applyAlignment="1">
      <alignment horizontal="center" vertical="center"/>
    </xf>
    <xf numFmtId="165" fontId="2668" fillId="8" borderId="1" xfId="0" applyNumberFormat="1" applyFont="1" applyFill="1" applyBorder="1" applyAlignment="1">
      <alignment horizontal="center" vertical="center"/>
    </xf>
    <xf numFmtId="1" fontId="2669" fillId="8" borderId="1" xfId="0" applyNumberFormat="1" applyFont="1" applyFill="1" applyBorder="1" applyAlignment="1">
      <alignment horizontal="center" vertical="center"/>
    </xf>
    <xf numFmtId="165" fontId="2670" fillId="8" borderId="1" xfId="0" applyNumberFormat="1" applyFont="1" applyFill="1" applyBorder="1" applyAlignment="1">
      <alignment horizontal="center" vertical="center"/>
    </xf>
    <xf numFmtId="1" fontId="2671" fillId="8" borderId="1" xfId="0" applyNumberFormat="1" applyFont="1" applyFill="1" applyBorder="1" applyAlignment="1">
      <alignment horizontal="center" vertical="center"/>
    </xf>
    <xf numFmtId="165" fontId="2672" fillId="8" borderId="1" xfId="0" applyNumberFormat="1" applyFont="1" applyFill="1" applyBorder="1" applyAlignment="1">
      <alignment horizontal="center" vertical="center"/>
    </xf>
    <xf numFmtId="1" fontId="2673" fillId="8" borderId="1" xfId="0" applyNumberFormat="1" applyFont="1" applyFill="1" applyBorder="1" applyAlignment="1">
      <alignment horizontal="center" vertical="center"/>
    </xf>
    <xf numFmtId="165" fontId="2674" fillId="8" borderId="1" xfId="0" applyNumberFormat="1" applyFont="1" applyFill="1" applyBorder="1" applyAlignment="1">
      <alignment horizontal="center" vertical="center"/>
    </xf>
    <xf numFmtId="165" fontId="2675" fillId="8" borderId="1" xfId="0" applyNumberFormat="1" applyFont="1" applyFill="1" applyBorder="1" applyAlignment="1">
      <alignment horizontal="center" vertical="center"/>
    </xf>
    <xf numFmtId="1" fontId="2676" fillId="8" borderId="1" xfId="0" applyNumberFormat="1" applyFont="1" applyFill="1" applyBorder="1" applyAlignment="1">
      <alignment horizontal="center" vertical="center"/>
    </xf>
    <xf numFmtId="1" fontId="2677" fillId="8" borderId="1" xfId="0" applyNumberFormat="1" applyFont="1" applyFill="1" applyBorder="1" applyAlignment="1">
      <alignment horizontal="center" vertical="center"/>
    </xf>
    <xf numFmtId="1" fontId="2678" fillId="8" borderId="1" xfId="0" applyNumberFormat="1" applyFont="1" applyFill="1" applyBorder="1" applyAlignment="1">
      <alignment horizontal="center" vertical="center"/>
    </xf>
    <xf numFmtId="165" fontId="2679" fillId="8" borderId="1" xfId="0" applyNumberFormat="1" applyFont="1" applyFill="1" applyBorder="1" applyAlignment="1">
      <alignment horizontal="center" vertical="center"/>
    </xf>
    <xf numFmtId="164" fontId="2680" fillId="8" borderId="1" xfId="0" applyNumberFormat="1" applyFont="1" applyFill="1" applyBorder="1" applyAlignment="1">
      <alignment horizontal="center" vertical="center"/>
    </xf>
    <xf numFmtId="164" fontId="2681" fillId="8" borderId="1" xfId="0" applyNumberFormat="1" applyFont="1" applyFill="1" applyBorder="1" applyAlignment="1">
      <alignment horizontal="center" vertical="center"/>
    </xf>
    <xf numFmtId="1" fontId="2682" fillId="8" borderId="1" xfId="0" applyNumberFormat="1" applyFont="1" applyFill="1" applyBorder="1" applyAlignment="1">
      <alignment horizontal="center" vertical="center"/>
    </xf>
    <xf numFmtId="1" fontId="2683" fillId="8" borderId="1" xfId="0" applyNumberFormat="1" applyFont="1" applyFill="1" applyBorder="1" applyAlignment="1">
      <alignment horizontal="center" vertical="center"/>
    </xf>
    <xf numFmtId="1" fontId="2684" fillId="8" borderId="1" xfId="0" applyNumberFormat="1" applyFont="1" applyFill="1" applyBorder="1" applyAlignment="1">
      <alignment horizontal="center" vertical="center"/>
    </xf>
    <xf numFmtId="165" fontId="2685" fillId="8" borderId="1" xfId="0" applyNumberFormat="1" applyFont="1" applyFill="1" applyBorder="1" applyAlignment="1">
      <alignment horizontal="center" vertical="center"/>
    </xf>
    <xf numFmtId="1" fontId="2686" fillId="8" borderId="1" xfId="0" applyNumberFormat="1" applyFont="1" applyFill="1" applyBorder="1" applyAlignment="1">
      <alignment horizontal="center" vertical="center"/>
    </xf>
    <xf numFmtId="165" fontId="2687" fillId="8" borderId="1" xfId="0" applyNumberFormat="1" applyFont="1" applyFill="1" applyBorder="1" applyAlignment="1">
      <alignment horizontal="center" vertical="center"/>
    </xf>
    <xf numFmtId="1" fontId="2688" fillId="8" borderId="1" xfId="0" applyNumberFormat="1" applyFont="1" applyFill="1" applyBorder="1" applyAlignment="1">
      <alignment horizontal="center" vertical="center"/>
    </xf>
    <xf numFmtId="1" fontId="2689" fillId="8" borderId="1" xfId="0" applyNumberFormat="1" applyFont="1" applyFill="1" applyBorder="1" applyAlignment="1">
      <alignment horizontal="center" vertical="center"/>
    </xf>
    <xf numFmtId="1" fontId="2690" fillId="8" borderId="1" xfId="0" applyNumberFormat="1" applyFont="1" applyFill="1" applyBorder="1" applyAlignment="1">
      <alignment horizontal="center" vertical="center"/>
    </xf>
    <xf numFmtId="1" fontId="2691" fillId="8" borderId="1" xfId="0" applyNumberFormat="1" applyFont="1" applyFill="1" applyBorder="1" applyAlignment="1">
      <alignment horizontal="center" vertical="center"/>
    </xf>
    <xf numFmtId="165" fontId="2692" fillId="8" borderId="1" xfId="0" applyNumberFormat="1" applyFont="1" applyFill="1" applyBorder="1" applyAlignment="1">
      <alignment horizontal="center" vertical="center"/>
    </xf>
    <xf numFmtId="1" fontId="2693" fillId="8" borderId="1" xfId="0" applyNumberFormat="1" applyFont="1" applyFill="1" applyBorder="1" applyAlignment="1">
      <alignment horizontal="center" vertical="center"/>
    </xf>
    <xf numFmtId="165" fontId="2694" fillId="8" borderId="1" xfId="0" applyNumberFormat="1" applyFont="1" applyFill="1" applyBorder="1" applyAlignment="1">
      <alignment horizontal="center" vertical="center"/>
    </xf>
    <xf numFmtId="1" fontId="2695" fillId="8" borderId="1" xfId="0" applyNumberFormat="1" applyFont="1" applyFill="1" applyBorder="1" applyAlignment="1">
      <alignment horizontal="center" vertical="center"/>
    </xf>
    <xf numFmtId="165" fontId="2696" fillId="8" borderId="1" xfId="0" applyNumberFormat="1" applyFont="1" applyFill="1" applyBorder="1" applyAlignment="1">
      <alignment horizontal="center" vertical="center"/>
    </xf>
    <xf numFmtId="2" fontId="2697" fillId="8" borderId="1" xfId="0" applyNumberFormat="1" applyFont="1" applyFill="1" applyBorder="1" applyAlignment="1">
      <alignment horizontal="center" vertical="center"/>
    </xf>
    <xf numFmtId="2" fontId="2698" fillId="8" borderId="1" xfId="0" applyNumberFormat="1" applyFont="1" applyFill="1" applyBorder="1" applyAlignment="1">
      <alignment horizontal="center" vertical="center"/>
    </xf>
    <xf numFmtId="2" fontId="2699" fillId="8" borderId="1" xfId="0" applyNumberFormat="1" applyFont="1" applyFill="1" applyBorder="1" applyAlignment="1">
      <alignment horizontal="center" vertical="center"/>
    </xf>
    <xf numFmtId="2" fontId="2700" fillId="8" borderId="1" xfId="0" applyNumberFormat="1" applyFont="1" applyFill="1" applyBorder="1" applyAlignment="1">
      <alignment horizontal="center" vertical="center"/>
    </xf>
    <xf numFmtId="2" fontId="2701" fillId="8" borderId="1" xfId="0" applyNumberFormat="1" applyFont="1" applyFill="1" applyBorder="1" applyAlignment="1">
      <alignment horizontal="center" vertical="center"/>
    </xf>
    <xf numFmtId="2" fontId="2702" fillId="8" borderId="1" xfId="0" applyNumberFormat="1" applyFont="1" applyFill="1" applyBorder="1" applyAlignment="1">
      <alignment horizontal="center" vertical="center"/>
    </xf>
    <xf numFmtId="2" fontId="2703" fillId="8" borderId="1" xfId="0" applyNumberFormat="1" applyFont="1" applyFill="1" applyBorder="1" applyAlignment="1">
      <alignment horizontal="center" vertical="center"/>
    </xf>
    <xf numFmtId="2" fontId="2704" fillId="8" borderId="1" xfId="0" applyNumberFormat="1" applyFont="1" applyFill="1" applyBorder="1" applyAlignment="1">
      <alignment horizontal="center" vertical="center"/>
    </xf>
    <xf numFmtId="2" fontId="2705" fillId="8" borderId="1" xfId="0" applyNumberFormat="1" applyFont="1" applyFill="1" applyBorder="1" applyAlignment="1">
      <alignment horizontal="center" vertical="center"/>
    </xf>
    <xf numFmtId="2" fontId="2706" fillId="8" borderId="1" xfId="0" applyNumberFormat="1" applyFont="1" applyFill="1" applyBorder="1" applyAlignment="1">
      <alignment horizontal="center" vertical="center"/>
    </xf>
    <xf numFmtId="2" fontId="2707" fillId="8" borderId="1" xfId="0" applyNumberFormat="1" applyFont="1" applyFill="1" applyBorder="1" applyAlignment="1">
      <alignment horizontal="center" vertical="center"/>
    </xf>
    <xf numFmtId="2" fontId="2708" fillId="8" borderId="1" xfId="0" applyNumberFormat="1" applyFont="1" applyFill="1" applyBorder="1" applyAlignment="1">
      <alignment horizontal="center" vertical="center"/>
    </xf>
    <xf numFmtId="2" fontId="2709" fillId="8" borderId="1" xfId="0" applyNumberFormat="1" applyFont="1" applyFill="1" applyBorder="1" applyAlignment="1">
      <alignment horizontal="center" vertical="center"/>
    </xf>
    <xf numFmtId="2" fontId="2710" fillId="8" borderId="1" xfId="0" applyNumberFormat="1" applyFont="1" applyFill="1" applyBorder="1" applyAlignment="1">
      <alignment horizontal="center" vertical="center"/>
    </xf>
    <xf numFmtId="2" fontId="2711" fillId="8" borderId="1" xfId="0" applyNumberFormat="1" applyFont="1" applyFill="1" applyBorder="1" applyAlignment="1">
      <alignment horizontal="center" vertical="center"/>
    </xf>
    <xf numFmtId="2" fontId="2712" fillId="8" borderId="1" xfId="0" applyNumberFormat="1" applyFont="1" applyFill="1" applyBorder="1" applyAlignment="1">
      <alignment horizontal="center" vertical="center"/>
    </xf>
    <xf numFmtId="2" fontId="2713" fillId="8" borderId="1" xfId="0" applyNumberFormat="1" applyFont="1" applyFill="1" applyBorder="1" applyAlignment="1">
      <alignment horizontal="center" vertical="center"/>
    </xf>
    <xf numFmtId="2" fontId="2714" fillId="8" borderId="1" xfId="0" applyNumberFormat="1" applyFont="1" applyFill="1" applyBorder="1" applyAlignment="1">
      <alignment horizontal="center" vertical="center"/>
    </xf>
    <xf numFmtId="2" fontId="2715" fillId="8" borderId="1" xfId="0" applyNumberFormat="1" applyFont="1" applyFill="1" applyBorder="1" applyAlignment="1">
      <alignment horizontal="center" vertical="center"/>
    </xf>
    <xf numFmtId="2" fontId="2716" fillId="8" borderId="1" xfId="0" applyNumberFormat="1" applyFont="1" applyFill="1" applyBorder="1" applyAlignment="1">
      <alignment horizontal="center" vertical="center"/>
    </xf>
    <xf numFmtId="2" fontId="2717" fillId="8" borderId="1" xfId="0" applyNumberFormat="1" applyFont="1" applyFill="1" applyBorder="1" applyAlignment="1">
      <alignment horizontal="center" vertical="center"/>
    </xf>
    <xf numFmtId="2" fontId="2718" fillId="8" borderId="1" xfId="0" applyNumberFormat="1" applyFont="1" applyFill="1" applyBorder="1" applyAlignment="1">
      <alignment horizontal="center" vertical="center"/>
    </xf>
    <xf numFmtId="2" fontId="2719" fillId="8" borderId="1" xfId="0" applyNumberFormat="1" applyFont="1" applyFill="1" applyBorder="1" applyAlignment="1">
      <alignment horizontal="center" vertical="center"/>
    </xf>
    <xf numFmtId="2" fontId="2720" fillId="8" borderId="1" xfId="0" applyNumberFormat="1" applyFont="1" applyFill="1" applyBorder="1" applyAlignment="1">
      <alignment horizontal="center" vertical="center"/>
    </xf>
    <xf numFmtId="2" fontId="2721" fillId="8" borderId="1" xfId="0" applyNumberFormat="1" applyFont="1" applyFill="1" applyBorder="1" applyAlignment="1">
      <alignment horizontal="center" vertical="center"/>
    </xf>
    <xf numFmtId="2" fontId="2722" fillId="8" borderId="1" xfId="0" applyNumberFormat="1" applyFont="1" applyFill="1" applyBorder="1" applyAlignment="1">
      <alignment horizontal="center" vertical="center"/>
    </xf>
    <xf numFmtId="2" fontId="2723" fillId="8" borderId="1" xfId="0" applyNumberFormat="1" applyFont="1" applyFill="1" applyBorder="1" applyAlignment="1">
      <alignment horizontal="center" vertical="center"/>
    </xf>
    <xf numFmtId="2" fontId="2724" fillId="8" borderId="1" xfId="0" applyNumberFormat="1" applyFont="1" applyFill="1" applyBorder="1" applyAlignment="1">
      <alignment horizontal="center" vertical="center"/>
    </xf>
    <xf numFmtId="2" fontId="2725" fillId="8" borderId="1" xfId="0" applyNumberFormat="1" applyFont="1" applyFill="1" applyBorder="1" applyAlignment="1">
      <alignment horizontal="center" vertical="center"/>
    </xf>
    <xf numFmtId="2" fontId="2726" fillId="8" borderId="1" xfId="0" applyNumberFormat="1" applyFont="1" applyFill="1" applyBorder="1" applyAlignment="1">
      <alignment horizontal="center" vertical="center"/>
    </xf>
    <xf numFmtId="2" fontId="2727" fillId="8" borderId="1" xfId="0" applyNumberFormat="1" applyFont="1" applyFill="1" applyBorder="1" applyAlignment="1">
      <alignment horizontal="center" vertical="center"/>
    </xf>
    <xf numFmtId="2" fontId="2728" fillId="8" borderId="1" xfId="0" applyNumberFormat="1" applyFont="1" applyFill="1" applyBorder="1" applyAlignment="1">
      <alignment horizontal="center" vertical="center"/>
    </xf>
    <xf numFmtId="2" fontId="2729" fillId="8" borderId="1" xfId="0" applyNumberFormat="1" applyFont="1" applyFill="1" applyBorder="1" applyAlignment="1">
      <alignment horizontal="center" vertical="center"/>
    </xf>
    <xf numFmtId="2" fontId="2730" fillId="8" borderId="1" xfId="0" applyNumberFormat="1" applyFont="1" applyFill="1" applyBorder="1" applyAlignment="1">
      <alignment horizontal="center" vertical="center"/>
    </xf>
    <xf numFmtId="0" fontId="2731" fillId="7" borderId="1" xfId="0" applyNumberFormat="1" applyFont="1" applyFill="1" applyBorder="1" applyAlignment="1">
      <alignment horizontal="left" vertical="center"/>
    </xf>
    <xf numFmtId="0" fontId="2732" fillId="8" borderId="1" xfId="0" applyNumberFormat="1" applyFont="1" applyFill="1" applyBorder="1" applyAlignment="1">
      <alignment horizontal="center" vertical="center"/>
    </xf>
    <xf numFmtId="164" fontId="2733" fillId="8" borderId="1" xfId="0" applyNumberFormat="1" applyFont="1" applyFill="1" applyBorder="1" applyAlignment="1">
      <alignment horizontal="center" vertical="center"/>
    </xf>
    <xf numFmtId="1" fontId="2734" fillId="8" borderId="1" xfId="0" applyNumberFormat="1" applyFont="1" applyFill="1" applyBorder="1" applyAlignment="1">
      <alignment horizontal="center" vertical="center"/>
    </xf>
    <xf numFmtId="1" fontId="2735" fillId="8" borderId="1" xfId="0" applyNumberFormat="1" applyFont="1" applyFill="1" applyBorder="1" applyAlignment="1">
      <alignment horizontal="center" vertical="center"/>
    </xf>
    <xf numFmtId="1" fontId="2736" fillId="8" borderId="1" xfId="0" applyNumberFormat="1" applyFont="1" applyFill="1" applyBorder="1" applyAlignment="1">
      <alignment horizontal="center" vertical="center"/>
    </xf>
    <xf numFmtId="1" fontId="2737" fillId="8" borderId="1" xfId="0" applyNumberFormat="1" applyFont="1" applyFill="1" applyBorder="1" applyAlignment="1">
      <alignment horizontal="center" vertical="center"/>
    </xf>
    <xf numFmtId="1" fontId="2738" fillId="8" borderId="1" xfId="0" applyNumberFormat="1" applyFont="1" applyFill="1" applyBorder="1" applyAlignment="1">
      <alignment horizontal="center" vertical="center"/>
    </xf>
    <xf numFmtId="1" fontId="2739" fillId="8" borderId="1" xfId="0" applyNumberFormat="1" applyFont="1" applyFill="1" applyBorder="1" applyAlignment="1">
      <alignment horizontal="center" vertical="center"/>
    </xf>
    <xf numFmtId="1" fontId="2740" fillId="8" borderId="1" xfId="0" applyNumberFormat="1" applyFont="1" applyFill="1" applyBorder="1" applyAlignment="1">
      <alignment horizontal="center" vertical="center"/>
    </xf>
    <xf numFmtId="0" fontId="2741" fillId="8" borderId="1" xfId="0" applyNumberFormat="1" applyFont="1" applyFill="1" applyBorder="1" applyAlignment="1">
      <alignment horizontal="center" vertical="center"/>
    </xf>
    <xf numFmtId="0" fontId="2742" fillId="8" borderId="1" xfId="0" applyNumberFormat="1" applyFont="1" applyFill="1" applyBorder="1" applyAlignment="1">
      <alignment horizontal="center" vertical="center"/>
    </xf>
    <xf numFmtId="1" fontId="2743" fillId="8" borderId="1" xfId="0" applyNumberFormat="1" applyFont="1" applyFill="1" applyBorder="1" applyAlignment="1">
      <alignment horizontal="center" vertical="center"/>
    </xf>
    <xf numFmtId="1" fontId="2744" fillId="8" borderId="1" xfId="0" applyNumberFormat="1" applyFont="1" applyFill="1" applyBorder="1" applyAlignment="1">
      <alignment horizontal="center" vertical="center"/>
    </xf>
    <xf numFmtId="1" fontId="2745" fillId="8" borderId="1" xfId="0" applyNumberFormat="1" applyFont="1" applyFill="1" applyBorder="1" applyAlignment="1">
      <alignment horizontal="center" vertical="center"/>
    </xf>
    <xf numFmtId="165" fontId="2746" fillId="8" borderId="1" xfId="0" applyNumberFormat="1" applyFont="1" applyFill="1" applyBorder="1" applyAlignment="1">
      <alignment horizontal="center" vertical="center"/>
    </xf>
    <xf numFmtId="1" fontId="2747" fillId="8" borderId="1" xfId="0" applyNumberFormat="1" applyFont="1" applyFill="1" applyBorder="1" applyAlignment="1">
      <alignment horizontal="center" vertical="center"/>
    </xf>
    <xf numFmtId="165" fontId="2748" fillId="8" borderId="1" xfId="0" applyNumberFormat="1" applyFont="1" applyFill="1" applyBorder="1" applyAlignment="1">
      <alignment horizontal="center" vertical="center"/>
    </xf>
    <xf numFmtId="1" fontId="2749" fillId="8" borderId="1" xfId="0" applyNumberFormat="1" applyFont="1" applyFill="1" applyBorder="1" applyAlignment="1">
      <alignment horizontal="center" vertical="center"/>
    </xf>
    <xf numFmtId="165" fontId="2750" fillId="8" borderId="1" xfId="0" applyNumberFormat="1" applyFont="1" applyFill="1" applyBorder="1" applyAlignment="1">
      <alignment horizontal="center" vertical="center"/>
    </xf>
    <xf numFmtId="1" fontId="2751" fillId="8" borderId="1" xfId="0" applyNumberFormat="1" applyFont="1" applyFill="1" applyBorder="1" applyAlignment="1">
      <alignment horizontal="center" vertical="center"/>
    </xf>
    <xf numFmtId="165" fontId="2752" fillId="8" borderId="1" xfId="0" applyNumberFormat="1" applyFont="1" applyFill="1" applyBorder="1" applyAlignment="1">
      <alignment horizontal="center" vertical="center"/>
    </xf>
    <xf numFmtId="165" fontId="2753" fillId="8" borderId="1" xfId="0" applyNumberFormat="1" applyFont="1" applyFill="1" applyBorder="1" applyAlignment="1">
      <alignment horizontal="center" vertical="center"/>
    </xf>
    <xf numFmtId="1" fontId="2754" fillId="8" borderId="1" xfId="0" applyNumberFormat="1" applyFont="1" applyFill="1" applyBorder="1" applyAlignment="1">
      <alignment horizontal="center" vertical="center"/>
    </xf>
    <xf numFmtId="1" fontId="2755" fillId="8" borderId="1" xfId="0" applyNumberFormat="1" applyFont="1" applyFill="1" applyBorder="1" applyAlignment="1">
      <alignment horizontal="center" vertical="center"/>
    </xf>
    <xf numFmtId="1" fontId="2756" fillId="8" borderId="1" xfId="0" applyNumberFormat="1" applyFont="1" applyFill="1" applyBorder="1" applyAlignment="1">
      <alignment horizontal="center" vertical="center"/>
    </xf>
    <xf numFmtId="165" fontId="2757" fillId="8" borderId="1" xfId="0" applyNumberFormat="1" applyFont="1" applyFill="1" applyBorder="1" applyAlignment="1">
      <alignment horizontal="center" vertical="center"/>
    </xf>
    <xf numFmtId="164" fontId="2758" fillId="8" borderId="1" xfId="0" applyNumberFormat="1" applyFont="1" applyFill="1" applyBorder="1" applyAlignment="1">
      <alignment horizontal="center" vertical="center"/>
    </xf>
    <xf numFmtId="164" fontId="2759" fillId="8" borderId="1" xfId="0" applyNumberFormat="1" applyFont="1" applyFill="1" applyBorder="1" applyAlignment="1">
      <alignment horizontal="center" vertical="center"/>
    </xf>
    <xf numFmtId="1" fontId="2760" fillId="8" borderId="1" xfId="0" applyNumberFormat="1" applyFont="1" applyFill="1" applyBorder="1" applyAlignment="1">
      <alignment horizontal="center" vertical="center"/>
    </xf>
    <xf numFmtId="1" fontId="2761" fillId="8" borderId="1" xfId="0" applyNumberFormat="1" applyFont="1" applyFill="1" applyBorder="1" applyAlignment="1">
      <alignment horizontal="center" vertical="center"/>
    </xf>
    <xf numFmtId="1" fontId="2762" fillId="8" borderId="1" xfId="0" applyNumberFormat="1" applyFont="1" applyFill="1" applyBorder="1" applyAlignment="1">
      <alignment horizontal="center" vertical="center"/>
    </xf>
    <xf numFmtId="165" fontId="2763" fillId="8" borderId="1" xfId="0" applyNumberFormat="1" applyFont="1" applyFill="1" applyBorder="1" applyAlignment="1">
      <alignment horizontal="center" vertical="center"/>
    </xf>
    <xf numFmtId="1" fontId="2764" fillId="8" borderId="1" xfId="0" applyNumberFormat="1" applyFont="1" applyFill="1" applyBorder="1" applyAlignment="1">
      <alignment horizontal="center" vertical="center"/>
    </xf>
    <xf numFmtId="165" fontId="2765" fillId="8" borderId="1" xfId="0" applyNumberFormat="1" applyFont="1" applyFill="1" applyBorder="1" applyAlignment="1">
      <alignment horizontal="center" vertical="center"/>
    </xf>
    <xf numFmtId="1" fontId="2766" fillId="8" borderId="1" xfId="0" applyNumberFormat="1" applyFont="1" applyFill="1" applyBorder="1" applyAlignment="1">
      <alignment horizontal="center" vertical="center"/>
    </xf>
    <xf numFmtId="1" fontId="2767" fillId="8" borderId="1" xfId="0" applyNumberFormat="1" applyFont="1" applyFill="1" applyBorder="1" applyAlignment="1">
      <alignment horizontal="center" vertical="center"/>
    </xf>
    <xf numFmtId="1" fontId="2768" fillId="8" borderId="1" xfId="0" applyNumberFormat="1" applyFont="1" applyFill="1" applyBorder="1" applyAlignment="1">
      <alignment horizontal="center" vertical="center"/>
    </xf>
    <xf numFmtId="1" fontId="2769" fillId="8" borderId="1" xfId="0" applyNumberFormat="1" applyFont="1" applyFill="1" applyBorder="1" applyAlignment="1">
      <alignment horizontal="center" vertical="center"/>
    </xf>
    <xf numFmtId="165" fontId="2770" fillId="8" borderId="1" xfId="0" applyNumberFormat="1" applyFont="1" applyFill="1" applyBorder="1" applyAlignment="1">
      <alignment horizontal="center" vertical="center"/>
    </xf>
    <xf numFmtId="1" fontId="2771" fillId="8" borderId="1" xfId="0" applyNumberFormat="1" applyFont="1" applyFill="1" applyBorder="1" applyAlignment="1">
      <alignment horizontal="center" vertical="center"/>
    </xf>
    <xf numFmtId="165" fontId="2772" fillId="8" borderId="1" xfId="0" applyNumberFormat="1" applyFont="1" applyFill="1" applyBorder="1" applyAlignment="1">
      <alignment horizontal="center" vertical="center"/>
    </xf>
    <xf numFmtId="1" fontId="2773" fillId="8" borderId="1" xfId="0" applyNumberFormat="1" applyFont="1" applyFill="1" applyBorder="1" applyAlignment="1">
      <alignment horizontal="center" vertical="center"/>
    </xf>
    <xf numFmtId="165" fontId="2774" fillId="8" borderId="1" xfId="0" applyNumberFormat="1" applyFont="1" applyFill="1" applyBorder="1" applyAlignment="1">
      <alignment horizontal="center" vertical="center"/>
    </xf>
    <xf numFmtId="2" fontId="2775" fillId="8" borderId="1" xfId="0" applyNumberFormat="1" applyFont="1" applyFill="1" applyBorder="1" applyAlignment="1">
      <alignment horizontal="center" vertical="center"/>
    </xf>
    <xf numFmtId="2" fontId="2776" fillId="8" borderId="1" xfId="0" applyNumberFormat="1" applyFont="1" applyFill="1" applyBorder="1" applyAlignment="1">
      <alignment horizontal="center" vertical="center"/>
    </xf>
    <xf numFmtId="2" fontId="2777" fillId="8" borderId="1" xfId="0" applyNumberFormat="1" applyFont="1" applyFill="1" applyBorder="1" applyAlignment="1">
      <alignment horizontal="center" vertical="center"/>
    </xf>
    <xf numFmtId="2" fontId="2778" fillId="8" borderId="1" xfId="0" applyNumberFormat="1" applyFont="1" applyFill="1" applyBorder="1" applyAlignment="1">
      <alignment horizontal="center" vertical="center"/>
    </xf>
    <xf numFmtId="2" fontId="2779" fillId="8" borderId="1" xfId="0" applyNumberFormat="1" applyFont="1" applyFill="1" applyBorder="1" applyAlignment="1">
      <alignment horizontal="center" vertical="center"/>
    </xf>
    <xf numFmtId="2" fontId="2780" fillId="8" borderId="1" xfId="0" applyNumberFormat="1" applyFont="1" applyFill="1" applyBorder="1" applyAlignment="1">
      <alignment horizontal="center" vertical="center"/>
    </xf>
    <xf numFmtId="2" fontId="2781" fillId="8" borderId="1" xfId="0" applyNumberFormat="1" applyFont="1" applyFill="1" applyBorder="1" applyAlignment="1">
      <alignment horizontal="center" vertical="center"/>
    </xf>
    <xf numFmtId="2" fontId="2782" fillId="8" borderId="1" xfId="0" applyNumberFormat="1" applyFont="1" applyFill="1" applyBorder="1" applyAlignment="1">
      <alignment horizontal="center" vertical="center"/>
    </xf>
    <xf numFmtId="2" fontId="2783" fillId="8" borderId="1" xfId="0" applyNumberFormat="1" applyFont="1" applyFill="1" applyBorder="1" applyAlignment="1">
      <alignment horizontal="center" vertical="center"/>
    </xf>
    <xf numFmtId="2" fontId="2784" fillId="8" borderId="1" xfId="0" applyNumberFormat="1" applyFont="1" applyFill="1" applyBorder="1" applyAlignment="1">
      <alignment horizontal="center" vertical="center"/>
    </xf>
    <xf numFmtId="2" fontId="2785" fillId="8" borderId="1" xfId="0" applyNumberFormat="1" applyFont="1" applyFill="1" applyBorder="1" applyAlignment="1">
      <alignment horizontal="center" vertical="center"/>
    </xf>
    <xf numFmtId="2" fontId="2786" fillId="8" borderId="1" xfId="0" applyNumberFormat="1" applyFont="1" applyFill="1" applyBorder="1" applyAlignment="1">
      <alignment horizontal="center" vertical="center"/>
    </xf>
    <xf numFmtId="2" fontId="2787" fillId="8" borderId="1" xfId="0" applyNumberFormat="1" applyFont="1" applyFill="1" applyBorder="1" applyAlignment="1">
      <alignment horizontal="center" vertical="center"/>
    </xf>
    <xf numFmtId="2" fontId="2788" fillId="8" borderId="1" xfId="0" applyNumberFormat="1" applyFont="1" applyFill="1" applyBorder="1" applyAlignment="1">
      <alignment horizontal="center" vertical="center"/>
    </xf>
    <xf numFmtId="2" fontId="2789" fillId="8" borderId="1" xfId="0" applyNumberFormat="1" applyFont="1" applyFill="1" applyBorder="1" applyAlignment="1">
      <alignment horizontal="center" vertical="center"/>
    </xf>
    <xf numFmtId="2" fontId="2790" fillId="8" borderId="1" xfId="0" applyNumberFormat="1" applyFont="1" applyFill="1" applyBorder="1" applyAlignment="1">
      <alignment horizontal="center" vertical="center"/>
    </xf>
    <xf numFmtId="2" fontId="2791" fillId="8" borderId="1" xfId="0" applyNumberFormat="1" applyFont="1" applyFill="1" applyBorder="1" applyAlignment="1">
      <alignment horizontal="center" vertical="center"/>
    </xf>
    <xf numFmtId="2" fontId="2792" fillId="8" borderId="1" xfId="0" applyNumberFormat="1" applyFont="1" applyFill="1" applyBorder="1" applyAlignment="1">
      <alignment horizontal="center" vertical="center"/>
    </xf>
    <xf numFmtId="2" fontId="2793" fillId="8" borderId="1" xfId="0" applyNumberFormat="1" applyFont="1" applyFill="1" applyBorder="1" applyAlignment="1">
      <alignment horizontal="center" vertical="center"/>
    </xf>
    <xf numFmtId="2" fontId="2794" fillId="8" borderId="1" xfId="0" applyNumberFormat="1" applyFont="1" applyFill="1" applyBorder="1" applyAlignment="1">
      <alignment horizontal="center" vertical="center"/>
    </xf>
    <xf numFmtId="2" fontId="2795" fillId="8" borderId="1" xfId="0" applyNumberFormat="1" applyFont="1" applyFill="1" applyBorder="1" applyAlignment="1">
      <alignment horizontal="center" vertical="center"/>
    </xf>
    <xf numFmtId="2" fontId="2796" fillId="8" borderId="1" xfId="0" applyNumberFormat="1" applyFont="1" applyFill="1" applyBorder="1" applyAlignment="1">
      <alignment horizontal="center" vertical="center"/>
    </xf>
    <xf numFmtId="2" fontId="2797" fillId="8" borderId="1" xfId="0" applyNumberFormat="1" applyFont="1" applyFill="1" applyBorder="1" applyAlignment="1">
      <alignment horizontal="center" vertical="center"/>
    </xf>
    <xf numFmtId="2" fontId="2798" fillId="8" borderId="1" xfId="0" applyNumberFormat="1" applyFont="1" applyFill="1" applyBorder="1" applyAlignment="1">
      <alignment horizontal="center" vertical="center"/>
    </xf>
    <xf numFmtId="2" fontId="2799" fillId="8" borderId="1" xfId="0" applyNumberFormat="1" applyFont="1" applyFill="1" applyBorder="1" applyAlignment="1">
      <alignment horizontal="center" vertical="center"/>
    </xf>
    <xf numFmtId="2" fontId="2800" fillId="8" borderId="1" xfId="0" applyNumberFormat="1" applyFont="1" applyFill="1" applyBorder="1" applyAlignment="1">
      <alignment horizontal="center" vertical="center"/>
    </xf>
    <xf numFmtId="2" fontId="2801" fillId="8" borderId="1" xfId="0" applyNumberFormat="1" applyFont="1" applyFill="1" applyBorder="1" applyAlignment="1">
      <alignment horizontal="center" vertical="center"/>
    </xf>
    <xf numFmtId="2" fontId="2802" fillId="8" borderId="1" xfId="0" applyNumberFormat="1" applyFont="1" applyFill="1" applyBorder="1" applyAlignment="1">
      <alignment horizontal="center" vertical="center"/>
    </xf>
    <xf numFmtId="2" fontId="2803" fillId="8" borderId="1" xfId="0" applyNumberFormat="1" applyFont="1" applyFill="1" applyBorder="1" applyAlignment="1">
      <alignment horizontal="center" vertical="center"/>
    </xf>
    <xf numFmtId="2" fontId="2804" fillId="8" borderId="1" xfId="0" applyNumberFormat="1" applyFont="1" applyFill="1" applyBorder="1" applyAlignment="1">
      <alignment horizontal="center" vertical="center"/>
    </xf>
    <xf numFmtId="2" fontId="2805" fillId="8" borderId="1" xfId="0" applyNumberFormat="1" applyFont="1" applyFill="1" applyBorder="1" applyAlignment="1">
      <alignment horizontal="center" vertical="center"/>
    </xf>
    <xf numFmtId="2" fontId="2806" fillId="8" borderId="1" xfId="0" applyNumberFormat="1" applyFont="1" applyFill="1" applyBorder="1" applyAlignment="1">
      <alignment horizontal="center" vertical="center"/>
    </xf>
    <xf numFmtId="2" fontId="2807" fillId="8" borderId="1" xfId="0" applyNumberFormat="1" applyFont="1" applyFill="1" applyBorder="1" applyAlignment="1">
      <alignment horizontal="center" vertical="center"/>
    </xf>
    <xf numFmtId="2" fontId="2808" fillId="8" borderId="1" xfId="0" applyNumberFormat="1" applyFont="1" applyFill="1" applyBorder="1" applyAlignment="1">
      <alignment horizontal="center" vertical="center"/>
    </xf>
    <xf numFmtId="0" fontId="2809" fillId="7" borderId="1" xfId="0" applyNumberFormat="1" applyFont="1" applyFill="1" applyBorder="1" applyAlignment="1">
      <alignment horizontal="left" vertical="center"/>
    </xf>
    <xf numFmtId="0" fontId="2810" fillId="8" borderId="1" xfId="0" applyNumberFormat="1" applyFont="1" applyFill="1" applyBorder="1" applyAlignment="1">
      <alignment horizontal="center" vertical="center"/>
    </xf>
    <xf numFmtId="164" fontId="2811" fillId="8" borderId="1" xfId="0" applyNumberFormat="1" applyFont="1" applyFill="1" applyBorder="1" applyAlignment="1">
      <alignment horizontal="center" vertical="center"/>
    </xf>
    <xf numFmtId="1" fontId="2812" fillId="8" borderId="1" xfId="0" applyNumberFormat="1" applyFont="1" applyFill="1" applyBorder="1" applyAlignment="1">
      <alignment horizontal="center" vertical="center"/>
    </xf>
    <xf numFmtId="1" fontId="2813" fillId="8" borderId="1" xfId="0" applyNumberFormat="1" applyFont="1" applyFill="1" applyBorder="1" applyAlignment="1">
      <alignment horizontal="center" vertical="center"/>
    </xf>
    <xf numFmtId="1" fontId="2814" fillId="8" borderId="1" xfId="0" applyNumberFormat="1" applyFont="1" applyFill="1" applyBorder="1" applyAlignment="1">
      <alignment horizontal="center" vertical="center"/>
    </xf>
    <xf numFmtId="1" fontId="2815" fillId="8" borderId="1" xfId="0" applyNumberFormat="1" applyFont="1" applyFill="1" applyBorder="1" applyAlignment="1">
      <alignment horizontal="center" vertical="center"/>
    </xf>
    <xf numFmtId="1" fontId="2816" fillId="8" borderId="1" xfId="0" applyNumberFormat="1" applyFont="1" applyFill="1" applyBorder="1" applyAlignment="1">
      <alignment horizontal="center" vertical="center"/>
    </xf>
    <xf numFmtId="1" fontId="2817" fillId="8" borderId="1" xfId="0" applyNumberFormat="1" applyFont="1" applyFill="1" applyBorder="1" applyAlignment="1">
      <alignment horizontal="center" vertical="center"/>
    </xf>
    <xf numFmtId="1" fontId="2818" fillId="8" borderId="1" xfId="0" applyNumberFormat="1" applyFont="1" applyFill="1" applyBorder="1" applyAlignment="1">
      <alignment horizontal="center" vertical="center"/>
    </xf>
    <xf numFmtId="0" fontId="2819" fillId="8" borderId="1" xfId="0" applyNumberFormat="1" applyFont="1" applyFill="1" applyBorder="1" applyAlignment="1">
      <alignment horizontal="center" vertical="center"/>
    </xf>
    <xf numFmtId="0" fontId="2820" fillId="8" borderId="1" xfId="0" applyNumberFormat="1" applyFont="1" applyFill="1" applyBorder="1" applyAlignment="1">
      <alignment horizontal="center" vertical="center"/>
    </xf>
    <xf numFmtId="1" fontId="2821" fillId="8" borderId="1" xfId="0" applyNumberFormat="1" applyFont="1" applyFill="1" applyBorder="1" applyAlignment="1">
      <alignment horizontal="center" vertical="center"/>
    </xf>
    <xf numFmtId="1" fontId="2822" fillId="8" borderId="1" xfId="0" applyNumberFormat="1" applyFont="1" applyFill="1" applyBorder="1" applyAlignment="1">
      <alignment horizontal="center" vertical="center"/>
    </xf>
    <xf numFmtId="1" fontId="2823" fillId="8" borderId="1" xfId="0" applyNumberFormat="1" applyFont="1" applyFill="1" applyBorder="1" applyAlignment="1">
      <alignment horizontal="center" vertical="center"/>
    </xf>
    <xf numFmtId="165" fontId="2824" fillId="8" borderId="1" xfId="0" applyNumberFormat="1" applyFont="1" applyFill="1" applyBorder="1" applyAlignment="1">
      <alignment horizontal="center" vertical="center"/>
    </xf>
    <xf numFmtId="1" fontId="2825" fillId="8" borderId="1" xfId="0" applyNumberFormat="1" applyFont="1" applyFill="1" applyBorder="1" applyAlignment="1">
      <alignment horizontal="center" vertical="center"/>
    </xf>
    <xf numFmtId="165" fontId="2826" fillId="8" borderId="1" xfId="0" applyNumberFormat="1" applyFont="1" applyFill="1" applyBorder="1" applyAlignment="1">
      <alignment horizontal="center" vertical="center"/>
    </xf>
    <xf numFmtId="1" fontId="2827" fillId="8" borderId="1" xfId="0" applyNumberFormat="1" applyFont="1" applyFill="1" applyBorder="1" applyAlignment="1">
      <alignment horizontal="center" vertical="center"/>
    </xf>
    <xf numFmtId="165" fontId="2828" fillId="8" borderId="1" xfId="0" applyNumberFormat="1" applyFont="1" applyFill="1" applyBorder="1" applyAlignment="1">
      <alignment horizontal="center" vertical="center"/>
    </xf>
    <xf numFmtId="1" fontId="2829" fillId="8" borderId="1" xfId="0" applyNumberFormat="1" applyFont="1" applyFill="1" applyBorder="1" applyAlignment="1">
      <alignment horizontal="center" vertical="center"/>
    </xf>
    <xf numFmtId="165" fontId="2830" fillId="8" borderId="1" xfId="0" applyNumberFormat="1" applyFont="1" applyFill="1" applyBorder="1" applyAlignment="1">
      <alignment horizontal="center" vertical="center"/>
    </xf>
    <xf numFmtId="165" fontId="2831" fillId="8" borderId="1" xfId="0" applyNumberFormat="1" applyFont="1" applyFill="1" applyBorder="1" applyAlignment="1">
      <alignment horizontal="center" vertical="center"/>
    </xf>
    <xf numFmtId="1" fontId="2832" fillId="8" borderId="1" xfId="0" applyNumberFormat="1" applyFont="1" applyFill="1" applyBorder="1" applyAlignment="1">
      <alignment horizontal="center" vertical="center"/>
    </xf>
    <xf numFmtId="1" fontId="2833" fillId="8" borderId="1" xfId="0" applyNumberFormat="1" applyFont="1" applyFill="1" applyBorder="1" applyAlignment="1">
      <alignment horizontal="center" vertical="center"/>
    </xf>
    <xf numFmtId="1" fontId="2834" fillId="8" borderId="1" xfId="0" applyNumberFormat="1" applyFont="1" applyFill="1" applyBorder="1" applyAlignment="1">
      <alignment horizontal="center" vertical="center"/>
    </xf>
    <xf numFmtId="165" fontId="2835" fillId="8" borderId="1" xfId="0" applyNumberFormat="1" applyFont="1" applyFill="1" applyBorder="1" applyAlignment="1">
      <alignment horizontal="center" vertical="center"/>
    </xf>
    <xf numFmtId="164" fontId="2836" fillId="8" borderId="1" xfId="0" applyNumberFormat="1" applyFont="1" applyFill="1" applyBorder="1" applyAlignment="1">
      <alignment horizontal="center" vertical="center"/>
    </xf>
    <xf numFmtId="164" fontId="2837" fillId="8" borderId="1" xfId="0" applyNumberFormat="1" applyFont="1" applyFill="1" applyBorder="1" applyAlignment="1">
      <alignment horizontal="center" vertical="center"/>
    </xf>
    <xf numFmtId="1" fontId="2838" fillId="8" borderId="1" xfId="0" applyNumberFormat="1" applyFont="1" applyFill="1" applyBorder="1" applyAlignment="1">
      <alignment horizontal="center" vertical="center"/>
    </xf>
    <xf numFmtId="1" fontId="2839" fillId="8" borderId="1" xfId="0" applyNumberFormat="1" applyFont="1" applyFill="1" applyBorder="1" applyAlignment="1">
      <alignment horizontal="center" vertical="center"/>
    </xf>
    <xf numFmtId="1" fontId="2840" fillId="8" borderId="1" xfId="0" applyNumberFormat="1" applyFont="1" applyFill="1" applyBorder="1" applyAlignment="1">
      <alignment horizontal="center" vertical="center"/>
    </xf>
    <xf numFmtId="165" fontId="2841" fillId="8" borderId="1" xfId="0" applyNumberFormat="1" applyFont="1" applyFill="1" applyBorder="1" applyAlignment="1">
      <alignment horizontal="center" vertical="center"/>
    </xf>
    <xf numFmtId="1" fontId="2842" fillId="8" borderId="1" xfId="0" applyNumberFormat="1" applyFont="1" applyFill="1" applyBorder="1" applyAlignment="1">
      <alignment horizontal="center" vertical="center"/>
    </xf>
    <xf numFmtId="165" fontId="2843" fillId="8" borderId="1" xfId="0" applyNumberFormat="1" applyFont="1" applyFill="1" applyBorder="1" applyAlignment="1">
      <alignment horizontal="center" vertical="center"/>
    </xf>
    <xf numFmtId="1" fontId="2844" fillId="8" borderId="1" xfId="0" applyNumberFormat="1" applyFont="1" applyFill="1" applyBorder="1" applyAlignment="1">
      <alignment horizontal="center" vertical="center"/>
    </xf>
    <xf numFmtId="1" fontId="2845" fillId="8" borderId="1" xfId="0" applyNumberFormat="1" applyFont="1" applyFill="1" applyBorder="1" applyAlignment="1">
      <alignment horizontal="center" vertical="center"/>
    </xf>
    <xf numFmtId="1" fontId="2846" fillId="8" borderId="1" xfId="0" applyNumberFormat="1" applyFont="1" applyFill="1" applyBorder="1" applyAlignment="1">
      <alignment horizontal="center" vertical="center"/>
    </xf>
    <xf numFmtId="1" fontId="2847" fillId="8" borderId="1" xfId="0" applyNumberFormat="1" applyFont="1" applyFill="1" applyBorder="1" applyAlignment="1">
      <alignment horizontal="center" vertical="center"/>
    </xf>
    <xf numFmtId="165" fontId="2848" fillId="8" borderId="1" xfId="0" applyNumberFormat="1" applyFont="1" applyFill="1" applyBorder="1" applyAlignment="1">
      <alignment horizontal="center" vertical="center"/>
    </xf>
    <xf numFmtId="1" fontId="2849" fillId="8" borderId="1" xfId="0" applyNumberFormat="1" applyFont="1" applyFill="1" applyBorder="1" applyAlignment="1">
      <alignment horizontal="center" vertical="center"/>
    </xf>
    <xf numFmtId="165" fontId="2850" fillId="8" borderId="1" xfId="0" applyNumberFormat="1" applyFont="1" applyFill="1" applyBorder="1" applyAlignment="1">
      <alignment horizontal="center" vertical="center"/>
    </xf>
    <xf numFmtId="1" fontId="2851" fillId="8" borderId="1" xfId="0" applyNumberFormat="1" applyFont="1" applyFill="1" applyBorder="1" applyAlignment="1">
      <alignment horizontal="center" vertical="center"/>
    </xf>
    <xf numFmtId="165" fontId="2852" fillId="8" borderId="1" xfId="0" applyNumberFormat="1" applyFont="1" applyFill="1" applyBorder="1" applyAlignment="1">
      <alignment horizontal="center" vertical="center"/>
    </xf>
    <xf numFmtId="2" fontId="2853" fillId="8" borderId="1" xfId="0" applyNumberFormat="1" applyFont="1" applyFill="1" applyBorder="1" applyAlignment="1">
      <alignment horizontal="center" vertical="center"/>
    </xf>
    <xf numFmtId="2" fontId="2854" fillId="8" borderId="1" xfId="0" applyNumberFormat="1" applyFont="1" applyFill="1" applyBorder="1" applyAlignment="1">
      <alignment horizontal="center" vertical="center"/>
    </xf>
    <xf numFmtId="2" fontId="2855" fillId="8" borderId="1" xfId="0" applyNumberFormat="1" applyFont="1" applyFill="1" applyBorder="1" applyAlignment="1">
      <alignment horizontal="center" vertical="center"/>
    </xf>
    <xf numFmtId="2" fontId="2856" fillId="8" borderId="1" xfId="0" applyNumberFormat="1" applyFont="1" applyFill="1" applyBorder="1" applyAlignment="1">
      <alignment horizontal="center" vertical="center"/>
    </xf>
    <xf numFmtId="2" fontId="2857" fillId="8" borderId="1" xfId="0" applyNumberFormat="1" applyFont="1" applyFill="1" applyBorder="1" applyAlignment="1">
      <alignment horizontal="center" vertical="center"/>
    </xf>
    <xf numFmtId="2" fontId="2858" fillId="8" borderId="1" xfId="0" applyNumberFormat="1" applyFont="1" applyFill="1" applyBorder="1" applyAlignment="1">
      <alignment horizontal="center" vertical="center"/>
    </xf>
    <xf numFmtId="2" fontId="2859" fillId="8" borderId="1" xfId="0" applyNumberFormat="1" applyFont="1" applyFill="1" applyBorder="1" applyAlignment="1">
      <alignment horizontal="center" vertical="center"/>
    </xf>
    <xf numFmtId="2" fontId="2860" fillId="8" borderId="1" xfId="0" applyNumberFormat="1" applyFont="1" applyFill="1" applyBorder="1" applyAlignment="1">
      <alignment horizontal="center" vertical="center"/>
    </xf>
    <xf numFmtId="2" fontId="2861" fillId="8" borderId="1" xfId="0" applyNumberFormat="1" applyFont="1" applyFill="1" applyBorder="1" applyAlignment="1">
      <alignment horizontal="center" vertical="center"/>
    </xf>
    <xf numFmtId="2" fontId="2862" fillId="8" borderId="1" xfId="0" applyNumberFormat="1" applyFont="1" applyFill="1" applyBorder="1" applyAlignment="1">
      <alignment horizontal="center" vertical="center"/>
    </xf>
    <xf numFmtId="2" fontId="2863" fillId="8" borderId="1" xfId="0" applyNumberFormat="1" applyFont="1" applyFill="1" applyBorder="1" applyAlignment="1">
      <alignment horizontal="center" vertical="center"/>
    </xf>
    <xf numFmtId="2" fontId="2864" fillId="8" borderId="1" xfId="0" applyNumberFormat="1" applyFont="1" applyFill="1" applyBorder="1" applyAlignment="1">
      <alignment horizontal="center" vertical="center"/>
    </xf>
    <xf numFmtId="2" fontId="2865" fillId="8" borderId="1" xfId="0" applyNumberFormat="1" applyFont="1" applyFill="1" applyBorder="1" applyAlignment="1">
      <alignment horizontal="center" vertical="center"/>
    </xf>
    <xf numFmtId="2" fontId="2866" fillId="8" borderId="1" xfId="0" applyNumberFormat="1" applyFont="1" applyFill="1" applyBorder="1" applyAlignment="1">
      <alignment horizontal="center" vertical="center"/>
    </xf>
    <xf numFmtId="2" fontId="2867" fillId="8" borderId="1" xfId="0" applyNumberFormat="1" applyFont="1" applyFill="1" applyBorder="1" applyAlignment="1">
      <alignment horizontal="center" vertical="center"/>
    </xf>
    <xf numFmtId="2" fontId="2868" fillId="8" borderId="1" xfId="0" applyNumberFormat="1" applyFont="1" applyFill="1" applyBorder="1" applyAlignment="1">
      <alignment horizontal="center" vertical="center"/>
    </xf>
    <xf numFmtId="2" fontId="2869" fillId="8" borderId="1" xfId="0" applyNumberFormat="1" applyFont="1" applyFill="1" applyBorder="1" applyAlignment="1">
      <alignment horizontal="center" vertical="center"/>
    </xf>
    <xf numFmtId="2" fontId="2870" fillId="8" borderId="1" xfId="0" applyNumberFormat="1" applyFont="1" applyFill="1" applyBorder="1" applyAlignment="1">
      <alignment horizontal="center" vertical="center"/>
    </xf>
    <xf numFmtId="2" fontId="2871" fillId="8" borderId="1" xfId="0" applyNumberFormat="1" applyFont="1" applyFill="1" applyBorder="1" applyAlignment="1">
      <alignment horizontal="center" vertical="center"/>
    </xf>
    <xf numFmtId="2" fontId="2872" fillId="8" borderId="1" xfId="0" applyNumberFormat="1" applyFont="1" applyFill="1" applyBorder="1" applyAlignment="1">
      <alignment horizontal="center" vertical="center"/>
    </xf>
    <xf numFmtId="2" fontId="2873" fillId="8" borderId="1" xfId="0" applyNumberFormat="1" applyFont="1" applyFill="1" applyBorder="1" applyAlignment="1">
      <alignment horizontal="center" vertical="center"/>
    </xf>
    <xf numFmtId="2" fontId="2874" fillId="8" borderId="1" xfId="0" applyNumberFormat="1" applyFont="1" applyFill="1" applyBorder="1" applyAlignment="1">
      <alignment horizontal="center" vertical="center"/>
    </xf>
    <xf numFmtId="2" fontId="2875" fillId="8" borderId="1" xfId="0" applyNumberFormat="1" applyFont="1" applyFill="1" applyBorder="1" applyAlignment="1">
      <alignment horizontal="center" vertical="center"/>
    </xf>
    <xf numFmtId="2" fontId="2876" fillId="8" borderId="1" xfId="0" applyNumberFormat="1" applyFont="1" applyFill="1" applyBorder="1" applyAlignment="1">
      <alignment horizontal="center" vertical="center"/>
    </xf>
    <xf numFmtId="2" fontId="2877" fillId="8" borderId="1" xfId="0" applyNumberFormat="1" applyFont="1" applyFill="1" applyBorder="1" applyAlignment="1">
      <alignment horizontal="center" vertical="center"/>
    </xf>
    <xf numFmtId="2" fontId="2878" fillId="8" borderId="1" xfId="0" applyNumberFormat="1" applyFont="1" applyFill="1" applyBorder="1" applyAlignment="1">
      <alignment horizontal="center" vertical="center"/>
    </xf>
    <xf numFmtId="2" fontId="2879" fillId="8" borderId="1" xfId="0" applyNumberFormat="1" applyFont="1" applyFill="1" applyBorder="1" applyAlignment="1">
      <alignment horizontal="center" vertical="center"/>
    </xf>
    <xf numFmtId="2" fontId="2880" fillId="8" borderId="1" xfId="0" applyNumberFormat="1" applyFont="1" applyFill="1" applyBorder="1" applyAlignment="1">
      <alignment horizontal="center" vertical="center"/>
    </xf>
    <xf numFmtId="2" fontId="2881" fillId="8" borderId="1" xfId="0" applyNumberFormat="1" applyFont="1" applyFill="1" applyBorder="1" applyAlignment="1">
      <alignment horizontal="center" vertical="center"/>
    </xf>
    <xf numFmtId="2" fontId="2882" fillId="8" borderId="1" xfId="0" applyNumberFormat="1" applyFont="1" applyFill="1" applyBorder="1" applyAlignment="1">
      <alignment horizontal="center" vertical="center"/>
    </xf>
    <xf numFmtId="2" fontId="2883" fillId="8" borderId="1" xfId="0" applyNumberFormat="1" applyFont="1" applyFill="1" applyBorder="1" applyAlignment="1">
      <alignment horizontal="center" vertical="center"/>
    </xf>
    <xf numFmtId="2" fontId="2884" fillId="8" borderId="1" xfId="0" applyNumberFormat="1" applyFont="1" applyFill="1" applyBorder="1" applyAlignment="1">
      <alignment horizontal="center" vertical="center"/>
    </xf>
    <xf numFmtId="2" fontId="2885" fillId="8" borderId="1" xfId="0" applyNumberFormat="1" applyFont="1" applyFill="1" applyBorder="1" applyAlignment="1">
      <alignment horizontal="center" vertical="center"/>
    </xf>
    <xf numFmtId="2" fontId="2886" fillId="8" borderId="1" xfId="0" applyNumberFormat="1" applyFont="1" applyFill="1" applyBorder="1" applyAlignment="1">
      <alignment horizontal="center" vertical="center"/>
    </xf>
    <xf numFmtId="0" fontId="2887" fillId="7" borderId="1" xfId="0" applyNumberFormat="1" applyFont="1" applyFill="1" applyBorder="1" applyAlignment="1">
      <alignment horizontal="left" vertical="center"/>
    </xf>
    <xf numFmtId="0" fontId="2888" fillId="8" borderId="1" xfId="0" applyNumberFormat="1" applyFont="1" applyFill="1" applyBorder="1" applyAlignment="1">
      <alignment horizontal="center" vertical="center"/>
    </xf>
    <xf numFmtId="164" fontId="2889" fillId="8" borderId="1" xfId="0" applyNumberFormat="1" applyFont="1" applyFill="1" applyBorder="1" applyAlignment="1">
      <alignment horizontal="center" vertical="center"/>
    </xf>
    <xf numFmtId="1" fontId="2890" fillId="8" borderId="1" xfId="0" applyNumberFormat="1" applyFont="1" applyFill="1" applyBorder="1" applyAlignment="1">
      <alignment horizontal="center" vertical="center"/>
    </xf>
    <xf numFmtId="1" fontId="2891" fillId="8" borderId="1" xfId="0" applyNumberFormat="1" applyFont="1" applyFill="1" applyBorder="1" applyAlignment="1">
      <alignment horizontal="center" vertical="center"/>
    </xf>
    <xf numFmtId="1" fontId="2892" fillId="8" borderId="1" xfId="0" applyNumberFormat="1" applyFont="1" applyFill="1" applyBorder="1" applyAlignment="1">
      <alignment horizontal="center" vertical="center"/>
    </xf>
    <xf numFmtId="1" fontId="2893" fillId="8" borderId="1" xfId="0" applyNumberFormat="1" applyFont="1" applyFill="1" applyBorder="1" applyAlignment="1">
      <alignment horizontal="center" vertical="center"/>
    </xf>
    <xf numFmtId="1" fontId="2894" fillId="8" borderId="1" xfId="0" applyNumberFormat="1" applyFont="1" applyFill="1" applyBorder="1" applyAlignment="1">
      <alignment horizontal="center" vertical="center"/>
    </xf>
    <xf numFmtId="1" fontId="2895" fillId="8" borderId="1" xfId="0" applyNumberFormat="1" applyFont="1" applyFill="1" applyBorder="1" applyAlignment="1">
      <alignment horizontal="center" vertical="center"/>
    </xf>
    <xf numFmtId="1" fontId="2896" fillId="8" borderId="1" xfId="0" applyNumberFormat="1" applyFont="1" applyFill="1" applyBorder="1" applyAlignment="1">
      <alignment horizontal="center" vertical="center"/>
    </xf>
    <xf numFmtId="0" fontId="2897" fillId="8" borderId="1" xfId="0" applyNumberFormat="1" applyFont="1" applyFill="1" applyBorder="1" applyAlignment="1">
      <alignment horizontal="center" vertical="center"/>
    </xf>
    <xf numFmtId="0" fontId="2898" fillId="8" borderId="1" xfId="0" applyNumberFormat="1" applyFont="1" applyFill="1" applyBorder="1" applyAlignment="1">
      <alignment horizontal="center" vertical="center"/>
    </xf>
    <xf numFmtId="1" fontId="2899" fillId="8" borderId="1" xfId="0" applyNumberFormat="1" applyFont="1" applyFill="1" applyBorder="1" applyAlignment="1">
      <alignment horizontal="center" vertical="center"/>
    </xf>
    <xf numFmtId="1" fontId="2900" fillId="8" borderId="1" xfId="0" applyNumberFormat="1" applyFont="1" applyFill="1" applyBorder="1" applyAlignment="1">
      <alignment horizontal="center" vertical="center"/>
    </xf>
    <xf numFmtId="1" fontId="2901" fillId="8" borderId="1" xfId="0" applyNumberFormat="1" applyFont="1" applyFill="1" applyBorder="1" applyAlignment="1">
      <alignment horizontal="center" vertical="center"/>
    </xf>
    <xf numFmtId="165" fontId="2902" fillId="8" borderId="1" xfId="0" applyNumberFormat="1" applyFont="1" applyFill="1" applyBorder="1" applyAlignment="1">
      <alignment horizontal="center" vertical="center"/>
    </xf>
    <xf numFmtId="1" fontId="2903" fillId="8" borderId="1" xfId="0" applyNumberFormat="1" applyFont="1" applyFill="1" applyBorder="1" applyAlignment="1">
      <alignment horizontal="center" vertical="center"/>
    </xf>
    <xf numFmtId="165" fontId="2904" fillId="8" borderId="1" xfId="0" applyNumberFormat="1" applyFont="1" applyFill="1" applyBorder="1" applyAlignment="1">
      <alignment horizontal="center" vertical="center"/>
    </xf>
    <xf numFmtId="1" fontId="2905" fillId="8" borderId="1" xfId="0" applyNumberFormat="1" applyFont="1" applyFill="1" applyBorder="1" applyAlignment="1">
      <alignment horizontal="center" vertical="center"/>
    </xf>
    <xf numFmtId="165" fontId="2906" fillId="8" borderId="1" xfId="0" applyNumberFormat="1" applyFont="1" applyFill="1" applyBorder="1" applyAlignment="1">
      <alignment horizontal="center" vertical="center"/>
    </xf>
    <xf numFmtId="1" fontId="2907" fillId="8" borderId="1" xfId="0" applyNumberFormat="1" applyFont="1" applyFill="1" applyBorder="1" applyAlignment="1">
      <alignment horizontal="center" vertical="center"/>
    </xf>
    <xf numFmtId="165" fontId="2908" fillId="8" borderId="1" xfId="0" applyNumberFormat="1" applyFont="1" applyFill="1" applyBorder="1" applyAlignment="1">
      <alignment horizontal="center" vertical="center"/>
    </xf>
    <xf numFmtId="165" fontId="2909" fillId="8" borderId="1" xfId="0" applyNumberFormat="1" applyFont="1" applyFill="1" applyBorder="1" applyAlignment="1">
      <alignment horizontal="center" vertical="center"/>
    </xf>
    <xf numFmtId="1" fontId="2910" fillId="8" borderId="1" xfId="0" applyNumberFormat="1" applyFont="1" applyFill="1" applyBorder="1" applyAlignment="1">
      <alignment horizontal="center" vertical="center"/>
    </xf>
    <xf numFmtId="1" fontId="2911" fillId="8" borderId="1" xfId="0" applyNumberFormat="1" applyFont="1" applyFill="1" applyBorder="1" applyAlignment="1">
      <alignment horizontal="center" vertical="center"/>
    </xf>
    <xf numFmtId="1" fontId="2912" fillId="8" borderId="1" xfId="0" applyNumberFormat="1" applyFont="1" applyFill="1" applyBorder="1" applyAlignment="1">
      <alignment horizontal="center" vertical="center"/>
    </xf>
    <xf numFmtId="165" fontId="2913" fillId="8" borderId="1" xfId="0" applyNumberFormat="1" applyFont="1" applyFill="1" applyBorder="1" applyAlignment="1">
      <alignment horizontal="center" vertical="center"/>
    </xf>
    <xf numFmtId="164" fontId="2914" fillId="8" borderId="1" xfId="0" applyNumberFormat="1" applyFont="1" applyFill="1" applyBorder="1" applyAlignment="1">
      <alignment horizontal="center" vertical="center"/>
    </xf>
    <xf numFmtId="164" fontId="2915" fillId="8" borderId="1" xfId="0" applyNumberFormat="1" applyFont="1" applyFill="1" applyBorder="1" applyAlignment="1">
      <alignment horizontal="center" vertical="center"/>
    </xf>
    <xf numFmtId="1" fontId="2916" fillId="8" borderId="1" xfId="0" applyNumberFormat="1" applyFont="1" applyFill="1" applyBorder="1" applyAlignment="1">
      <alignment horizontal="center" vertical="center"/>
    </xf>
    <xf numFmtId="1" fontId="2917" fillId="8" borderId="1" xfId="0" applyNumberFormat="1" applyFont="1" applyFill="1" applyBorder="1" applyAlignment="1">
      <alignment horizontal="center" vertical="center"/>
    </xf>
    <xf numFmtId="1" fontId="2918" fillId="8" borderId="1" xfId="0" applyNumberFormat="1" applyFont="1" applyFill="1" applyBorder="1" applyAlignment="1">
      <alignment horizontal="center" vertical="center"/>
    </xf>
    <xf numFmtId="165" fontId="2919" fillId="8" borderId="1" xfId="0" applyNumberFormat="1" applyFont="1" applyFill="1" applyBorder="1" applyAlignment="1">
      <alignment horizontal="center" vertical="center"/>
    </xf>
    <xf numFmtId="1" fontId="2920" fillId="8" borderId="1" xfId="0" applyNumberFormat="1" applyFont="1" applyFill="1" applyBorder="1" applyAlignment="1">
      <alignment horizontal="center" vertical="center"/>
    </xf>
    <xf numFmtId="165" fontId="2921" fillId="8" borderId="1" xfId="0" applyNumberFormat="1" applyFont="1" applyFill="1" applyBorder="1" applyAlignment="1">
      <alignment horizontal="center" vertical="center"/>
    </xf>
    <xf numFmtId="1" fontId="2922" fillId="8" borderId="1" xfId="0" applyNumberFormat="1" applyFont="1" applyFill="1" applyBorder="1" applyAlignment="1">
      <alignment horizontal="center" vertical="center"/>
    </xf>
    <xf numFmtId="1" fontId="2923" fillId="8" borderId="1" xfId="0" applyNumberFormat="1" applyFont="1" applyFill="1" applyBorder="1" applyAlignment="1">
      <alignment horizontal="center" vertical="center"/>
    </xf>
    <xf numFmtId="1" fontId="2924" fillId="8" borderId="1" xfId="0" applyNumberFormat="1" applyFont="1" applyFill="1" applyBorder="1" applyAlignment="1">
      <alignment horizontal="center" vertical="center"/>
    </xf>
    <xf numFmtId="1" fontId="2925" fillId="8" borderId="1" xfId="0" applyNumberFormat="1" applyFont="1" applyFill="1" applyBorder="1" applyAlignment="1">
      <alignment horizontal="center" vertical="center"/>
    </xf>
    <xf numFmtId="165" fontId="2926" fillId="8" borderId="1" xfId="0" applyNumberFormat="1" applyFont="1" applyFill="1" applyBorder="1" applyAlignment="1">
      <alignment horizontal="center" vertical="center"/>
    </xf>
    <xf numFmtId="1" fontId="2927" fillId="8" borderId="1" xfId="0" applyNumberFormat="1" applyFont="1" applyFill="1" applyBorder="1" applyAlignment="1">
      <alignment horizontal="center" vertical="center"/>
    </xf>
    <xf numFmtId="165" fontId="2928" fillId="8" borderId="1" xfId="0" applyNumberFormat="1" applyFont="1" applyFill="1" applyBorder="1" applyAlignment="1">
      <alignment horizontal="center" vertical="center"/>
    </xf>
    <xf numFmtId="1" fontId="2929" fillId="8" borderId="1" xfId="0" applyNumberFormat="1" applyFont="1" applyFill="1" applyBorder="1" applyAlignment="1">
      <alignment horizontal="center" vertical="center"/>
    </xf>
    <xf numFmtId="165" fontId="2930" fillId="8" borderId="1" xfId="0" applyNumberFormat="1" applyFont="1" applyFill="1" applyBorder="1" applyAlignment="1">
      <alignment horizontal="center" vertical="center"/>
    </xf>
    <xf numFmtId="2" fontId="2931" fillId="8" borderId="1" xfId="0" applyNumberFormat="1" applyFont="1" applyFill="1" applyBorder="1" applyAlignment="1">
      <alignment horizontal="center" vertical="center"/>
    </xf>
    <xf numFmtId="2" fontId="2932" fillId="8" borderId="1" xfId="0" applyNumberFormat="1" applyFont="1" applyFill="1" applyBorder="1" applyAlignment="1">
      <alignment horizontal="center" vertical="center"/>
    </xf>
    <xf numFmtId="2" fontId="2933" fillId="8" borderId="1" xfId="0" applyNumberFormat="1" applyFont="1" applyFill="1" applyBorder="1" applyAlignment="1">
      <alignment horizontal="center" vertical="center"/>
    </xf>
    <xf numFmtId="2" fontId="2934" fillId="8" borderId="1" xfId="0" applyNumberFormat="1" applyFont="1" applyFill="1" applyBorder="1" applyAlignment="1">
      <alignment horizontal="center" vertical="center"/>
    </xf>
    <xf numFmtId="2" fontId="2935" fillId="8" borderId="1" xfId="0" applyNumberFormat="1" applyFont="1" applyFill="1" applyBorder="1" applyAlignment="1">
      <alignment horizontal="center" vertical="center"/>
    </xf>
    <xf numFmtId="2" fontId="2936" fillId="8" borderId="1" xfId="0" applyNumberFormat="1" applyFont="1" applyFill="1" applyBorder="1" applyAlignment="1">
      <alignment horizontal="center" vertical="center"/>
    </xf>
    <xf numFmtId="2" fontId="2937" fillId="8" borderId="1" xfId="0" applyNumberFormat="1" applyFont="1" applyFill="1" applyBorder="1" applyAlignment="1">
      <alignment horizontal="center" vertical="center"/>
    </xf>
    <xf numFmtId="2" fontId="2938" fillId="8" borderId="1" xfId="0" applyNumberFormat="1" applyFont="1" applyFill="1" applyBorder="1" applyAlignment="1">
      <alignment horizontal="center" vertical="center"/>
    </xf>
    <xf numFmtId="2" fontId="2939" fillId="8" borderId="1" xfId="0" applyNumberFormat="1" applyFont="1" applyFill="1" applyBorder="1" applyAlignment="1">
      <alignment horizontal="center" vertical="center"/>
    </xf>
    <xf numFmtId="2" fontId="2940" fillId="8" borderId="1" xfId="0" applyNumberFormat="1" applyFont="1" applyFill="1" applyBorder="1" applyAlignment="1">
      <alignment horizontal="center" vertical="center"/>
    </xf>
    <xf numFmtId="2" fontId="2941" fillId="8" borderId="1" xfId="0" applyNumberFormat="1" applyFont="1" applyFill="1" applyBorder="1" applyAlignment="1">
      <alignment horizontal="center" vertical="center"/>
    </xf>
    <xf numFmtId="2" fontId="2942" fillId="8" borderId="1" xfId="0" applyNumberFormat="1" applyFont="1" applyFill="1" applyBorder="1" applyAlignment="1">
      <alignment horizontal="center" vertical="center"/>
    </xf>
    <xf numFmtId="2" fontId="2943" fillId="8" borderId="1" xfId="0" applyNumberFormat="1" applyFont="1" applyFill="1" applyBorder="1" applyAlignment="1">
      <alignment horizontal="center" vertical="center"/>
    </xf>
    <xf numFmtId="2" fontId="2944" fillId="8" borderId="1" xfId="0" applyNumberFormat="1" applyFont="1" applyFill="1" applyBorder="1" applyAlignment="1">
      <alignment horizontal="center" vertical="center"/>
    </xf>
    <xf numFmtId="2" fontId="2945" fillId="8" borderId="1" xfId="0" applyNumberFormat="1" applyFont="1" applyFill="1" applyBorder="1" applyAlignment="1">
      <alignment horizontal="center" vertical="center"/>
    </xf>
    <xf numFmtId="2" fontId="2946" fillId="8" borderId="1" xfId="0" applyNumberFormat="1" applyFont="1" applyFill="1" applyBorder="1" applyAlignment="1">
      <alignment horizontal="center" vertical="center"/>
    </xf>
    <xf numFmtId="2" fontId="2947" fillId="8" borderId="1" xfId="0" applyNumberFormat="1" applyFont="1" applyFill="1" applyBorder="1" applyAlignment="1">
      <alignment horizontal="center" vertical="center"/>
    </xf>
    <xf numFmtId="2" fontId="2948" fillId="8" borderId="1" xfId="0" applyNumberFormat="1" applyFont="1" applyFill="1" applyBorder="1" applyAlignment="1">
      <alignment horizontal="center" vertical="center"/>
    </xf>
    <xf numFmtId="2" fontId="2949" fillId="8" borderId="1" xfId="0" applyNumberFormat="1" applyFont="1" applyFill="1" applyBorder="1" applyAlignment="1">
      <alignment horizontal="center" vertical="center"/>
    </xf>
    <xf numFmtId="2" fontId="2950" fillId="8" borderId="1" xfId="0" applyNumberFormat="1" applyFont="1" applyFill="1" applyBorder="1" applyAlignment="1">
      <alignment horizontal="center" vertical="center"/>
    </xf>
    <xf numFmtId="2" fontId="2951" fillId="8" borderId="1" xfId="0" applyNumberFormat="1" applyFont="1" applyFill="1" applyBorder="1" applyAlignment="1">
      <alignment horizontal="center" vertical="center"/>
    </xf>
    <xf numFmtId="2" fontId="2952" fillId="8" borderId="1" xfId="0" applyNumberFormat="1" applyFont="1" applyFill="1" applyBorder="1" applyAlignment="1">
      <alignment horizontal="center" vertical="center"/>
    </xf>
    <xf numFmtId="2" fontId="2953" fillId="8" borderId="1" xfId="0" applyNumberFormat="1" applyFont="1" applyFill="1" applyBorder="1" applyAlignment="1">
      <alignment horizontal="center" vertical="center"/>
    </xf>
    <xf numFmtId="2" fontId="2954" fillId="8" borderId="1" xfId="0" applyNumberFormat="1" applyFont="1" applyFill="1" applyBorder="1" applyAlignment="1">
      <alignment horizontal="center" vertical="center"/>
    </xf>
    <xf numFmtId="2" fontId="2955" fillId="8" borderId="1" xfId="0" applyNumberFormat="1" applyFont="1" applyFill="1" applyBorder="1" applyAlignment="1">
      <alignment horizontal="center" vertical="center"/>
    </xf>
    <xf numFmtId="2" fontId="2956" fillId="8" borderId="1" xfId="0" applyNumberFormat="1" applyFont="1" applyFill="1" applyBorder="1" applyAlignment="1">
      <alignment horizontal="center" vertical="center"/>
    </xf>
    <xf numFmtId="2" fontId="2957" fillId="8" borderId="1" xfId="0" applyNumberFormat="1" applyFont="1" applyFill="1" applyBorder="1" applyAlignment="1">
      <alignment horizontal="center" vertical="center"/>
    </xf>
    <xf numFmtId="2" fontId="2958" fillId="8" borderId="1" xfId="0" applyNumberFormat="1" applyFont="1" applyFill="1" applyBorder="1" applyAlignment="1">
      <alignment horizontal="center" vertical="center"/>
    </xf>
    <xf numFmtId="2" fontId="2959" fillId="8" borderId="1" xfId="0" applyNumberFormat="1" applyFont="1" applyFill="1" applyBorder="1" applyAlignment="1">
      <alignment horizontal="center" vertical="center"/>
    </xf>
    <xf numFmtId="2" fontId="2960" fillId="8" borderId="1" xfId="0" applyNumberFormat="1" applyFont="1" applyFill="1" applyBorder="1" applyAlignment="1">
      <alignment horizontal="center" vertical="center"/>
    </xf>
    <xf numFmtId="2" fontId="2961" fillId="8" borderId="1" xfId="0" applyNumberFormat="1" applyFont="1" applyFill="1" applyBorder="1" applyAlignment="1">
      <alignment horizontal="center" vertical="center"/>
    </xf>
    <xf numFmtId="2" fontId="2962" fillId="8" borderId="1" xfId="0" applyNumberFormat="1" applyFont="1" applyFill="1" applyBorder="1" applyAlignment="1">
      <alignment horizontal="center" vertical="center"/>
    </xf>
    <xf numFmtId="2" fontId="2963" fillId="8" borderId="1" xfId="0" applyNumberFormat="1" applyFont="1" applyFill="1" applyBorder="1" applyAlignment="1">
      <alignment horizontal="center" vertical="center"/>
    </xf>
    <xf numFmtId="2" fontId="2964" fillId="8" borderId="1" xfId="0" applyNumberFormat="1" applyFont="1" applyFill="1" applyBorder="1" applyAlignment="1">
      <alignment horizontal="center" vertical="center"/>
    </xf>
    <xf numFmtId="0" fontId="2965" fillId="7" borderId="1" xfId="0" applyNumberFormat="1" applyFont="1" applyFill="1" applyBorder="1" applyAlignment="1">
      <alignment horizontal="left" vertical="center"/>
    </xf>
    <xf numFmtId="0" fontId="2966" fillId="8" borderId="1" xfId="0" applyNumberFormat="1" applyFont="1" applyFill="1" applyBorder="1" applyAlignment="1">
      <alignment horizontal="center" vertical="center"/>
    </xf>
    <xf numFmtId="164" fontId="2967" fillId="8" borderId="1" xfId="0" applyNumberFormat="1" applyFont="1" applyFill="1" applyBorder="1" applyAlignment="1">
      <alignment horizontal="center" vertical="center"/>
    </xf>
    <xf numFmtId="1" fontId="2968" fillId="8" borderId="1" xfId="0" applyNumberFormat="1" applyFont="1" applyFill="1" applyBorder="1" applyAlignment="1">
      <alignment horizontal="center" vertical="center"/>
    </xf>
    <xf numFmtId="1" fontId="2969" fillId="8" borderId="1" xfId="0" applyNumberFormat="1" applyFont="1" applyFill="1" applyBorder="1" applyAlignment="1">
      <alignment horizontal="center" vertical="center"/>
    </xf>
    <xf numFmtId="1" fontId="2970" fillId="8" borderId="1" xfId="0" applyNumberFormat="1" applyFont="1" applyFill="1" applyBorder="1" applyAlignment="1">
      <alignment horizontal="center" vertical="center"/>
    </xf>
    <xf numFmtId="1" fontId="2971" fillId="8" borderId="1" xfId="0" applyNumberFormat="1" applyFont="1" applyFill="1" applyBorder="1" applyAlignment="1">
      <alignment horizontal="center" vertical="center"/>
    </xf>
    <xf numFmtId="1" fontId="2972" fillId="8" borderId="1" xfId="0" applyNumberFormat="1" applyFont="1" applyFill="1" applyBorder="1" applyAlignment="1">
      <alignment horizontal="center" vertical="center"/>
    </xf>
    <xf numFmtId="1" fontId="2973" fillId="8" borderId="1" xfId="0" applyNumberFormat="1" applyFont="1" applyFill="1" applyBorder="1" applyAlignment="1">
      <alignment horizontal="center" vertical="center"/>
    </xf>
    <xf numFmtId="1" fontId="2974" fillId="8" borderId="1" xfId="0" applyNumberFormat="1" applyFont="1" applyFill="1" applyBorder="1" applyAlignment="1">
      <alignment horizontal="center" vertical="center"/>
    </xf>
    <xf numFmtId="0" fontId="2975" fillId="8" borderId="1" xfId="0" applyNumberFormat="1" applyFont="1" applyFill="1" applyBorder="1" applyAlignment="1">
      <alignment horizontal="center" vertical="center"/>
    </xf>
    <xf numFmtId="0" fontId="2976" fillId="8" borderId="1" xfId="0" applyNumberFormat="1" applyFont="1" applyFill="1" applyBorder="1" applyAlignment="1">
      <alignment horizontal="center" vertical="center"/>
    </xf>
    <xf numFmtId="1" fontId="2977" fillId="8" borderId="1" xfId="0" applyNumberFormat="1" applyFont="1" applyFill="1" applyBorder="1" applyAlignment="1">
      <alignment horizontal="center" vertical="center"/>
    </xf>
    <xf numFmtId="1" fontId="2978" fillId="8" borderId="1" xfId="0" applyNumberFormat="1" applyFont="1" applyFill="1" applyBorder="1" applyAlignment="1">
      <alignment horizontal="center" vertical="center"/>
    </xf>
    <xf numFmtId="1" fontId="2979" fillId="8" borderId="1" xfId="0" applyNumberFormat="1" applyFont="1" applyFill="1" applyBorder="1" applyAlignment="1">
      <alignment horizontal="center" vertical="center"/>
    </xf>
    <xf numFmtId="165" fontId="2980" fillId="8" borderId="1" xfId="0" applyNumberFormat="1" applyFont="1" applyFill="1" applyBorder="1" applyAlignment="1">
      <alignment horizontal="center" vertical="center"/>
    </xf>
    <xf numFmtId="1" fontId="2981" fillId="8" borderId="1" xfId="0" applyNumberFormat="1" applyFont="1" applyFill="1" applyBorder="1" applyAlignment="1">
      <alignment horizontal="center" vertical="center"/>
    </xf>
    <xf numFmtId="165" fontId="2982" fillId="8" borderId="1" xfId="0" applyNumberFormat="1" applyFont="1" applyFill="1" applyBorder="1" applyAlignment="1">
      <alignment horizontal="center" vertical="center"/>
    </xf>
    <xf numFmtId="1" fontId="2983" fillId="8" borderId="1" xfId="0" applyNumberFormat="1" applyFont="1" applyFill="1" applyBorder="1" applyAlignment="1">
      <alignment horizontal="center" vertical="center"/>
    </xf>
    <xf numFmtId="165" fontId="2984" fillId="8" borderId="1" xfId="0" applyNumberFormat="1" applyFont="1" applyFill="1" applyBorder="1" applyAlignment="1">
      <alignment horizontal="center" vertical="center"/>
    </xf>
    <xf numFmtId="1" fontId="2985" fillId="8" borderId="1" xfId="0" applyNumberFormat="1" applyFont="1" applyFill="1" applyBorder="1" applyAlignment="1">
      <alignment horizontal="center" vertical="center"/>
    </xf>
    <xf numFmtId="165" fontId="2986" fillId="8" borderId="1" xfId="0" applyNumberFormat="1" applyFont="1" applyFill="1" applyBorder="1" applyAlignment="1">
      <alignment horizontal="center" vertical="center"/>
    </xf>
    <xf numFmtId="165" fontId="2987" fillId="8" borderId="1" xfId="0" applyNumberFormat="1" applyFont="1" applyFill="1" applyBorder="1" applyAlignment="1">
      <alignment horizontal="center" vertical="center"/>
    </xf>
    <xf numFmtId="1" fontId="2988" fillId="8" borderId="1" xfId="0" applyNumberFormat="1" applyFont="1" applyFill="1" applyBorder="1" applyAlignment="1">
      <alignment horizontal="center" vertical="center"/>
    </xf>
    <xf numFmtId="1" fontId="2989" fillId="8" borderId="1" xfId="0" applyNumberFormat="1" applyFont="1" applyFill="1" applyBorder="1" applyAlignment="1">
      <alignment horizontal="center" vertical="center"/>
    </xf>
    <xf numFmtId="1" fontId="2990" fillId="8" borderId="1" xfId="0" applyNumberFormat="1" applyFont="1" applyFill="1" applyBorder="1" applyAlignment="1">
      <alignment horizontal="center" vertical="center"/>
    </xf>
    <xf numFmtId="165" fontId="2991" fillId="8" borderId="1" xfId="0" applyNumberFormat="1" applyFont="1" applyFill="1" applyBorder="1" applyAlignment="1">
      <alignment horizontal="center" vertical="center"/>
    </xf>
    <xf numFmtId="164" fontId="2992" fillId="8" borderId="1" xfId="0" applyNumberFormat="1" applyFont="1" applyFill="1" applyBorder="1" applyAlignment="1">
      <alignment horizontal="center" vertical="center"/>
    </xf>
    <xf numFmtId="164" fontId="2993" fillId="8" borderId="1" xfId="0" applyNumberFormat="1" applyFont="1" applyFill="1" applyBorder="1" applyAlignment="1">
      <alignment horizontal="center" vertical="center"/>
    </xf>
    <xf numFmtId="1" fontId="2994" fillId="8" borderId="1" xfId="0" applyNumberFormat="1" applyFont="1" applyFill="1" applyBorder="1" applyAlignment="1">
      <alignment horizontal="center" vertical="center"/>
    </xf>
    <xf numFmtId="1" fontId="2995" fillId="8" borderId="1" xfId="0" applyNumberFormat="1" applyFont="1" applyFill="1" applyBorder="1" applyAlignment="1">
      <alignment horizontal="center" vertical="center"/>
    </xf>
    <xf numFmtId="1" fontId="2996" fillId="8" borderId="1" xfId="0" applyNumberFormat="1" applyFont="1" applyFill="1" applyBorder="1" applyAlignment="1">
      <alignment horizontal="center" vertical="center"/>
    </xf>
    <xf numFmtId="165" fontId="2997" fillId="8" borderId="1" xfId="0" applyNumberFormat="1" applyFont="1" applyFill="1" applyBorder="1" applyAlignment="1">
      <alignment horizontal="center" vertical="center"/>
    </xf>
    <xf numFmtId="1" fontId="2998" fillId="8" borderId="1" xfId="0" applyNumberFormat="1" applyFont="1" applyFill="1" applyBorder="1" applyAlignment="1">
      <alignment horizontal="center" vertical="center"/>
    </xf>
    <xf numFmtId="165" fontId="2999" fillId="8" borderId="1" xfId="0" applyNumberFormat="1" applyFont="1" applyFill="1" applyBorder="1" applyAlignment="1">
      <alignment horizontal="center" vertical="center"/>
    </xf>
    <xf numFmtId="1" fontId="3000" fillId="8" borderId="1" xfId="0" applyNumberFormat="1" applyFont="1" applyFill="1" applyBorder="1" applyAlignment="1">
      <alignment horizontal="center" vertical="center"/>
    </xf>
    <xf numFmtId="1" fontId="3001" fillId="8" borderId="1" xfId="0" applyNumberFormat="1" applyFont="1" applyFill="1" applyBorder="1" applyAlignment="1">
      <alignment horizontal="center" vertical="center"/>
    </xf>
    <xf numFmtId="1" fontId="3002" fillId="8" borderId="1" xfId="0" applyNumberFormat="1" applyFont="1" applyFill="1" applyBorder="1" applyAlignment="1">
      <alignment horizontal="center" vertical="center"/>
    </xf>
    <xf numFmtId="1" fontId="3003" fillId="8" borderId="1" xfId="0" applyNumberFormat="1" applyFont="1" applyFill="1" applyBorder="1" applyAlignment="1">
      <alignment horizontal="center" vertical="center"/>
    </xf>
    <xf numFmtId="165" fontId="3004" fillId="8" borderId="1" xfId="0" applyNumberFormat="1" applyFont="1" applyFill="1" applyBorder="1" applyAlignment="1">
      <alignment horizontal="center" vertical="center"/>
    </xf>
    <xf numFmtId="1" fontId="3005" fillId="8" borderId="1" xfId="0" applyNumberFormat="1" applyFont="1" applyFill="1" applyBorder="1" applyAlignment="1">
      <alignment horizontal="center" vertical="center"/>
    </xf>
    <xf numFmtId="165" fontId="3006" fillId="8" borderId="1" xfId="0" applyNumberFormat="1" applyFont="1" applyFill="1" applyBorder="1" applyAlignment="1">
      <alignment horizontal="center" vertical="center"/>
    </xf>
    <xf numFmtId="1" fontId="3007" fillId="8" borderId="1" xfId="0" applyNumberFormat="1" applyFont="1" applyFill="1" applyBorder="1" applyAlignment="1">
      <alignment horizontal="center" vertical="center"/>
    </xf>
    <xf numFmtId="165" fontId="3008" fillId="8" borderId="1" xfId="0" applyNumberFormat="1" applyFont="1" applyFill="1" applyBorder="1" applyAlignment="1">
      <alignment horizontal="center" vertical="center"/>
    </xf>
    <xf numFmtId="2" fontId="3009" fillId="8" borderId="1" xfId="0" applyNumberFormat="1" applyFont="1" applyFill="1" applyBorder="1" applyAlignment="1">
      <alignment horizontal="center" vertical="center"/>
    </xf>
    <xf numFmtId="2" fontId="3010" fillId="8" borderId="1" xfId="0" applyNumberFormat="1" applyFont="1" applyFill="1" applyBorder="1" applyAlignment="1">
      <alignment horizontal="center" vertical="center"/>
    </xf>
    <xf numFmtId="2" fontId="3011" fillId="8" borderId="1" xfId="0" applyNumberFormat="1" applyFont="1" applyFill="1" applyBorder="1" applyAlignment="1">
      <alignment horizontal="center" vertical="center"/>
    </xf>
    <xf numFmtId="2" fontId="3012" fillId="8" borderId="1" xfId="0" applyNumberFormat="1" applyFont="1" applyFill="1" applyBorder="1" applyAlignment="1">
      <alignment horizontal="center" vertical="center"/>
    </xf>
    <xf numFmtId="2" fontId="3013" fillId="8" borderId="1" xfId="0" applyNumberFormat="1" applyFont="1" applyFill="1" applyBorder="1" applyAlignment="1">
      <alignment horizontal="center" vertical="center"/>
    </xf>
    <xf numFmtId="2" fontId="3014" fillId="8" borderId="1" xfId="0" applyNumberFormat="1" applyFont="1" applyFill="1" applyBorder="1" applyAlignment="1">
      <alignment horizontal="center" vertical="center"/>
    </xf>
    <xf numFmtId="2" fontId="3015" fillId="8" borderId="1" xfId="0" applyNumberFormat="1" applyFont="1" applyFill="1" applyBorder="1" applyAlignment="1">
      <alignment horizontal="center" vertical="center"/>
    </xf>
    <xf numFmtId="2" fontId="3016" fillId="8" borderId="1" xfId="0" applyNumberFormat="1" applyFont="1" applyFill="1" applyBorder="1" applyAlignment="1">
      <alignment horizontal="center" vertical="center"/>
    </xf>
    <xf numFmtId="2" fontId="3017" fillId="8" borderId="1" xfId="0" applyNumberFormat="1" applyFont="1" applyFill="1" applyBorder="1" applyAlignment="1">
      <alignment horizontal="center" vertical="center"/>
    </xf>
    <xf numFmtId="2" fontId="3018" fillId="8" borderId="1" xfId="0" applyNumberFormat="1" applyFont="1" applyFill="1" applyBorder="1" applyAlignment="1">
      <alignment horizontal="center" vertical="center"/>
    </xf>
    <xf numFmtId="2" fontId="3019" fillId="8" borderId="1" xfId="0" applyNumberFormat="1" applyFont="1" applyFill="1" applyBorder="1" applyAlignment="1">
      <alignment horizontal="center" vertical="center"/>
    </xf>
    <xf numFmtId="2" fontId="3020" fillId="8" borderId="1" xfId="0" applyNumberFormat="1" applyFont="1" applyFill="1" applyBorder="1" applyAlignment="1">
      <alignment horizontal="center" vertical="center"/>
    </xf>
    <xf numFmtId="2" fontId="3021" fillId="8" borderId="1" xfId="0" applyNumberFormat="1" applyFont="1" applyFill="1" applyBorder="1" applyAlignment="1">
      <alignment horizontal="center" vertical="center"/>
    </xf>
    <xf numFmtId="2" fontId="3022" fillId="8" borderId="1" xfId="0" applyNumberFormat="1" applyFont="1" applyFill="1" applyBorder="1" applyAlignment="1">
      <alignment horizontal="center" vertical="center"/>
    </xf>
    <xf numFmtId="2" fontId="3023" fillId="8" borderId="1" xfId="0" applyNumberFormat="1" applyFont="1" applyFill="1" applyBorder="1" applyAlignment="1">
      <alignment horizontal="center" vertical="center"/>
    </xf>
    <xf numFmtId="2" fontId="3024" fillId="8" borderId="1" xfId="0" applyNumberFormat="1" applyFont="1" applyFill="1" applyBorder="1" applyAlignment="1">
      <alignment horizontal="center" vertical="center"/>
    </xf>
    <xf numFmtId="2" fontId="3025" fillId="8" borderId="1" xfId="0" applyNumberFormat="1" applyFont="1" applyFill="1" applyBorder="1" applyAlignment="1">
      <alignment horizontal="center" vertical="center"/>
    </xf>
    <xf numFmtId="2" fontId="3026" fillId="8" borderId="1" xfId="0" applyNumberFormat="1" applyFont="1" applyFill="1" applyBorder="1" applyAlignment="1">
      <alignment horizontal="center" vertical="center"/>
    </xf>
    <xf numFmtId="2" fontId="3027" fillId="8" borderId="1" xfId="0" applyNumberFormat="1" applyFont="1" applyFill="1" applyBorder="1" applyAlignment="1">
      <alignment horizontal="center" vertical="center"/>
    </xf>
    <xf numFmtId="2" fontId="3028" fillId="8" borderId="1" xfId="0" applyNumberFormat="1" applyFont="1" applyFill="1" applyBorder="1" applyAlignment="1">
      <alignment horizontal="center" vertical="center"/>
    </xf>
    <xf numFmtId="2" fontId="3029" fillId="8" borderId="1" xfId="0" applyNumberFormat="1" applyFont="1" applyFill="1" applyBorder="1" applyAlignment="1">
      <alignment horizontal="center" vertical="center"/>
    </xf>
    <xf numFmtId="2" fontId="3030" fillId="8" borderId="1" xfId="0" applyNumberFormat="1" applyFont="1" applyFill="1" applyBorder="1" applyAlignment="1">
      <alignment horizontal="center" vertical="center"/>
    </xf>
    <xf numFmtId="2" fontId="3031" fillId="8" borderId="1" xfId="0" applyNumberFormat="1" applyFont="1" applyFill="1" applyBorder="1" applyAlignment="1">
      <alignment horizontal="center" vertical="center"/>
    </xf>
    <xf numFmtId="2" fontId="3032" fillId="8" borderId="1" xfId="0" applyNumberFormat="1" applyFont="1" applyFill="1" applyBorder="1" applyAlignment="1">
      <alignment horizontal="center" vertical="center"/>
    </xf>
    <xf numFmtId="2" fontId="3033" fillId="8" borderId="1" xfId="0" applyNumberFormat="1" applyFont="1" applyFill="1" applyBorder="1" applyAlignment="1">
      <alignment horizontal="center" vertical="center"/>
    </xf>
    <xf numFmtId="2" fontId="3034" fillId="8" borderId="1" xfId="0" applyNumberFormat="1" applyFont="1" applyFill="1" applyBorder="1" applyAlignment="1">
      <alignment horizontal="center" vertical="center"/>
    </xf>
    <xf numFmtId="2" fontId="3035" fillId="8" borderId="1" xfId="0" applyNumberFormat="1" applyFont="1" applyFill="1" applyBorder="1" applyAlignment="1">
      <alignment horizontal="center" vertical="center"/>
    </xf>
    <xf numFmtId="2" fontId="3036" fillId="8" borderId="1" xfId="0" applyNumberFormat="1" applyFont="1" applyFill="1" applyBorder="1" applyAlignment="1">
      <alignment horizontal="center" vertical="center"/>
    </xf>
    <xf numFmtId="2" fontId="3037" fillId="8" borderId="1" xfId="0" applyNumberFormat="1" applyFont="1" applyFill="1" applyBorder="1" applyAlignment="1">
      <alignment horizontal="center" vertical="center"/>
    </xf>
    <xf numFmtId="2" fontId="3038" fillId="8" borderId="1" xfId="0" applyNumberFormat="1" applyFont="1" applyFill="1" applyBorder="1" applyAlignment="1">
      <alignment horizontal="center" vertical="center"/>
    </xf>
    <xf numFmtId="2" fontId="3039" fillId="8" borderId="1" xfId="0" applyNumberFormat="1" applyFont="1" applyFill="1" applyBorder="1" applyAlignment="1">
      <alignment horizontal="center" vertical="center"/>
    </xf>
    <xf numFmtId="2" fontId="3040" fillId="8" borderId="1" xfId="0" applyNumberFormat="1" applyFont="1" applyFill="1" applyBorder="1" applyAlignment="1">
      <alignment horizontal="center" vertical="center"/>
    </xf>
    <xf numFmtId="2" fontId="3041" fillId="8" borderId="1" xfId="0" applyNumberFormat="1" applyFont="1" applyFill="1" applyBorder="1" applyAlignment="1">
      <alignment horizontal="center" vertical="center"/>
    </xf>
    <xf numFmtId="2" fontId="3042" fillId="8" borderId="1" xfId="0" applyNumberFormat="1" applyFont="1" applyFill="1" applyBorder="1" applyAlignment="1">
      <alignment horizontal="center" vertical="center"/>
    </xf>
    <xf numFmtId="0" fontId="3043" fillId="7" borderId="1" xfId="0" applyNumberFormat="1" applyFont="1" applyFill="1" applyBorder="1" applyAlignment="1">
      <alignment horizontal="left" vertical="center"/>
    </xf>
    <xf numFmtId="0" fontId="3044" fillId="8" borderId="1" xfId="0" applyNumberFormat="1" applyFont="1" applyFill="1" applyBorder="1" applyAlignment="1">
      <alignment horizontal="center" vertical="center"/>
    </xf>
    <xf numFmtId="164" fontId="3045" fillId="8" borderId="1" xfId="0" applyNumberFormat="1" applyFont="1" applyFill="1" applyBorder="1" applyAlignment="1">
      <alignment horizontal="center" vertical="center"/>
    </xf>
    <xf numFmtId="1" fontId="3046" fillId="8" borderId="1" xfId="0" applyNumberFormat="1" applyFont="1" applyFill="1" applyBorder="1" applyAlignment="1">
      <alignment horizontal="center" vertical="center"/>
    </xf>
    <xf numFmtId="1" fontId="3047" fillId="8" borderId="1" xfId="0" applyNumberFormat="1" applyFont="1" applyFill="1" applyBorder="1" applyAlignment="1">
      <alignment horizontal="center" vertical="center"/>
    </xf>
    <xf numFmtId="1" fontId="3048" fillId="8" borderId="1" xfId="0" applyNumberFormat="1" applyFont="1" applyFill="1" applyBorder="1" applyAlignment="1">
      <alignment horizontal="center" vertical="center"/>
    </xf>
    <xf numFmtId="1" fontId="3049" fillId="8" borderId="1" xfId="0" applyNumberFormat="1" applyFont="1" applyFill="1" applyBorder="1" applyAlignment="1">
      <alignment horizontal="center" vertical="center"/>
    </xf>
    <xf numFmtId="1" fontId="3050" fillId="8" borderId="1" xfId="0" applyNumberFormat="1" applyFont="1" applyFill="1" applyBorder="1" applyAlignment="1">
      <alignment horizontal="center" vertical="center"/>
    </xf>
    <xf numFmtId="1" fontId="3051" fillId="8" borderId="1" xfId="0" applyNumberFormat="1" applyFont="1" applyFill="1" applyBorder="1" applyAlignment="1">
      <alignment horizontal="center" vertical="center"/>
    </xf>
    <xf numFmtId="1" fontId="3052" fillId="8" borderId="1" xfId="0" applyNumberFormat="1" applyFont="1" applyFill="1" applyBorder="1" applyAlignment="1">
      <alignment horizontal="center" vertical="center"/>
    </xf>
    <xf numFmtId="0" fontId="3053" fillId="8" borderId="1" xfId="0" applyNumberFormat="1" applyFont="1" applyFill="1" applyBorder="1" applyAlignment="1">
      <alignment horizontal="center" vertical="center"/>
    </xf>
    <xf numFmtId="0" fontId="3054" fillId="8" borderId="1" xfId="0" applyNumberFormat="1" applyFont="1" applyFill="1" applyBorder="1" applyAlignment="1">
      <alignment horizontal="center" vertical="center"/>
    </xf>
    <xf numFmtId="1" fontId="3055" fillId="8" borderId="1" xfId="0" applyNumberFormat="1" applyFont="1" applyFill="1" applyBorder="1" applyAlignment="1">
      <alignment horizontal="center" vertical="center"/>
    </xf>
    <xf numFmtId="1" fontId="3056" fillId="8" borderId="1" xfId="0" applyNumberFormat="1" applyFont="1" applyFill="1" applyBorder="1" applyAlignment="1">
      <alignment horizontal="center" vertical="center"/>
    </xf>
    <xf numFmtId="1" fontId="3057" fillId="8" borderId="1" xfId="0" applyNumberFormat="1" applyFont="1" applyFill="1" applyBorder="1" applyAlignment="1">
      <alignment horizontal="center" vertical="center"/>
    </xf>
    <xf numFmtId="165" fontId="3058" fillId="8" borderId="1" xfId="0" applyNumberFormat="1" applyFont="1" applyFill="1" applyBorder="1" applyAlignment="1">
      <alignment horizontal="center" vertical="center"/>
    </xf>
    <xf numFmtId="1" fontId="3059" fillId="8" borderId="1" xfId="0" applyNumberFormat="1" applyFont="1" applyFill="1" applyBorder="1" applyAlignment="1">
      <alignment horizontal="center" vertical="center"/>
    </xf>
    <xf numFmtId="165" fontId="3060" fillId="8" borderId="1" xfId="0" applyNumberFormat="1" applyFont="1" applyFill="1" applyBorder="1" applyAlignment="1">
      <alignment horizontal="center" vertical="center"/>
    </xf>
    <xf numFmtId="1" fontId="3061" fillId="8" borderId="1" xfId="0" applyNumberFormat="1" applyFont="1" applyFill="1" applyBorder="1" applyAlignment="1">
      <alignment horizontal="center" vertical="center"/>
    </xf>
    <xf numFmtId="165" fontId="3062" fillId="8" borderId="1" xfId="0" applyNumberFormat="1" applyFont="1" applyFill="1" applyBorder="1" applyAlignment="1">
      <alignment horizontal="center" vertical="center"/>
    </xf>
    <xf numFmtId="1" fontId="3063" fillId="8" borderId="1" xfId="0" applyNumberFormat="1" applyFont="1" applyFill="1" applyBorder="1" applyAlignment="1">
      <alignment horizontal="center" vertical="center"/>
    </xf>
    <xf numFmtId="165" fontId="3064" fillId="8" borderId="1" xfId="0" applyNumberFormat="1" applyFont="1" applyFill="1" applyBorder="1" applyAlignment="1">
      <alignment horizontal="center" vertical="center"/>
    </xf>
    <xf numFmtId="165" fontId="3065" fillId="8" borderId="1" xfId="0" applyNumberFormat="1" applyFont="1" applyFill="1" applyBorder="1" applyAlignment="1">
      <alignment horizontal="center" vertical="center"/>
    </xf>
    <xf numFmtId="1" fontId="3066" fillId="8" borderId="1" xfId="0" applyNumberFormat="1" applyFont="1" applyFill="1" applyBorder="1" applyAlignment="1">
      <alignment horizontal="center" vertical="center"/>
    </xf>
    <xf numFmtId="1" fontId="3067" fillId="8" borderId="1" xfId="0" applyNumberFormat="1" applyFont="1" applyFill="1" applyBorder="1" applyAlignment="1">
      <alignment horizontal="center" vertical="center"/>
    </xf>
    <xf numFmtId="1" fontId="3068" fillId="8" borderId="1" xfId="0" applyNumberFormat="1" applyFont="1" applyFill="1" applyBorder="1" applyAlignment="1">
      <alignment horizontal="center" vertical="center"/>
    </xf>
    <xf numFmtId="165" fontId="3069" fillId="8" borderId="1" xfId="0" applyNumberFormat="1" applyFont="1" applyFill="1" applyBorder="1" applyAlignment="1">
      <alignment horizontal="center" vertical="center"/>
    </xf>
    <xf numFmtId="164" fontId="3070" fillId="8" borderId="1" xfId="0" applyNumberFormat="1" applyFont="1" applyFill="1" applyBorder="1" applyAlignment="1">
      <alignment horizontal="center" vertical="center"/>
    </xf>
    <xf numFmtId="164" fontId="3071" fillId="8" borderId="1" xfId="0" applyNumberFormat="1" applyFont="1" applyFill="1" applyBorder="1" applyAlignment="1">
      <alignment horizontal="center" vertical="center"/>
    </xf>
    <xf numFmtId="1" fontId="3072" fillId="8" borderId="1" xfId="0" applyNumberFormat="1" applyFont="1" applyFill="1" applyBorder="1" applyAlignment="1">
      <alignment horizontal="center" vertical="center"/>
    </xf>
    <xf numFmtId="1" fontId="3073" fillId="8" borderId="1" xfId="0" applyNumberFormat="1" applyFont="1" applyFill="1" applyBorder="1" applyAlignment="1">
      <alignment horizontal="center" vertical="center"/>
    </xf>
    <xf numFmtId="1" fontId="3074" fillId="8" borderId="1" xfId="0" applyNumberFormat="1" applyFont="1" applyFill="1" applyBorder="1" applyAlignment="1">
      <alignment horizontal="center" vertical="center"/>
    </xf>
    <xf numFmtId="165" fontId="3075" fillId="8" borderId="1" xfId="0" applyNumberFormat="1" applyFont="1" applyFill="1" applyBorder="1" applyAlignment="1">
      <alignment horizontal="center" vertical="center"/>
    </xf>
    <xf numFmtId="1" fontId="3076" fillId="8" borderId="1" xfId="0" applyNumberFormat="1" applyFont="1" applyFill="1" applyBorder="1" applyAlignment="1">
      <alignment horizontal="center" vertical="center"/>
    </xf>
    <xf numFmtId="165" fontId="3077" fillId="8" borderId="1" xfId="0" applyNumberFormat="1" applyFont="1" applyFill="1" applyBorder="1" applyAlignment="1">
      <alignment horizontal="center" vertical="center"/>
    </xf>
    <xf numFmtId="1" fontId="3078" fillId="8" borderId="1" xfId="0" applyNumberFormat="1" applyFont="1" applyFill="1" applyBorder="1" applyAlignment="1">
      <alignment horizontal="center" vertical="center"/>
    </xf>
    <xf numFmtId="1" fontId="3079" fillId="8" borderId="1" xfId="0" applyNumberFormat="1" applyFont="1" applyFill="1" applyBorder="1" applyAlignment="1">
      <alignment horizontal="center" vertical="center"/>
    </xf>
    <xf numFmtId="1" fontId="3080" fillId="8" borderId="1" xfId="0" applyNumberFormat="1" applyFont="1" applyFill="1" applyBorder="1" applyAlignment="1">
      <alignment horizontal="center" vertical="center"/>
    </xf>
    <xf numFmtId="1" fontId="3081" fillId="8" borderId="1" xfId="0" applyNumberFormat="1" applyFont="1" applyFill="1" applyBorder="1" applyAlignment="1">
      <alignment horizontal="center" vertical="center"/>
    </xf>
    <xf numFmtId="165" fontId="3082" fillId="8" borderId="1" xfId="0" applyNumberFormat="1" applyFont="1" applyFill="1" applyBorder="1" applyAlignment="1">
      <alignment horizontal="center" vertical="center"/>
    </xf>
    <xf numFmtId="1" fontId="3083" fillId="8" borderId="1" xfId="0" applyNumberFormat="1" applyFont="1" applyFill="1" applyBorder="1" applyAlignment="1">
      <alignment horizontal="center" vertical="center"/>
    </xf>
    <xf numFmtId="165" fontId="3084" fillId="8" borderId="1" xfId="0" applyNumberFormat="1" applyFont="1" applyFill="1" applyBorder="1" applyAlignment="1">
      <alignment horizontal="center" vertical="center"/>
    </xf>
    <xf numFmtId="1" fontId="3085" fillId="8" borderId="1" xfId="0" applyNumberFormat="1" applyFont="1" applyFill="1" applyBorder="1" applyAlignment="1">
      <alignment horizontal="center" vertical="center"/>
    </xf>
    <xf numFmtId="165" fontId="3086" fillId="8" borderId="1" xfId="0" applyNumberFormat="1" applyFont="1" applyFill="1" applyBorder="1" applyAlignment="1">
      <alignment horizontal="center" vertical="center"/>
    </xf>
    <xf numFmtId="2" fontId="3087" fillId="8" borderId="1" xfId="0" applyNumberFormat="1" applyFont="1" applyFill="1" applyBorder="1" applyAlignment="1">
      <alignment horizontal="center" vertical="center"/>
    </xf>
    <xf numFmtId="2" fontId="3088" fillId="8" borderId="1" xfId="0" applyNumberFormat="1" applyFont="1" applyFill="1" applyBorder="1" applyAlignment="1">
      <alignment horizontal="center" vertical="center"/>
    </xf>
    <xf numFmtId="2" fontId="3089" fillId="8" borderId="1" xfId="0" applyNumberFormat="1" applyFont="1" applyFill="1" applyBorder="1" applyAlignment="1">
      <alignment horizontal="center" vertical="center"/>
    </xf>
    <xf numFmtId="2" fontId="3090" fillId="8" borderId="1" xfId="0" applyNumberFormat="1" applyFont="1" applyFill="1" applyBorder="1" applyAlignment="1">
      <alignment horizontal="center" vertical="center"/>
    </xf>
    <xf numFmtId="2" fontId="3091" fillId="8" borderId="1" xfId="0" applyNumberFormat="1" applyFont="1" applyFill="1" applyBorder="1" applyAlignment="1">
      <alignment horizontal="center" vertical="center"/>
    </xf>
    <xf numFmtId="2" fontId="3092" fillId="8" borderId="1" xfId="0" applyNumberFormat="1" applyFont="1" applyFill="1" applyBorder="1" applyAlignment="1">
      <alignment horizontal="center" vertical="center"/>
    </xf>
    <xf numFmtId="2" fontId="3093" fillId="8" borderId="1" xfId="0" applyNumberFormat="1" applyFont="1" applyFill="1" applyBorder="1" applyAlignment="1">
      <alignment horizontal="center" vertical="center"/>
    </xf>
    <xf numFmtId="2" fontId="3094" fillId="8" borderId="1" xfId="0" applyNumberFormat="1" applyFont="1" applyFill="1" applyBorder="1" applyAlignment="1">
      <alignment horizontal="center" vertical="center"/>
    </xf>
    <xf numFmtId="2" fontId="3095" fillId="8" borderId="1" xfId="0" applyNumberFormat="1" applyFont="1" applyFill="1" applyBorder="1" applyAlignment="1">
      <alignment horizontal="center" vertical="center"/>
    </xf>
    <xf numFmtId="2" fontId="3096" fillId="8" borderId="1" xfId="0" applyNumberFormat="1" applyFont="1" applyFill="1" applyBorder="1" applyAlignment="1">
      <alignment horizontal="center" vertical="center"/>
    </xf>
    <xf numFmtId="2" fontId="3097" fillId="8" borderId="1" xfId="0" applyNumberFormat="1" applyFont="1" applyFill="1" applyBorder="1" applyAlignment="1">
      <alignment horizontal="center" vertical="center"/>
    </xf>
    <xf numFmtId="2" fontId="3098" fillId="8" borderId="1" xfId="0" applyNumberFormat="1" applyFont="1" applyFill="1" applyBorder="1" applyAlignment="1">
      <alignment horizontal="center" vertical="center"/>
    </xf>
    <xf numFmtId="2" fontId="3099" fillId="8" borderId="1" xfId="0" applyNumberFormat="1" applyFont="1" applyFill="1" applyBorder="1" applyAlignment="1">
      <alignment horizontal="center" vertical="center"/>
    </xf>
    <xf numFmtId="2" fontId="3100" fillId="8" borderId="1" xfId="0" applyNumberFormat="1" applyFont="1" applyFill="1" applyBorder="1" applyAlignment="1">
      <alignment horizontal="center" vertical="center"/>
    </xf>
    <xf numFmtId="2" fontId="3101" fillId="8" borderId="1" xfId="0" applyNumberFormat="1" applyFont="1" applyFill="1" applyBorder="1" applyAlignment="1">
      <alignment horizontal="center" vertical="center"/>
    </xf>
    <xf numFmtId="2" fontId="3102" fillId="8" borderId="1" xfId="0" applyNumberFormat="1" applyFont="1" applyFill="1" applyBorder="1" applyAlignment="1">
      <alignment horizontal="center" vertical="center"/>
    </xf>
    <xf numFmtId="2" fontId="3103" fillId="8" borderId="1" xfId="0" applyNumberFormat="1" applyFont="1" applyFill="1" applyBorder="1" applyAlignment="1">
      <alignment horizontal="center" vertical="center"/>
    </xf>
    <xf numFmtId="2" fontId="3104" fillId="8" borderId="1" xfId="0" applyNumberFormat="1" applyFont="1" applyFill="1" applyBorder="1" applyAlignment="1">
      <alignment horizontal="center" vertical="center"/>
    </xf>
    <xf numFmtId="2" fontId="3105" fillId="8" borderId="1" xfId="0" applyNumberFormat="1" applyFont="1" applyFill="1" applyBorder="1" applyAlignment="1">
      <alignment horizontal="center" vertical="center"/>
    </xf>
    <xf numFmtId="2" fontId="3106" fillId="8" borderId="1" xfId="0" applyNumberFormat="1" applyFont="1" applyFill="1" applyBorder="1" applyAlignment="1">
      <alignment horizontal="center" vertical="center"/>
    </xf>
    <xf numFmtId="2" fontId="3107" fillId="8" borderId="1" xfId="0" applyNumberFormat="1" applyFont="1" applyFill="1" applyBorder="1" applyAlignment="1">
      <alignment horizontal="center" vertical="center"/>
    </xf>
    <xf numFmtId="2" fontId="3108" fillId="8" borderId="1" xfId="0" applyNumberFormat="1" applyFont="1" applyFill="1" applyBorder="1" applyAlignment="1">
      <alignment horizontal="center" vertical="center"/>
    </xf>
    <xf numFmtId="2" fontId="3109" fillId="8" borderId="1" xfId="0" applyNumberFormat="1" applyFont="1" applyFill="1" applyBorder="1" applyAlignment="1">
      <alignment horizontal="center" vertical="center"/>
    </xf>
    <xf numFmtId="2" fontId="3110" fillId="8" borderId="1" xfId="0" applyNumberFormat="1" applyFont="1" applyFill="1" applyBorder="1" applyAlignment="1">
      <alignment horizontal="center" vertical="center"/>
    </xf>
    <xf numFmtId="2" fontId="3111" fillId="8" borderId="1" xfId="0" applyNumberFormat="1" applyFont="1" applyFill="1" applyBorder="1" applyAlignment="1">
      <alignment horizontal="center" vertical="center"/>
    </xf>
    <xf numFmtId="2" fontId="3112" fillId="8" borderId="1" xfId="0" applyNumberFormat="1" applyFont="1" applyFill="1" applyBorder="1" applyAlignment="1">
      <alignment horizontal="center" vertical="center"/>
    </xf>
    <xf numFmtId="2" fontId="3113" fillId="8" borderId="1" xfId="0" applyNumberFormat="1" applyFont="1" applyFill="1" applyBorder="1" applyAlignment="1">
      <alignment horizontal="center" vertical="center"/>
    </xf>
    <xf numFmtId="2" fontId="3114" fillId="8" borderId="1" xfId="0" applyNumberFormat="1" applyFont="1" applyFill="1" applyBorder="1" applyAlignment="1">
      <alignment horizontal="center" vertical="center"/>
    </xf>
    <xf numFmtId="2" fontId="3115" fillId="8" borderId="1" xfId="0" applyNumberFormat="1" applyFont="1" applyFill="1" applyBorder="1" applyAlignment="1">
      <alignment horizontal="center" vertical="center"/>
    </xf>
    <xf numFmtId="2" fontId="3116" fillId="8" borderId="1" xfId="0" applyNumberFormat="1" applyFont="1" applyFill="1" applyBorder="1" applyAlignment="1">
      <alignment horizontal="center" vertical="center"/>
    </xf>
    <xf numFmtId="2" fontId="3117" fillId="8" borderId="1" xfId="0" applyNumberFormat="1" applyFont="1" applyFill="1" applyBorder="1" applyAlignment="1">
      <alignment horizontal="center" vertical="center"/>
    </xf>
    <xf numFmtId="2" fontId="3118" fillId="8" borderId="1" xfId="0" applyNumberFormat="1" applyFont="1" applyFill="1" applyBorder="1" applyAlignment="1">
      <alignment horizontal="center" vertical="center"/>
    </xf>
    <xf numFmtId="2" fontId="3119" fillId="8" borderId="1" xfId="0" applyNumberFormat="1" applyFont="1" applyFill="1" applyBorder="1" applyAlignment="1">
      <alignment horizontal="center" vertical="center"/>
    </xf>
    <xf numFmtId="2" fontId="3120" fillId="8" borderId="1" xfId="0" applyNumberFormat="1" applyFont="1" applyFill="1" applyBorder="1" applyAlignment="1">
      <alignment horizontal="center" vertical="center"/>
    </xf>
    <xf numFmtId="0" fontId="3121" fillId="7" borderId="1" xfId="0" applyNumberFormat="1" applyFont="1" applyFill="1" applyBorder="1" applyAlignment="1">
      <alignment horizontal="left" vertical="center"/>
    </xf>
    <xf numFmtId="0" fontId="3122" fillId="8" borderId="1" xfId="0" applyNumberFormat="1" applyFont="1" applyFill="1" applyBorder="1" applyAlignment="1">
      <alignment horizontal="center" vertical="center"/>
    </xf>
    <xf numFmtId="164" fontId="3123" fillId="8" borderId="1" xfId="0" applyNumberFormat="1" applyFont="1" applyFill="1" applyBorder="1" applyAlignment="1">
      <alignment horizontal="center" vertical="center"/>
    </xf>
    <xf numFmtId="1" fontId="3124" fillId="8" borderId="1" xfId="0" applyNumberFormat="1" applyFont="1" applyFill="1" applyBorder="1" applyAlignment="1">
      <alignment horizontal="center" vertical="center"/>
    </xf>
    <xf numFmtId="1" fontId="3125" fillId="8" borderId="1" xfId="0" applyNumberFormat="1" applyFont="1" applyFill="1" applyBorder="1" applyAlignment="1">
      <alignment horizontal="center" vertical="center"/>
    </xf>
    <xf numFmtId="1" fontId="3126" fillId="8" borderId="1" xfId="0" applyNumberFormat="1" applyFont="1" applyFill="1" applyBorder="1" applyAlignment="1">
      <alignment horizontal="center" vertical="center"/>
    </xf>
    <xf numFmtId="1" fontId="3127" fillId="8" borderId="1" xfId="0" applyNumberFormat="1" applyFont="1" applyFill="1" applyBorder="1" applyAlignment="1">
      <alignment horizontal="center" vertical="center"/>
    </xf>
    <xf numFmtId="1" fontId="3128" fillId="8" borderId="1" xfId="0" applyNumberFormat="1" applyFont="1" applyFill="1" applyBorder="1" applyAlignment="1">
      <alignment horizontal="center" vertical="center"/>
    </xf>
    <xf numFmtId="1" fontId="3129" fillId="8" borderId="1" xfId="0" applyNumberFormat="1" applyFont="1" applyFill="1" applyBorder="1" applyAlignment="1">
      <alignment horizontal="center" vertical="center"/>
    </xf>
    <xf numFmtId="1" fontId="3130" fillId="8" borderId="1" xfId="0" applyNumberFormat="1" applyFont="1" applyFill="1" applyBorder="1" applyAlignment="1">
      <alignment horizontal="center" vertical="center"/>
    </xf>
    <xf numFmtId="0" fontId="3131" fillId="8" borderId="1" xfId="0" applyNumberFormat="1" applyFont="1" applyFill="1" applyBorder="1" applyAlignment="1">
      <alignment horizontal="center" vertical="center"/>
    </xf>
    <xf numFmtId="0" fontId="3132" fillId="8" borderId="1" xfId="0" applyNumberFormat="1" applyFont="1" applyFill="1" applyBorder="1" applyAlignment="1">
      <alignment horizontal="center" vertical="center"/>
    </xf>
    <xf numFmtId="1" fontId="3133" fillId="8" borderId="1" xfId="0" applyNumberFormat="1" applyFont="1" applyFill="1" applyBorder="1" applyAlignment="1">
      <alignment horizontal="center" vertical="center"/>
    </xf>
    <xf numFmtId="1" fontId="3134" fillId="8" borderId="1" xfId="0" applyNumberFormat="1" applyFont="1" applyFill="1" applyBorder="1" applyAlignment="1">
      <alignment horizontal="center" vertical="center"/>
    </xf>
    <xf numFmtId="1" fontId="3135" fillId="8" borderId="1" xfId="0" applyNumberFormat="1" applyFont="1" applyFill="1" applyBorder="1" applyAlignment="1">
      <alignment horizontal="center" vertical="center"/>
    </xf>
    <xf numFmtId="165" fontId="3136" fillId="8" borderId="1" xfId="0" applyNumberFormat="1" applyFont="1" applyFill="1" applyBorder="1" applyAlignment="1">
      <alignment horizontal="center" vertical="center"/>
    </xf>
    <xf numFmtId="1" fontId="3137" fillId="8" borderId="1" xfId="0" applyNumberFormat="1" applyFont="1" applyFill="1" applyBorder="1" applyAlignment="1">
      <alignment horizontal="center" vertical="center"/>
    </xf>
    <xf numFmtId="165" fontId="3138" fillId="8" borderId="1" xfId="0" applyNumberFormat="1" applyFont="1" applyFill="1" applyBorder="1" applyAlignment="1">
      <alignment horizontal="center" vertical="center"/>
    </xf>
    <xf numFmtId="1" fontId="3139" fillId="8" borderId="1" xfId="0" applyNumberFormat="1" applyFont="1" applyFill="1" applyBorder="1" applyAlignment="1">
      <alignment horizontal="center" vertical="center"/>
    </xf>
    <xf numFmtId="165" fontId="3140" fillId="8" borderId="1" xfId="0" applyNumberFormat="1" applyFont="1" applyFill="1" applyBorder="1" applyAlignment="1">
      <alignment horizontal="center" vertical="center"/>
    </xf>
    <xf numFmtId="1" fontId="3141" fillId="8" borderId="1" xfId="0" applyNumberFormat="1" applyFont="1" applyFill="1" applyBorder="1" applyAlignment="1">
      <alignment horizontal="center" vertical="center"/>
    </xf>
    <xf numFmtId="165" fontId="3142" fillId="8" borderId="1" xfId="0" applyNumberFormat="1" applyFont="1" applyFill="1" applyBorder="1" applyAlignment="1">
      <alignment horizontal="center" vertical="center"/>
    </xf>
    <xf numFmtId="165" fontId="3143" fillId="8" borderId="1" xfId="0" applyNumberFormat="1" applyFont="1" applyFill="1" applyBorder="1" applyAlignment="1">
      <alignment horizontal="center" vertical="center"/>
    </xf>
    <xf numFmtId="1" fontId="3144" fillId="8" borderId="1" xfId="0" applyNumberFormat="1" applyFont="1" applyFill="1" applyBorder="1" applyAlignment="1">
      <alignment horizontal="center" vertical="center"/>
    </xf>
    <xf numFmtId="1" fontId="3145" fillId="8" borderId="1" xfId="0" applyNumberFormat="1" applyFont="1" applyFill="1" applyBorder="1" applyAlignment="1">
      <alignment horizontal="center" vertical="center"/>
    </xf>
    <xf numFmtId="1" fontId="3146" fillId="8" borderId="1" xfId="0" applyNumberFormat="1" applyFont="1" applyFill="1" applyBorder="1" applyAlignment="1">
      <alignment horizontal="center" vertical="center"/>
    </xf>
    <xf numFmtId="165" fontId="3147" fillId="8" borderId="1" xfId="0" applyNumberFormat="1" applyFont="1" applyFill="1" applyBorder="1" applyAlignment="1">
      <alignment horizontal="center" vertical="center"/>
    </xf>
    <xf numFmtId="164" fontId="3148" fillId="8" borderId="1" xfId="0" applyNumberFormat="1" applyFont="1" applyFill="1" applyBorder="1" applyAlignment="1">
      <alignment horizontal="center" vertical="center"/>
    </xf>
    <xf numFmtId="164" fontId="3149" fillId="8" borderId="1" xfId="0" applyNumberFormat="1" applyFont="1" applyFill="1" applyBorder="1" applyAlignment="1">
      <alignment horizontal="center" vertical="center"/>
    </xf>
    <xf numFmtId="1" fontId="3150" fillId="8" borderId="1" xfId="0" applyNumberFormat="1" applyFont="1" applyFill="1" applyBorder="1" applyAlignment="1">
      <alignment horizontal="center" vertical="center"/>
    </xf>
    <xf numFmtId="1" fontId="3151" fillId="8" borderId="1" xfId="0" applyNumberFormat="1" applyFont="1" applyFill="1" applyBorder="1" applyAlignment="1">
      <alignment horizontal="center" vertical="center"/>
    </xf>
    <xf numFmtId="1" fontId="3152" fillId="8" borderId="1" xfId="0" applyNumberFormat="1" applyFont="1" applyFill="1" applyBorder="1" applyAlignment="1">
      <alignment horizontal="center" vertical="center"/>
    </xf>
    <xf numFmtId="165" fontId="3153" fillId="8" borderId="1" xfId="0" applyNumberFormat="1" applyFont="1" applyFill="1" applyBorder="1" applyAlignment="1">
      <alignment horizontal="center" vertical="center"/>
    </xf>
    <xf numFmtId="1" fontId="3154" fillId="8" borderId="1" xfId="0" applyNumberFormat="1" applyFont="1" applyFill="1" applyBorder="1" applyAlignment="1">
      <alignment horizontal="center" vertical="center"/>
    </xf>
    <xf numFmtId="165" fontId="3155" fillId="8" borderId="1" xfId="0" applyNumberFormat="1" applyFont="1" applyFill="1" applyBorder="1" applyAlignment="1">
      <alignment horizontal="center" vertical="center"/>
    </xf>
    <xf numFmtId="1" fontId="3156" fillId="8" borderId="1" xfId="0" applyNumberFormat="1" applyFont="1" applyFill="1" applyBorder="1" applyAlignment="1">
      <alignment horizontal="center" vertical="center"/>
    </xf>
    <xf numFmtId="1" fontId="3157" fillId="8" borderId="1" xfId="0" applyNumberFormat="1" applyFont="1" applyFill="1" applyBorder="1" applyAlignment="1">
      <alignment horizontal="center" vertical="center"/>
    </xf>
    <xf numFmtId="1" fontId="3158" fillId="8" borderId="1" xfId="0" applyNumberFormat="1" applyFont="1" applyFill="1" applyBorder="1" applyAlignment="1">
      <alignment horizontal="center" vertical="center"/>
    </xf>
    <xf numFmtId="1" fontId="3159" fillId="8" borderId="1" xfId="0" applyNumberFormat="1" applyFont="1" applyFill="1" applyBorder="1" applyAlignment="1">
      <alignment horizontal="center" vertical="center"/>
    </xf>
    <xf numFmtId="165" fontId="3160" fillId="8" borderId="1" xfId="0" applyNumberFormat="1" applyFont="1" applyFill="1" applyBorder="1" applyAlignment="1">
      <alignment horizontal="center" vertical="center"/>
    </xf>
    <xf numFmtId="1" fontId="3161" fillId="8" borderId="1" xfId="0" applyNumberFormat="1" applyFont="1" applyFill="1" applyBorder="1" applyAlignment="1">
      <alignment horizontal="center" vertical="center"/>
    </xf>
    <xf numFmtId="165" fontId="3162" fillId="8" borderId="1" xfId="0" applyNumberFormat="1" applyFont="1" applyFill="1" applyBorder="1" applyAlignment="1">
      <alignment horizontal="center" vertical="center"/>
    </xf>
    <xf numFmtId="1" fontId="3163" fillId="8" borderId="1" xfId="0" applyNumberFormat="1" applyFont="1" applyFill="1" applyBorder="1" applyAlignment="1">
      <alignment horizontal="center" vertical="center"/>
    </xf>
    <xf numFmtId="165" fontId="3164" fillId="8" borderId="1" xfId="0" applyNumberFormat="1" applyFont="1" applyFill="1" applyBorder="1" applyAlignment="1">
      <alignment horizontal="center" vertical="center"/>
    </xf>
    <xf numFmtId="2" fontId="3165" fillId="8" borderId="1" xfId="0" applyNumberFormat="1" applyFont="1" applyFill="1" applyBorder="1" applyAlignment="1">
      <alignment horizontal="center" vertical="center"/>
    </xf>
    <xf numFmtId="2" fontId="3166" fillId="8" borderId="1" xfId="0" applyNumberFormat="1" applyFont="1" applyFill="1" applyBorder="1" applyAlignment="1">
      <alignment horizontal="center" vertical="center"/>
    </xf>
    <xf numFmtId="2" fontId="3167" fillId="8" borderId="1" xfId="0" applyNumberFormat="1" applyFont="1" applyFill="1" applyBorder="1" applyAlignment="1">
      <alignment horizontal="center" vertical="center"/>
    </xf>
    <xf numFmtId="2" fontId="3168" fillId="8" borderId="1" xfId="0" applyNumberFormat="1" applyFont="1" applyFill="1" applyBorder="1" applyAlignment="1">
      <alignment horizontal="center" vertical="center"/>
    </xf>
    <xf numFmtId="2" fontId="3169" fillId="8" borderId="1" xfId="0" applyNumberFormat="1" applyFont="1" applyFill="1" applyBorder="1" applyAlignment="1">
      <alignment horizontal="center" vertical="center"/>
    </xf>
    <xf numFmtId="2" fontId="3170" fillId="8" borderId="1" xfId="0" applyNumberFormat="1" applyFont="1" applyFill="1" applyBorder="1" applyAlignment="1">
      <alignment horizontal="center" vertical="center"/>
    </xf>
    <xf numFmtId="2" fontId="3171" fillId="8" borderId="1" xfId="0" applyNumberFormat="1" applyFont="1" applyFill="1" applyBorder="1" applyAlignment="1">
      <alignment horizontal="center" vertical="center"/>
    </xf>
    <xf numFmtId="2" fontId="3172" fillId="8" borderId="1" xfId="0" applyNumberFormat="1" applyFont="1" applyFill="1" applyBorder="1" applyAlignment="1">
      <alignment horizontal="center" vertical="center"/>
    </xf>
    <xf numFmtId="2" fontId="3173" fillId="8" borderId="1" xfId="0" applyNumberFormat="1" applyFont="1" applyFill="1" applyBorder="1" applyAlignment="1">
      <alignment horizontal="center" vertical="center"/>
    </xf>
    <xf numFmtId="2" fontId="3174" fillId="8" borderId="1" xfId="0" applyNumberFormat="1" applyFont="1" applyFill="1" applyBorder="1" applyAlignment="1">
      <alignment horizontal="center" vertical="center"/>
    </xf>
    <xf numFmtId="2" fontId="3175" fillId="8" borderId="1" xfId="0" applyNumberFormat="1" applyFont="1" applyFill="1" applyBorder="1" applyAlignment="1">
      <alignment horizontal="center" vertical="center"/>
    </xf>
    <xf numFmtId="2" fontId="3176" fillId="8" borderId="1" xfId="0" applyNumberFormat="1" applyFont="1" applyFill="1" applyBorder="1" applyAlignment="1">
      <alignment horizontal="center" vertical="center"/>
    </xf>
    <xf numFmtId="2" fontId="3177" fillId="8" borderId="1" xfId="0" applyNumberFormat="1" applyFont="1" applyFill="1" applyBorder="1" applyAlignment="1">
      <alignment horizontal="center" vertical="center"/>
    </xf>
    <xf numFmtId="2" fontId="3178" fillId="8" borderId="1" xfId="0" applyNumberFormat="1" applyFont="1" applyFill="1" applyBorder="1" applyAlignment="1">
      <alignment horizontal="center" vertical="center"/>
    </xf>
    <xf numFmtId="2" fontId="3179" fillId="8" borderId="1" xfId="0" applyNumberFormat="1" applyFont="1" applyFill="1" applyBorder="1" applyAlignment="1">
      <alignment horizontal="center" vertical="center"/>
    </xf>
    <xf numFmtId="2" fontId="3180" fillId="8" borderId="1" xfId="0" applyNumberFormat="1" applyFont="1" applyFill="1" applyBorder="1" applyAlignment="1">
      <alignment horizontal="center" vertical="center"/>
    </xf>
    <xf numFmtId="2" fontId="3181" fillId="8" borderId="1" xfId="0" applyNumberFormat="1" applyFont="1" applyFill="1" applyBorder="1" applyAlignment="1">
      <alignment horizontal="center" vertical="center"/>
    </xf>
    <xf numFmtId="2" fontId="3182" fillId="8" borderId="1" xfId="0" applyNumberFormat="1" applyFont="1" applyFill="1" applyBorder="1" applyAlignment="1">
      <alignment horizontal="center" vertical="center"/>
    </xf>
    <xf numFmtId="2" fontId="3183" fillId="8" borderId="1" xfId="0" applyNumberFormat="1" applyFont="1" applyFill="1" applyBorder="1" applyAlignment="1">
      <alignment horizontal="center" vertical="center"/>
    </xf>
    <xf numFmtId="2" fontId="3184" fillId="8" borderId="1" xfId="0" applyNumberFormat="1" applyFont="1" applyFill="1" applyBorder="1" applyAlignment="1">
      <alignment horizontal="center" vertical="center"/>
    </xf>
    <xf numFmtId="2" fontId="3185" fillId="8" borderId="1" xfId="0" applyNumberFormat="1" applyFont="1" applyFill="1" applyBorder="1" applyAlignment="1">
      <alignment horizontal="center" vertical="center"/>
    </xf>
    <xf numFmtId="2" fontId="3186" fillId="8" borderId="1" xfId="0" applyNumberFormat="1" applyFont="1" applyFill="1" applyBorder="1" applyAlignment="1">
      <alignment horizontal="center" vertical="center"/>
    </xf>
    <xf numFmtId="2" fontId="3187" fillId="8" borderId="1" xfId="0" applyNumberFormat="1" applyFont="1" applyFill="1" applyBorder="1" applyAlignment="1">
      <alignment horizontal="center" vertical="center"/>
    </xf>
    <xf numFmtId="2" fontId="3188" fillId="8" borderId="1" xfId="0" applyNumberFormat="1" applyFont="1" applyFill="1" applyBorder="1" applyAlignment="1">
      <alignment horizontal="center" vertical="center"/>
    </xf>
    <xf numFmtId="2" fontId="3189" fillId="8" borderId="1" xfId="0" applyNumberFormat="1" applyFont="1" applyFill="1" applyBorder="1" applyAlignment="1">
      <alignment horizontal="center" vertical="center"/>
    </xf>
    <xf numFmtId="2" fontId="3190" fillId="8" borderId="1" xfId="0" applyNumberFormat="1" applyFont="1" applyFill="1" applyBorder="1" applyAlignment="1">
      <alignment horizontal="center" vertical="center"/>
    </xf>
    <xf numFmtId="2" fontId="3191" fillId="8" borderId="1" xfId="0" applyNumberFormat="1" applyFont="1" applyFill="1" applyBorder="1" applyAlignment="1">
      <alignment horizontal="center" vertical="center"/>
    </xf>
    <xf numFmtId="2" fontId="3192" fillId="8" borderId="1" xfId="0" applyNumberFormat="1" applyFont="1" applyFill="1" applyBorder="1" applyAlignment="1">
      <alignment horizontal="center" vertical="center"/>
    </xf>
    <xf numFmtId="2" fontId="3193" fillId="8" borderId="1" xfId="0" applyNumberFormat="1" applyFont="1" applyFill="1" applyBorder="1" applyAlignment="1">
      <alignment horizontal="center" vertical="center"/>
    </xf>
    <xf numFmtId="2" fontId="3194" fillId="8" borderId="1" xfId="0" applyNumberFormat="1" applyFont="1" applyFill="1" applyBorder="1" applyAlignment="1">
      <alignment horizontal="center" vertical="center"/>
    </xf>
    <xf numFmtId="2" fontId="3195" fillId="8" borderId="1" xfId="0" applyNumberFormat="1" applyFont="1" applyFill="1" applyBorder="1" applyAlignment="1">
      <alignment horizontal="center" vertical="center"/>
    </xf>
    <xf numFmtId="2" fontId="3196" fillId="8" borderId="1" xfId="0" applyNumberFormat="1" applyFont="1" applyFill="1" applyBorder="1" applyAlignment="1">
      <alignment horizontal="center" vertical="center"/>
    </xf>
    <xf numFmtId="2" fontId="3197" fillId="8" borderId="1" xfId="0" applyNumberFormat="1" applyFont="1" applyFill="1" applyBorder="1" applyAlignment="1">
      <alignment horizontal="center" vertical="center"/>
    </xf>
    <xf numFmtId="2" fontId="3198" fillId="8" borderId="1" xfId="0" applyNumberFormat="1" applyFont="1" applyFill="1" applyBorder="1" applyAlignment="1">
      <alignment horizontal="center" vertical="center"/>
    </xf>
    <xf numFmtId="0" fontId="3199" fillId="7" borderId="1" xfId="0" applyNumberFormat="1" applyFont="1" applyFill="1" applyBorder="1" applyAlignment="1">
      <alignment horizontal="left" vertical="center"/>
    </xf>
    <xf numFmtId="0" fontId="3200" fillId="8" borderId="1" xfId="0" applyNumberFormat="1" applyFont="1" applyFill="1" applyBorder="1" applyAlignment="1">
      <alignment horizontal="center" vertical="center"/>
    </xf>
    <xf numFmtId="164" fontId="3201" fillId="8" borderId="1" xfId="0" applyNumberFormat="1" applyFont="1" applyFill="1" applyBorder="1" applyAlignment="1">
      <alignment horizontal="center" vertical="center"/>
    </xf>
    <xf numFmtId="1" fontId="3202" fillId="8" borderId="1" xfId="0" applyNumberFormat="1" applyFont="1" applyFill="1" applyBorder="1" applyAlignment="1">
      <alignment horizontal="center" vertical="center"/>
    </xf>
    <xf numFmtId="1" fontId="3203" fillId="8" borderId="1" xfId="0" applyNumberFormat="1" applyFont="1" applyFill="1" applyBorder="1" applyAlignment="1">
      <alignment horizontal="center" vertical="center"/>
    </xf>
    <xf numFmtId="1" fontId="3204" fillId="8" borderId="1" xfId="0" applyNumberFormat="1" applyFont="1" applyFill="1" applyBorder="1" applyAlignment="1">
      <alignment horizontal="center" vertical="center"/>
    </xf>
    <xf numFmtId="1" fontId="3205" fillId="8" borderId="1" xfId="0" applyNumberFormat="1" applyFont="1" applyFill="1" applyBorder="1" applyAlignment="1">
      <alignment horizontal="center" vertical="center"/>
    </xf>
    <xf numFmtId="1" fontId="3206" fillId="8" borderId="1" xfId="0" applyNumberFormat="1" applyFont="1" applyFill="1" applyBorder="1" applyAlignment="1">
      <alignment horizontal="center" vertical="center"/>
    </xf>
    <xf numFmtId="1" fontId="3207" fillId="8" borderId="1" xfId="0" applyNumberFormat="1" applyFont="1" applyFill="1" applyBorder="1" applyAlignment="1">
      <alignment horizontal="center" vertical="center"/>
    </xf>
    <xf numFmtId="1" fontId="3208" fillId="8" borderId="1" xfId="0" applyNumberFormat="1" applyFont="1" applyFill="1" applyBorder="1" applyAlignment="1">
      <alignment horizontal="center" vertical="center"/>
    </xf>
    <xf numFmtId="0" fontId="3209" fillId="8" borderId="1" xfId="0" applyNumberFormat="1" applyFont="1" applyFill="1" applyBorder="1" applyAlignment="1">
      <alignment horizontal="center" vertical="center"/>
    </xf>
    <xf numFmtId="0" fontId="3210" fillId="8" borderId="1" xfId="0" applyNumberFormat="1" applyFont="1" applyFill="1" applyBorder="1" applyAlignment="1">
      <alignment horizontal="center" vertical="center"/>
    </xf>
    <xf numFmtId="1" fontId="3211" fillId="8" borderId="1" xfId="0" applyNumberFormat="1" applyFont="1" applyFill="1" applyBorder="1" applyAlignment="1">
      <alignment horizontal="center" vertical="center"/>
    </xf>
    <xf numFmtId="1" fontId="3212" fillId="8" borderId="1" xfId="0" applyNumberFormat="1" applyFont="1" applyFill="1" applyBorder="1" applyAlignment="1">
      <alignment horizontal="center" vertical="center"/>
    </xf>
    <xf numFmtId="1" fontId="3213" fillId="8" borderId="1" xfId="0" applyNumberFormat="1" applyFont="1" applyFill="1" applyBorder="1" applyAlignment="1">
      <alignment horizontal="center" vertical="center"/>
    </xf>
    <xf numFmtId="165" fontId="3214" fillId="8" borderId="1" xfId="0" applyNumberFormat="1" applyFont="1" applyFill="1" applyBorder="1" applyAlignment="1">
      <alignment horizontal="center" vertical="center"/>
    </xf>
    <xf numFmtId="1" fontId="3215" fillId="8" borderId="1" xfId="0" applyNumberFormat="1" applyFont="1" applyFill="1" applyBorder="1" applyAlignment="1">
      <alignment horizontal="center" vertical="center"/>
    </xf>
    <xf numFmtId="165" fontId="3216" fillId="8" borderId="1" xfId="0" applyNumberFormat="1" applyFont="1" applyFill="1" applyBorder="1" applyAlignment="1">
      <alignment horizontal="center" vertical="center"/>
    </xf>
    <xf numFmtId="1" fontId="3217" fillId="8" borderId="1" xfId="0" applyNumberFormat="1" applyFont="1" applyFill="1" applyBorder="1" applyAlignment="1">
      <alignment horizontal="center" vertical="center"/>
    </xf>
    <xf numFmtId="165" fontId="3218" fillId="8" borderId="1" xfId="0" applyNumberFormat="1" applyFont="1" applyFill="1" applyBorder="1" applyAlignment="1">
      <alignment horizontal="center" vertical="center"/>
    </xf>
    <xf numFmtId="1" fontId="3219" fillId="8" borderId="1" xfId="0" applyNumberFormat="1" applyFont="1" applyFill="1" applyBorder="1" applyAlignment="1">
      <alignment horizontal="center" vertical="center"/>
    </xf>
    <xf numFmtId="165" fontId="3220" fillId="8" borderId="1" xfId="0" applyNumberFormat="1" applyFont="1" applyFill="1" applyBorder="1" applyAlignment="1">
      <alignment horizontal="center" vertical="center"/>
    </xf>
    <xf numFmtId="165" fontId="3221" fillId="8" borderId="1" xfId="0" applyNumberFormat="1" applyFont="1" applyFill="1" applyBorder="1" applyAlignment="1">
      <alignment horizontal="center" vertical="center"/>
    </xf>
    <xf numFmtId="1" fontId="3222" fillId="8" borderId="1" xfId="0" applyNumberFormat="1" applyFont="1" applyFill="1" applyBorder="1" applyAlignment="1">
      <alignment horizontal="center" vertical="center"/>
    </xf>
    <xf numFmtId="1" fontId="3223" fillId="8" borderId="1" xfId="0" applyNumberFormat="1" applyFont="1" applyFill="1" applyBorder="1" applyAlignment="1">
      <alignment horizontal="center" vertical="center"/>
    </xf>
    <xf numFmtId="1" fontId="3224" fillId="8" borderId="1" xfId="0" applyNumberFormat="1" applyFont="1" applyFill="1" applyBorder="1" applyAlignment="1">
      <alignment horizontal="center" vertical="center"/>
    </xf>
    <xf numFmtId="165" fontId="3225" fillId="8" borderId="1" xfId="0" applyNumberFormat="1" applyFont="1" applyFill="1" applyBorder="1" applyAlignment="1">
      <alignment horizontal="center" vertical="center"/>
    </xf>
    <xf numFmtId="164" fontId="3226" fillId="8" borderId="1" xfId="0" applyNumberFormat="1" applyFont="1" applyFill="1" applyBorder="1" applyAlignment="1">
      <alignment horizontal="center" vertical="center"/>
    </xf>
    <xf numFmtId="164" fontId="3227" fillId="8" borderId="1" xfId="0" applyNumberFormat="1" applyFont="1" applyFill="1" applyBorder="1" applyAlignment="1">
      <alignment horizontal="center" vertical="center"/>
    </xf>
    <xf numFmtId="1" fontId="3228" fillId="8" borderId="1" xfId="0" applyNumberFormat="1" applyFont="1" applyFill="1" applyBorder="1" applyAlignment="1">
      <alignment horizontal="center" vertical="center"/>
    </xf>
    <xf numFmtId="1" fontId="3229" fillId="8" borderId="1" xfId="0" applyNumberFormat="1" applyFont="1" applyFill="1" applyBorder="1" applyAlignment="1">
      <alignment horizontal="center" vertical="center"/>
    </xf>
    <xf numFmtId="1" fontId="3230" fillId="8" borderId="1" xfId="0" applyNumberFormat="1" applyFont="1" applyFill="1" applyBorder="1" applyAlignment="1">
      <alignment horizontal="center" vertical="center"/>
    </xf>
    <xf numFmtId="165" fontId="3231" fillId="8" borderId="1" xfId="0" applyNumberFormat="1" applyFont="1" applyFill="1" applyBorder="1" applyAlignment="1">
      <alignment horizontal="center" vertical="center"/>
    </xf>
    <xf numFmtId="1" fontId="3232" fillId="8" borderId="1" xfId="0" applyNumberFormat="1" applyFont="1" applyFill="1" applyBorder="1" applyAlignment="1">
      <alignment horizontal="center" vertical="center"/>
    </xf>
    <xf numFmtId="165" fontId="3233" fillId="8" borderId="1" xfId="0" applyNumberFormat="1" applyFont="1" applyFill="1" applyBorder="1" applyAlignment="1">
      <alignment horizontal="center" vertical="center"/>
    </xf>
    <xf numFmtId="1" fontId="3234" fillId="8" borderId="1" xfId="0" applyNumberFormat="1" applyFont="1" applyFill="1" applyBorder="1" applyAlignment="1">
      <alignment horizontal="center" vertical="center"/>
    </xf>
    <xf numFmtId="1" fontId="3235" fillId="8" borderId="1" xfId="0" applyNumberFormat="1" applyFont="1" applyFill="1" applyBorder="1" applyAlignment="1">
      <alignment horizontal="center" vertical="center"/>
    </xf>
    <xf numFmtId="1" fontId="3236" fillId="8" borderId="1" xfId="0" applyNumberFormat="1" applyFont="1" applyFill="1" applyBorder="1" applyAlignment="1">
      <alignment horizontal="center" vertical="center"/>
    </xf>
    <xf numFmtId="1" fontId="3237" fillId="8" borderId="1" xfId="0" applyNumberFormat="1" applyFont="1" applyFill="1" applyBorder="1" applyAlignment="1">
      <alignment horizontal="center" vertical="center"/>
    </xf>
    <xf numFmtId="165" fontId="3238" fillId="8" borderId="1" xfId="0" applyNumberFormat="1" applyFont="1" applyFill="1" applyBorder="1" applyAlignment="1">
      <alignment horizontal="center" vertical="center"/>
    </xf>
    <xf numFmtId="1" fontId="3239" fillId="8" borderId="1" xfId="0" applyNumberFormat="1" applyFont="1" applyFill="1" applyBorder="1" applyAlignment="1">
      <alignment horizontal="center" vertical="center"/>
    </xf>
    <xf numFmtId="165" fontId="3240" fillId="8" borderId="1" xfId="0" applyNumberFormat="1" applyFont="1" applyFill="1" applyBorder="1" applyAlignment="1">
      <alignment horizontal="center" vertical="center"/>
    </xf>
    <xf numFmtId="1" fontId="3241" fillId="8" borderId="1" xfId="0" applyNumberFormat="1" applyFont="1" applyFill="1" applyBorder="1" applyAlignment="1">
      <alignment horizontal="center" vertical="center"/>
    </xf>
    <xf numFmtId="165" fontId="3242" fillId="8" borderId="1" xfId="0" applyNumberFormat="1" applyFont="1" applyFill="1" applyBorder="1" applyAlignment="1">
      <alignment horizontal="center" vertical="center"/>
    </xf>
    <xf numFmtId="2" fontId="3243" fillId="8" borderId="1" xfId="0" applyNumberFormat="1" applyFont="1" applyFill="1" applyBorder="1" applyAlignment="1">
      <alignment horizontal="center" vertical="center"/>
    </xf>
    <xf numFmtId="2" fontId="3244" fillId="8" borderId="1" xfId="0" applyNumberFormat="1" applyFont="1" applyFill="1" applyBorder="1" applyAlignment="1">
      <alignment horizontal="center" vertical="center"/>
    </xf>
    <xf numFmtId="2" fontId="3245" fillId="8" borderId="1" xfId="0" applyNumberFormat="1" applyFont="1" applyFill="1" applyBorder="1" applyAlignment="1">
      <alignment horizontal="center" vertical="center"/>
    </xf>
    <xf numFmtId="2" fontId="3246" fillId="8" borderId="1" xfId="0" applyNumberFormat="1" applyFont="1" applyFill="1" applyBorder="1" applyAlignment="1">
      <alignment horizontal="center" vertical="center"/>
    </xf>
    <xf numFmtId="2" fontId="3247" fillId="8" borderId="1" xfId="0" applyNumberFormat="1" applyFont="1" applyFill="1" applyBorder="1" applyAlignment="1">
      <alignment horizontal="center" vertical="center"/>
    </xf>
    <xf numFmtId="2" fontId="3248" fillId="8" borderId="1" xfId="0" applyNumberFormat="1" applyFont="1" applyFill="1" applyBorder="1" applyAlignment="1">
      <alignment horizontal="center" vertical="center"/>
    </xf>
    <xf numFmtId="2" fontId="3249" fillId="8" borderId="1" xfId="0" applyNumberFormat="1" applyFont="1" applyFill="1" applyBorder="1" applyAlignment="1">
      <alignment horizontal="center" vertical="center"/>
    </xf>
    <xf numFmtId="2" fontId="3250" fillId="8" borderId="1" xfId="0" applyNumberFormat="1" applyFont="1" applyFill="1" applyBorder="1" applyAlignment="1">
      <alignment horizontal="center" vertical="center"/>
    </xf>
    <xf numFmtId="2" fontId="3251" fillId="8" borderId="1" xfId="0" applyNumberFormat="1" applyFont="1" applyFill="1" applyBorder="1" applyAlignment="1">
      <alignment horizontal="center" vertical="center"/>
    </xf>
    <xf numFmtId="2" fontId="3252" fillId="8" borderId="1" xfId="0" applyNumberFormat="1" applyFont="1" applyFill="1" applyBorder="1" applyAlignment="1">
      <alignment horizontal="center" vertical="center"/>
    </xf>
    <xf numFmtId="2" fontId="3253" fillId="8" borderId="1" xfId="0" applyNumberFormat="1" applyFont="1" applyFill="1" applyBorder="1" applyAlignment="1">
      <alignment horizontal="center" vertical="center"/>
    </xf>
    <xf numFmtId="2" fontId="3254" fillId="8" borderId="1" xfId="0" applyNumberFormat="1" applyFont="1" applyFill="1" applyBorder="1" applyAlignment="1">
      <alignment horizontal="center" vertical="center"/>
    </xf>
    <xf numFmtId="2" fontId="3255" fillId="8" borderId="1" xfId="0" applyNumberFormat="1" applyFont="1" applyFill="1" applyBorder="1" applyAlignment="1">
      <alignment horizontal="center" vertical="center"/>
    </xf>
    <xf numFmtId="2" fontId="3256" fillId="8" borderId="1" xfId="0" applyNumberFormat="1" applyFont="1" applyFill="1" applyBorder="1" applyAlignment="1">
      <alignment horizontal="center" vertical="center"/>
    </xf>
    <xf numFmtId="2" fontId="3257" fillId="8" borderId="1" xfId="0" applyNumberFormat="1" applyFont="1" applyFill="1" applyBorder="1" applyAlignment="1">
      <alignment horizontal="center" vertical="center"/>
    </xf>
    <xf numFmtId="2" fontId="3258" fillId="8" borderId="1" xfId="0" applyNumberFormat="1" applyFont="1" applyFill="1" applyBorder="1" applyAlignment="1">
      <alignment horizontal="center" vertical="center"/>
    </xf>
    <xf numFmtId="2" fontId="3259" fillId="8" borderId="1" xfId="0" applyNumberFormat="1" applyFont="1" applyFill="1" applyBorder="1" applyAlignment="1">
      <alignment horizontal="center" vertical="center"/>
    </xf>
    <xf numFmtId="2" fontId="3260" fillId="8" borderId="1" xfId="0" applyNumberFormat="1" applyFont="1" applyFill="1" applyBorder="1" applyAlignment="1">
      <alignment horizontal="center" vertical="center"/>
    </xf>
    <xf numFmtId="2" fontId="3261" fillId="8" borderId="1" xfId="0" applyNumberFormat="1" applyFont="1" applyFill="1" applyBorder="1" applyAlignment="1">
      <alignment horizontal="center" vertical="center"/>
    </xf>
    <xf numFmtId="2" fontId="3262" fillId="8" borderId="1" xfId="0" applyNumberFormat="1" applyFont="1" applyFill="1" applyBorder="1" applyAlignment="1">
      <alignment horizontal="center" vertical="center"/>
    </xf>
    <xf numFmtId="2" fontId="3263" fillId="8" borderId="1" xfId="0" applyNumberFormat="1" applyFont="1" applyFill="1" applyBorder="1" applyAlignment="1">
      <alignment horizontal="center" vertical="center"/>
    </xf>
    <xf numFmtId="2" fontId="3264" fillId="8" borderId="1" xfId="0" applyNumberFormat="1" applyFont="1" applyFill="1" applyBorder="1" applyAlignment="1">
      <alignment horizontal="center" vertical="center"/>
    </xf>
    <xf numFmtId="2" fontId="3265" fillId="8" borderId="1" xfId="0" applyNumberFormat="1" applyFont="1" applyFill="1" applyBorder="1" applyAlignment="1">
      <alignment horizontal="center" vertical="center"/>
    </xf>
    <xf numFmtId="2" fontId="3266" fillId="8" borderId="1" xfId="0" applyNumberFormat="1" applyFont="1" applyFill="1" applyBorder="1" applyAlignment="1">
      <alignment horizontal="center" vertical="center"/>
    </xf>
    <xf numFmtId="2" fontId="3267" fillId="8" borderId="1" xfId="0" applyNumberFormat="1" applyFont="1" applyFill="1" applyBorder="1" applyAlignment="1">
      <alignment horizontal="center" vertical="center"/>
    </xf>
    <xf numFmtId="2" fontId="3268" fillId="8" borderId="1" xfId="0" applyNumberFormat="1" applyFont="1" applyFill="1" applyBorder="1" applyAlignment="1">
      <alignment horizontal="center" vertical="center"/>
    </xf>
    <xf numFmtId="2" fontId="3269" fillId="8" borderId="1" xfId="0" applyNumberFormat="1" applyFont="1" applyFill="1" applyBorder="1" applyAlignment="1">
      <alignment horizontal="center" vertical="center"/>
    </xf>
    <xf numFmtId="2" fontId="3270" fillId="8" borderId="1" xfId="0" applyNumberFormat="1" applyFont="1" applyFill="1" applyBorder="1" applyAlignment="1">
      <alignment horizontal="center" vertical="center"/>
    </xf>
    <xf numFmtId="2" fontId="3271" fillId="8" borderId="1" xfId="0" applyNumberFormat="1" applyFont="1" applyFill="1" applyBorder="1" applyAlignment="1">
      <alignment horizontal="center" vertical="center"/>
    </xf>
    <xf numFmtId="2" fontId="3272" fillId="8" borderId="1" xfId="0" applyNumberFormat="1" applyFont="1" applyFill="1" applyBorder="1" applyAlignment="1">
      <alignment horizontal="center" vertical="center"/>
    </xf>
    <xf numFmtId="2" fontId="3273" fillId="8" borderId="1" xfId="0" applyNumberFormat="1" applyFont="1" applyFill="1" applyBorder="1" applyAlignment="1">
      <alignment horizontal="center" vertical="center"/>
    </xf>
    <xf numFmtId="2" fontId="3274" fillId="8" borderId="1" xfId="0" applyNumberFormat="1" applyFont="1" applyFill="1" applyBorder="1" applyAlignment="1">
      <alignment horizontal="center" vertical="center"/>
    </xf>
    <xf numFmtId="2" fontId="3275" fillId="8" borderId="1" xfId="0" applyNumberFormat="1" applyFont="1" applyFill="1" applyBorder="1" applyAlignment="1">
      <alignment horizontal="center" vertical="center"/>
    </xf>
    <xf numFmtId="2" fontId="3276" fillId="8" borderId="1" xfId="0" applyNumberFormat="1" applyFont="1" applyFill="1" applyBorder="1" applyAlignment="1">
      <alignment horizontal="center" vertical="center"/>
    </xf>
    <xf numFmtId="0" fontId="3277" fillId="7" borderId="1" xfId="0" applyNumberFormat="1" applyFont="1" applyFill="1" applyBorder="1" applyAlignment="1">
      <alignment horizontal="left" vertical="center"/>
    </xf>
    <xf numFmtId="0" fontId="3278" fillId="8" borderId="1" xfId="0" applyNumberFormat="1" applyFont="1" applyFill="1" applyBorder="1" applyAlignment="1">
      <alignment horizontal="center" vertical="center"/>
    </xf>
    <xf numFmtId="164" fontId="3279" fillId="8" borderId="1" xfId="0" applyNumberFormat="1" applyFont="1" applyFill="1" applyBorder="1" applyAlignment="1">
      <alignment horizontal="center" vertical="center"/>
    </xf>
    <xf numFmtId="1" fontId="3280" fillId="8" borderId="1" xfId="0" applyNumberFormat="1" applyFont="1" applyFill="1" applyBorder="1" applyAlignment="1">
      <alignment horizontal="center" vertical="center"/>
    </xf>
    <xf numFmtId="1" fontId="3281" fillId="8" borderId="1" xfId="0" applyNumberFormat="1" applyFont="1" applyFill="1" applyBorder="1" applyAlignment="1">
      <alignment horizontal="center" vertical="center"/>
    </xf>
    <xf numFmtId="1" fontId="3282" fillId="8" borderId="1" xfId="0" applyNumberFormat="1" applyFont="1" applyFill="1" applyBorder="1" applyAlignment="1">
      <alignment horizontal="center" vertical="center"/>
    </xf>
    <xf numFmtId="1" fontId="3283" fillId="8" borderId="1" xfId="0" applyNumberFormat="1" applyFont="1" applyFill="1" applyBorder="1" applyAlignment="1">
      <alignment horizontal="center" vertical="center"/>
    </xf>
    <xf numFmtId="1" fontId="3284" fillId="8" borderId="1" xfId="0" applyNumberFormat="1" applyFont="1" applyFill="1" applyBorder="1" applyAlignment="1">
      <alignment horizontal="center" vertical="center"/>
    </xf>
    <xf numFmtId="1" fontId="3285" fillId="8" borderId="1" xfId="0" applyNumberFormat="1" applyFont="1" applyFill="1" applyBorder="1" applyAlignment="1">
      <alignment horizontal="center" vertical="center"/>
    </xf>
    <xf numFmtId="1" fontId="3286" fillId="8" borderId="1" xfId="0" applyNumberFormat="1" applyFont="1" applyFill="1" applyBorder="1" applyAlignment="1">
      <alignment horizontal="center" vertical="center"/>
    </xf>
    <xf numFmtId="0" fontId="3287" fillId="8" borderId="1" xfId="0" applyNumberFormat="1" applyFont="1" applyFill="1" applyBorder="1" applyAlignment="1">
      <alignment horizontal="center" vertical="center"/>
    </xf>
    <xf numFmtId="0" fontId="3288" fillId="8" borderId="1" xfId="0" applyNumberFormat="1" applyFont="1" applyFill="1" applyBorder="1" applyAlignment="1">
      <alignment horizontal="center" vertical="center"/>
    </xf>
    <xf numFmtId="1" fontId="3289" fillId="8" borderId="1" xfId="0" applyNumberFormat="1" applyFont="1" applyFill="1" applyBorder="1" applyAlignment="1">
      <alignment horizontal="center" vertical="center"/>
    </xf>
    <xf numFmtId="1" fontId="3290" fillId="8" borderId="1" xfId="0" applyNumberFormat="1" applyFont="1" applyFill="1" applyBorder="1" applyAlignment="1">
      <alignment horizontal="center" vertical="center"/>
    </xf>
    <xf numFmtId="1" fontId="3291" fillId="8" borderId="1" xfId="0" applyNumberFormat="1" applyFont="1" applyFill="1" applyBorder="1" applyAlignment="1">
      <alignment horizontal="center" vertical="center"/>
    </xf>
    <xf numFmtId="165" fontId="3292" fillId="8" borderId="1" xfId="0" applyNumberFormat="1" applyFont="1" applyFill="1" applyBorder="1" applyAlignment="1">
      <alignment horizontal="center" vertical="center"/>
    </xf>
    <xf numFmtId="1" fontId="3293" fillId="8" borderId="1" xfId="0" applyNumberFormat="1" applyFont="1" applyFill="1" applyBorder="1" applyAlignment="1">
      <alignment horizontal="center" vertical="center"/>
    </xf>
    <xf numFmtId="165" fontId="3294" fillId="8" borderId="1" xfId="0" applyNumberFormat="1" applyFont="1" applyFill="1" applyBorder="1" applyAlignment="1">
      <alignment horizontal="center" vertical="center"/>
    </xf>
    <xf numFmtId="1" fontId="3295" fillId="8" borderId="1" xfId="0" applyNumberFormat="1" applyFont="1" applyFill="1" applyBorder="1" applyAlignment="1">
      <alignment horizontal="center" vertical="center"/>
    </xf>
    <xf numFmtId="165" fontId="3296" fillId="8" borderId="1" xfId="0" applyNumberFormat="1" applyFont="1" applyFill="1" applyBorder="1" applyAlignment="1">
      <alignment horizontal="center" vertical="center"/>
    </xf>
    <xf numFmtId="1" fontId="3297" fillId="8" borderId="1" xfId="0" applyNumberFormat="1" applyFont="1" applyFill="1" applyBorder="1" applyAlignment="1">
      <alignment horizontal="center" vertical="center"/>
    </xf>
    <xf numFmtId="165" fontId="3298" fillId="8" borderId="1" xfId="0" applyNumberFormat="1" applyFont="1" applyFill="1" applyBorder="1" applyAlignment="1">
      <alignment horizontal="center" vertical="center"/>
    </xf>
    <xf numFmtId="165" fontId="3299" fillId="8" borderId="1" xfId="0" applyNumberFormat="1" applyFont="1" applyFill="1" applyBorder="1" applyAlignment="1">
      <alignment horizontal="center" vertical="center"/>
    </xf>
    <xf numFmtId="1" fontId="3300" fillId="8" borderId="1" xfId="0" applyNumberFormat="1" applyFont="1" applyFill="1" applyBorder="1" applyAlignment="1">
      <alignment horizontal="center" vertical="center"/>
    </xf>
    <xf numFmtId="1" fontId="3301" fillId="8" borderId="1" xfId="0" applyNumberFormat="1" applyFont="1" applyFill="1" applyBorder="1" applyAlignment="1">
      <alignment horizontal="center" vertical="center"/>
    </xf>
    <xf numFmtId="1" fontId="3302" fillId="8" borderId="1" xfId="0" applyNumberFormat="1" applyFont="1" applyFill="1" applyBorder="1" applyAlignment="1">
      <alignment horizontal="center" vertical="center"/>
    </xf>
    <xf numFmtId="165" fontId="3303" fillId="8" borderId="1" xfId="0" applyNumberFormat="1" applyFont="1" applyFill="1" applyBorder="1" applyAlignment="1">
      <alignment horizontal="center" vertical="center"/>
    </xf>
    <xf numFmtId="164" fontId="3304" fillId="8" borderId="1" xfId="0" applyNumberFormat="1" applyFont="1" applyFill="1" applyBorder="1" applyAlignment="1">
      <alignment horizontal="center" vertical="center"/>
    </xf>
    <xf numFmtId="164" fontId="3305" fillId="8" borderId="1" xfId="0" applyNumberFormat="1" applyFont="1" applyFill="1" applyBorder="1" applyAlignment="1">
      <alignment horizontal="center" vertical="center"/>
    </xf>
    <xf numFmtId="1" fontId="3306" fillId="8" borderId="1" xfId="0" applyNumberFormat="1" applyFont="1" applyFill="1" applyBorder="1" applyAlignment="1">
      <alignment horizontal="center" vertical="center"/>
    </xf>
    <xf numFmtId="1" fontId="3307" fillId="8" borderId="1" xfId="0" applyNumberFormat="1" applyFont="1" applyFill="1" applyBorder="1" applyAlignment="1">
      <alignment horizontal="center" vertical="center"/>
    </xf>
    <xf numFmtId="1" fontId="3308" fillId="8" borderId="1" xfId="0" applyNumberFormat="1" applyFont="1" applyFill="1" applyBorder="1" applyAlignment="1">
      <alignment horizontal="center" vertical="center"/>
    </xf>
    <xf numFmtId="165" fontId="3309" fillId="8" borderId="1" xfId="0" applyNumberFormat="1" applyFont="1" applyFill="1" applyBorder="1" applyAlignment="1">
      <alignment horizontal="center" vertical="center"/>
    </xf>
    <xf numFmtId="1" fontId="3310" fillId="8" borderId="1" xfId="0" applyNumberFormat="1" applyFont="1" applyFill="1" applyBorder="1" applyAlignment="1">
      <alignment horizontal="center" vertical="center"/>
    </xf>
    <xf numFmtId="165" fontId="3311" fillId="8" borderId="1" xfId="0" applyNumberFormat="1" applyFont="1" applyFill="1" applyBorder="1" applyAlignment="1">
      <alignment horizontal="center" vertical="center"/>
    </xf>
    <xf numFmtId="1" fontId="3312" fillId="8" borderId="1" xfId="0" applyNumberFormat="1" applyFont="1" applyFill="1" applyBorder="1" applyAlignment="1">
      <alignment horizontal="center" vertical="center"/>
    </xf>
    <xf numFmtId="1" fontId="3313" fillId="8" borderId="1" xfId="0" applyNumberFormat="1" applyFont="1" applyFill="1" applyBorder="1" applyAlignment="1">
      <alignment horizontal="center" vertical="center"/>
    </xf>
    <xf numFmtId="1" fontId="3314" fillId="8" borderId="1" xfId="0" applyNumberFormat="1" applyFont="1" applyFill="1" applyBorder="1" applyAlignment="1">
      <alignment horizontal="center" vertical="center"/>
    </xf>
    <xf numFmtId="1" fontId="3315" fillId="8" borderId="1" xfId="0" applyNumberFormat="1" applyFont="1" applyFill="1" applyBorder="1" applyAlignment="1">
      <alignment horizontal="center" vertical="center"/>
    </xf>
    <xf numFmtId="165" fontId="3316" fillId="8" borderId="1" xfId="0" applyNumberFormat="1" applyFont="1" applyFill="1" applyBorder="1" applyAlignment="1">
      <alignment horizontal="center" vertical="center"/>
    </xf>
    <xf numFmtId="1" fontId="3317" fillId="8" borderId="1" xfId="0" applyNumberFormat="1" applyFont="1" applyFill="1" applyBorder="1" applyAlignment="1">
      <alignment horizontal="center" vertical="center"/>
    </xf>
    <xf numFmtId="165" fontId="3318" fillId="8" borderId="1" xfId="0" applyNumberFormat="1" applyFont="1" applyFill="1" applyBorder="1" applyAlignment="1">
      <alignment horizontal="center" vertical="center"/>
    </xf>
    <xf numFmtId="1" fontId="3319" fillId="8" borderId="1" xfId="0" applyNumberFormat="1" applyFont="1" applyFill="1" applyBorder="1" applyAlignment="1">
      <alignment horizontal="center" vertical="center"/>
    </xf>
    <xf numFmtId="165" fontId="3320" fillId="8" borderId="1" xfId="0" applyNumberFormat="1" applyFont="1" applyFill="1" applyBorder="1" applyAlignment="1">
      <alignment horizontal="center" vertical="center"/>
    </xf>
    <xf numFmtId="2" fontId="3321" fillId="8" borderId="1" xfId="0" applyNumberFormat="1" applyFont="1" applyFill="1" applyBorder="1" applyAlignment="1">
      <alignment horizontal="center" vertical="center"/>
    </xf>
    <xf numFmtId="2" fontId="3322" fillId="8" borderId="1" xfId="0" applyNumberFormat="1" applyFont="1" applyFill="1" applyBorder="1" applyAlignment="1">
      <alignment horizontal="center" vertical="center"/>
    </xf>
    <xf numFmtId="2" fontId="3323" fillId="8" borderId="1" xfId="0" applyNumberFormat="1" applyFont="1" applyFill="1" applyBorder="1" applyAlignment="1">
      <alignment horizontal="center" vertical="center"/>
    </xf>
    <xf numFmtId="2" fontId="3324" fillId="8" borderId="1" xfId="0" applyNumberFormat="1" applyFont="1" applyFill="1" applyBorder="1" applyAlignment="1">
      <alignment horizontal="center" vertical="center"/>
    </xf>
    <xf numFmtId="2" fontId="3325" fillId="8" borderId="1" xfId="0" applyNumberFormat="1" applyFont="1" applyFill="1" applyBorder="1" applyAlignment="1">
      <alignment horizontal="center" vertical="center"/>
    </xf>
    <xf numFmtId="2" fontId="3326" fillId="8" borderId="1" xfId="0" applyNumberFormat="1" applyFont="1" applyFill="1" applyBorder="1" applyAlignment="1">
      <alignment horizontal="center" vertical="center"/>
    </xf>
    <xf numFmtId="2" fontId="3327" fillId="8" borderId="1" xfId="0" applyNumberFormat="1" applyFont="1" applyFill="1" applyBorder="1" applyAlignment="1">
      <alignment horizontal="center" vertical="center"/>
    </xf>
    <xf numFmtId="2" fontId="3328" fillId="8" borderId="1" xfId="0" applyNumberFormat="1" applyFont="1" applyFill="1" applyBorder="1" applyAlignment="1">
      <alignment horizontal="center" vertical="center"/>
    </xf>
    <xf numFmtId="2" fontId="3329" fillId="8" borderId="1" xfId="0" applyNumberFormat="1" applyFont="1" applyFill="1" applyBorder="1" applyAlignment="1">
      <alignment horizontal="center" vertical="center"/>
    </xf>
    <xf numFmtId="2" fontId="3330" fillId="8" borderId="1" xfId="0" applyNumberFormat="1" applyFont="1" applyFill="1" applyBorder="1" applyAlignment="1">
      <alignment horizontal="center" vertical="center"/>
    </xf>
    <xf numFmtId="2" fontId="3331" fillId="8" borderId="1" xfId="0" applyNumberFormat="1" applyFont="1" applyFill="1" applyBorder="1" applyAlignment="1">
      <alignment horizontal="center" vertical="center"/>
    </xf>
    <xf numFmtId="2" fontId="3332" fillId="8" borderId="1" xfId="0" applyNumberFormat="1" applyFont="1" applyFill="1" applyBorder="1" applyAlignment="1">
      <alignment horizontal="center" vertical="center"/>
    </xf>
    <xf numFmtId="2" fontId="3333" fillId="8" borderId="1" xfId="0" applyNumberFormat="1" applyFont="1" applyFill="1" applyBorder="1" applyAlignment="1">
      <alignment horizontal="center" vertical="center"/>
    </xf>
    <xf numFmtId="2" fontId="3334" fillId="8" borderId="1" xfId="0" applyNumberFormat="1" applyFont="1" applyFill="1" applyBorder="1" applyAlignment="1">
      <alignment horizontal="center" vertical="center"/>
    </xf>
    <xf numFmtId="2" fontId="3335" fillId="8" borderId="1" xfId="0" applyNumberFormat="1" applyFont="1" applyFill="1" applyBorder="1" applyAlignment="1">
      <alignment horizontal="center" vertical="center"/>
    </xf>
    <xf numFmtId="2" fontId="3336" fillId="8" borderId="1" xfId="0" applyNumberFormat="1" applyFont="1" applyFill="1" applyBorder="1" applyAlignment="1">
      <alignment horizontal="center" vertical="center"/>
    </xf>
    <xf numFmtId="2" fontId="3337" fillId="8" borderId="1" xfId="0" applyNumberFormat="1" applyFont="1" applyFill="1" applyBorder="1" applyAlignment="1">
      <alignment horizontal="center" vertical="center"/>
    </xf>
    <xf numFmtId="2" fontId="3338" fillId="8" borderId="1" xfId="0" applyNumberFormat="1" applyFont="1" applyFill="1" applyBorder="1" applyAlignment="1">
      <alignment horizontal="center" vertical="center"/>
    </xf>
    <xf numFmtId="2" fontId="3339" fillId="8" borderId="1" xfId="0" applyNumberFormat="1" applyFont="1" applyFill="1" applyBorder="1" applyAlignment="1">
      <alignment horizontal="center" vertical="center"/>
    </xf>
    <xf numFmtId="2" fontId="3340" fillId="8" borderId="1" xfId="0" applyNumberFormat="1" applyFont="1" applyFill="1" applyBorder="1" applyAlignment="1">
      <alignment horizontal="center" vertical="center"/>
    </xf>
    <xf numFmtId="2" fontId="3341" fillId="8" borderId="1" xfId="0" applyNumberFormat="1" applyFont="1" applyFill="1" applyBorder="1" applyAlignment="1">
      <alignment horizontal="center" vertical="center"/>
    </xf>
    <xf numFmtId="2" fontId="3342" fillId="8" borderId="1" xfId="0" applyNumberFormat="1" applyFont="1" applyFill="1" applyBorder="1" applyAlignment="1">
      <alignment horizontal="center" vertical="center"/>
    </xf>
    <xf numFmtId="2" fontId="3343" fillId="8" borderId="1" xfId="0" applyNumberFormat="1" applyFont="1" applyFill="1" applyBorder="1" applyAlignment="1">
      <alignment horizontal="center" vertical="center"/>
    </xf>
    <xf numFmtId="2" fontId="3344" fillId="8" borderId="1" xfId="0" applyNumberFormat="1" applyFont="1" applyFill="1" applyBorder="1" applyAlignment="1">
      <alignment horizontal="center" vertical="center"/>
    </xf>
    <xf numFmtId="2" fontId="3345" fillId="8" borderId="1" xfId="0" applyNumberFormat="1" applyFont="1" applyFill="1" applyBorder="1" applyAlignment="1">
      <alignment horizontal="center" vertical="center"/>
    </xf>
    <xf numFmtId="2" fontId="3346" fillId="8" borderId="1" xfId="0" applyNumberFormat="1" applyFont="1" applyFill="1" applyBorder="1" applyAlignment="1">
      <alignment horizontal="center" vertical="center"/>
    </xf>
    <xf numFmtId="2" fontId="3347" fillId="8" borderId="1" xfId="0" applyNumberFormat="1" applyFont="1" applyFill="1" applyBorder="1" applyAlignment="1">
      <alignment horizontal="center" vertical="center"/>
    </xf>
    <xf numFmtId="2" fontId="3348" fillId="8" borderId="1" xfId="0" applyNumberFormat="1" applyFont="1" applyFill="1" applyBorder="1" applyAlignment="1">
      <alignment horizontal="center" vertical="center"/>
    </xf>
    <xf numFmtId="2" fontId="3349" fillId="8" borderId="1" xfId="0" applyNumberFormat="1" applyFont="1" applyFill="1" applyBorder="1" applyAlignment="1">
      <alignment horizontal="center" vertical="center"/>
    </xf>
    <xf numFmtId="2" fontId="3350" fillId="8" borderId="1" xfId="0" applyNumberFormat="1" applyFont="1" applyFill="1" applyBorder="1" applyAlignment="1">
      <alignment horizontal="center" vertical="center"/>
    </xf>
    <xf numFmtId="2" fontId="3351" fillId="8" borderId="1" xfId="0" applyNumberFormat="1" applyFont="1" applyFill="1" applyBorder="1" applyAlignment="1">
      <alignment horizontal="center" vertical="center"/>
    </xf>
    <xf numFmtId="2" fontId="3352" fillId="8" borderId="1" xfId="0" applyNumberFormat="1" applyFont="1" applyFill="1" applyBorder="1" applyAlignment="1">
      <alignment horizontal="center" vertical="center"/>
    </xf>
    <xf numFmtId="2" fontId="3353" fillId="8" borderId="1" xfId="0" applyNumberFormat="1" applyFont="1" applyFill="1" applyBorder="1" applyAlignment="1">
      <alignment horizontal="center" vertical="center"/>
    </xf>
    <xf numFmtId="2" fontId="3354" fillId="8" borderId="1" xfId="0" applyNumberFormat="1" applyFont="1" applyFill="1" applyBorder="1" applyAlignment="1">
      <alignment horizontal="center" vertical="center"/>
    </xf>
    <xf numFmtId="0" fontId="3355" fillId="7" borderId="1" xfId="0" applyNumberFormat="1" applyFont="1" applyFill="1" applyBorder="1" applyAlignment="1">
      <alignment horizontal="left" vertical="center"/>
    </xf>
    <xf numFmtId="0" fontId="3356" fillId="8" borderId="1" xfId="0" applyNumberFormat="1" applyFont="1" applyFill="1" applyBorder="1" applyAlignment="1">
      <alignment horizontal="center" vertical="center"/>
    </xf>
    <xf numFmtId="164" fontId="3357" fillId="8" borderId="1" xfId="0" applyNumberFormat="1" applyFont="1" applyFill="1" applyBorder="1" applyAlignment="1">
      <alignment horizontal="center" vertical="center"/>
    </xf>
    <xf numFmtId="1" fontId="3358" fillId="8" borderId="1" xfId="0" applyNumberFormat="1" applyFont="1" applyFill="1" applyBorder="1" applyAlignment="1">
      <alignment horizontal="center" vertical="center"/>
    </xf>
    <xf numFmtId="1" fontId="3359" fillId="8" borderId="1" xfId="0" applyNumberFormat="1" applyFont="1" applyFill="1" applyBorder="1" applyAlignment="1">
      <alignment horizontal="center" vertical="center"/>
    </xf>
    <xf numFmtId="1" fontId="3360" fillId="8" borderId="1" xfId="0" applyNumberFormat="1" applyFont="1" applyFill="1" applyBorder="1" applyAlignment="1">
      <alignment horizontal="center" vertical="center"/>
    </xf>
    <xf numFmtId="1" fontId="3361" fillId="8" borderId="1" xfId="0" applyNumberFormat="1" applyFont="1" applyFill="1" applyBorder="1" applyAlignment="1">
      <alignment horizontal="center" vertical="center"/>
    </xf>
    <xf numFmtId="1" fontId="3362" fillId="8" borderId="1" xfId="0" applyNumberFormat="1" applyFont="1" applyFill="1" applyBorder="1" applyAlignment="1">
      <alignment horizontal="center" vertical="center"/>
    </xf>
    <xf numFmtId="1" fontId="3363" fillId="8" borderId="1" xfId="0" applyNumberFormat="1" applyFont="1" applyFill="1" applyBorder="1" applyAlignment="1">
      <alignment horizontal="center" vertical="center"/>
    </xf>
    <xf numFmtId="1" fontId="3364" fillId="8" borderId="1" xfId="0" applyNumberFormat="1" applyFont="1" applyFill="1" applyBorder="1" applyAlignment="1">
      <alignment horizontal="center" vertical="center"/>
    </xf>
    <xf numFmtId="0" fontId="3365" fillId="8" borderId="1" xfId="0" applyNumberFormat="1" applyFont="1" applyFill="1" applyBorder="1" applyAlignment="1">
      <alignment horizontal="center" vertical="center"/>
    </xf>
    <xf numFmtId="0" fontId="3366" fillId="8" borderId="1" xfId="0" applyNumberFormat="1" applyFont="1" applyFill="1" applyBorder="1" applyAlignment="1">
      <alignment horizontal="center" vertical="center"/>
    </xf>
    <xf numFmtId="1" fontId="3367" fillId="8" borderId="1" xfId="0" applyNumberFormat="1" applyFont="1" applyFill="1" applyBorder="1" applyAlignment="1">
      <alignment horizontal="center" vertical="center"/>
    </xf>
    <xf numFmtId="1" fontId="3368" fillId="8" borderId="1" xfId="0" applyNumberFormat="1" applyFont="1" applyFill="1" applyBorder="1" applyAlignment="1">
      <alignment horizontal="center" vertical="center"/>
    </xf>
    <xf numFmtId="1" fontId="3369" fillId="8" borderId="1" xfId="0" applyNumberFormat="1" applyFont="1" applyFill="1" applyBorder="1" applyAlignment="1">
      <alignment horizontal="center" vertical="center"/>
    </xf>
    <xf numFmtId="165" fontId="3370" fillId="8" borderId="1" xfId="0" applyNumberFormat="1" applyFont="1" applyFill="1" applyBorder="1" applyAlignment="1">
      <alignment horizontal="center" vertical="center"/>
    </xf>
    <xf numFmtId="1" fontId="3371" fillId="8" borderId="1" xfId="0" applyNumberFormat="1" applyFont="1" applyFill="1" applyBorder="1" applyAlignment="1">
      <alignment horizontal="center" vertical="center"/>
    </xf>
    <xf numFmtId="165" fontId="3372" fillId="8" borderId="1" xfId="0" applyNumberFormat="1" applyFont="1" applyFill="1" applyBorder="1" applyAlignment="1">
      <alignment horizontal="center" vertical="center"/>
    </xf>
    <xf numFmtId="1" fontId="3373" fillId="8" borderId="1" xfId="0" applyNumberFormat="1" applyFont="1" applyFill="1" applyBorder="1" applyAlignment="1">
      <alignment horizontal="center" vertical="center"/>
    </xf>
    <xf numFmtId="165" fontId="3374" fillId="8" borderId="1" xfId="0" applyNumberFormat="1" applyFont="1" applyFill="1" applyBorder="1" applyAlignment="1">
      <alignment horizontal="center" vertical="center"/>
    </xf>
    <xf numFmtId="1" fontId="3375" fillId="8" borderId="1" xfId="0" applyNumberFormat="1" applyFont="1" applyFill="1" applyBorder="1" applyAlignment="1">
      <alignment horizontal="center" vertical="center"/>
    </xf>
    <xf numFmtId="165" fontId="3376" fillId="8" borderId="1" xfId="0" applyNumberFormat="1" applyFont="1" applyFill="1" applyBorder="1" applyAlignment="1">
      <alignment horizontal="center" vertical="center"/>
    </xf>
    <xf numFmtId="165" fontId="3377" fillId="8" borderId="1" xfId="0" applyNumberFormat="1" applyFont="1" applyFill="1" applyBorder="1" applyAlignment="1">
      <alignment horizontal="center" vertical="center"/>
    </xf>
    <xf numFmtId="1" fontId="3378" fillId="8" borderId="1" xfId="0" applyNumberFormat="1" applyFont="1" applyFill="1" applyBorder="1" applyAlignment="1">
      <alignment horizontal="center" vertical="center"/>
    </xf>
    <xf numFmtId="1" fontId="3379" fillId="8" borderId="1" xfId="0" applyNumberFormat="1" applyFont="1" applyFill="1" applyBorder="1" applyAlignment="1">
      <alignment horizontal="center" vertical="center"/>
    </xf>
    <xf numFmtId="1" fontId="3380" fillId="8" borderId="1" xfId="0" applyNumberFormat="1" applyFont="1" applyFill="1" applyBorder="1" applyAlignment="1">
      <alignment horizontal="center" vertical="center"/>
    </xf>
    <xf numFmtId="165" fontId="3381" fillId="8" borderId="1" xfId="0" applyNumberFormat="1" applyFont="1" applyFill="1" applyBorder="1" applyAlignment="1">
      <alignment horizontal="center" vertical="center"/>
    </xf>
    <xf numFmtId="164" fontId="3382" fillId="8" borderId="1" xfId="0" applyNumberFormat="1" applyFont="1" applyFill="1" applyBorder="1" applyAlignment="1">
      <alignment horizontal="center" vertical="center"/>
    </xf>
    <xf numFmtId="164" fontId="3383" fillId="8" borderId="1" xfId="0" applyNumberFormat="1" applyFont="1" applyFill="1" applyBorder="1" applyAlignment="1">
      <alignment horizontal="center" vertical="center"/>
    </xf>
    <xf numFmtId="1" fontId="3384" fillId="8" borderId="1" xfId="0" applyNumberFormat="1" applyFont="1" applyFill="1" applyBorder="1" applyAlignment="1">
      <alignment horizontal="center" vertical="center"/>
    </xf>
    <xf numFmtId="1" fontId="3385" fillId="8" borderId="1" xfId="0" applyNumberFormat="1" applyFont="1" applyFill="1" applyBorder="1" applyAlignment="1">
      <alignment horizontal="center" vertical="center"/>
    </xf>
    <xf numFmtId="1" fontId="3386" fillId="8" borderId="1" xfId="0" applyNumberFormat="1" applyFont="1" applyFill="1" applyBorder="1" applyAlignment="1">
      <alignment horizontal="center" vertical="center"/>
    </xf>
    <xf numFmtId="165" fontId="3387" fillId="8" borderId="1" xfId="0" applyNumberFormat="1" applyFont="1" applyFill="1" applyBorder="1" applyAlignment="1">
      <alignment horizontal="center" vertical="center"/>
    </xf>
    <xf numFmtId="1" fontId="3388" fillId="8" borderId="1" xfId="0" applyNumberFormat="1" applyFont="1" applyFill="1" applyBorder="1" applyAlignment="1">
      <alignment horizontal="center" vertical="center"/>
    </xf>
    <xf numFmtId="165" fontId="3389" fillId="8" borderId="1" xfId="0" applyNumberFormat="1" applyFont="1" applyFill="1" applyBorder="1" applyAlignment="1">
      <alignment horizontal="center" vertical="center"/>
    </xf>
    <xf numFmtId="1" fontId="3390" fillId="8" borderId="1" xfId="0" applyNumberFormat="1" applyFont="1" applyFill="1" applyBorder="1" applyAlignment="1">
      <alignment horizontal="center" vertical="center"/>
    </xf>
    <xf numFmtId="1" fontId="3391" fillId="8" borderId="1" xfId="0" applyNumberFormat="1" applyFont="1" applyFill="1" applyBorder="1" applyAlignment="1">
      <alignment horizontal="center" vertical="center"/>
    </xf>
    <xf numFmtId="1" fontId="3392" fillId="8" borderId="1" xfId="0" applyNumberFormat="1" applyFont="1" applyFill="1" applyBorder="1" applyAlignment="1">
      <alignment horizontal="center" vertical="center"/>
    </xf>
    <xf numFmtId="1" fontId="3393" fillId="8" borderId="1" xfId="0" applyNumberFormat="1" applyFont="1" applyFill="1" applyBorder="1" applyAlignment="1">
      <alignment horizontal="center" vertical="center"/>
    </xf>
    <xf numFmtId="165" fontId="3394" fillId="8" borderId="1" xfId="0" applyNumberFormat="1" applyFont="1" applyFill="1" applyBorder="1" applyAlignment="1">
      <alignment horizontal="center" vertical="center"/>
    </xf>
    <xf numFmtId="1" fontId="3395" fillId="8" borderId="1" xfId="0" applyNumberFormat="1" applyFont="1" applyFill="1" applyBorder="1" applyAlignment="1">
      <alignment horizontal="center" vertical="center"/>
    </xf>
    <xf numFmtId="165" fontId="3396" fillId="8" borderId="1" xfId="0" applyNumberFormat="1" applyFont="1" applyFill="1" applyBorder="1" applyAlignment="1">
      <alignment horizontal="center" vertical="center"/>
    </xf>
    <xf numFmtId="1" fontId="3397" fillId="8" borderId="1" xfId="0" applyNumberFormat="1" applyFont="1" applyFill="1" applyBorder="1" applyAlignment="1">
      <alignment horizontal="center" vertical="center"/>
    </xf>
    <xf numFmtId="165" fontId="3398" fillId="8" borderId="1" xfId="0" applyNumberFormat="1" applyFont="1" applyFill="1" applyBorder="1" applyAlignment="1">
      <alignment horizontal="center" vertical="center"/>
    </xf>
    <xf numFmtId="2" fontId="3399" fillId="8" borderId="1" xfId="0" applyNumberFormat="1" applyFont="1" applyFill="1" applyBorder="1" applyAlignment="1">
      <alignment horizontal="center" vertical="center"/>
    </xf>
    <xf numFmtId="2" fontId="3400" fillId="8" borderId="1" xfId="0" applyNumberFormat="1" applyFont="1" applyFill="1" applyBorder="1" applyAlignment="1">
      <alignment horizontal="center" vertical="center"/>
    </xf>
    <xf numFmtId="2" fontId="3401" fillId="8" borderId="1" xfId="0" applyNumberFormat="1" applyFont="1" applyFill="1" applyBorder="1" applyAlignment="1">
      <alignment horizontal="center" vertical="center"/>
    </xf>
    <xf numFmtId="2" fontId="3402" fillId="8" borderId="1" xfId="0" applyNumberFormat="1" applyFont="1" applyFill="1" applyBorder="1" applyAlignment="1">
      <alignment horizontal="center" vertical="center"/>
    </xf>
    <xf numFmtId="2" fontId="3403" fillId="8" borderId="1" xfId="0" applyNumberFormat="1" applyFont="1" applyFill="1" applyBorder="1" applyAlignment="1">
      <alignment horizontal="center" vertical="center"/>
    </xf>
    <xf numFmtId="2" fontId="3404" fillId="8" borderId="1" xfId="0" applyNumberFormat="1" applyFont="1" applyFill="1" applyBorder="1" applyAlignment="1">
      <alignment horizontal="center" vertical="center"/>
    </xf>
    <xf numFmtId="2" fontId="3405" fillId="8" borderId="1" xfId="0" applyNumberFormat="1" applyFont="1" applyFill="1" applyBorder="1" applyAlignment="1">
      <alignment horizontal="center" vertical="center"/>
    </xf>
    <xf numFmtId="2" fontId="3406" fillId="8" borderId="1" xfId="0" applyNumberFormat="1" applyFont="1" applyFill="1" applyBorder="1" applyAlignment="1">
      <alignment horizontal="center" vertical="center"/>
    </xf>
    <xf numFmtId="2" fontId="3407" fillId="8" borderId="1" xfId="0" applyNumberFormat="1" applyFont="1" applyFill="1" applyBorder="1" applyAlignment="1">
      <alignment horizontal="center" vertical="center"/>
    </xf>
    <xf numFmtId="2" fontId="3408" fillId="8" borderId="1" xfId="0" applyNumberFormat="1" applyFont="1" applyFill="1" applyBorder="1" applyAlignment="1">
      <alignment horizontal="center" vertical="center"/>
    </xf>
    <xf numFmtId="2" fontId="3409" fillId="8" borderId="1" xfId="0" applyNumberFormat="1" applyFont="1" applyFill="1" applyBorder="1" applyAlignment="1">
      <alignment horizontal="center" vertical="center"/>
    </xf>
    <xf numFmtId="2" fontId="3410" fillId="8" borderId="1" xfId="0" applyNumberFormat="1" applyFont="1" applyFill="1" applyBorder="1" applyAlignment="1">
      <alignment horizontal="center" vertical="center"/>
    </xf>
    <xf numFmtId="2" fontId="3411" fillId="8" borderId="1" xfId="0" applyNumberFormat="1" applyFont="1" applyFill="1" applyBorder="1" applyAlignment="1">
      <alignment horizontal="center" vertical="center"/>
    </xf>
    <xf numFmtId="2" fontId="3412" fillId="8" borderId="1" xfId="0" applyNumberFormat="1" applyFont="1" applyFill="1" applyBorder="1" applyAlignment="1">
      <alignment horizontal="center" vertical="center"/>
    </xf>
    <xf numFmtId="2" fontId="3413" fillId="8" borderId="1" xfId="0" applyNumberFormat="1" applyFont="1" applyFill="1" applyBorder="1" applyAlignment="1">
      <alignment horizontal="center" vertical="center"/>
    </xf>
    <xf numFmtId="2" fontId="3414" fillId="8" borderId="1" xfId="0" applyNumberFormat="1" applyFont="1" applyFill="1" applyBorder="1" applyAlignment="1">
      <alignment horizontal="center" vertical="center"/>
    </xf>
    <xf numFmtId="2" fontId="3415" fillId="8" borderId="1" xfId="0" applyNumberFormat="1" applyFont="1" applyFill="1" applyBorder="1" applyAlignment="1">
      <alignment horizontal="center" vertical="center"/>
    </xf>
    <xf numFmtId="2" fontId="3416" fillId="8" borderId="1" xfId="0" applyNumberFormat="1" applyFont="1" applyFill="1" applyBorder="1" applyAlignment="1">
      <alignment horizontal="center" vertical="center"/>
    </xf>
    <xf numFmtId="2" fontId="3417" fillId="8" borderId="1" xfId="0" applyNumberFormat="1" applyFont="1" applyFill="1" applyBorder="1" applyAlignment="1">
      <alignment horizontal="center" vertical="center"/>
    </xf>
    <xf numFmtId="2" fontId="3418" fillId="8" borderId="1" xfId="0" applyNumberFormat="1" applyFont="1" applyFill="1" applyBorder="1" applyAlignment="1">
      <alignment horizontal="center" vertical="center"/>
    </xf>
    <xf numFmtId="2" fontId="3419" fillId="8" borderId="1" xfId="0" applyNumberFormat="1" applyFont="1" applyFill="1" applyBorder="1" applyAlignment="1">
      <alignment horizontal="center" vertical="center"/>
    </xf>
    <xf numFmtId="2" fontId="3420" fillId="8" borderId="1" xfId="0" applyNumberFormat="1" applyFont="1" applyFill="1" applyBorder="1" applyAlignment="1">
      <alignment horizontal="center" vertical="center"/>
    </xf>
    <xf numFmtId="2" fontId="3421" fillId="8" borderId="1" xfId="0" applyNumberFormat="1" applyFont="1" applyFill="1" applyBorder="1" applyAlignment="1">
      <alignment horizontal="center" vertical="center"/>
    </xf>
    <xf numFmtId="2" fontId="3422" fillId="8" borderId="1" xfId="0" applyNumberFormat="1" applyFont="1" applyFill="1" applyBorder="1" applyAlignment="1">
      <alignment horizontal="center" vertical="center"/>
    </xf>
    <xf numFmtId="2" fontId="3423" fillId="8" borderId="1" xfId="0" applyNumberFormat="1" applyFont="1" applyFill="1" applyBorder="1" applyAlignment="1">
      <alignment horizontal="center" vertical="center"/>
    </xf>
    <xf numFmtId="2" fontId="3424" fillId="8" borderId="1" xfId="0" applyNumberFormat="1" applyFont="1" applyFill="1" applyBorder="1" applyAlignment="1">
      <alignment horizontal="center" vertical="center"/>
    </xf>
    <xf numFmtId="2" fontId="3425" fillId="8" borderId="1" xfId="0" applyNumberFormat="1" applyFont="1" applyFill="1" applyBorder="1" applyAlignment="1">
      <alignment horizontal="center" vertical="center"/>
    </xf>
    <xf numFmtId="2" fontId="3426" fillId="8" borderId="1" xfId="0" applyNumberFormat="1" applyFont="1" applyFill="1" applyBorder="1" applyAlignment="1">
      <alignment horizontal="center" vertical="center"/>
    </xf>
    <xf numFmtId="2" fontId="3427" fillId="8" borderId="1" xfId="0" applyNumberFormat="1" applyFont="1" applyFill="1" applyBorder="1" applyAlignment="1">
      <alignment horizontal="center" vertical="center"/>
    </xf>
    <xf numFmtId="2" fontId="3428" fillId="8" borderId="1" xfId="0" applyNumberFormat="1" applyFont="1" applyFill="1" applyBorder="1" applyAlignment="1">
      <alignment horizontal="center" vertical="center"/>
    </xf>
    <xf numFmtId="2" fontId="3429" fillId="8" borderId="1" xfId="0" applyNumberFormat="1" applyFont="1" applyFill="1" applyBorder="1" applyAlignment="1">
      <alignment horizontal="center" vertical="center"/>
    </xf>
    <xf numFmtId="2" fontId="3430" fillId="8" borderId="1" xfId="0" applyNumberFormat="1" applyFont="1" applyFill="1" applyBorder="1" applyAlignment="1">
      <alignment horizontal="center" vertical="center"/>
    </xf>
    <xf numFmtId="2" fontId="3431" fillId="8" borderId="1" xfId="0" applyNumberFormat="1" applyFont="1" applyFill="1" applyBorder="1" applyAlignment="1">
      <alignment horizontal="center" vertical="center"/>
    </xf>
    <xf numFmtId="2" fontId="3432" fillId="8" borderId="1" xfId="0" applyNumberFormat="1" applyFont="1" applyFill="1" applyBorder="1" applyAlignment="1">
      <alignment horizontal="center" vertical="center"/>
    </xf>
    <xf numFmtId="0" fontId="3433" fillId="7" borderId="1" xfId="0" applyNumberFormat="1" applyFont="1" applyFill="1" applyBorder="1" applyAlignment="1">
      <alignment horizontal="left" vertical="center"/>
    </xf>
    <xf numFmtId="0" fontId="3434" fillId="8" borderId="1" xfId="0" applyNumberFormat="1" applyFont="1" applyFill="1" applyBorder="1" applyAlignment="1">
      <alignment horizontal="center" vertical="center"/>
    </xf>
    <xf numFmtId="164" fontId="3435" fillId="8" borderId="1" xfId="0" applyNumberFormat="1" applyFont="1" applyFill="1" applyBorder="1" applyAlignment="1">
      <alignment horizontal="center" vertical="center"/>
    </xf>
    <xf numFmtId="1" fontId="3436" fillId="8" borderId="1" xfId="0" applyNumberFormat="1" applyFont="1" applyFill="1" applyBorder="1" applyAlignment="1">
      <alignment horizontal="center" vertical="center"/>
    </xf>
    <xf numFmtId="1" fontId="3437" fillId="8" borderId="1" xfId="0" applyNumberFormat="1" applyFont="1" applyFill="1" applyBorder="1" applyAlignment="1">
      <alignment horizontal="center" vertical="center"/>
    </xf>
    <xf numFmtId="1" fontId="3438" fillId="8" borderId="1" xfId="0" applyNumberFormat="1" applyFont="1" applyFill="1" applyBorder="1" applyAlignment="1">
      <alignment horizontal="center" vertical="center"/>
    </xf>
    <xf numFmtId="1" fontId="3439" fillId="8" borderId="1" xfId="0" applyNumberFormat="1" applyFont="1" applyFill="1" applyBorder="1" applyAlignment="1">
      <alignment horizontal="center" vertical="center"/>
    </xf>
    <xf numFmtId="1" fontId="3440" fillId="8" borderId="1" xfId="0" applyNumberFormat="1" applyFont="1" applyFill="1" applyBorder="1" applyAlignment="1">
      <alignment horizontal="center" vertical="center"/>
    </xf>
    <xf numFmtId="1" fontId="3441" fillId="8" borderId="1" xfId="0" applyNumberFormat="1" applyFont="1" applyFill="1" applyBorder="1" applyAlignment="1">
      <alignment horizontal="center" vertical="center"/>
    </xf>
    <xf numFmtId="1" fontId="3442" fillId="8" borderId="1" xfId="0" applyNumberFormat="1" applyFont="1" applyFill="1" applyBorder="1" applyAlignment="1">
      <alignment horizontal="center" vertical="center"/>
    </xf>
    <xf numFmtId="0" fontId="3443" fillId="8" borderId="1" xfId="0" applyNumberFormat="1" applyFont="1" applyFill="1" applyBorder="1" applyAlignment="1">
      <alignment horizontal="center" vertical="center"/>
    </xf>
    <xf numFmtId="0" fontId="3444" fillId="8" borderId="1" xfId="0" applyNumberFormat="1" applyFont="1" applyFill="1" applyBorder="1" applyAlignment="1">
      <alignment horizontal="center" vertical="center"/>
    </xf>
    <xf numFmtId="1" fontId="3445" fillId="8" borderId="1" xfId="0" applyNumberFormat="1" applyFont="1" applyFill="1" applyBorder="1" applyAlignment="1">
      <alignment horizontal="center" vertical="center"/>
    </xf>
    <xf numFmtId="1" fontId="3446" fillId="8" borderId="1" xfId="0" applyNumberFormat="1" applyFont="1" applyFill="1" applyBorder="1" applyAlignment="1">
      <alignment horizontal="center" vertical="center"/>
    </xf>
    <xf numFmtId="1" fontId="3447" fillId="8" borderId="1" xfId="0" applyNumberFormat="1" applyFont="1" applyFill="1" applyBorder="1" applyAlignment="1">
      <alignment horizontal="center" vertical="center"/>
    </xf>
    <xf numFmtId="165" fontId="3448" fillId="8" borderId="1" xfId="0" applyNumberFormat="1" applyFont="1" applyFill="1" applyBorder="1" applyAlignment="1">
      <alignment horizontal="center" vertical="center"/>
    </xf>
    <xf numFmtId="1" fontId="3449" fillId="8" borderId="1" xfId="0" applyNumberFormat="1" applyFont="1" applyFill="1" applyBorder="1" applyAlignment="1">
      <alignment horizontal="center" vertical="center"/>
    </xf>
    <xf numFmtId="165" fontId="3450" fillId="8" borderId="1" xfId="0" applyNumberFormat="1" applyFont="1" applyFill="1" applyBorder="1" applyAlignment="1">
      <alignment horizontal="center" vertical="center"/>
    </xf>
    <xf numFmtId="1" fontId="3451" fillId="8" borderId="1" xfId="0" applyNumberFormat="1" applyFont="1" applyFill="1" applyBorder="1" applyAlignment="1">
      <alignment horizontal="center" vertical="center"/>
    </xf>
    <xf numFmtId="165" fontId="3452" fillId="8" borderId="1" xfId="0" applyNumberFormat="1" applyFont="1" applyFill="1" applyBorder="1" applyAlignment="1">
      <alignment horizontal="center" vertical="center"/>
    </xf>
    <xf numFmtId="1" fontId="3453" fillId="8" borderId="1" xfId="0" applyNumberFormat="1" applyFont="1" applyFill="1" applyBorder="1" applyAlignment="1">
      <alignment horizontal="center" vertical="center"/>
    </xf>
    <xf numFmtId="165" fontId="3454" fillId="8" borderId="1" xfId="0" applyNumberFormat="1" applyFont="1" applyFill="1" applyBorder="1" applyAlignment="1">
      <alignment horizontal="center" vertical="center"/>
    </xf>
    <xf numFmtId="165" fontId="3455" fillId="8" borderId="1" xfId="0" applyNumberFormat="1" applyFont="1" applyFill="1" applyBorder="1" applyAlignment="1">
      <alignment horizontal="center" vertical="center"/>
    </xf>
    <xf numFmtId="1" fontId="3456" fillId="8" borderId="1" xfId="0" applyNumberFormat="1" applyFont="1" applyFill="1" applyBorder="1" applyAlignment="1">
      <alignment horizontal="center" vertical="center"/>
    </xf>
    <xf numFmtId="1" fontId="3457" fillId="8" borderId="1" xfId="0" applyNumberFormat="1" applyFont="1" applyFill="1" applyBorder="1" applyAlignment="1">
      <alignment horizontal="center" vertical="center"/>
    </xf>
    <xf numFmtId="1" fontId="3458" fillId="8" borderId="1" xfId="0" applyNumberFormat="1" applyFont="1" applyFill="1" applyBorder="1" applyAlignment="1">
      <alignment horizontal="center" vertical="center"/>
    </xf>
    <xf numFmtId="165" fontId="3459" fillId="8" borderId="1" xfId="0" applyNumberFormat="1" applyFont="1" applyFill="1" applyBorder="1" applyAlignment="1">
      <alignment horizontal="center" vertical="center"/>
    </xf>
    <xf numFmtId="164" fontId="3460" fillId="8" borderId="1" xfId="0" applyNumberFormat="1" applyFont="1" applyFill="1" applyBorder="1" applyAlignment="1">
      <alignment horizontal="center" vertical="center"/>
    </xf>
    <xf numFmtId="164" fontId="3461" fillId="8" borderId="1" xfId="0" applyNumberFormat="1" applyFont="1" applyFill="1" applyBorder="1" applyAlignment="1">
      <alignment horizontal="center" vertical="center"/>
    </xf>
    <xf numFmtId="1" fontId="3462" fillId="8" borderId="1" xfId="0" applyNumberFormat="1" applyFont="1" applyFill="1" applyBorder="1" applyAlignment="1">
      <alignment horizontal="center" vertical="center"/>
    </xf>
    <xf numFmtId="1" fontId="3463" fillId="8" borderId="1" xfId="0" applyNumberFormat="1" applyFont="1" applyFill="1" applyBorder="1" applyAlignment="1">
      <alignment horizontal="center" vertical="center"/>
    </xf>
    <xf numFmtId="1" fontId="3464" fillId="8" borderId="1" xfId="0" applyNumberFormat="1" applyFont="1" applyFill="1" applyBorder="1" applyAlignment="1">
      <alignment horizontal="center" vertical="center"/>
    </xf>
    <xf numFmtId="165" fontId="3465" fillId="8" borderId="1" xfId="0" applyNumberFormat="1" applyFont="1" applyFill="1" applyBorder="1" applyAlignment="1">
      <alignment horizontal="center" vertical="center"/>
    </xf>
    <xf numFmtId="1" fontId="3466" fillId="8" borderId="1" xfId="0" applyNumberFormat="1" applyFont="1" applyFill="1" applyBorder="1" applyAlignment="1">
      <alignment horizontal="center" vertical="center"/>
    </xf>
    <xf numFmtId="165" fontId="3467" fillId="8" borderId="1" xfId="0" applyNumberFormat="1" applyFont="1" applyFill="1" applyBorder="1" applyAlignment="1">
      <alignment horizontal="center" vertical="center"/>
    </xf>
    <xf numFmtId="1" fontId="3468" fillId="8" borderId="1" xfId="0" applyNumberFormat="1" applyFont="1" applyFill="1" applyBorder="1" applyAlignment="1">
      <alignment horizontal="center" vertical="center"/>
    </xf>
    <xf numFmtId="1" fontId="3469" fillId="8" borderId="1" xfId="0" applyNumberFormat="1" applyFont="1" applyFill="1" applyBorder="1" applyAlignment="1">
      <alignment horizontal="center" vertical="center"/>
    </xf>
    <xf numFmtId="1" fontId="3470" fillId="8" borderId="1" xfId="0" applyNumberFormat="1" applyFont="1" applyFill="1" applyBorder="1" applyAlignment="1">
      <alignment horizontal="center" vertical="center"/>
    </xf>
    <xf numFmtId="1" fontId="3471" fillId="8" borderId="1" xfId="0" applyNumberFormat="1" applyFont="1" applyFill="1" applyBorder="1" applyAlignment="1">
      <alignment horizontal="center" vertical="center"/>
    </xf>
    <xf numFmtId="165" fontId="3472" fillId="8" borderId="1" xfId="0" applyNumberFormat="1" applyFont="1" applyFill="1" applyBorder="1" applyAlignment="1">
      <alignment horizontal="center" vertical="center"/>
    </xf>
    <xf numFmtId="1" fontId="3473" fillId="8" borderId="1" xfId="0" applyNumberFormat="1" applyFont="1" applyFill="1" applyBorder="1" applyAlignment="1">
      <alignment horizontal="center" vertical="center"/>
    </xf>
    <xf numFmtId="165" fontId="3474" fillId="8" borderId="1" xfId="0" applyNumberFormat="1" applyFont="1" applyFill="1" applyBorder="1" applyAlignment="1">
      <alignment horizontal="center" vertical="center"/>
    </xf>
    <xf numFmtId="1" fontId="3475" fillId="8" borderId="1" xfId="0" applyNumberFormat="1" applyFont="1" applyFill="1" applyBorder="1" applyAlignment="1">
      <alignment horizontal="center" vertical="center"/>
    </xf>
    <xf numFmtId="165" fontId="3476" fillId="8" borderId="1" xfId="0" applyNumberFormat="1" applyFont="1" applyFill="1" applyBorder="1" applyAlignment="1">
      <alignment horizontal="center" vertical="center"/>
    </xf>
    <xf numFmtId="2" fontId="3477" fillId="8" borderId="1" xfId="0" applyNumberFormat="1" applyFont="1" applyFill="1" applyBorder="1" applyAlignment="1">
      <alignment horizontal="center" vertical="center"/>
    </xf>
    <xf numFmtId="2" fontId="3478" fillId="8" borderId="1" xfId="0" applyNumberFormat="1" applyFont="1" applyFill="1" applyBorder="1" applyAlignment="1">
      <alignment horizontal="center" vertical="center"/>
    </xf>
    <xf numFmtId="2" fontId="3479" fillId="8" borderId="1" xfId="0" applyNumberFormat="1" applyFont="1" applyFill="1" applyBorder="1" applyAlignment="1">
      <alignment horizontal="center" vertical="center"/>
    </xf>
    <xf numFmtId="2" fontId="3480" fillId="8" borderId="1" xfId="0" applyNumberFormat="1" applyFont="1" applyFill="1" applyBorder="1" applyAlignment="1">
      <alignment horizontal="center" vertical="center"/>
    </xf>
    <xf numFmtId="2" fontId="3481" fillId="8" borderId="1" xfId="0" applyNumberFormat="1" applyFont="1" applyFill="1" applyBorder="1" applyAlignment="1">
      <alignment horizontal="center" vertical="center"/>
    </xf>
    <xf numFmtId="2" fontId="3482" fillId="8" borderId="1" xfId="0" applyNumberFormat="1" applyFont="1" applyFill="1" applyBorder="1" applyAlignment="1">
      <alignment horizontal="center" vertical="center"/>
    </xf>
    <xf numFmtId="2" fontId="3483" fillId="8" borderId="1" xfId="0" applyNumberFormat="1" applyFont="1" applyFill="1" applyBorder="1" applyAlignment="1">
      <alignment horizontal="center" vertical="center"/>
    </xf>
    <xf numFmtId="2" fontId="3484" fillId="8" borderId="1" xfId="0" applyNumberFormat="1" applyFont="1" applyFill="1" applyBorder="1" applyAlignment="1">
      <alignment horizontal="center" vertical="center"/>
    </xf>
    <xf numFmtId="2" fontId="3485" fillId="8" borderId="1" xfId="0" applyNumberFormat="1" applyFont="1" applyFill="1" applyBorder="1" applyAlignment="1">
      <alignment horizontal="center" vertical="center"/>
    </xf>
    <xf numFmtId="2" fontId="3486" fillId="8" borderId="1" xfId="0" applyNumberFormat="1" applyFont="1" applyFill="1" applyBorder="1" applyAlignment="1">
      <alignment horizontal="center" vertical="center"/>
    </xf>
    <xf numFmtId="2" fontId="3487" fillId="8" borderId="1" xfId="0" applyNumberFormat="1" applyFont="1" applyFill="1" applyBorder="1" applyAlignment="1">
      <alignment horizontal="center" vertical="center"/>
    </xf>
    <xf numFmtId="2" fontId="3488" fillId="8" borderId="1" xfId="0" applyNumberFormat="1" applyFont="1" applyFill="1" applyBorder="1" applyAlignment="1">
      <alignment horizontal="center" vertical="center"/>
    </xf>
    <xf numFmtId="2" fontId="3489" fillId="8" borderId="1" xfId="0" applyNumberFormat="1" applyFont="1" applyFill="1" applyBorder="1" applyAlignment="1">
      <alignment horizontal="center" vertical="center"/>
    </xf>
    <xf numFmtId="2" fontId="3490" fillId="8" borderId="1" xfId="0" applyNumberFormat="1" applyFont="1" applyFill="1" applyBorder="1" applyAlignment="1">
      <alignment horizontal="center" vertical="center"/>
    </xf>
    <xf numFmtId="2" fontId="3491" fillId="8" borderId="1" xfId="0" applyNumberFormat="1" applyFont="1" applyFill="1" applyBorder="1" applyAlignment="1">
      <alignment horizontal="center" vertical="center"/>
    </xf>
    <xf numFmtId="2" fontId="3492" fillId="8" borderId="1" xfId="0" applyNumberFormat="1" applyFont="1" applyFill="1" applyBorder="1" applyAlignment="1">
      <alignment horizontal="center" vertical="center"/>
    </xf>
    <xf numFmtId="2" fontId="3493" fillId="8" borderId="1" xfId="0" applyNumberFormat="1" applyFont="1" applyFill="1" applyBorder="1" applyAlignment="1">
      <alignment horizontal="center" vertical="center"/>
    </xf>
    <xf numFmtId="2" fontId="3494" fillId="8" borderId="1" xfId="0" applyNumberFormat="1" applyFont="1" applyFill="1" applyBorder="1" applyAlignment="1">
      <alignment horizontal="center" vertical="center"/>
    </xf>
    <xf numFmtId="2" fontId="3495" fillId="8" borderId="1" xfId="0" applyNumberFormat="1" applyFont="1" applyFill="1" applyBorder="1" applyAlignment="1">
      <alignment horizontal="center" vertical="center"/>
    </xf>
    <xf numFmtId="2" fontId="3496" fillId="8" borderId="1" xfId="0" applyNumberFormat="1" applyFont="1" applyFill="1" applyBorder="1" applyAlignment="1">
      <alignment horizontal="center" vertical="center"/>
    </xf>
    <xf numFmtId="2" fontId="3497" fillId="8" borderId="1" xfId="0" applyNumberFormat="1" applyFont="1" applyFill="1" applyBorder="1" applyAlignment="1">
      <alignment horizontal="center" vertical="center"/>
    </xf>
    <xf numFmtId="2" fontId="3498" fillId="8" borderId="1" xfId="0" applyNumberFormat="1" applyFont="1" applyFill="1" applyBorder="1" applyAlignment="1">
      <alignment horizontal="center" vertical="center"/>
    </xf>
    <xf numFmtId="2" fontId="3499" fillId="8" borderId="1" xfId="0" applyNumberFormat="1" applyFont="1" applyFill="1" applyBorder="1" applyAlignment="1">
      <alignment horizontal="center" vertical="center"/>
    </xf>
    <xf numFmtId="2" fontId="3500" fillId="8" borderId="1" xfId="0" applyNumberFormat="1" applyFont="1" applyFill="1" applyBorder="1" applyAlignment="1">
      <alignment horizontal="center" vertical="center"/>
    </xf>
    <xf numFmtId="2" fontId="3501" fillId="8" borderId="1" xfId="0" applyNumberFormat="1" applyFont="1" applyFill="1" applyBorder="1" applyAlignment="1">
      <alignment horizontal="center" vertical="center"/>
    </xf>
    <xf numFmtId="2" fontId="3502" fillId="8" borderId="1" xfId="0" applyNumberFormat="1" applyFont="1" applyFill="1" applyBorder="1" applyAlignment="1">
      <alignment horizontal="center" vertical="center"/>
    </xf>
    <xf numFmtId="2" fontId="3503" fillId="8" borderId="1" xfId="0" applyNumberFormat="1" applyFont="1" applyFill="1" applyBorder="1" applyAlignment="1">
      <alignment horizontal="center" vertical="center"/>
    </xf>
    <xf numFmtId="2" fontId="3504" fillId="8" borderId="1" xfId="0" applyNumberFormat="1" applyFont="1" applyFill="1" applyBorder="1" applyAlignment="1">
      <alignment horizontal="center" vertical="center"/>
    </xf>
    <xf numFmtId="2" fontId="3505" fillId="8" borderId="1" xfId="0" applyNumberFormat="1" applyFont="1" applyFill="1" applyBorder="1" applyAlignment="1">
      <alignment horizontal="center" vertical="center"/>
    </xf>
    <xf numFmtId="2" fontId="3506" fillId="8" borderId="1" xfId="0" applyNumberFormat="1" applyFont="1" applyFill="1" applyBorder="1" applyAlignment="1">
      <alignment horizontal="center" vertical="center"/>
    </xf>
    <xf numFmtId="2" fontId="3507" fillId="8" borderId="1" xfId="0" applyNumberFormat="1" applyFont="1" applyFill="1" applyBorder="1" applyAlignment="1">
      <alignment horizontal="center" vertical="center"/>
    </xf>
    <xf numFmtId="2" fontId="3508" fillId="8" borderId="1" xfId="0" applyNumberFormat="1" applyFont="1" applyFill="1" applyBorder="1" applyAlignment="1">
      <alignment horizontal="center" vertical="center"/>
    </xf>
    <xf numFmtId="2" fontId="3509" fillId="8" borderId="1" xfId="0" applyNumberFormat="1" applyFont="1" applyFill="1" applyBorder="1" applyAlignment="1">
      <alignment horizontal="center" vertical="center"/>
    </xf>
    <xf numFmtId="2" fontId="3510" fillId="8" borderId="1" xfId="0" applyNumberFormat="1" applyFont="1" applyFill="1" applyBorder="1" applyAlignment="1">
      <alignment horizontal="center" vertical="center"/>
    </xf>
    <xf numFmtId="0" fontId="3511" fillId="7" borderId="1" xfId="0" applyNumberFormat="1" applyFont="1" applyFill="1" applyBorder="1" applyAlignment="1">
      <alignment horizontal="left" vertical="center"/>
    </xf>
    <xf numFmtId="0" fontId="3512" fillId="8" borderId="1" xfId="0" applyNumberFormat="1" applyFont="1" applyFill="1" applyBorder="1" applyAlignment="1">
      <alignment horizontal="center" vertical="center"/>
    </xf>
    <xf numFmtId="164" fontId="3513" fillId="8" borderId="1" xfId="0" applyNumberFormat="1" applyFont="1" applyFill="1" applyBorder="1" applyAlignment="1">
      <alignment horizontal="center" vertical="center"/>
    </xf>
    <xf numFmtId="1" fontId="3514" fillId="8" borderId="1" xfId="0" applyNumberFormat="1" applyFont="1" applyFill="1" applyBorder="1" applyAlignment="1">
      <alignment horizontal="center" vertical="center"/>
    </xf>
    <xf numFmtId="1" fontId="3515" fillId="8" borderId="1" xfId="0" applyNumberFormat="1" applyFont="1" applyFill="1" applyBorder="1" applyAlignment="1">
      <alignment horizontal="center" vertical="center"/>
    </xf>
    <xf numFmtId="1" fontId="3516" fillId="8" borderId="1" xfId="0" applyNumberFormat="1" applyFont="1" applyFill="1" applyBorder="1" applyAlignment="1">
      <alignment horizontal="center" vertical="center"/>
    </xf>
    <xf numFmtId="1" fontId="3517" fillId="8" borderId="1" xfId="0" applyNumberFormat="1" applyFont="1" applyFill="1" applyBorder="1" applyAlignment="1">
      <alignment horizontal="center" vertical="center"/>
    </xf>
    <xf numFmtId="1" fontId="3518" fillId="8" borderId="1" xfId="0" applyNumberFormat="1" applyFont="1" applyFill="1" applyBorder="1" applyAlignment="1">
      <alignment horizontal="center" vertical="center"/>
    </xf>
    <xf numFmtId="1" fontId="3519" fillId="8" borderId="1" xfId="0" applyNumberFormat="1" applyFont="1" applyFill="1" applyBorder="1" applyAlignment="1">
      <alignment horizontal="center" vertical="center"/>
    </xf>
    <xf numFmtId="1" fontId="3520" fillId="8" borderId="1" xfId="0" applyNumberFormat="1" applyFont="1" applyFill="1" applyBorder="1" applyAlignment="1">
      <alignment horizontal="center" vertical="center"/>
    </xf>
    <xf numFmtId="0" fontId="3521" fillId="8" borderId="1" xfId="0" applyNumberFormat="1" applyFont="1" applyFill="1" applyBorder="1" applyAlignment="1">
      <alignment horizontal="center" vertical="center"/>
    </xf>
    <xf numFmtId="0" fontId="3522" fillId="8" borderId="1" xfId="0" applyNumberFormat="1" applyFont="1" applyFill="1" applyBorder="1" applyAlignment="1">
      <alignment horizontal="center" vertical="center"/>
    </xf>
    <xf numFmtId="1" fontId="3523" fillId="8" borderId="1" xfId="0" applyNumberFormat="1" applyFont="1" applyFill="1" applyBorder="1" applyAlignment="1">
      <alignment horizontal="center" vertical="center"/>
    </xf>
    <xf numFmtId="1" fontId="3524" fillId="8" borderId="1" xfId="0" applyNumberFormat="1" applyFont="1" applyFill="1" applyBorder="1" applyAlignment="1">
      <alignment horizontal="center" vertical="center"/>
    </xf>
    <xf numFmtId="1" fontId="3525" fillId="8" borderId="1" xfId="0" applyNumberFormat="1" applyFont="1" applyFill="1" applyBorder="1" applyAlignment="1">
      <alignment horizontal="center" vertical="center"/>
    </xf>
    <xf numFmtId="165" fontId="3526" fillId="8" borderId="1" xfId="0" applyNumberFormat="1" applyFont="1" applyFill="1" applyBorder="1" applyAlignment="1">
      <alignment horizontal="center" vertical="center"/>
    </xf>
    <xf numFmtId="1" fontId="3527" fillId="8" borderId="1" xfId="0" applyNumberFormat="1" applyFont="1" applyFill="1" applyBorder="1" applyAlignment="1">
      <alignment horizontal="center" vertical="center"/>
    </xf>
    <xf numFmtId="165" fontId="3528" fillId="8" borderId="1" xfId="0" applyNumberFormat="1" applyFont="1" applyFill="1" applyBorder="1" applyAlignment="1">
      <alignment horizontal="center" vertical="center"/>
    </xf>
    <xf numFmtId="1" fontId="3529" fillId="8" borderId="1" xfId="0" applyNumberFormat="1" applyFont="1" applyFill="1" applyBorder="1" applyAlignment="1">
      <alignment horizontal="center" vertical="center"/>
    </xf>
    <xf numFmtId="165" fontId="3530" fillId="8" borderId="1" xfId="0" applyNumberFormat="1" applyFont="1" applyFill="1" applyBorder="1" applyAlignment="1">
      <alignment horizontal="center" vertical="center"/>
    </xf>
    <xf numFmtId="1" fontId="3531" fillId="8" borderId="1" xfId="0" applyNumberFormat="1" applyFont="1" applyFill="1" applyBorder="1" applyAlignment="1">
      <alignment horizontal="center" vertical="center"/>
    </xf>
    <xf numFmtId="165" fontId="3532" fillId="8" borderId="1" xfId="0" applyNumberFormat="1" applyFont="1" applyFill="1" applyBorder="1" applyAlignment="1">
      <alignment horizontal="center" vertical="center"/>
    </xf>
    <xf numFmtId="165" fontId="3533" fillId="8" borderId="1" xfId="0" applyNumberFormat="1" applyFont="1" applyFill="1" applyBorder="1" applyAlignment="1">
      <alignment horizontal="center" vertical="center"/>
    </xf>
    <xf numFmtId="1" fontId="3534" fillId="8" borderId="1" xfId="0" applyNumberFormat="1" applyFont="1" applyFill="1" applyBorder="1" applyAlignment="1">
      <alignment horizontal="center" vertical="center"/>
    </xf>
    <xf numFmtId="1" fontId="3535" fillId="8" borderId="1" xfId="0" applyNumberFormat="1" applyFont="1" applyFill="1" applyBorder="1" applyAlignment="1">
      <alignment horizontal="center" vertical="center"/>
    </xf>
    <xf numFmtId="1" fontId="3536" fillId="8" borderId="1" xfId="0" applyNumberFormat="1" applyFont="1" applyFill="1" applyBorder="1" applyAlignment="1">
      <alignment horizontal="center" vertical="center"/>
    </xf>
    <xf numFmtId="165" fontId="3537" fillId="8" borderId="1" xfId="0" applyNumberFormat="1" applyFont="1" applyFill="1" applyBorder="1" applyAlignment="1">
      <alignment horizontal="center" vertical="center"/>
    </xf>
    <xf numFmtId="164" fontId="3538" fillId="8" borderId="1" xfId="0" applyNumberFormat="1" applyFont="1" applyFill="1" applyBorder="1" applyAlignment="1">
      <alignment horizontal="center" vertical="center"/>
    </xf>
    <xf numFmtId="164" fontId="3539" fillId="8" borderId="1" xfId="0" applyNumberFormat="1" applyFont="1" applyFill="1" applyBorder="1" applyAlignment="1">
      <alignment horizontal="center" vertical="center"/>
    </xf>
    <xf numFmtId="1" fontId="3540" fillId="8" borderId="1" xfId="0" applyNumberFormat="1" applyFont="1" applyFill="1" applyBorder="1" applyAlignment="1">
      <alignment horizontal="center" vertical="center"/>
    </xf>
    <xf numFmtId="1" fontId="3541" fillId="8" borderId="1" xfId="0" applyNumberFormat="1" applyFont="1" applyFill="1" applyBorder="1" applyAlignment="1">
      <alignment horizontal="center" vertical="center"/>
    </xf>
    <xf numFmtId="1" fontId="3542" fillId="8" borderId="1" xfId="0" applyNumberFormat="1" applyFont="1" applyFill="1" applyBorder="1" applyAlignment="1">
      <alignment horizontal="center" vertical="center"/>
    </xf>
    <xf numFmtId="165" fontId="3543" fillId="8" borderId="1" xfId="0" applyNumberFormat="1" applyFont="1" applyFill="1" applyBorder="1" applyAlignment="1">
      <alignment horizontal="center" vertical="center"/>
    </xf>
    <xf numFmtId="1" fontId="3544" fillId="8" borderId="1" xfId="0" applyNumberFormat="1" applyFont="1" applyFill="1" applyBorder="1" applyAlignment="1">
      <alignment horizontal="center" vertical="center"/>
    </xf>
    <xf numFmtId="165" fontId="3545" fillId="8" borderId="1" xfId="0" applyNumberFormat="1" applyFont="1" applyFill="1" applyBorder="1" applyAlignment="1">
      <alignment horizontal="center" vertical="center"/>
    </xf>
    <xf numFmtId="1" fontId="3546" fillId="8" borderId="1" xfId="0" applyNumberFormat="1" applyFont="1" applyFill="1" applyBorder="1" applyAlignment="1">
      <alignment horizontal="center" vertical="center"/>
    </xf>
    <xf numFmtId="1" fontId="3547" fillId="8" borderId="1" xfId="0" applyNumberFormat="1" applyFont="1" applyFill="1" applyBorder="1" applyAlignment="1">
      <alignment horizontal="center" vertical="center"/>
    </xf>
    <xf numFmtId="1" fontId="3548" fillId="8" borderId="1" xfId="0" applyNumberFormat="1" applyFont="1" applyFill="1" applyBorder="1" applyAlignment="1">
      <alignment horizontal="center" vertical="center"/>
    </xf>
    <xf numFmtId="1" fontId="3549" fillId="8" borderId="1" xfId="0" applyNumberFormat="1" applyFont="1" applyFill="1" applyBorder="1" applyAlignment="1">
      <alignment horizontal="center" vertical="center"/>
    </xf>
    <xf numFmtId="165" fontId="3550" fillId="8" borderId="1" xfId="0" applyNumberFormat="1" applyFont="1" applyFill="1" applyBorder="1" applyAlignment="1">
      <alignment horizontal="center" vertical="center"/>
    </xf>
    <xf numFmtId="1" fontId="3551" fillId="8" borderId="1" xfId="0" applyNumberFormat="1" applyFont="1" applyFill="1" applyBorder="1" applyAlignment="1">
      <alignment horizontal="center" vertical="center"/>
    </xf>
    <xf numFmtId="165" fontId="3552" fillId="8" borderId="1" xfId="0" applyNumberFormat="1" applyFont="1" applyFill="1" applyBorder="1" applyAlignment="1">
      <alignment horizontal="center" vertical="center"/>
    </xf>
    <xf numFmtId="1" fontId="3553" fillId="8" borderId="1" xfId="0" applyNumberFormat="1" applyFont="1" applyFill="1" applyBorder="1" applyAlignment="1">
      <alignment horizontal="center" vertical="center"/>
    </xf>
    <xf numFmtId="165" fontId="3554" fillId="8" borderId="1" xfId="0" applyNumberFormat="1" applyFont="1" applyFill="1" applyBorder="1" applyAlignment="1">
      <alignment horizontal="center" vertical="center"/>
    </xf>
    <xf numFmtId="2" fontId="3555" fillId="8" borderId="1" xfId="0" applyNumberFormat="1" applyFont="1" applyFill="1" applyBorder="1" applyAlignment="1">
      <alignment horizontal="center" vertical="center"/>
    </xf>
    <xf numFmtId="2" fontId="3556" fillId="8" borderId="1" xfId="0" applyNumberFormat="1" applyFont="1" applyFill="1" applyBorder="1" applyAlignment="1">
      <alignment horizontal="center" vertical="center"/>
    </xf>
    <xf numFmtId="2" fontId="3557" fillId="8" borderId="1" xfId="0" applyNumberFormat="1" applyFont="1" applyFill="1" applyBorder="1" applyAlignment="1">
      <alignment horizontal="center" vertical="center"/>
    </xf>
    <xf numFmtId="2" fontId="3558" fillId="8" borderId="1" xfId="0" applyNumberFormat="1" applyFont="1" applyFill="1" applyBorder="1" applyAlignment="1">
      <alignment horizontal="center" vertical="center"/>
    </xf>
    <xf numFmtId="2" fontId="3559" fillId="8" borderId="1" xfId="0" applyNumberFormat="1" applyFont="1" applyFill="1" applyBorder="1" applyAlignment="1">
      <alignment horizontal="center" vertical="center"/>
    </xf>
    <xf numFmtId="2" fontId="3560" fillId="8" borderId="1" xfId="0" applyNumberFormat="1" applyFont="1" applyFill="1" applyBorder="1" applyAlignment="1">
      <alignment horizontal="center" vertical="center"/>
    </xf>
    <xf numFmtId="2" fontId="3561" fillId="8" borderId="1" xfId="0" applyNumberFormat="1" applyFont="1" applyFill="1" applyBorder="1" applyAlignment="1">
      <alignment horizontal="center" vertical="center"/>
    </xf>
    <xf numFmtId="2" fontId="3562" fillId="8" borderId="1" xfId="0" applyNumberFormat="1" applyFont="1" applyFill="1" applyBorder="1" applyAlignment="1">
      <alignment horizontal="center" vertical="center"/>
    </xf>
    <xf numFmtId="2" fontId="3563" fillId="8" borderId="1" xfId="0" applyNumberFormat="1" applyFont="1" applyFill="1" applyBorder="1" applyAlignment="1">
      <alignment horizontal="center" vertical="center"/>
    </xf>
    <xf numFmtId="2" fontId="3564" fillId="8" borderId="1" xfId="0" applyNumberFormat="1" applyFont="1" applyFill="1" applyBorder="1" applyAlignment="1">
      <alignment horizontal="center" vertical="center"/>
    </xf>
    <xf numFmtId="2" fontId="3565" fillId="8" borderId="1" xfId="0" applyNumberFormat="1" applyFont="1" applyFill="1" applyBorder="1" applyAlignment="1">
      <alignment horizontal="center" vertical="center"/>
    </xf>
    <xf numFmtId="2" fontId="3566" fillId="8" borderId="1" xfId="0" applyNumberFormat="1" applyFont="1" applyFill="1" applyBorder="1" applyAlignment="1">
      <alignment horizontal="center" vertical="center"/>
    </xf>
    <xf numFmtId="2" fontId="3567" fillId="8" borderId="1" xfId="0" applyNumberFormat="1" applyFont="1" applyFill="1" applyBorder="1" applyAlignment="1">
      <alignment horizontal="center" vertical="center"/>
    </xf>
    <xf numFmtId="2" fontId="3568" fillId="8" borderId="1" xfId="0" applyNumberFormat="1" applyFont="1" applyFill="1" applyBorder="1" applyAlignment="1">
      <alignment horizontal="center" vertical="center"/>
    </xf>
    <xf numFmtId="2" fontId="3569" fillId="8" borderId="1" xfId="0" applyNumberFormat="1" applyFont="1" applyFill="1" applyBorder="1" applyAlignment="1">
      <alignment horizontal="center" vertical="center"/>
    </xf>
    <xf numFmtId="2" fontId="3570" fillId="8" borderId="1" xfId="0" applyNumberFormat="1" applyFont="1" applyFill="1" applyBorder="1" applyAlignment="1">
      <alignment horizontal="center" vertical="center"/>
    </xf>
    <xf numFmtId="2" fontId="3571" fillId="8" borderId="1" xfId="0" applyNumberFormat="1" applyFont="1" applyFill="1" applyBorder="1" applyAlignment="1">
      <alignment horizontal="center" vertical="center"/>
    </xf>
    <xf numFmtId="2" fontId="3572" fillId="8" borderId="1" xfId="0" applyNumberFormat="1" applyFont="1" applyFill="1" applyBorder="1" applyAlignment="1">
      <alignment horizontal="center" vertical="center"/>
    </xf>
    <xf numFmtId="2" fontId="3573" fillId="8" borderId="1" xfId="0" applyNumberFormat="1" applyFont="1" applyFill="1" applyBorder="1" applyAlignment="1">
      <alignment horizontal="center" vertical="center"/>
    </xf>
    <xf numFmtId="2" fontId="3574" fillId="8" borderId="1" xfId="0" applyNumberFormat="1" applyFont="1" applyFill="1" applyBorder="1" applyAlignment="1">
      <alignment horizontal="center" vertical="center"/>
    </xf>
    <xf numFmtId="2" fontId="3575" fillId="8" borderId="1" xfId="0" applyNumberFormat="1" applyFont="1" applyFill="1" applyBorder="1" applyAlignment="1">
      <alignment horizontal="center" vertical="center"/>
    </xf>
    <xf numFmtId="2" fontId="3576" fillId="8" borderId="1" xfId="0" applyNumberFormat="1" applyFont="1" applyFill="1" applyBorder="1" applyAlignment="1">
      <alignment horizontal="center" vertical="center"/>
    </xf>
    <xf numFmtId="2" fontId="3577" fillId="8" borderId="1" xfId="0" applyNumberFormat="1" applyFont="1" applyFill="1" applyBorder="1" applyAlignment="1">
      <alignment horizontal="center" vertical="center"/>
    </xf>
    <xf numFmtId="2" fontId="3578" fillId="8" borderId="1" xfId="0" applyNumberFormat="1" applyFont="1" applyFill="1" applyBorder="1" applyAlignment="1">
      <alignment horizontal="center" vertical="center"/>
    </xf>
    <xf numFmtId="2" fontId="3579" fillId="8" borderId="1" xfId="0" applyNumberFormat="1" applyFont="1" applyFill="1" applyBorder="1" applyAlignment="1">
      <alignment horizontal="center" vertical="center"/>
    </xf>
    <xf numFmtId="2" fontId="3580" fillId="8" borderId="1" xfId="0" applyNumberFormat="1" applyFont="1" applyFill="1" applyBorder="1" applyAlignment="1">
      <alignment horizontal="center" vertical="center"/>
    </xf>
    <xf numFmtId="2" fontId="3581" fillId="8" borderId="1" xfId="0" applyNumberFormat="1" applyFont="1" applyFill="1" applyBorder="1" applyAlignment="1">
      <alignment horizontal="center" vertical="center"/>
    </xf>
    <xf numFmtId="2" fontId="3582" fillId="8" borderId="1" xfId="0" applyNumberFormat="1" applyFont="1" applyFill="1" applyBorder="1" applyAlignment="1">
      <alignment horizontal="center" vertical="center"/>
    </xf>
    <xf numFmtId="2" fontId="3583" fillId="8" borderId="1" xfId="0" applyNumberFormat="1" applyFont="1" applyFill="1" applyBorder="1" applyAlignment="1">
      <alignment horizontal="center" vertical="center"/>
    </xf>
    <xf numFmtId="2" fontId="3584" fillId="8" borderId="1" xfId="0" applyNumberFormat="1" applyFont="1" applyFill="1" applyBorder="1" applyAlignment="1">
      <alignment horizontal="center" vertical="center"/>
    </xf>
    <xf numFmtId="2" fontId="3585" fillId="8" borderId="1" xfId="0" applyNumberFormat="1" applyFont="1" applyFill="1" applyBorder="1" applyAlignment="1">
      <alignment horizontal="center" vertical="center"/>
    </xf>
    <xf numFmtId="2" fontId="3586" fillId="8" borderId="1" xfId="0" applyNumberFormat="1" applyFont="1" applyFill="1" applyBorder="1" applyAlignment="1">
      <alignment horizontal="center" vertical="center"/>
    </xf>
    <xf numFmtId="2" fontId="3587" fillId="8" borderId="1" xfId="0" applyNumberFormat="1" applyFont="1" applyFill="1" applyBorder="1" applyAlignment="1">
      <alignment horizontal="center" vertical="center"/>
    </xf>
    <xf numFmtId="2" fontId="3588" fillId="8" borderId="1" xfId="0" applyNumberFormat="1" applyFont="1" applyFill="1" applyBorder="1" applyAlignment="1">
      <alignment horizontal="center" vertical="center"/>
    </xf>
    <xf numFmtId="0" fontId="3589" fillId="7" borderId="1" xfId="0" applyNumberFormat="1" applyFont="1" applyFill="1" applyBorder="1" applyAlignment="1">
      <alignment horizontal="left" vertical="center"/>
    </xf>
    <xf numFmtId="0" fontId="3590" fillId="8" borderId="1" xfId="0" applyNumberFormat="1" applyFont="1" applyFill="1" applyBorder="1" applyAlignment="1">
      <alignment horizontal="center" vertical="center"/>
    </xf>
    <xf numFmtId="164" fontId="3591" fillId="8" borderId="1" xfId="0" applyNumberFormat="1" applyFont="1" applyFill="1" applyBorder="1" applyAlignment="1">
      <alignment horizontal="center" vertical="center"/>
    </xf>
    <xf numFmtId="1" fontId="3592" fillId="8" borderId="1" xfId="0" applyNumberFormat="1" applyFont="1" applyFill="1" applyBorder="1" applyAlignment="1">
      <alignment horizontal="center" vertical="center"/>
    </xf>
    <xf numFmtId="1" fontId="3593" fillId="8" borderId="1" xfId="0" applyNumberFormat="1" applyFont="1" applyFill="1" applyBorder="1" applyAlignment="1">
      <alignment horizontal="center" vertical="center"/>
    </xf>
    <xf numFmtId="1" fontId="3594" fillId="8" borderId="1" xfId="0" applyNumberFormat="1" applyFont="1" applyFill="1" applyBorder="1" applyAlignment="1">
      <alignment horizontal="center" vertical="center"/>
    </xf>
    <xf numFmtId="1" fontId="3595" fillId="8" borderId="1" xfId="0" applyNumberFormat="1" applyFont="1" applyFill="1" applyBorder="1" applyAlignment="1">
      <alignment horizontal="center" vertical="center"/>
    </xf>
    <xf numFmtId="1" fontId="3596" fillId="8" borderId="1" xfId="0" applyNumberFormat="1" applyFont="1" applyFill="1" applyBorder="1" applyAlignment="1">
      <alignment horizontal="center" vertical="center"/>
    </xf>
    <xf numFmtId="1" fontId="3597" fillId="8" borderId="1" xfId="0" applyNumberFormat="1" applyFont="1" applyFill="1" applyBorder="1" applyAlignment="1">
      <alignment horizontal="center" vertical="center"/>
    </xf>
    <xf numFmtId="1" fontId="3598" fillId="8" borderId="1" xfId="0" applyNumberFormat="1" applyFont="1" applyFill="1" applyBorder="1" applyAlignment="1">
      <alignment horizontal="center" vertical="center"/>
    </xf>
    <xf numFmtId="0" fontId="3599" fillId="8" borderId="1" xfId="0" applyNumberFormat="1" applyFont="1" applyFill="1" applyBorder="1" applyAlignment="1">
      <alignment horizontal="center" vertical="center"/>
    </xf>
    <xf numFmtId="0" fontId="3600" fillId="8" borderId="1" xfId="0" applyNumberFormat="1" applyFont="1" applyFill="1" applyBorder="1" applyAlignment="1">
      <alignment horizontal="center" vertical="center"/>
    </xf>
    <xf numFmtId="1" fontId="3601" fillId="8" borderId="1" xfId="0" applyNumberFormat="1" applyFont="1" applyFill="1" applyBorder="1" applyAlignment="1">
      <alignment horizontal="center" vertical="center"/>
    </xf>
    <xf numFmtId="1" fontId="3602" fillId="8" borderId="1" xfId="0" applyNumberFormat="1" applyFont="1" applyFill="1" applyBorder="1" applyAlignment="1">
      <alignment horizontal="center" vertical="center"/>
    </xf>
    <xf numFmtId="1" fontId="3603" fillId="8" borderId="1" xfId="0" applyNumberFormat="1" applyFont="1" applyFill="1" applyBorder="1" applyAlignment="1">
      <alignment horizontal="center" vertical="center"/>
    </xf>
    <xf numFmtId="165" fontId="3604" fillId="8" borderId="1" xfId="0" applyNumberFormat="1" applyFont="1" applyFill="1" applyBorder="1" applyAlignment="1">
      <alignment horizontal="center" vertical="center"/>
    </xf>
    <xf numFmtId="1" fontId="3605" fillId="8" borderId="1" xfId="0" applyNumberFormat="1" applyFont="1" applyFill="1" applyBorder="1" applyAlignment="1">
      <alignment horizontal="center" vertical="center"/>
    </xf>
    <xf numFmtId="165" fontId="3606" fillId="8" borderId="1" xfId="0" applyNumberFormat="1" applyFont="1" applyFill="1" applyBorder="1" applyAlignment="1">
      <alignment horizontal="center" vertical="center"/>
    </xf>
    <xf numFmtId="1" fontId="3607" fillId="8" borderId="1" xfId="0" applyNumberFormat="1" applyFont="1" applyFill="1" applyBorder="1" applyAlignment="1">
      <alignment horizontal="center" vertical="center"/>
    </xf>
    <xf numFmtId="165" fontId="3608" fillId="8" borderId="1" xfId="0" applyNumberFormat="1" applyFont="1" applyFill="1" applyBorder="1" applyAlignment="1">
      <alignment horizontal="center" vertical="center"/>
    </xf>
    <xf numFmtId="1" fontId="3609" fillId="8" borderId="1" xfId="0" applyNumberFormat="1" applyFont="1" applyFill="1" applyBorder="1" applyAlignment="1">
      <alignment horizontal="center" vertical="center"/>
    </xf>
    <xf numFmtId="165" fontId="3610" fillId="8" borderId="1" xfId="0" applyNumberFormat="1" applyFont="1" applyFill="1" applyBorder="1" applyAlignment="1">
      <alignment horizontal="center" vertical="center"/>
    </xf>
    <xf numFmtId="165" fontId="3611" fillId="8" borderId="1" xfId="0" applyNumberFormat="1" applyFont="1" applyFill="1" applyBorder="1" applyAlignment="1">
      <alignment horizontal="center" vertical="center"/>
    </xf>
    <xf numFmtId="1" fontId="3612" fillId="8" borderId="1" xfId="0" applyNumberFormat="1" applyFont="1" applyFill="1" applyBorder="1" applyAlignment="1">
      <alignment horizontal="center" vertical="center"/>
    </xf>
    <xf numFmtId="1" fontId="3613" fillId="8" borderId="1" xfId="0" applyNumberFormat="1" applyFont="1" applyFill="1" applyBorder="1" applyAlignment="1">
      <alignment horizontal="center" vertical="center"/>
    </xf>
    <xf numFmtId="1" fontId="3614" fillId="8" borderId="1" xfId="0" applyNumberFormat="1" applyFont="1" applyFill="1" applyBorder="1" applyAlignment="1">
      <alignment horizontal="center" vertical="center"/>
    </xf>
    <xf numFmtId="165" fontId="3615" fillId="8" borderId="1" xfId="0" applyNumberFormat="1" applyFont="1" applyFill="1" applyBorder="1" applyAlignment="1">
      <alignment horizontal="center" vertical="center"/>
    </xf>
    <xf numFmtId="164" fontId="3616" fillId="8" borderId="1" xfId="0" applyNumberFormat="1" applyFont="1" applyFill="1" applyBorder="1" applyAlignment="1">
      <alignment horizontal="center" vertical="center"/>
    </xf>
    <xf numFmtId="164" fontId="3617" fillId="8" borderId="1" xfId="0" applyNumberFormat="1" applyFont="1" applyFill="1" applyBorder="1" applyAlignment="1">
      <alignment horizontal="center" vertical="center"/>
    </xf>
    <xf numFmtId="1" fontId="3618" fillId="8" borderId="1" xfId="0" applyNumberFormat="1" applyFont="1" applyFill="1" applyBorder="1" applyAlignment="1">
      <alignment horizontal="center" vertical="center"/>
    </xf>
    <xf numFmtId="1" fontId="3619" fillId="8" borderId="1" xfId="0" applyNumberFormat="1" applyFont="1" applyFill="1" applyBorder="1" applyAlignment="1">
      <alignment horizontal="center" vertical="center"/>
    </xf>
    <xf numFmtId="1" fontId="3620" fillId="8" borderId="1" xfId="0" applyNumberFormat="1" applyFont="1" applyFill="1" applyBorder="1" applyAlignment="1">
      <alignment horizontal="center" vertical="center"/>
    </xf>
    <xf numFmtId="165" fontId="3621" fillId="8" borderId="1" xfId="0" applyNumberFormat="1" applyFont="1" applyFill="1" applyBorder="1" applyAlignment="1">
      <alignment horizontal="center" vertical="center"/>
    </xf>
    <xf numFmtId="1" fontId="3622" fillId="8" borderId="1" xfId="0" applyNumberFormat="1" applyFont="1" applyFill="1" applyBorder="1" applyAlignment="1">
      <alignment horizontal="center" vertical="center"/>
    </xf>
    <xf numFmtId="165" fontId="3623" fillId="8" borderId="1" xfId="0" applyNumberFormat="1" applyFont="1" applyFill="1" applyBorder="1" applyAlignment="1">
      <alignment horizontal="center" vertical="center"/>
    </xf>
    <xf numFmtId="1" fontId="3624" fillId="8" borderId="1" xfId="0" applyNumberFormat="1" applyFont="1" applyFill="1" applyBorder="1" applyAlignment="1">
      <alignment horizontal="center" vertical="center"/>
    </xf>
    <xf numFmtId="1" fontId="3625" fillId="8" borderId="1" xfId="0" applyNumberFormat="1" applyFont="1" applyFill="1" applyBorder="1" applyAlignment="1">
      <alignment horizontal="center" vertical="center"/>
    </xf>
    <xf numFmtId="1" fontId="3626" fillId="8" borderId="1" xfId="0" applyNumberFormat="1" applyFont="1" applyFill="1" applyBorder="1" applyAlignment="1">
      <alignment horizontal="center" vertical="center"/>
    </xf>
    <xf numFmtId="1" fontId="3627" fillId="8" borderId="1" xfId="0" applyNumberFormat="1" applyFont="1" applyFill="1" applyBorder="1" applyAlignment="1">
      <alignment horizontal="center" vertical="center"/>
    </xf>
    <xf numFmtId="165" fontId="3628" fillId="8" borderId="1" xfId="0" applyNumberFormat="1" applyFont="1" applyFill="1" applyBorder="1" applyAlignment="1">
      <alignment horizontal="center" vertical="center"/>
    </xf>
    <xf numFmtId="1" fontId="3629" fillId="8" borderId="1" xfId="0" applyNumberFormat="1" applyFont="1" applyFill="1" applyBorder="1" applyAlignment="1">
      <alignment horizontal="center" vertical="center"/>
    </xf>
    <xf numFmtId="165" fontId="3630" fillId="8" borderId="1" xfId="0" applyNumberFormat="1" applyFont="1" applyFill="1" applyBorder="1" applyAlignment="1">
      <alignment horizontal="center" vertical="center"/>
    </xf>
    <xf numFmtId="1" fontId="3631" fillId="8" borderId="1" xfId="0" applyNumberFormat="1" applyFont="1" applyFill="1" applyBorder="1" applyAlignment="1">
      <alignment horizontal="center" vertical="center"/>
    </xf>
    <xf numFmtId="165" fontId="3632" fillId="8" borderId="1" xfId="0" applyNumberFormat="1" applyFont="1" applyFill="1" applyBorder="1" applyAlignment="1">
      <alignment horizontal="center" vertical="center"/>
    </xf>
    <xf numFmtId="2" fontId="3633" fillId="8" borderId="1" xfId="0" applyNumberFormat="1" applyFont="1" applyFill="1" applyBorder="1" applyAlignment="1">
      <alignment horizontal="center" vertical="center"/>
    </xf>
    <xf numFmtId="2" fontId="3634" fillId="8" borderId="1" xfId="0" applyNumberFormat="1" applyFont="1" applyFill="1" applyBorder="1" applyAlignment="1">
      <alignment horizontal="center" vertical="center"/>
    </xf>
    <xf numFmtId="2" fontId="3635" fillId="8" borderId="1" xfId="0" applyNumberFormat="1" applyFont="1" applyFill="1" applyBorder="1" applyAlignment="1">
      <alignment horizontal="center" vertical="center"/>
    </xf>
    <xf numFmtId="2" fontId="3636" fillId="8" borderId="1" xfId="0" applyNumberFormat="1" applyFont="1" applyFill="1" applyBorder="1" applyAlignment="1">
      <alignment horizontal="center" vertical="center"/>
    </xf>
    <xf numFmtId="2" fontId="3637" fillId="8" borderId="1" xfId="0" applyNumberFormat="1" applyFont="1" applyFill="1" applyBorder="1" applyAlignment="1">
      <alignment horizontal="center" vertical="center"/>
    </xf>
    <xf numFmtId="2" fontId="3638" fillId="8" borderId="1" xfId="0" applyNumberFormat="1" applyFont="1" applyFill="1" applyBorder="1" applyAlignment="1">
      <alignment horizontal="center" vertical="center"/>
    </xf>
    <xf numFmtId="2" fontId="3639" fillId="8" borderId="1" xfId="0" applyNumberFormat="1" applyFont="1" applyFill="1" applyBorder="1" applyAlignment="1">
      <alignment horizontal="center" vertical="center"/>
    </xf>
    <xf numFmtId="2" fontId="3640" fillId="8" borderId="1" xfId="0" applyNumberFormat="1" applyFont="1" applyFill="1" applyBorder="1" applyAlignment="1">
      <alignment horizontal="center" vertical="center"/>
    </xf>
    <xf numFmtId="2" fontId="3641" fillId="8" borderId="1" xfId="0" applyNumberFormat="1" applyFont="1" applyFill="1" applyBorder="1" applyAlignment="1">
      <alignment horizontal="center" vertical="center"/>
    </xf>
    <xf numFmtId="2" fontId="3642" fillId="8" borderId="1" xfId="0" applyNumberFormat="1" applyFont="1" applyFill="1" applyBorder="1" applyAlignment="1">
      <alignment horizontal="center" vertical="center"/>
    </xf>
    <xf numFmtId="2" fontId="3643" fillId="8" borderId="1" xfId="0" applyNumberFormat="1" applyFont="1" applyFill="1" applyBorder="1" applyAlignment="1">
      <alignment horizontal="center" vertical="center"/>
    </xf>
    <xf numFmtId="2" fontId="3644" fillId="8" borderId="1" xfId="0" applyNumberFormat="1" applyFont="1" applyFill="1" applyBorder="1" applyAlignment="1">
      <alignment horizontal="center" vertical="center"/>
    </xf>
    <xf numFmtId="2" fontId="3645" fillId="8" borderId="1" xfId="0" applyNumberFormat="1" applyFont="1" applyFill="1" applyBorder="1" applyAlignment="1">
      <alignment horizontal="center" vertical="center"/>
    </xf>
    <xf numFmtId="2" fontId="3646" fillId="8" borderId="1" xfId="0" applyNumberFormat="1" applyFont="1" applyFill="1" applyBorder="1" applyAlignment="1">
      <alignment horizontal="center" vertical="center"/>
    </xf>
    <xf numFmtId="2" fontId="3647" fillId="8" borderId="1" xfId="0" applyNumberFormat="1" applyFont="1" applyFill="1" applyBorder="1" applyAlignment="1">
      <alignment horizontal="center" vertical="center"/>
    </xf>
    <xf numFmtId="2" fontId="3648" fillId="8" borderId="1" xfId="0" applyNumberFormat="1" applyFont="1" applyFill="1" applyBorder="1" applyAlignment="1">
      <alignment horizontal="center" vertical="center"/>
    </xf>
    <xf numFmtId="2" fontId="3649" fillId="8" borderId="1" xfId="0" applyNumberFormat="1" applyFont="1" applyFill="1" applyBorder="1" applyAlignment="1">
      <alignment horizontal="center" vertical="center"/>
    </xf>
    <xf numFmtId="2" fontId="3650" fillId="8" borderId="1" xfId="0" applyNumberFormat="1" applyFont="1" applyFill="1" applyBorder="1" applyAlignment="1">
      <alignment horizontal="center" vertical="center"/>
    </xf>
    <xf numFmtId="2" fontId="3651" fillId="8" borderId="1" xfId="0" applyNumberFormat="1" applyFont="1" applyFill="1" applyBorder="1" applyAlignment="1">
      <alignment horizontal="center" vertical="center"/>
    </xf>
    <xf numFmtId="2" fontId="3652" fillId="8" borderId="1" xfId="0" applyNumberFormat="1" applyFont="1" applyFill="1" applyBorder="1" applyAlignment="1">
      <alignment horizontal="center" vertical="center"/>
    </xf>
    <xf numFmtId="2" fontId="3653" fillId="8" borderId="1" xfId="0" applyNumberFormat="1" applyFont="1" applyFill="1" applyBorder="1" applyAlignment="1">
      <alignment horizontal="center" vertical="center"/>
    </xf>
    <xf numFmtId="2" fontId="3654" fillId="8" borderId="1" xfId="0" applyNumberFormat="1" applyFont="1" applyFill="1" applyBorder="1" applyAlignment="1">
      <alignment horizontal="center" vertical="center"/>
    </xf>
    <xf numFmtId="2" fontId="3655" fillId="8" borderId="1" xfId="0" applyNumberFormat="1" applyFont="1" applyFill="1" applyBorder="1" applyAlignment="1">
      <alignment horizontal="center" vertical="center"/>
    </xf>
    <xf numFmtId="2" fontId="3656" fillId="8" borderId="1" xfId="0" applyNumberFormat="1" applyFont="1" applyFill="1" applyBorder="1" applyAlignment="1">
      <alignment horizontal="center" vertical="center"/>
    </xf>
    <xf numFmtId="2" fontId="3657" fillId="8" borderId="1" xfId="0" applyNumberFormat="1" applyFont="1" applyFill="1" applyBorder="1" applyAlignment="1">
      <alignment horizontal="center" vertical="center"/>
    </xf>
    <xf numFmtId="2" fontId="3658" fillId="8" borderId="1" xfId="0" applyNumberFormat="1" applyFont="1" applyFill="1" applyBorder="1" applyAlignment="1">
      <alignment horizontal="center" vertical="center"/>
    </xf>
    <xf numFmtId="2" fontId="3659" fillId="8" borderId="1" xfId="0" applyNumberFormat="1" applyFont="1" applyFill="1" applyBorder="1" applyAlignment="1">
      <alignment horizontal="center" vertical="center"/>
    </xf>
    <xf numFmtId="2" fontId="3660" fillId="8" borderId="1" xfId="0" applyNumberFormat="1" applyFont="1" applyFill="1" applyBorder="1" applyAlignment="1">
      <alignment horizontal="center" vertical="center"/>
    </xf>
    <xf numFmtId="2" fontId="3661" fillId="8" borderId="1" xfId="0" applyNumberFormat="1" applyFont="1" applyFill="1" applyBorder="1" applyAlignment="1">
      <alignment horizontal="center" vertical="center"/>
    </xf>
    <xf numFmtId="2" fontId="3662" fillId="8" borderId="1" xfId="0" applyNumberFormat="1" applyFont="1" applyFill="1" applyBorder="1" applyAlignment="1">
      <alignment horizontal="center" vertical="center"/>
    </xf>
    <xf numFmtId="2" fontId="3663" fillId="8" borderId="1" xfId="0" applyNumberFormat="1" applyFont="1" applyFill="1" applyBorder="1" applyAlignment="1">
      <alignment horizontal="center" vertical="center"/>
    </xf>
    <xf numFmtId="2" fontId="3664" fillId="8" borderId="1" xfId="0" applyNumberFormat="1" applyFont="1" applyFill="1" applyBorder="1" applyAlignment="1">
      <alignment horizontal="center" vertical="center"/>
    </xf>
    <xf numFmtId="2" fontId="3665" fillId="8" borderId="1" xfId="0" applyNumberFormat="1" applyFont="1" applyFill="1" applyBorder="1" applyAlignment="1">
      <alignment horizontal="center" vertical="center"/>
    </xf>
    <xf numFmtId="2" fontId="3666" fillId="8" borderId="1" xfId="0" applyNumberFormat="1" applyFont="1" applyFill="1" applyBorder="1" applyAlignment="1">
      <alignment horizontal="center" vertical="center"/>
    </xf>
    <xf numFmtId="0" fontId="3667" fillId="7" borderId="1" xfId="0" applyNumberFormat="1" applyFont="1" applyFill="1" applyBorder="1" applyAlignment="1">
      <alignment horizontal="left" vertical="center"/>
    </xf>
    <xf numFmtId="0" fontId="3668" fillId="8" borderId="1" xfId="0" applyNumberFormat="1" applyFont="1" applyFill="1" applyBorder="1" applyAlignment="1">
      <alignment horizontal="center" vertical="center"/>
    </xf>
    <xf numFmtId="164" fontId="3669" fillId="8" borderId="1" xfId="0" applyNumberFormat="1" applyFont="1" applyFill="1" applyBorder="1" applyAlignment="1">
      <alignment horizontal="center" vertical="center"/>
    </xf>
    <xf numFmtId="1" fontId="3670" fillId="8" borderId="1" xfId="0" applyNumberFormat="1" applyFont="1" applyFill="1" applyBorder="1" applyAlignment="1">
      <alignment horizontal="center" vertical="center"/>
    </xf>
    <xf numFmtId="1" fontId="3671" fillId="8" borderId="1" xfId="0" applyNumberFormat="1" applyFont="1" applyFill="1" applyBorder="1" applyAlignment="1">
      <alignment horizontal="center" vertical="center"/>
    </xf>
    <xf numFmtId="1" fontId="3672" fillId="8" borderId="1" xfId="0" applyNumberFormat="1" applyFont="1" applyFill="1" applyBorder="1" applyAlignment="1">
      <alignment horizontal="center" vertical="center"/>
    </xf>
    <xf numFmtId="1" fontId="3673" fillId="8" borderId="1" xfId="0" applyNumberFormat="1" applyFont="1" applyFill="1" applyBorder="1" applyAlignment="1">
      <alignment horizontal="center" vertical="center"/>
    </xf>
    <xf numFmtId="1" fontId="3674" fillId="8" borderId="1" xfId="0" applyNumberFormat="1" applyFont="1" applyFill="1" applyBorder="1" applyAlignment="1">
      <alignment horizontal="center" vertical="center"/>
    </xf>
    <xf numFmtId="1" fontId="3675" fillId="8" borderId="1" xfId="0" applyNumberFormat="1" applyFont="1" applyFill="1" applyBorder="1" applyAlignment="1">
      <alignment horizontal="center" vertical="center"/>
    </xf>
    <xf numFmtId="1" fontId="3676" fillId="8" borderId="1" xfId="0" applyNumberFormat="1" applyFont="1" applyFill="1" applyBorder="1" applyAlignment="1">
      <alignment horizontal="center" vertical="center"/>
    </xf>
    <xf numFmtId="0" fontId="3677" fillId="8" borderId="1" xfId="0" applyNumberFormat="1" applyFont="1" applyFill="1" applyBorder="1" applyAlignment="1">
      <alignment horizontal="center" vertical="center"/>
    </xf>
    <xf numFmtId="0" fontId="3678" fillId="8" borderId="1" xfId="0" applyNumberFormat="1" applyFont="1" applyFill="1" applyBorder="1" applyAlignment="1">
      <alignment horizontal="center" vertical="center"/>
    </xf>
    <xf numFmtId="1" fontId="3679" fillId="8" borderId="1" xfId="0" applyNumberFormat="1" applyFont="1" applyFill="1" applyBorder="1" applyAlignment="1">
      <alignment horizontal="center" vertical="center"/>
    </xf>
    <xf numFmtId="1" fontId="3680" fillId="8" borderId="1" xfId="0" applyNumberFormat="1" applyFont="1" applyFill="1" applyBorder="1" applyAlignment="1">
      <alignment horizontal="center" vertical="center"/>
    </xf>
    <xf numFmtId="1" fontId="3681" fillId="8" borderId="1" xfId="0" applyNumberFormat="1" applyFont="1" applyFill="1" applyBorder="1" applyAlignment="1">
      <alignment horizontal="center" vertical="center"/>
    </xf>
    <xf numFmtId="165" fontId="3682" fillId="8" borderId="1" xfId="0" applyNumberFormat="1" applyFont="1" applyFill="1" applyBorder="1" applyAlignment="1">
      <alignment horizontal="center" vertical="center"/>
    </xf>
    <xf numFmtId="1" fontId="3683" fillId="8" borderId="1" xfId="0" applyNumberFormat="1" applyFont="1" applyFill="1" applyBorder="1" applyAlignment="1">
      <alignment horizontal="center" vertical="center"/>
    </xf>
    <xf numFmtId="165" fontId="3684" fillId="8" borderId="1" xfId="0" applyNumberFormat="1" applyFont="1" applyFill="1" applyBorder="1" applyAlignment="1">
      <alignment horizontal="center" vertical="center"/>
    </xf>
    <xf numFmtId="1" fontId="3685" fillId="8" borderId="1" xfId="0" applyNumberFormat="1" applyFont="1" applyFill="1" applyBorder="1" applyAlignment="1">
      <alignment horizontal="center" vertical="center"/>
    </xf>
    <xf numFmtId="165" fontId="3686" fillId="8" borderId="1" xfId="0" applyNumberFormat="1" applyFont="1" applyFill="1" applyBorder="1" applyAlignment="1">
      <alignment horizontal="center" vertical="center"/>
    </xf>
    <xf numFmtId="1" fontId="3687" fillId="8" borderId="1" xfId="0" applyNumberFormat="1" applyFont="1" applyFill="1" applyBorder="1" applyAlignment="1">
      <alignment horizontal="center" vertical="center"/>
    </xf>
    <xf numFmtId="165" fontId="3688" fillId="8" borderId="1" xfId="0" applyNumberFormat="1" applyFont="1" applyFill="1" applyBorder="1" applyAlignment="1">
      <alignment horizontal="center" vertical="center"/>
    </xf>
    <xf numFmtId="165" fontId="3689" fillId="8" borderId="1" xfId="0" applyNumberFormat="1" applyFont="1" applyFill="1" applyBorder="1" applyAlignment="1">
      <alignment horizontal="center" vertical="center"/>
    </xf>
    <xf numFmtId="1" fontId="3690" fillId="8" borderId="1" xfId="0" applyNumberFormat="1" applyFont="1" applyFill="1" applyBorder="1" applyAlignment="1">
      <alignment horizontal="center" vertical="center"/>
    </xf>
    <xf numFmtId="1" fontId="3691" fillId="8" borderId="1" xfId="0" applyNumberFormat="1" applyFont="1" applyFill="1" applyBorder="1" applyAlignment="1">
      <alignment horizontal="center" vertical="center"/>
    </xf>
    <xf numFmtId="1" fontId="3692" fillId="8" borderId="1" xfId="0" applyNumberFormat="1" applyFont="1" applyFill="1" applyBorder="1" applyAlignment="1">
      <alignment horizontal="center" vertical="center"/>
    </xf>
    <xf numFmtId="165" fontId="3693" fillId="8" borderId="1" xfId="0" applyNumberFormat="1" applyFont="1" applyFill="1" applyBorder="1" applyAlignment="1">
      <alignment horizontal="center" vertical="center"/>
    </xf>
    <xf numFmtId="164" fontId="3694" fillId="8" borderId="1" xfId="0" applyNumberFormat="1" applyFont="1" applyFill="1" applyBorder="1" applyAlignment="1">
      <alignment horizontal="center" vertical="center"/>
    </xf>
    <xf numFmtId="164" fontId="3695" fillId="8" borderId="1" xfId="0" applyNumberFormat="1" applyFont="1" applyFill="1" applyBorder="1" applyAlignment="1">
      <alignment horizontal="center" vertical="center"/>
    </xf>
    <xf numFmtId="1" fontId="3696" fillId="8" borderId="1" xfId="0" applyNumberFormat="1" applyFont="1" applyFill="1" applyBorder="1" applyAlignment="1">
      <alignment horizontal="center" vertical="center"/>
    </xf>
    <xf numFmtId="1" fontId="3697" fillId="8" borderId="1" xfId="0" applyNumberFormat="1" applyFont="1" applyFill="1" applyBorder="1" applyAlignment="1">
      <alignment horizontal="center" vertical="center"/>
    </xf>
    <xf numFmtId="1" fontId="3698" fillId="8" borderId="1" xfId="0" applyNumberFormat="1" applyFont="1" applyFill="1" applyBorder="1" applyAlignment="1">
      <alignment horizontal="center" vertical="center"/>
    </xf>
    <xf numFmtId="165" fontId="3699" fillId="8" borderId="1" xfId="0" applyNumberFormat="1" applyFont="1" applyFill="1" applyBorder="1" applyAlignment="1">
      <alignment horizontal="center" vertical="center"/>
    </xf>
    <xf numFmtId="1" fontId="3700" fillId="8" borderId="1" xfId="0" applyNumberFormat="1" applyFont="1" applyFill="1" applyBorder="1" applyAlignment="1">
      <alignment horizontal="center" vertical="center"/>
    </xf>
    <xf numFmtId="165" fontId="3701" fillId="8" borderId="1" xfId="0" applyNumberFormat="1" applyFont="1" applyFill="1" applyBorder="1" applyAlignment="1">
      <alignment horizontal="center" vertical="center"/>
    </xf>
    <xf numFmtId="1" fontId="3702" fillId="8" borderId="1" xfId="0" applyNumberFormat="1" applyFont="1" applyFill="1" applyBorder="1" applyAlignment="1">
      <alignment horizontal="center" vertical="center"/>
    </xf>
    <xf numFmtId="1" fontId="3703" fillId="8" borderId="1" xfId="0" applyNumberFormat="1" applyFont="1" applyFill="1" applyBorder="1" applyAlignment="1">
      <alignment horizontal="center" vertical="center"/>
    </xf>
    <xf numFmtId="1" fontId="3704" fillId="8" borderId="1" xfId="0" applyNumberFormat="1" applyFont="1" applyFill="1" applyBorder="1" applyAlignment="1">
      <alignment horizontal="center" vertical="center"/>
    </xf>
    <xf numFmtId="1" fontId="3705" fillId="8" borderId="1" xfId="0" applyNumberFormat="1" applyFont="1" applyFill="1" applyBorder="1" applyAlignment="1">
      <alignment horizontal="center" vertical="center"/>
    </xf>
    <xf numFmtId="165" fontId="3706" fillId="8" borderId="1" xfId="0" applyNumberFormat="1" applyFont="1" applyFill="1" applyBorder="1" applyAlignment="1">
      <alignment horizontal="center" vertical="center"/>
    </xf>
    <xf numFmtId="1" fontId="3707" fillId="8" borderId="1" xfId="0" applyNumberFormat="1" applyFont="1" applyFill="1" applyBorder="1" applyAlignment="1">
      <alignment horizontal="center" vertical="center"/>
    </xf>
    <xf numFmtId="165" fontId="3708" fillId="8" borderId="1" xfId="0" applyNumberFormat="1" applyFont="1" applyFill="1" applyBorder="1" applyAlignment="1">
      <alignment horizontal="center" vertical="center"/>
    </xf>
    <xf numFmtId="1" fontId="3709" fillId="8" borderId="1" xfId="0" applyNumberFormat="1" applyFont="1" applyFill="1" applyBorder="1" applyAlignment="1">
      <alignment horizontal="center" vertical="center"/>
    </xf>
    <xf numFmtId="165" fontId="3710" fillId="8" borderId="1" xfId="0" applyNumberFormat="1" applyFont="1" applyFill="1" applyBorder="1" applyAlignment="1">
      <alignment horizontal="center" vertical="center"/>
    </xf>
    <xf numFmtId="2" fontId="3711" fillId="8" borderId="1" xfId="0" applyNumberFormat="1" applyFont="1" applyFill="1" applyBorder="1" applyAlignment="1">
      <alignment horizontal="center" vertical="center"/>
    </xf>
    <xf numFmtId="2" fontId="3712" fillId="8" borderId="1" xfId="0" applyNumberFormat="1" applyFont="1" applyFill="1" applyBorder="1" applyAlignment="1">
      <alignment horizontal="center" vertical="center"/>
    </xf>
    <xf numFmtId="2" fontId="3713" fillId="8" borderId="1" xfId="0" applyNumberFormat="1" applyFont="1" applyFill="1" applyBorder="1" applyAlignment="1">
      <alignment horizontal="center" vertical="center"/>
    </xf>
    <xf numFmtId="2" fontId="3714" fillId="8" borderId="1" xfId="0" applyNumberFormat="1" applyFont="1" applyFill="1" applyBorder="1" applyAlignment="1">
      <alignment horizontal="center" vertical="center"/>
    </xf>
    <xf numFmtId="2" fontId="3715" fillId="8" borderId="1" xfId="0" applyNumberFormat="1" applyFont="1" applyFill="1" applyBorder="1" applyAlignment="1">
      <alignment horizontal="center" vertical="center"/>
    </xf>
    <xf numFmtId="2" fontId="3716" fillId="8" borderId="1" xfId="0" applyNumberFormat="1" applyFont="1" applyFill="1" applyBorder="1" applyAlignment="1">
      <alignment horizontal="center" vertical="center"/>
    </xf>
    <xf numFmtId="2" fontId="3717" fillId="8" borderId="1" xfId="0" applyNumberFormat="1" applyFont="1" applyFill="1" applyBorder="1" applyAlignment="1">
      <alignment horizontal="center" vertical="center"/>
    </xf>
    <xf numFmtId="2" fontId="3718" fillId="8" borderId="1" xfId="0" applyNumberFormat="1" applyFont="1" applyFill="1" applyBorder="1" applyAlignment="1">
      <alignment horizontal="center" vertical="center"/>
    </xf>
    <xf numFmtId="2" fontId="3719" fillId="8" borderId="1" xfId="0" applyNumberFormat="1" applyFont="1" applyFill="1" applyBorder="1" applyAlignment="1">
      <alignment horizontal="center" vertical="center"/>
    </xf>
    <xf numFmtId="2" fontId="3720" fillId="8" borderId="1" xfId="0" applyNumberFormat="1" applyFont="1" applyFill="1" applyBorder="1" applyAlignment="1">
      <alignment horizontal="center" vertical="center"/>
    </xf>
    <xf numFmtId="2" fontId="3721" fillId="8" borderId="1" xfId="0" applyNumberFormat="1" applyFont="1" applyFill="1" applyBorder="1" applyAlignment="1">
      <alignment horizontal="center" vertical="center"/>
    </xf>
    <xf numFmtId="2" fontId="3722" fillId="8" borderId="1" xfId="0" applyNumberFormat="1" applyFont="1" applyFill="1" applyBorder="1" applyAlignment="1">
      <alignment horizontal="center" vertical="center"/>
    </xf>
    <xf numFmtId="2" fontId="3723" fillId="8" borderId="1" xfId="0" applyNumberFormat="1" applyFont="1" applyFill="1" applyBorder="1" applyAlignment="1">
      <alignment horizontal="center" vertical="center"/>
    </xf>
    <xf numFmtId="2" fontId="3724" fillId="8" borderId="1" xfId="0" applyNumberFormat="1" applyFont="1" applyFill="1" applyBorder="1" applyAlignment="1">
      <alignment horizontal="center" vertical="center"/>
    </xf>
    <xf numFmtId="2" fontId="3725" fillId="8" borderId="1" xfId="0" applyNumberFormat="1" applyFont="1" applyFill="1" applyBorder="1" applyAlignment="1">
      <alignment horizontal="center" vertical="center"/>
    </xf>
    <xf numFmtId="2" fontId="3726" fillId="8" borderId="1" xfId="0" applyNumberFormat="1" applyFont="1" applyFill="1" applyBorder="1" applyAlignment="1">
      <alignment horizontal="center" vertical="center"/>
    </xf>
    <xf numFmtId="2" fontId="3727" fillId="8" borderId="1" xfId="0" applyNumberFormat="1" applyFont="1" applyFill="1" applyBorder="1" applyAlignment="1">
      <alignment horizontal="center" vertical="center"/>
    </xf>
    <xf numFmtId="2" fontId="3728" fillId="8" borderId="1" xfId="0" applyNumberFormat="1" applyFont="1" applyFill="1" applyBorder="1" applyAlignment="1">
      <alignment horizontal="center" vertical="center"/>
    </xf>
    <xf numFmtId="2" fontId="3729" fillId="8" borderId="1" xfId="0" applyNumberFormat="1" applyFont="1" applyFill="1" applyBorder="1" applyAlignment="1">
      <alignment horizontal="center" vertical="center"/>
    </xf>
    <xf numFmtId="2" fontId="3730" fillId="8" borderId="1" xfId="0" applyNumberFormat="1" applyFont="1" applyFill="1" applyBorder="1" applyAlignment="1">
      <alignment horizontal="center" vertical="center"/>
    </xf>
    <xf numFmtId="2" fontId="3731" fillId="8" borderId="1" xfId="0" applyNumberFormat="1" applyFont="1" applyFill="1" applyBorder="1" applyAlignment="1">
      <alignment horizontal="center" vertical="center"/>
    </xf>
    <xf numFmtId="2" fontId="3732" fillId="8" borderId="1" xfId="0" applyNumberFormat="1" applyFont="1" applyFill="1" applyBorder="1" applyAlignment="1">
      <alignment horizontal="center" vertical="center"/>
    </xf>
    <xf numFmtId="2" fontId="3733" fillId="8" borderId="1" xfId="0" applyNumberFormat="1" applyFont="1" applyFill="1" applyBorder="1" applyAlignment="1">
      <alignment horizontal="center" vertical="center"/>
    </xf>
    <xf numFmtId="2" fontId="3734" fillId="8" borderId="1" xfId="0" applyNumberFormat="1" applyFont="1" applyFill="1" applyBorder="1" applyAlignment="1">
      <alignment horizontal="center" vertical="center"/>
    </xf>
    <xf numFmtId="2" fontId="3735" fillId="8" borderId="1" xfId="0" applyNumberFormat="1" applyFont="1" applyFill="1" applyBorder="1" applyAlignment="1">
      <alignment horizontal="center" vertical="center"/>
    </xf>
    <xf numFmtId="2" fontId="3736" fillId="8" borderId="1" xfId="0" applyNumberFormat="1" applyFont="1" applyFill="1" applyBorder="1" applyAlignment="1">
      <alignment horizontal="center" vertical="center"/>
    </xf>
    <xf numFmtId="2" fontId="3737" fillId="8" borderId="1" xfId="0" applyNumberFormat="1" applyFont="1" applyFill="1" applyBorder="1" applyAlignment="1">
      <alignment horizontal="center" vertical="center"/>
    </xf>
    <xf numFmtId="2" fontId="3738" fillId="8" borderId="1" xfId="0" applyNumberFormat="1" applyFont="1" applyFill="1" applyBorder="1" applyAlignment="1">
      <alignment horizontal="center" vertical="center"/>
    </xf>
    <xf numFmtId="2" fontId="3739" fillId="8" borderId="1" xfId="0" applyNumberFormat="1" applyFont="1" applyFill="1" applyBorder="1" applyAlignment="1">
      <alignment horizontal="center" vertical="center"/>
    </xf>
    <xf numFmtId="2" fontId="3740" fillId="8" borderId="1" xfId="0" applyNumberFormat="1" applyFont="1" applyFill="1" applyBorder="1" applyAlignment="1">
      <alignment horizontal="center" vertical="center"/>
    </xf>
    <xf numFmtId="2" fontId="3741" fillId="8" borderId="1" xfId="0" applyNumberFormat="1" applyFont="1" applyFill="1" applyBorder="1" applyAlignment="1">
      <alignment horizontal="center" vertical="center"/>
    </xf>
    <xf numFmtId="2" fontId="3742" fillId="8" borderId="1" xfId="0" applyNumberFormat="1" applyFont="1" applyFill="1" applyBorder="1" applyAlignment="1">
      <alignment horizontal="center" vertical="center"/>
    </xf>
    <xf numFmtId="2" fontId="3743" fillId="8" borderId="1" xfId="0" applyNumberFormat="1" applyFont="1" applyFill="1" applyBorder="1" applyAlignment="1">
      <alignment horizontal="center" vertical="center"/>
    </xf>
    <xf numFmtId="2" fontId="3744" fillId="8" borderId="1" xfId="0" applyNumberFormat="1" applyFont="1" applyFill="1" applyBorder="1" applyAlignment="1">
      <alignment horizontal="center" vertical="center"/>
    </xf>
    <xf numFmtId="0" fontId="3745" fillId="7" borderId="1" xfId="0" applyNumberFormat="1" applyFont="1" applyFill="1" applyBorder="1" applyAlignment="1">
      <alignment horizontal="left" vertical="center"/>
    </xf>
    <xf numFmtId="0" fontId="3746" fillId="8" borderId="1" xfId="0" applyNumberFormat="1" applyFont="1" applyFill="1" applyBorder="1" applyAlignment="1">
      <alignment horizontal="center" vertical="center"/>
    </xf>
    <xf numFmtId="164" fontId="3747" fillId="8" borderId="1" xfId="0" applyNumberFormat="1" applyFont="1" applyFill="1" applyBorder="1" applyAlignment="1">
      <alignment horizontal="center" vertical="center"/>
    </xf>
    <xf numFmtId="1" fontId="3748" fillId="8" borderId="1" xfId="0" applyNumberFormat="1" applyFont="1" applyFill="1" applyBorder="1" applyAlignment="1">
      <alignment horizontal="center" vertical="center"/>
    </xf>
    <xf numFmtId="1" fontId="3749" fillId="8" borderId="1" xfId="0" applyNumberFormat="1" applyFont="1" applyFill="1" applyBorder="1" applyAlignment="1">
      <alignment horizontal="center" vertical="center"/>
    </xf>
    <xf numFmtId="1" fontId="3750" fillId="8" borderId="1" xfId="0" applyNumberFormat="1" applyFont="1" applyFill="1" applyBorder="1" applyAlignment="1">
      <alignment horizontal="center" vertical="center"/>
    </xf>
    <xf numFmtId="1" fontId="3751" fillId="8" borderId="1" xfId="0" applyNumberFormat="1" applyFont="1" applyFill="1" applyBorder="1" applyAlignment="1">
      <alignment horizontal="center" vertical="center"/>
    </xf>
    <xf numFmtId="1" fontId="3752" fillId="8" borderId="1" xfId="0" applyNumberFormat="1" applyFont="1" applyFill="1" applyBorder="1" applyAlignment="1">
      <alignment horizontal="center" vertical="center"/>
    </xf>
    <xf numFmtId="1" fontId="3753" fillId="8" borderId="1" xfId="0" applyNumberFormat="1" applyFont="1" applyFill="1" applyBorder="1" applyAlignment="1">
      <alignment horizontal="center" vertical="center"/>
    </xf>
    <xf numFmtId="1" fontId="3754" fillId="8" borderId="1" xfId="0" applyNumberFormat="1" applyFont="1" applyFill="1" applyBorder="1" applyAlignment="1">
      <alignment horizontal="center" vertical="center"/>
    </xf>
    <xf numFmtId="0" fontId="3755" fillId="8" borderId="1" xfId="0" applyNumberFormat="1" applyFont="1" applyFill="1" applyBorder="1" applyAlignment="1">
      <alignment horizontal="center" vertical="center"/>
    </xf>
    <xf numFmtId="0" fontId="3756" fillId="8" borderId="1" xfId="0" applyNumberFormat="1" applyFont="1" applyFill="1" applyBorder="1" applyAlignment="1">
      <alignment horizontal="center" vertical="center"/>
    </xf>
    <xf numFmtId="1" fontId="3757" fillId="8" borderId="1" xfId="0" applyNumberFormat="1" applyFont="1" applyFill="1" applyBorder="1" applyAlignment="1">
      <alignment horizontal="center" vertical="center"/>
    </xf>
    <xf numFmtId="1" fontId="3758" fillId="8" borderId="1" xfId="0" applyNumberFormat="1" applyFont="1" applyFill="1" applyBorder="1" applyAlignment="1">
      <alignment horizontal="center" vertical="center"/>
    </xf>
    <xf numFmtId="1" fontId="3759" fillId="8" borderId="1" xfId="0" applyNumberFormat="1" applyFont="1" applyFill="1" applyBorder="1" applyAlignment="1">
      <alignment horizontal="center" vertical="center"/>
    </xf>
    <xf numFmtId="165" fontId="3760" fillId="8" borderId="1" xfId="0" applyNumberFormat="1" applyFont="1" applyFill="1" applyBorder="1" applyAlignment="1">
      <alignment horizontal="center" vertical="center"/>
    </xf>
    <xf numFmtId="1" fontId="3761" fillId="8" borderId="1" xfId="0" applyNumberFormat="1" applyFont="1" applyFill="1" applyBorder="1" applyAlignment="1">
      <alignment horizontal="center" vertical="center"/>
    </xf>
    <xf numFmtId="165" fontId="3762" fillId="8" borderId="1" xfId="0" applyNumberFormat="1" applyFont="1" applyFill="1" applyBorder="1" applyAlignment="1">
      <alignment horizontal="center" vertical="center"/>
    </xf>
    <xf numFmtId="1" fontId="3763" fillId="8" borderId="1" xfId="0" applyNumberFormat="1" applyFont="1" applyFill="1" applyBorder="1" applyAlignment="1">
      <alignment horizontal="center" vertical="center"/>
    </xf>
    <xf numFmtId="165" fontId="3764" fillId="8" borderId="1" xfId="0" applyNumberFormat="1" applyFont="1" applyFill="1" applyBorder="1" applyAlignment="1">
      <alignment horizontal="center" vertical="center"/>
    </xf>
    <xf numFmtId="1" fontId="3765" fillId="8" borderId="1" xfId="0" applyNumberFormat="1" applyFont="1" applyFill="1" applyBorder="1" applyAlignment="1">
      <alignment horizontal="center" vertical="center"/>
    </xf>
    <xf numFmtId="165" fontId="3766" fillId="8" borderId="1" xfId="0" applyNumberFormat="1" applyFont="1" applyFill="1" applyBorder="1" applyAlignment="1">
      <alignment horizontal="center" vertical="center"/>
    </xf>
    <xf numFmtId="165" fontId="3767" fillId="8" borderId="1" xfId="0" applyNumberFormat="1" applyFont="1" applyFill="1" applyBorder="1" applyAlignment="1">
      <alignment horizontal="center" vertical="center"/>
    </xf>
    <xf numFmtId="1" fontId="3768" fillId="8" borderId="1" xfId="0" applyNumberFormat="1" applyFont="1" applyFill="1" applyBorder="1" applyAlignment="1">
      <alignment horizontal="center" vertical="center"/>
    </xf>
    <xf numFmtId="1" fontId="3769" fillId="8" borderId="1" xfId="0" applyNumberFormat="1" applyFont="1" applyFill="1" applyBorder="1" applyAlignment="1">
      <alignment horizontal="center" vertical="center"/>
    </xf>
    <xf numFmtId="1" fontId="3770" fillId="8" borderId="1" xfId="0" applyNumberFormat="1" applyFont="1" applyFill="1" applyBorder="1" applyAlignment="1">
      <alignment horizontal="center" vertical="center"/>
    </xf>
    <xf numFmtId="165" fontId="3771" fillId="8" borderId="1" xfId="0" applyNumberFormat="1" applyFont="1" applyFill="1" applyBorder="1" applyAlignment="1">
      <alignment horizontal="center" vertical="center"/>
    </xf>
    <xf numFmtId="164" fontId="3772" fillId="8" borderId="1" xfId="0" applyNumberFormat="1" applyFont="1" applyFill="1" applyBorder="1" applyAlignment="1">
      <alignment horizontal="center" vertical="center"/>
    </xf>
    <xf numFmtId="164" fontId="3773" fillId="8" borderId="1" xfId="0" applyNumberFormat="1" applyFont="1" applyFill="1" applyBorder="1" applyAlignment="1">
      <alignment horizontal="center" vertical="center"/>
    </xf>
    <xf numFmtId="1" fontId="3774" fillId="8" borderId="1" xfId="0" applyNumberFormat="1" applyFont="1" applyFill="1" applyBorder="1" applyAlignment="1">
      <alignment horizontal="center" vertical="center"/>
    </xf>
    <xf numFmtId="1" fontId="3775" fillId="8" borderId="1" xfId="0" applyNumberFormat="1" applyFont="1" applyFill="1" applyBorder="1" applyAlignment="1">
      <alignment horizontal="center" vertical="center"/>
    </xf>
    <xf numFmtId="1" fontId="3776" fillId="8" borderId="1" xfId="0" applyNumberFormat="1" applyFont="1" applyFill="1" applyBorder="1" applyAlignment="1">
      <alignment horizontal="center" vertical="center"/>
    </xf>
    <xf numFmtId="165" fontId="3777" fillId="8" borderId="1" xfId="0" applyNumberFormat="1" applyFont="1" applyFill="1" applyBorder="1" applyAlignment="1">
      <alignment horizontal="center" vertical="center"/>
    </xf>
    <xf numFmtId="1" fontId="3778" fillId="8" borderId="1" xfId="0" applyNumberFormat="1" applyFont="1" applyFill="1" applyBorder="1" applyAlignment="1">
      <alignment horizontal="center" vertical="center"/>
    </xf>
    <xf numFmtId="165" fontId="3779" fillId="8" borderId="1" xfId="0" applyNumberFormat="1" applyFont="1" applyFill="1" applyBorder="1" applyAlignment="1">
      <alignment horizontal="center" vertical="center"/>
    </xf>
    <xf numFmtId="1" fontId="3780" fillId="8" borderId="1" xfId="0" applyNumberFormat="1" applyFont="1" applyFill="1" applyBorder="1" applyAlignment="1">
      <alignment horizontal="center" vertical="center"/>
    </xf>
    <xf numFmtId="1" fontId="3781" fillId="8" borderId="1" xfId="0" applyNumberFormat="1" applyFont="1" applyFill="1" applyBorder="1" applyAlignment="1">
      <alignment horizontal="center" vertical="center"/>
    </xf>
    <xf numFmtId="1" fontId="3782" fillId="8" borderId="1" xfId="0" applyNumberFormat="1" applyFont="1" applyFill="1" applyBorder="1" applyAlignment="1">
      <alignment horizontal="center" vertical="center"/>
    </xf>
    <xf numFmtId="1" fontId="3783" fillId="8" borderId="1" xfId="0" applyNumberFormat="1" applyFont="1" applyFill="1" applyBorder="1" applyAlignment="1">
      <alignment horizontal="center" vertical="center"/>
    </xf>
    <xf numFmtId="165" fontId="3784" fillId="8" borderId="1" xfId="0" applyNumberFormat="1" applyFont="1" applyFill="1" applyBorder="1" applyAlignment="1">
      <alignment horizontal="center" vertical="center"/>
    </xf>
    <xf numFmtId="1" fontId="3785" fillId="8" borderId="1" xfId="0" applyNumberFormat="1" applyFont="1" applyFill="1" applyBorder="1" applyAlignment="1">
      <alignment horizontal="center" vertical="center"/>
    </xf>
    <xf numFmtId="165" fontId="3786" fillId="8" borderId="1" xfId="0" applyNumberFormat="1" applyFont="1" applyFill="1" applyBorder="1" applyAlignment="1">
      <alignment horizontal="center" vertical="center"/>
    </xf>
    <xf numFmtId="1" fontId="3787" fillId="8" borderId="1" xfId="0" applyNumberFormat="1" applyFont="1" applyFill="1" applyBorder="1" applyAlignment="1">
      <alignment horizontal="center" vertical="center"/>
    </xf>
    <xf numFmtId="165" fontId="3788" fillId="8" borderId="1" xfId="0" applyNumberFormat="1" applyFont="1" applyFill="1" applyBorder="1" applyAlignment="1">
      <alignment horizontal="center" vertical="center"/>
    </xf>
    <xf numFmtId="2" fontId="3789" fillId="8" borderId="1" xfId="0" applyNumberFormat="1" applyFont="1" applyFill="1" applyBorder="1" applyAlignment="1">
      <alignment horizontal="center" vertical="center"/>
    </xf>
    <xf numFmtId="2" fontId="3790" fillId="8" borderId="1" xfId="0" applyNumberFormat="1" applyFont="1" applyFill="1" applyBorder="1" applyAlignment="1">
      <alignment horizontal="center" vertical="center"/>
    </xf>
    <xf numFmtId="2" fontId="3791" fillId="8" borderId="1" xfId="0" applyNumberFormat="1" applyFont="1" applyFill="1" applyBorder="1" applyAlignment="1">
      <alignment horizontal="center" vertical="center"/>
    </xf>
    <xf numFmtId="2" fontId="3792" fillId="8" borderId="1" xfId="0" applyNumberFormat="1" applyFont="1" applyFill="1" applyBorder="1" applyAlignment="1">
      <alignment horizontal="center" vertical="center"/>
    </xf>
    <xf numFmtId="2" fontId="3793" fillId="8" borderId="1" xfId="0" applyNumberFormat="1" applyFont="1" applyFill="1" applyBorder="1" applyAlignment="1">
      <alignment horizontal="center" vertical="center"/>
    </xf>
    <xf numFmtId="2" fontId="3794" fillId="8" borderId="1" xfId="0" applyNumberFormat="1" applyFont="1" applyFill="1" applyBorder="1" applyAlignment="1">
      <alignment horizontal="center" vertical="center"/>
    </xf>
    <xf numFmtId="2" fontId="3795" fillId="8" borderId="1" xfId="0" applyNumberFormat="1" applyFont="1" applyFill="1" applyBorder="1" applyAlignment="1">
      <alignment horizontal="center" vertical="center"/>
    </xf>
    <xf numFmtId="2" fontId="3796" fillId="8" borderId="1" xfId="0" applyNumberFormat="1" applyFont="1" applyFill="1" applyBorder="1" applyAlignment="1">
      <alignment horizontal="center" vertical="center"/>
    </xf>
    <xf numFmtId="2" fontId="3797" fillId="8" borderId="1" xfId="0" applyNumberFormat="1" applyFont="1" applyFill="1" applyBorder="1" applyAlignment="1">
      <alignment horizontal="center" vertical="center"/>
    </xf>
    <xf numFmtId="2" fontId="3798" fillId="8" borderId="1" xfId="0" applyNumberFormat="1" applyFont="1" applyFill="1" applyBorder="1" applyAlignment="1">
      <alignment horizontal="center" vertical="center"/>
    </xf>
    <xf numFmtId="2" fontId="3799" fillId="8" borderId="1" xfId="0" applyNumberFormat="1" applyFont="1" applyFill="1" applyBorder="1" applyAlignment="1">
      <alignment horizontal="center" vertical="center"/>
    </xf>
    <xf numFmtId="2" fontId="3800" fillId="8" borderId="1" xfId="0" applyNumberFormat="1" applyFont="1" applyFill="1" applyBorder="1" applyAlignment="1">
      <alignment horizontal="center" vertical="center"/>
    </xf>
    <xf numFmtId="2" fontId="3801" fillId="8" borderId="1" xfId="0" applyNumberFormat="1" applyFont="1" applyFill="1" applyBorder="1" applyAlignment="1">
      <alignment horizontal="center" vertical="center"/>
    </xf>
    <xf numFmtId="2" fontId="3802" fillId="8" borderId="1" xfId="0" applyNumberFormat="1" applyFont="1" applyFill="1" applyBorder="1" applyAlignment="1">
      <alignment horizontal="center" vertical="center"/>
    </xf>
    <xf numFmtId="2" fontId="3803" fillId="8" borderId="1" xfId="0" applyNumberFormat="1" applyFont="1" applyFill="1" applyBorder="1" applyAlignment="1">
      <alignment horizontal="center" vertical="center"/>
    </xf>
    <xf numFmtId="2" fontId="3804" fillId="8" borderId="1" xfId="0" applyNumberFormat="1" applyFont="1" applyFill="1" applyBorder="1" applyAlignment="1">
      <alignment horizontal="center" vertical="center"/>
    </xf>
    <xf numFmtId="2" fontId="3805" fillId="8" borderId="1" xfId="0" applyNumberFormat="1" applyFont="1" applyFill="1" applyBorder="1" applyAlignment="1">
      <alignment horizontal="center" vertical="center"/>
    </xf>
    <xf numFmtId="2" fontId="3806" fillId="8" borderId="1" xfId="0" applyNumberFormat="1" applyFont="1" applyFill="1" applyBorder="1" applyAlignment="1">
      <alignment horizontal="center" vertical="center"/>
    </xf>
    <xf numFmtId="2" fontId="3807" fillId="8" borderId="1" xfId="0" applyNumberFormat="1" applyFont="1" applyFill="1" applyBorder="1" applyAlignment="1">
      <alignment horizontal="center" vertical="center"/>
    </xf>
    <xf numFmtId="2" fontId="3808" fillId="8" borderId="1" xfId="0" applyNumberFormat="1" applyFont="1" applyFill="1" applyBorder="1" applyAlignment="1">
      <alignment horizontal="center" vertical="center"/>
    </xf>
    <xf numFmtId="2" fontId="3809" fillId="8" borderId="1" xfId="0" applyNumberFormat="1" applyFont="1" applyFill="1" applyBorder="1" applyAlignment="1">
      <alignment horizontal="center" vertical="center"/>
    </xf>
    <xf numFmtId="2" fontId="3810" fillId="8" borderId="1" xfId="0" applyNumberFormat="1" applyFont="1" applyFill="1" applyBorder="1" applyAlignment="1">
      <alignment horizontal="center" vertical="center"/>
    </xf>
    <xf numFmtId="2" fontId="3811" fillId="8" borderId="1" xfId="0" applyNumberFormat="1" applyFont="1" applyFill="1" applyBorder="1" applyAlignment="1">
      <alignment horizontal="center" vertical="center"/>
    </xf>
    <xf numFmtId="2" fontId="3812" fillId="8" borderId="1" xfId="0" applyNumberFormat="1" applyFont="1" applyFill="1" applyBorder="1" applyAlignment="1">
      <alignment horizontal="center" vertical="center"/>
    </xf>
    <xf numFmtId="2" fontId="3813" fillId="8" borderId="1" xfId="0" applyNumberFormat="1" applyFont="1" applyFill="1" applyBorder="1" applyAlignment="1">
      <alignment horizontal="center" vertical="center"/>
    </xf>
    <xf numFmtId="2" fontId="3814" fillId="8" borderId="1" xfId="0" applyNumberFormat="1" applyFont="1" applyFill="1" applyBorder="1" applyAlignment="1">
      <alignment horizontal="center" vertical="center"/>
    </xf>
    <xf numFmtId="2" fontId="3815" fillId="8" borderId="1" xfId="0" applyNumberFormat="1" applyFont="1" applyFill="1" applyBorder="1" applyAlignment="1">
      <alignment horizontal="center" vertical="center"/>
    </xf>
    <xf numFmtId="2" fontId="3816" fillId="8" borderId="1" xfId="0" applyNumberFormat="1" applyFont="1" applyFill="1" applyBorder="1" applyAlignment="1">
      <alignment horizontal="center" vertical="center"/>
    </xf>
    <xf numFmtId="2" fontId="3817" fillId="8" borderId="1" xfId="0" applyNumberFormat="1" applyFont="1" applyFill="1" applyBorder="1" applyAlignment="1">
      <alignment horizontal="center" vertical="center"/>
    </xf>
    <xf numFmtId="2" fontId="3818" fillId="8" borderId="1" xfId="0" applyNumberFormat="1" applyFont="1" applyFill="1" applyBorder="1" applyAlignment="1">
      <alignment horizontal="center" vertical="center"/>
    </xf>
    <xf numFmtId="2" fontId="3819" fillId="8" borderId="1" xfId="0" applyNumberFormat="1" applyFont="1" applyFill="1" applyBorder="1" applyAlignment="1">
      <alignment horizontal="center" vertical="center"/>
    </xf>
    <xf numFmtId="2" fontId="3820" fillId="8" borderId="1" xfId="0" applyNumberFormat="1" applyFont="1" applyFill="1" applyBorder="1" applyAlignment="1">
      <alignment horizontal="center" vertical="center"/>
    </xf>
    <xf numFmtId="2" fontId="3821" fillId="8" borderId="1" xfId="0" applyNumberFormat="1" applyFont="1" applyFill="1" applyBorder="1" applyAlignment="1">
      <alignment horizontal="center" vertical="center"/>
    </xf>
    <xf numFmtId="2" fontId="3822" fillId="8" borderId="1" xfId="0" applyNumberFormat="1" applyFont="1" applyFill="1" applyBorder="1" applyAlignment="1">
      <alignment horizontal="center" vertical="center"/>
    </xf>
    <xf numFmtId="0" fontId="3823" fillId="7" borderId="1" xfId="0" applyNumberFormat="1" applyFont="1" applyFill="1" applyBorder="1" applyAlignment="1">
      <alignment horizontal="left" vertical="center"/>
    </xf>
    <xf numFmtId="0" fontId="3824" fillId="8" borderId="1" xfId="0" applyNumberFormat="1" applyFont="1" applyFill="1" applyBorder="1" applyAlignment="1">
      <alignment horizontal="center" vertical="center"/>
    </xf>
    <xf numFmtId="164" fontId="3825" fillId="8" borderId="1" xfId="0" applyNumberFormat="1" applyFont="1" applyFill="1" applyBorder="1" applyAlignment="1">
      <alignment horizontal="center" vertical="center"/>
    </xf>
    <xf numFmtId="1" fontId="3826" fillId="8" borderId="1" xfId="0" applyNumberFormat="1" applyFont="1" applyFill="1" applyBorder="1" applyAlignment="1">
      <alignment horizontal="center" vertical="center"/>
    </xf>
    <xf numFmtId="1" fontId="3827" fillId="8" borderId="1" xfId="0" applyNumberFormat="1" applyFont="1" applyFill="1" applyBorder="1" applyAlignment="1">
      <alignment horizontal="center" vertical="center"/>
    </xf>
    <xf numFmtId="1" fontId="3828" fillId="8" borderId="1" xfId="0" applyNumberFormat="1" applyFont="1" applyFill="1" applyBorder="1" applyAlignment="1">
      <alignment horizontal="center" vertical="center"/>
    </xf>
    <xf numFmtId="1" fontId="3829" fillId="8" borderId="1" xfId="0" applyNumberFormat="1" applyFont="1" applyFill="1" applyBorder="1" applyAlignment="1">
      <alignment horizontal="center" vertical="center"/>
    </xf>
    <xf numFmtId="1" fontId="3830" fillId="8" borderId="1" xfId="0" applyNumberFormat="1" applyFont="1" applyFill="1" applyBorder="1" applyAlignment="1">
      <alignment horizontal="center" vertical="center"/>
    </xf>
    <xf numFmtId="1" fontId="3831" fillId="8" borderId="1" xfId="0" applyNumberFormat="1" applyFont="1" applyFill="1" applyBorder="1" applyAlignment="1">
      <alignment horizontal="center" vertical="center"/>
    </xf>
    <xf numFmtId="1" fontId="3832" fillId="8" borderId="1" xfId="0" applyNumberFormat="1" applyFont="1" applyFill="1" applyBorder="1" applyAlignment="1">
      <alignment horizontal="center" vertical="center"/>
    </xf>
    <xf numFmtId="0" fontId="3833" fillId="8" borderId="1" xfId="0" applyNumberFormat="1" applyFont="1" applyFill="1" applyBorder="1" applyAlignment="1">
      <alignment horizontal="center" vertical="center"/>
    </xf>
    <xf numFmtId="0" fontId="3834" fillId="8" borderId="1" xfId="0" applyNumberFormat="1" applyFont="1" applyFill="1" applyBorder="1" applyAlignment="1">
      <alignment horizontal="center" vertical="center"/>
    </xf>
    <xf numFmtId="1" fontId="3835" fillId="8" borderId="1" xfId="0" applyNumberFormat="1" applyFont="1" applyFill="1" applyBorder="1" applyAlignment="1">
      <alignment horizontal="center" vertical="center"/>
    </xf>
    <xf numFmtId="1" fontId="3836" fillId="8" borderId="1" xfId="0" applyNumberFormat="1" applyFont="1" applyFill="1" applyBorder="1" applyAlignment="1">
      <alignment horizontal="center" vertical="center"/>
    </xf>
    <xf numFmtId="1" fontId="3837" fillId="8" borderId="1" xfId="0" applyNumberFormat="1" applyFont="1" applyFill="1" applyBorder="1" applyAlignment="1">
      <alignment horizontal="center" vertical="center"/>
    </xf>
    <xf numFmtId="165" fontId="3838" fillId="8" borderId="1" xfId="0" applyNumberFormat="1" applyFont="1" applyFill="1" applyBorder="1" applyAlignment="1">
      <alignment horizontal="center" vertical="center"/>
    </xf>
    <xf numFmtId="1" fontId="3839" fillId="8" borderId="1" xfId="0" applyNumberFormat="1" applyFont="1" applyFill="1" applyBorder="1" applyAlignment="1">
      <alignment horizontal="center" vertical="center"/>
    </xf>
    <xf numFmtId="165" fontId="3840" fillId="8" borderId="1" xfId="0" applyNumberFormat="1" applyFont="1" applyFill="1" applyBorder="1" applyAlignment="1">
      <alignment horizontal="center" vertical="center"/>
    </xf>
    <xf numFmtId="1" fontId="3841" fillId="8" borderId="1" xfId="0" applyNumberFormat="1" applyFont="1" applyFill="1" applyBorder="1" applyAlignment="1">
      <alignment horizontal="center" vertical="center"/>
    </xf>
    <xf numFmtId="165" fontId="3842" fillId="8" borderId="1" xfId="0" applyNumberFormat="1" applyFont="1" applyFill="1" applyBorder="1" applyAlignment="1">
      <alignment horizontal="center" vertical="center"/>
    </xf>
    <xf numFmtId="1" fontId="3843" fillId="8" borderId="1" xfId="0" applyNumberFormat="1" applyFont="1" applyFill="1" applyBorder="1" applyAlignment="1">
      <alignment horizontal="center" vertical="center"/>
    </xf>
    <xf numFmtId="165" fontId="3844" fillId="8" borderId="1" xfId="0" applyNumberFormat="1" applyFont="1" applyFill="1" applyBorder="1" applyAlignment="1">
      <alignment horizontal="center" vertical="center"/>
    </xf>
    <xf numFmtId="165" fontId="3845" fillId="8" borderId="1" xfId="0" applyNumberFormat="1" applyFont="1" applyFill="1" applyBorder="1" applyAlignment="1">
      <alignment horizontal="center" vertical="center"/>
    </xf>
    <xf numFmtId="1" fontId="3846" fillId="8" borderId="1" xfId="0" applyNumberFormat="1" applyFont="1" applyFill="1" applyBorder="1" applyAlignment="1">
      <alignment horizontal="center" vertical="center"/>
    </xf>
    <xf numFmtId="1" fontId="3847" fillId="8" borderId="1" xfId="0" applyNumberFormat="1" applyFont="1" applyFill="1" applyBorder="1" applyAlignment="1">
      <alignment horizontal="center" vertical="center"/>
    </xf>
    <xf numFmtId="1" fontId="3848" fillId="8" borderId="1" xfId="0" applyNumberFormat="1" applyFont="1" applyFill="1" applyBorder="1" applyAlignment="1">
      <alignment horizontal="center" vertical="center"/>
    </xf>
    <xf numFmtId="165" fontId="3849" fillId="8" borderId="1" xfId="0" applyNumberFormat="1" applyFont="1" applyFill="1" applyBorder="1" applyAlignment="1">
      <alignment horizontal="center" vertical="center"/>
    </xf>
    <xf numFmtId="164" fontId="3850" fillId="8" borderId="1" xfId="0" applyNumberFormat="1" applyFont="1" applyFill="1" applyBorder="1" applyAlignment="1">
      <alignment horizontal="center" vertical="center"/>
    </xf>
    <xf numFmtId="164" fontId="3851" fillId="8" borderId="1" xfId="0" applyNumberFormat="1" applyFont="1" applyFill="1" applyBorder="1" applyAlignment="1">
      <alignment horizontal="center" vertical="center"/>
    </xf>
    <xf numFmtId="1" fontId="3852" fillId="8" borderId="1" xfId="0" applyNumberFormat="1" applyFont="1" applyFill="1" applyBorder="1" applyAlignment="1">
      <alignment horizontal="center" vertical="center"/>
    </xf>
    <xf numFmtId="1" fontId="3853" fillId="8" borderId="1" xfId="0" applyNumberFormat="1" applyFont="1" applyFill="1" applyBorder="1" applyAlignment="1">
      <alignment horizontal="center" vertical="center"/>
    </xf>
    <xf numFmtId="1" fontId="3854" fillId="8" borderId="1" xfId="0" applyNumberFormat="1" applyFont="1" applyFill="1" applyBorder="1" applyAlignment="1">
      <alignment horizontal="center" vertical="center"/>
    </xf>
    <xf numFmtId="165" fontId="3855" fillId="8" borderId="1" xfId="0" applyNumberFormat="1" applyFont="1" applyFill="1" applyBorder="1" applyAlignment="1">
      <alignment horizontal="center" vertical="center"/>
    </xf>
    <xf numFmtId="1" fontId="3856" fillId="8" borderId="1" xfId="0" applyNumberFormat="1" applyFont="1" applyFill="1" applyBorder="1" applyAlignment="1">
      <alignment horizontal="center" vertical="center"/>
    </xf>
    <xf numFmtId="165" fontId="3857" fillId="8" borderId="1" xfId="0" applyNumberFormat="1" applyFont="1" applyFill="1" applyBorder="1" applyAlignment="1">
      <alignment horizontal="center" vertical="center"/>
    </xf>
    <xf numFmtId="1" fontId="3858" fillId="8" borderId="1" xfId="0" applyNumberFormat="1" applyFont="1" applyFill="1" applyBorder="1" applyAlignment="1">
      <alignment horizontal="center" vertical="center"/>
    </xf>
    <xf numFmtId="1" fontId="3859" fillId="8" borderId="1" xfId="0" applyNumberFormat="1" applyFont="1" applyFill="1" applyBorder="1" applyAlignment="1">
      <alignment horizontal="center" vertical="center"/>
    </xf>
    <xf numFmtId="1" fontId="3860" fillId="8" borderId="1" xfId="0" applyNumberFormat="1" applyFont="1" applyFill="1" applyBorder="1" applyAlignment="1">
      <alignment horizontal="center" vertical="center"/>
    </xf>
    <xf numFmtId="1" fontId="3861" fillId="8" borderId="1" xfId="0" applyNumberFormat="1" applyFont="1" applyFill="1" applyBorder="1" applyAlignment="1">
      <alignment horizontal="center" vertical="center"/>
    </xf>
    <xf numFmtId="165" fontId="3862" fillId="8" borderId="1" xfId="0" applyNumberFormat="1" applyFont="1" applyFill="1" applyBorder="1" applyAlignment="1">
      <alignment horizontal="center" vertical="center"/>
    </xf>
    <xf numFmtId="1" fontId="3863" fillId="8" borderId="1" xfId="0" applyNumberFormat="1" applyFont="1" applyFill="1" applyBorder="1" applyAlignment="1">
      <alignment horizontal="center" vertical="center"/>
    </xf>
    <xf numFmtId="165" fontId="3864" fillId="8" borderId="1" xfId="0" applyNumberFormat="1" applyFont="1" applyFill="1" applyBorder="1" applyAlignment="1">
      <alignment horizontal="center" vertical="center"/>
    </xf>
    <xf numFmtId="1" fontId="3865" fillId="8" borderId="1" xfId="0" applyNumberFormat="1" applyFont="1" applyFill="1" applyBorder="1" applyAlignment="1">
      <alignment horizontal="center" vertical="center"/>
    </xf>
    <xf numFmtId="165" fontId="3866" fillId="8" borderId="1" xfId="0" applyNumberFormat="1" applyFont="1" applyFill="1" applyBorder="1" applyAlignment="1">
      <alignment horizontal="center" vertical="center"/>
    </xf>
    <xf numFmtId="2" fontId="3867" fillId="8" borderId="1" xfId="0" applyNumberFormat="1" applyFont="1" applyFill="1" applyBorder="1" applyAlignment="1">
      <alignment horizontal="center" vertical="center"/>
    </xf>
    <xf numFmtId="2" fontId="3868" fillId="8" borderId="1" xfId="0" applyNumberFormat="1" applyFont="1" applyFill="1" applyBorder="1" applyAlignment="1">
      <alignment horizontal="center" vertical="center"/>
    </xf>
    <xf numFmtId="2" fontId="3869" fillId="8" borderId="1" xfId="0" applyNumberFormat="1" applyFont="1" applyFill="1" applyBorder="1" applyAlignment="1">
      <alignment horizontal="center" vertical="center"/>
    </xf>
    <xf numFmtId="2" fontId="3870" fillId="8" borderId="1" xfId="0" applyNumberFormat="1" applyFont="1" applyFill="1" applyBorder="1" applyAlignment="1">
      <alignment horizontal="center" vertical="center"/>
    </xf>
    <xf numFmtId="2" fontId="3871" fillId="8" borderId="1" xfId="0" applyNumberFormat="1" applyFont="1" applyFill="1" applyBorder="1" applyAlignment="1">
      <alignment horizontal="center" vertical="center"/>
    </xf>
    <xf numFmtId="2" fontId="3872" fillId="8" borderId="1" xfId="0" applyNumberFormat="1" applyFont="1" applyFill="1" applyBorder="1" applyAlignment="1">
      <alignment horizontal="center" vertical="center"/>
    </xf>
    <xf numFmtId="2" fontId="3873" fillId="8" borderId="1" xfId="0" applyNumberFormat="1" applyFont="1" applyFill="1" applyBorder="1" applyAlignment="1">
      <alignment horizontal="center" vertical="center"/>
    </xf>
    <xf numFmtId="2" fontId="3874" fillId="8" borderId="1" xfId="0" applyNumberFormat="1" applyFont="1" applyFill="1" applyBorder="1" applyAlignment="1">
      <alignment horizontal="center" vertical="center"/>
    </xf>
    <xf numFmtId="2" fontId="3875" fillId="8" borderId="1" xfId="0" applyNumberFormat="1" applyFont="1" applyFill="1" applyBorder="1" applyAlignment="1">
      <alignment horizontal="center" vertical="center"/>
    </xf>
    <xf numFmtId="2" fontId="3876" fillId="8" borderId="1" xfId="0" applyNumberFormat="1" applyFont="1" applyFill="1" applyBorder="1" applyAlignment="1">
      <alignment horizontal="center" vertical="center"/>
    </xf>
    <xf numFmtId="2" fontId="3877" fillId="8" borderId="1" xfId="0" applyNumberFormat="1" applyFont="1" applyFill="1" applyBorder="1" applyAlignment="1">
      <alignment horizontal="center" vertical="center"/>
    </xf>
    <xf numFmtId="2" fontId="3878" fillId="8" borderId="1" xfId="0" applyNumberFormat="1" applyFont="1" applyFill="1" applyBorder="1" applyAlignment="1">
      <alignment horizontal="center" vertical="center"/>
    </xf>
    <xf numFmtId="2" fontId="3879" fillId="8" borderId="1" xfId="0" applyNumberFormat="1" applyFont="1" applyFill="1" applyBorder="1" applyAlignment="1">
      <alignment horizontal="center" vertical="center"/>
    </xf>
    <xf numFmtId="2" fontId="3880" fillId="8" borderId="1" xfId="0" applyNumberFormat="1" applyFont="1" applyFill="1" applyBorder="1" applyAlignment="1">
      <alignment horizontal="center" vertical="center"/>
    </xf>
    <xf numFmtId="2" fontId="3881" fillId="8" borderId="1" xfId="0" applyNumberFormat="1" applyFont="1" applyFill="1" applyBorder="1" applyAlignment="1">
      <alignment horizontal="center" vertical="center"/>
    </xf>
    <xf numFmtId="2" fontId="3882" fillId="8" borderId="1" xfId="0" applyNumberFormat="1" applyFont="1" applyFill="1" applyBorder="1" applyAlignment="1">
      <alignment horizontal="center" vertical="center"/>
    </xf>
    <xf numFmtId="2" fontId="3883" fillId="8" borderId="1" xfId="0" applyNumberFormat="1" applyFont="1" applyFill="1" applyBorder="1" applyAlignment="1">
      <alignment horizontal="center" vertical="center"/>
    </xf>
    <xf numFmtId="2" fontId="3884" fillId="8" borderId="1" xfId="0" applyNumberFormat="1" applyFont="1" applyFill="1" applyBorder="1" applyAlignment="1">
      <alignment horizontal="center" vertical="center"/>
    </xf>
    <xf numFmtId="2" fontId="3885" fillId="8" borderId="1" xfId="0" applyNumberFormat="1" applyFont="1" applyFill="1" applyBorder="1" applyAlignment="1">
      <alignment horizontal="center" vertical="center"/>
    </xf>
    <xf numFmtId="2" fontId="3886" fillId="8" borderId="1" xfId="0" applyNumberFormat="1" applyFont="1" applyFill="1" applyBorder="1" applyAlignment="1">
      <alignment horizontal="center" vertical="center"/>
    </xf>
    <xf numFmtId="2" fontId="3887" fillId="8" borderId="1" xfId="0" applyNumberFormat="1" applyFont="1" applyFill="1" applyBorder="1" applyAlignment="1">
      <alignment horizontal="center" vertical="center"/>
    </xf>
    <xf numFmtId="2" fontId="3888" fillId="8" borderId="1" xfId="0" applyNumberFormat="1" applyFont="1" applyFill="1" applyBorder="1" applyAlignment="1">
      <alignment horizontal="center" vertical="center"/>
    </xf>
    <xf numFmtId="2" fontId="3889" fillId="8" borderId="1" xfId="0" applyNumberFormat="1" applyFont="1" applyFill="1" applyBorder="1" applyAlignment="1">
      <alignment horizontal="center" vertical="center"/>
    </xf>
    <xf numFmtId="2" fontId="3890" fillId="8" borderId="1" xfId="0" applyNumberFormat="1" applyFont="1" applyFill="1" applyBorder="1" applyAlignment="1">
      <alignment horizontal="center" vertical="center"/>
    </xf>
    <xf numFmtId="2" fontId="3891" fillId="8" borderId="1" xfId="0" applyNumberFormat="1" applyFont="1" applyFill="1" applyBorder="1" applyAlignment="1">
      <alignment horizontal="center" vertical="center"/>
    </xf>
    <xf numFmtId="2" fontId="3892" fillId="8" borderId="1" xfId="0" applyNumberFormat="1" applyFont="1" applyFill="1" applyBorder="1" applyAlignment="1">
      <alignment horizontal="center" vertical="center"/>
    </xf>
    <xf numFmtId="2" fontId="3893" fillId="8" borderId="1" xfId="0" applyNumberFormat="1" applyFont="1" applyFill="1" applyBorder="1" applyAlignment="1">
      <alignment horizontal="center" vertical="center"/>
    </xf>
    <xf numFmtId="2" fontId="3894" fillId="8" borderId="1" xfId="0" applyNumberFormat="1" applyFont="1" applyFill="1" applyBorder="1" applyAlignment="1">
      <alignment horizontal="center" vertical="center"/>
    </xf>
    <xf numFmtId="2" fontId="3895" fillId="8" borderId="1" xfId="0" applyNumberFormat="1" applyFont="1" applyFill="1" applyBorder="1" applyAlignment="1">
      <alignment horizontal="center" vertical="center"/>
    </xf>
    <xf numFmtId="2" fontId="3896" fillId="8" borderId="1" xfId="0" applyNumberFormat="1" applyFont="1" applyFill="1" applyBorder="1" applyAlignment="1">
      <alignment horizontal="center" vertical="center"/>
    </xf>
    <xf numFmtId="2" fontId="3897" fillId="8" borderId="1" xfId="0" applyNumberFormat="1" applyFont="1" applyFill="1" applyBorder="1" applyAlignment="1">
      <alignment horizontal="center" vertical="center"/>
    </xf>
    <xf numFmtId="2" fontId="3898" fillId="8" borderId="1" xfId="0" applyNumberFormat="1" applyFont="1" applyFill="1" applyBorder="1" applyAlignment="1">
      <alignment horizontal="center" vertical="center"/>
    </xf>
    <xf numFmtId="2" fontId="3899" fillId="8" borderId="1" xfId="0" applyNumberFormat="1" applyFont="1" applyFill="1" applyBorder="1" applyAlignment="1">
      <alignment horizontal="center" vertical="center"/>
    </xf>
    <xf numFmtId="2" fontId="3900" fillId="8" borderId="1" xfId="0" applyNumberFormat="1" applyFont="1" applyFill="1" applyBorder="1" applyAlignment="1">
      <alignment horizontal="center" vertical="center"/>
    </xf>
    <xf numFmtId="0" fontId="3901" fillId="7" borderId="1" xfId="0" applyNumberFormat="1" applyFont="1" applyFill="1" applyBorder="1" applyAlignment="1">
      <alignment horizontal="left" vertical="center"/>
    </xf>
    <xf numFmtId="0" fontId="3902" fillId="8" borderId="1" xfId="0" applyNumberFormat="1" applyFont="1" applyFill="1" applyBorder="1" applyAlignment="1">
      <alignment horizontal="center" vertical="center"/>
    </xf>
    <xf numFmtId="164" fontId="3903" fillId="8" borderId="1" xfId="0" applyNumberFormat="1" applyFont="1" applyFill="1" applyBorder="1" applyAlignment="1">
      <alignment horizontal="center" vertical="center"/>
    </xf>
    <xf numFmtId="1" fontId="3904" fillId="8" borderId="1" xfId="0" applyNumberFormat="1" applyFont="1" applyFill="1" applyBorder="1" applyAlignment="1">
      <alignment horizontal="center" vertical="center"/>
    </xf>
    <xf numFmtId="1" fontId="3905" fillId="8" borderId="1" xfId="0" applyNumberFormat="1" applyFont="1" applyFill="1" applyBorder="1" applyAlignment="1">
      <alignment horizontal="center" vertical="center"/>
    </xf>
    <xf numFmtId="1" fontId="3906" fillId="8" borderId="1" xfId="0" applyNumberFormat="1" applyFont="1" applyFill="1" applyBorder="1" applyAlignment="1">
      <alignment horizontal="center" vertical="center"/>
    </xf>
    <xf numFmtId="1" fontId="3907" fillId="8" borderId="1" xfId="0" applyNumberFormat="1" applyFont="1" applyFill="1" applyBorder="1" applyAlignment="1">
      <alignment horizontal="center" vertical="center"/>
    </xf>
    <xf numFmtId="1" fontId="3908" fillId="8" borderId="1" xfId="0" applyNumberFormat="1" applyFont="1" applyFill="1" applyBorder="1" applyAlignment="1">
      <alignment horizontal="center" vertical="center"/>
    </xf>
    <xf numFmtId="1" fontId="3909" fillId="8" borderId="1" xfId="0" applyNumberFormat="1" applyFont="1" applyFill="1" applyBorder="1" applyAlignment="1">
      <alignment horizontal="center" vertical="center"/>
    </xf>
    <xf numFmtId="1" fontId="3910" fillId="8" borderId="1" xfId="0" applyNumberFormat="1" applyFont="1" applyFill="1" applyBorder="1" applyAlignment="1">
      <alignment horizontal="center" vertical="center"/>
    </xf>
    <xf numFmtId="0" fontId="3911" fillId="8" borderId="1" xfId="0" applyNumberFormat="1" applyFont="1" applyFill="1" applyBorder="1" applyAlignment="1">
      <alignment horizontal="center" vertical="center"/>
    </xf>
    <xf numFmtId="0" fontId="3912" fillId="8" borderId="1" xfId="0" applyNumberFormat="1" applyFont="1" applyFill="1" applyBorder="1" applyAlignment="1">
      <alignment horizontal="center" vertical="center"/>
    </xf>
    <xf numFmtId="1" fontId="3913" fillId="8" borderId="1" xfId="0" applyNumberFormat="1" applyFont="1" applyFill="1" applyBorder="1" applyAlignment="1">
      <alignment horizontal="center" vertical="center"/>
    </xf>
    <xf numFmtId="1" fontId="3914" fillId="8" borderId="1" xfId="0" applyNumberFormat="1" applyFont="1" applyFill="1" applyBorder="1" applyAlignment="1">
      <alignment horizontal="center" vertical="center"/>
    </xf>
    <xf numFmtId="1" fontId="3915" fillId="8" borderId="1" xfId="0" applyNumberFormat="1" applyFont="1" applyFill="1" applyBorder="1" applyAlignment="1">
      <alignment horizontal="center" vertical="center"/>
    </xf>
    <xf numFmtId="165" fontId="3916" fillId="8" borderId="1" xfId="0" applyNumberFormat="1" applyFont="1" applyFill="1" applyBorder="1" applyAlignment="1">
      <alignment horizontal="center" vertical="center"/>
    </xf>
    <xf numFmtId="1" fontId="3917" fillId="8" borderId="1" xfId="0" applyNumberFormat="1" applyFont="1" applyFill="1" applyBorder="1" applyAlignment="1">
      <alignment horizontal="center" vertical="center"/>
    </xf>
    <xf numFmtId="165" fontId="3918" fillId="8" borderId="1" xfId="0" applyNumberFormat="1" applyFont="1" applyFill="1" applyBorder="1" applyAlignment="1">
      <alignment horizontal="center" vertical="center"/>
    </xf>
    <xf numFmtId="1" fontId="3919" fillId="8" borderId="1" xfId="0" applyNumberFormat="1" applyFont="1" applyFill="1" applyBorder="1" applyAlignment="1">
      <alignment horizontal="center" vertical="center"/>
    </xf>
    <xf numFmtId="165" fontId="3920" fillId="8" borderId="1" xfId="0" applyNumberFormat="1" applyFont="1" applyFill="1" applyBorder="1" applyAlignment="1">
      <alignment horizontal="center" vertical="center"/>
    </xf>
    <xf numFmtId="1" fontId="3921" fillId="8" borderId="1" xfId="0" applyNumberFormat="1" applyFont="1" applyFill="1" applyBorder="1" applyAlignment="1">
      <alignment horizontal="center" vertical="center"/>
    </xf>
    <xf numFmtId="165" fontId="3922" fillId="8" borderId="1" xfId="0" applyNumberFormat="1" applyFont="1" applyFill="1" applyBorder="1" applyAlignment="1">
      <alignment horizontal="center" vertical="center"/>
    </xf>
    <xf numFmtId="165" fontId="3923" fillId="8" borderId="1" xfId="0" applyNumberFormat="1" applyFont="1" applyFill="1" applyBorder="1" applyAlignment="1">
      <alignment horizontal="center" vertical="center"/>
    </xf>
    <xf numFmtId="1" fontId="3924" fillId="8" borderId="1" xfId="0" applyNumberFormat="1" applyFont="1" applyFill="1" applyBorder="1" applyAlignment="1">
      <alignment horizontal="center" vertical="center"/>
    </xf>
    <xf numFmtId="1" fontId="3925" fillId="8" borderId="1" xfId="0" applyNumberFormat="1" applyFont="1" applyFill="1" applyBorder="1" applyAlignment="1">
      <alignment horizontal="center" vertical="center"/>
    </xf>
    <xf numFmtId="1" fontId="3926" fillId="8" borderId="1" xfId="0" applyNumberFormat="1" applyFont="1" applyFill="1" applyBorder="1" applyAlignment="1">
      <alignment horizontal="center" vertical="center"/>
    </xf>
    <xf numFmtId="165" fontId="3927" fillId="8" borderId="1" xfId="0" applyNumberFormat="1" applyFont="1" applyFill="1" applyBorder="1" applyAlignment="1">
      <alignment horizontal="center" vertical="center"/>
    </xf>
    <xf numFmtId="164" fontId="3928" fillId="8" borderId="1" xfId="0" applyNumberFormat="1" applyFont="1" applyFill="1" applyBorder="1" applyAlignment="1">
      <alignment horizontal="center" vertical="center"/>
    </xf>
    <xf numFmtId="164" fontId="3929" fillId="8" borderId="1" xfId="0" applyNumberFormat="1" applyFont="1" applyFill="1" applyBorder="1" applyAlignment="1">
      <alignment horizontal="center" vertical="center"/>
    </xf>
    <xf numFmtId="1" fontId="3930" fillId="8" borderId="1" xfId="0" applyNumberFormat="1" applyFont="1" applyFill="1" applyBorder="1" applyAlignment="1">
      <alignment horizontal="center" vertical="center"/>
    </xf>
    <xf numFmtId="1" fontId="3931" fillId="8" borderId="1" xfId="0" applyNumberFormat="1" applyFont="1" applyFill="1" applyBorder="1" applyAlignment="1">
      <alignment horizontal="center" vertical="center"/>
    </xf>
    <xf numFmtId="1" fontId="3932" fillId="8" borderId="1" xfId="0" applyNumberFormat="1" applyFont="1" applyFill="1" applyBorder="1" applyAlignment="1">
      <alignment horizontal="center" vertical="center"/>
    </xf>
    <xf numFmtId="165" fontId="3933" fillId="8" borderId="1" xfId="0" applyNumberFormat="1" applyFont="1" applyFill="1" applyBorder="1" applyAlignment="1">
      <alignment horizontal="center" vertical="center"/>
    </xf>
    <xf numFmtId="1" fontId="3934" fillId="8" borderId="1" xfId="0" applyNumberFormat="1" applyFont="1" applyFill="1" applyBorder="1" applyAlignment="1">
      <alignment horizontal="center" vertical="center"/>
    </xf>
    <xf numFmtId="165" fontId="3935" fillId="8" borderId="1" xfId="0" applyNumberFormat="1" applyFont="1" applyFill="1" applyBorder="1" applyAlignment="1">
      <alignment horizontal="center" vertical="center"/>
    </xf>
    <xf numFmtId="1" fontId="3936" fillId="8" borderId="1" xfId="0" applyNumberFormat="1" applyFont="1" applyFill="1" applyBorder="1" applyAlignment="1">
      <alignment horizontal="center" vertical="center"/>
    </xf>
    <xf numFmtId="1" fontId="3937" fillId="8" borderId="1" xfId="0" applyNumberFormat="1" applyFont="1" applyFill="1" applyBorder="1" applyAlignment="1">
      <alignment horizontal="center" vertical="center"/>
    </xf>
    <xf numFmtId="1" fontId="3938" fillId="8" borderId="1" xfId="0" applyNumberFormat="1" applyFont="1" applyFill="1" applyBorder="1" applyAlignment="1">
      <alignment horizontal="center" vertical="center"/>
    </xf>
    <xf numFmtId="1" fontId="3939" fillId="8" borderId="1" xfId="0" applyNumberFormat="1" applyFont="1" applyFill="1" applyBorder="1" applyAlignment="1">
      <alignment horizontal="center" vertical="center"/>
    </xf>
    <xf numFmtId="165" fontId="3940" fillId="8" borderId="1" xfId="0" applyNumberFormat="1" applyFont="1" applyFill="1" applyBorder="1" applyAlignment="1">
      <alignment horizontal="center" vertical="center"/>
    </xf>
    <xf numFmtId="1" fontId="3941" fillId="8" borderId="1" xfId="0" applyNumberFormat="1" applyFont="1" applyFill="1" applyBorder="1" applyAlignment="1">
      <alignment horizontal="center" vertical="center"/>
    </xf>
    <xf numFmtId="165" fontId="3942" fillId="8" borderId="1" xfId="0" applyNumberFormat="1" applyFont="1" applyFill="1" applyBorder="1" applyAlignment="1">
      <alignment horizontal="center" vertical="center"/>
    </xf>
    <xf numFmtId="1" fontId="3943" fillId="8" borderId="1" xfId="0" applyNumberFormat="1" applyFont="1" applyFill="1" applyBorder="1" applyAlignment="1">
      <alignment horizontal="center" vertical="center"/>
    </xf>
    <xf numFmtId="165" fontId="3944" fillId="8" borderId="1" xfId="0" applyNumberFormat="1" applyFont="1" applyFill="1" applyBorder="1" applyAlignment="1">
      <alignment horizontal="center" vertical="center"/>
    </xf>
    <xf numFmtId="2" fontId="3945" fillId="8" borderId="1" xfId="0" applyNumberFormat="1" applyFont="1" applyFill="1" applyBorder="1" applyAlignment="1">
      <alignment horizontal="center" vertical="center"/>
    </xf>
    <xf numFmtId="2" fontId="3946" fillId="8" borderId="1" xfId="0" applyNumberFormat="1" applyFont="1" applyFill="1" applyBorder="1" applyAlignment="1">
      <alignment horizontal="center" vertical="center"/>
    </xf>
    <xf numFmtId="2" fontId="3947" fillId="8" borderId="1" xfId="0" applyNumberFormat="1" applyFont="1" applyFill="1" applyBorder="1" applyAlignment="1">
      <alignment horizontal="center" vertical="center"/>
    </xf>
    <xf numFmtId="2" fontId="3948" fillId="8" borderId="1" xfId="0" applyNumberFormat="1" applyFont="1" applyFill="1" applyBorder="1" applyAlignment="1">
      <alignment horizontal="center" vertical="center"/>
    </xf>
    <xf numFmtId="2" fontId="3949" fillId="8" borderId="1" xfId="0" applyNumberFormat="1" applyFont="1" applyFill="1" applyBorder="1" applyAlignment="1">
      <alignment horizontal="center" vertical="center"/>
    </xf>
    <xf numFmtId="2" fontId="3950" fillId="8" borderId="1" xfId="0" applyNumberFormat="1" applyFont="1" applyFill="1" applyBorder="1" applyAlignment="1">
      <alignment horizontal="center" vertical="center"/>
    </xf>
    <xf numFmtId="2" fontId="3951" fillId="8" borderId="1" xfId="0" applyNumberFormat="1" applyFont="1" applyFill="1" applyBorder="1" applyAlignment="1">
      <alignment horizontal="center" vertical="center"/>
    </xf>
    <xf numFmtId="2" fontId="3952" fillId="8" borderId="1" xfId="0" applyNumberFormat="1" applyFont="1" applyFill="1" applyBorder="1" applyAlignment="1">
      <alignment horizontal="center" vertical="center"/>
    </xf>
    <xf numFmtId="2" fontId="3953" fillId="8" borderId="1" xfId="0" applyNumberFormat="1" applyFont="1" applyFill="1" applyBorder="1" applyAlignment="1">
      <alignment horizontal="center" vertical="center"/>
    </xf>
    <xf numFmtId="2" fontId="3954" fillId="8" borderId="1" xfId="0" applyNumberFormat="1" applyFont="1" applyFill="1" applyBorder="1" applyAlignment="1">
      <alignment horizontal="center" vertical="center"/>
    </xf>
    <xf numFmtId="2" fontId="3955" fillId="8" borderId="1" xfId="0" applyNumberFormat="1" applyFont="1" applyFill="1" applyBorder="1" applyAlignment="1">
      <alignment horizontal="center" vertical="center"/>
    </xf>
    <xf numFmtId="2" fontId="3956" fillId="8" borderId="1" xfId="0" applyNumberFormat="1" applyFont="1" applyFill="1" applyBorder="1" applyAlignment="1">
      <alignment horizontal="center" vertical="center"/>
    </xf>
    <xf numFmtId="2" fontId="3957" fillId="8" borderId="1" xfId="0" applyNumberFormat="1" applyFont="1" applyFill="1" applyBorder="1" applyAlignment="1">
      <alignment horizontal="center" vertical="center"/>
    </xf>
    <xf numFmtId="2" fontId="3958" fillId="8" borderId="1" xfId="0" applyNumberFormat="1" applyFont="1" applyFill="1" applyBorder="1" applyAlignment="1">
      <alignment horizontal="center" vertical="center"/>
    </xf>
    <xf numFmtId="2" fontId="3959" fillId="8" borderId="1" xfId="0" applyNumberFormat="1" applyFont="1" applyFill="1" applyBorder="1" applyAlignment="1">
      <alignment horizontal="center" vertical="center"/>
    </xf>
    <xf numFmtId="2" fontId="3960" fillId="8" borderId="1" xfId="0" applyNumberFormat="1" applyFont="1" applyFill="1" applyBorder="1" applyAlignment="1">
      <alignment horizontal="center" vertical="center"/>
    </xf>
    <xf numFmtId="2" fontId="3961" fillId="8" borderId="1" xfId="0" applyNumberFormat="1" applyFont="1" applyFill="1" applyBorder="1" applyAlignment="1">
      <alignment horizontal="center" vertical="center"/>
    </xf>
    <xf numFmtId="2" fontId="3962" fillId="8" borderId="1" xfId="0" applyNumberFormat="1" applyFont="1" applyFill="1" applyBorder="1" applyAlignment="1">
      <alignment horizontal="center" vertical="center"/>
    </xf>
    <xf numFmtId="2" fontId="3963" fillId="8" borderId="1" xfId="0" applyNumberFormat="1" applyFont="1" applyFill="1" applyBorder="1" applyAlignment="1">
      <alignment horizontal="center" vertical="center"/>
    </xf>
    <xf numFmtId="2" fontId="3964" fillId="8" borderId="1" xfId="0" applyNumberFormat="1" applyFont="1" applyFill="1" applyBorder="1" applyAlignment="1">
      <alignment horizontal="center" vertical="center"/>
    </xf>
    <xf numFmtId="2" fontId="3965" fillId="8" borderId="1" xfId="0" applyNumberFormat="1" applyFont="1" applyFill="1" applyBorder="1" applyAlignment="1">
      <alignment horizontal="center" vertical="center"/>
    </xf>
    <xf numFmtId="2" fontId="3966" fillId="8" borderId="1" xfId="0" applyNumberFormat="1" applyFont="1" applyFill="1" applyBorder="1" applyAlignment="1">
      <alignment horizontal="center" vertical="center"/>
    </xf>
    <xf numFmtId="2" fontId="3967" fillId="8" borderId="1" xfId="0" applyNumberFormat="1" applyFont="1" applyFill="1" applyBorder="1" applyAlignment="1">
      <alignment horizontal="center" vertical="center"/>
    </xf>
    <xf numFmtId="2" fontId="3968" fillId="8" borderId="1" xfId="0" applyNumberFormat="1" applyFont="1" applyFill="1" applyBorder="1" applyAlignment="1">
      <alignment horizontal="center" vertical="center"/>
    </xf>
    <xf numFmtId="2" fontId="3969" fillId="8" borderId="1" xfId="0" applyNumberFormat="1" applyFont="1" applyFill="1" applyBorder="1" applyAlignment="1">
      <alignment horizontal="center" vertical="center"/>
    </xf>
    <xf numFmtId="2" fontId="3970" fillId="8" borderId="1" xfId="0" applyNumberFormat="1" applyFont="1" applyFill="1" applyBorder="1" applyAlignment="1">
      <alignment horizontal="center" vertical="center"/>
    </xf>
    <xf numFmtId="2" fontId="3971" fillId="8" borderId="1" xfId="0" applyNumberFormat="1" applyFont="1" applyFill="1" applyBorder="1" applyAlignment="1">
      <alignment horizontal="center" vertical="center"/>
    </xf>
    <xf numFmtId="2" fontId="3972" fillId="8" borderId="1" xfId="0" applyNumberFormat="1" applyFont="1" applyFill="1" applyBorder="1" applyAlignment="1">
      <alignment horizontal="center" vertical="center"/>
    </xf>
    <xf numFmtId="2" fontId="3973" fillId="8" borderId="1" xfId="0" applyNumberFormat="1" applyFont="1" applyFill="1" applyBorder="1" applyAlignment="1">
      <alignment horizontal="center" vertical="center"/>
    </xf>
    <xf numFmtId="2" fontId="3974" fillId="8" borderId="1" xfId="0" applyNumberFormat="1" applyFont="1" applyFill="1" applyBorder="1" applyAlignment="1">
      <alignment horizontal="center" vertical="center"/>
    </xf>
    <xf numFmtId="2" fontId="3975" fillId="8" borderId="1" xfId="0" applyNumberFormat="1" applyFont="1" applyFill="1" applyBorder="1" applyAlignment="1">
      <alignment horizontal="center" vertical="center"/>
    </xf>
    <xf numFmtId="2" fontId="3976" fillId="8" borderId="1" xfId="0" applyNumberFormat="1" applyFont="1" applyFill="1" applyBorder="1" applyAlignment="1">
      <alignment horizontal="center" vertical="center"/>
    </xf>
    <xf numFmtId="2" fontId="3977" fillId="8" borderId="1" xfId="0" applyNumberFormat="1" applyFont="1" applyFill="1" applyBorder="1" applyAlignment="1">
      <alignment horizontal="center" vertical="center"/>
    </xf>
    <xf numFmtId="2" fontId="3978" fillId="8" borderId="1" xfId="0" applyNumberFormat="1" applyFont="1" applyFill="1" applyBorder="1" applyAlignment="1">
      <alignment horizontal="center" vertical="center"/>
    </xf>
    <xf numFmtId="0" fontId="3979" fillId="7" borderId="1" xfId="0" applyNumberFormat="1" applyFont="1" applyFill="1" applyBorder="1" applyAlignment="1">
      <alignment horizontal="left" vertical="center"/>
    </xf>
    <xf numFmtId="0" fontId="3980" fillId="8" borderId="1" xfId="0" applyNumberFormat="1" applyFont="1" applyFill="1" applyBorder="1" applyAlignment="1">
      <alignment horizontal="center" vertical="center"/>
    </xf>
    <xf numFmtId="164" fontId="3981" fillId="8" borderId="1" xfId="0" applyNumberFormat="1" applyFont="1" applyFill="1" applyBorder="1" applyAlignment="1">
      <alignment horizontal="center" vertical="center"/>
    </xf>
    <xf numFmtId="1" fontId="3982" fillId="8" borderId="1" xfId="0" applyNumberFormat="1" applyFont="1" applyFill="1" applyBorder="1" applyAlignment="1">
      <alignment horizontal="center" vertical="center"/>
    </xf>
    <xf numFmtId="1" fontId="3983" fillId="8" borderId="1" xfId="0" applyNumberFormat="1" applyFont="1" applyFill="1" applyBorder="1" applyAlignment="1">
      <alignment horizontal="center" vertical="center"/>
    </xf>
    <xf numFmtId="1" fontId="3984" fillId="8" borderId="1" xfId="0" applyNumberFormat="1" applyFont="1" applyFill="1" applyBorder="1" applyAlignment="1">
      <alignment horizontal="center" vertical="center"/>
    </xf>
    <xf numFmtId="1" fontId="3985" fillId="8" borderId="1" xfId="0" applyNumberFormat="1" applyFont="1" applyFill="1" applyBorder="1" applyAlignment="1">
      <alignment horizontal="center" vertical="center"/>
    </xf>
    <xf numFmtId="1" fontId="3986" fillId="8" borderId="1" xfId="0" applyNumberFormat="1" applyFont="1" applyFill="1" applyBorder="1" applyAlignment="1">
      <alignment horizontal="center" vertical="center"/>
    </xf>
    <xf numFmtId="1" fontId="3987" fillId="8" borderId="1" xfId="0" applyNumberFormat="1" applyFont="1" applyFill="1" applyBorder="1" applyAlignment="1">
      <alignment horizontal="center" vertical="center"/>
    </xf>
    <xf numFmtId="1" fontId="3988" fillId="8" borderId="1" xfId="0" applyNumberFormat="1" applyFont="1" applyFill="1" applyBorder="1" applyAlignment="1">
      <alignment horizontal="center" vertical="center"/>
    </xf>
    <xf numFmtId="0" fontId="3989" fillId="8" borderId="1" xfId="0" applyNumberFormat="1" applyFont="1" applyFill="1" applyBorder="1" applyAlignment="1">
      <alignment horizontal="center" vertical="center"/>
    </xf>
    <xf numFmtId="0" fontId="3990" fillId="8" borderId="1" xfId="0" applyNumberFormat="1" applyFont="1" applyFill="1" applyBorder="1" applyAlignment="1">
      <alignment horizontal="center" vertical="center"/>
    </xf>
    <xf numFmtId="1" fontId="3991" fillId="8" borderId="1" xfId="0" applyNumberFormat="1" applyFont="1" applyFill="1" applyBorder="1" applyAlignment="1">
      <alignment horizontal="center" vertical="center"/>
    </xf>
    <xf numFmtId="1" fontId="3992" fillId="8" borderId="1" xfId="0" applyNumberFormat="1" applyFont="1" applyFill="1" applyBorder="1" applyAlignment="1">
      <alignment horizontal="center" vertical="center"/>
    </xf>
    <xf numFmtId="1" fontId="3993" fillId="8" borderId="1" xfId="0" applyNumberFormat="1" applyFont="1" applyFill="1" applyBorder="1" applyAlignment="1">
      <alignment horizontal="center" vertical="center"/>
    </xf>
    <xf numFmtId="165" fontId="3994" fillId="8" borderId="1" xfId="0" applyNumberFormat="1" applyFont="1" applyFill="1" applyBorder="1" applyAlignment="1">
      <alignment horizontal="center" vertical="center"/>
    </xf>
    <xf numFmtId="1" fontId="3995" fillId="8" borderId="1" xfId="0" applyNumberFormat="1" applyFont="1" applyFill="1" applyBorder="1" applyAlignment="1">
      <alignment horizontal="center" vertical="center"/>
    </xf>
    <xf numFmtId="165" fontId="3996" fillId="8" borderId="1" xfId="0" applyNumberFormat="1" applyFont="1" applyFill="1" applyBorder="1" applyAlignment="1">
      <alignment horizontal="center" vertical="center"/>
    </xf>
    <xf numFmtId="1" fontId="3997" fillId="8" borderId="1" xfId="0" applyNumberFormat="1" applyFont="1" applyFill="1" applyBorder="1" applyAlignment="1">
      <alignment horizontal="center" vertical="center"/>
    </xf>
    <xf numFmtId="165" fontId="3998" fillId="8" borderId="1" xfId="0" applyNumberFormat="1" applyFont="1" applyFill="1" applyBorder="1" applyAlignment="1">
      <alignment horizontal="center" vertical="center"/>
    </xf>
    <xf numFmtId="1" fontId="3999" fillId="8" borderId="1" xfId="0" applyNumberFormat="1" applyFont="1" applyFill="1" applyBorder="1" applyAlignment="1">
      <alignment horizontal="center" vertical="center"/>
    </xf>
    <xf numFmtId="165" fontId="4000" fillId="8" borderId="1" xfId="0" applyNumberFormat="1" applyFont="1" applyFill="1" applyBorder="1" applyAlignment="1">
      <alignment horizontal="center" vertical="center"/>
    </xf>
    <xf numFmtId="165" fontId="4001" fillId="8" borderId="1" xfId="0" applyNumberFormat="1" applyFont="1" applyFill="1" applyBorder="1" applyAlignment="1">
      <alignment horizontal="center" vertical="center"/>
    </xf>
    <xf numFmtId="1" fontId="4002" fillId="8" borderId="1" xfId="0" applyNumberFormat="1" applyFont="1" applyFill="1" applyBorder="1" applyAlignment="1">
      <alignment horizontal="center" vertical="center"/>
    </xf>
    <xf numFmtId="1" fontId="4003" fillId="8" borderId="1" xfId="0" applyNumberFormat="1" applyFont="1" applyFill="1" applyBorder="1" applyAlignment="1">
      <alignment horizontal="center" vertical="center"/>
    </xf>
    <xf numFmtId="1" fontId="4004" fillId="8" borderId="1" xfId="0" applyNumberFormat="1" applyFont="1" applyFill="1" applyBorder="1" applyAlignment="1">
      <alignment horizontal="center" vertical="center"/>
    </xf>
    <xf numFmtId="165" fontId="4005" fillId="8" borderId="1" xfId="0" applyNumberFormat="1" applyFont="1" applyFill="1" applyBorder="1" applyAlignment="1">
      <alignment horizontal="center" vertical="center"/>
    </xf>
    <xf numFmtId="164" fontId="4006" fillId="8" borderId="1" xfId="0" applyNumberFormat="1" applyFont="1" applyFill="1" applyBorder="1" applyAlignment="1">
      <alignment horizontal="center" vertical="center"/>
    </xf>
    <xf numFmtId="164" fontId="4007" fillId="8" borderId="1" xfId="0" applyNumberFormat="1" applyFont="1" applyFill="1" applyBorder="1" applyAlignment="1">
      <alignment horizontal="center" vertical="center"/>
    </xf>
    <xf numFmtId="1" fontId="4008" fillId="8" borderId="1" xfId="0" applyNumberFormat="1" applyFont="1" applyFill="1" applyBorder="1" applyAlignment="1">
      <alignment horizontal="center" vertical="center"/>
    </xf>
    <xf numFmtId="1" fontId="4009" fillId="8" borderId="1" xfId="0" applyNumberFormat="1" applyFont="1" applyFill="1" applyBorder="1" applyAlignment="1">
      <alignment horizontal="center" vertical="center"/>
    </xf>
    <xf numFmtId="1" fontId="4010" fillId="8" borderId="1" xfId="0" applyNumberFormat="1" applyFont="1" applyFill="1" applyBorder="1" applyAlignment="1">
      <alignment horizontal="center" vertical="center"/>
    </xf>
    <xf numFmtId="165" fontId="4011" fillId="8" borderId="1" xfId="0" applyNumberFormat="1" applyFont="1" applyFill="1" applyBorder="1" applyAlignment="1">
      <alignment horizontal="center" vertical="center"/>
    </xf>
    <xf numFmtId="1" fontId="4012" fillId="8" borderId="1" xfId="0" applyNumberFormat="1" applyFont="1" applyFill="1" applyBorder="1" applyAlignment="1">
      <alignment horizontal="center" vertical="center"/>
    </xf>
    <xf numFmtId="165" fontId="4013" fillId="8" borderId="1" xfId="0" applyNumberFormat="1" applyFont="1" applyFill="1" applyBorder="1" applyAlignment="1">
      <alignment horizontal="center" vertical="center"/>
    </xf>
    <xf numFmtId="1" fontId="4014" fillId="8" borderId="1" xfId="0" applyNumberFormat="1" applyFont="1" applyFill="1" applyBorder="1" applyAlignment="1">
      <alignment horizontal="center" vertical="center"/>
    </xf>
    <xf numFmtId="1" fontId="4015" fillId="8" borderId="1" xfId="0" applyNumberFormat="1" applyFont="1" applyFill="1" applyBorder="1" applyAlignment="1">
      <alignment horizontal="center" vertical="center"/>
    </xf>
    <xf numFmtId="1" fontId="4016" fillId="8" borderId="1" xfId="0" applyNumberFormat="1" applyFont="1" applyFill="1" applyBorder="1" applyAlignment="1">
      <alignment horizontal="center" vertical="center"/>
    </xf>
    <xf numFmtId="1" fontId="4017" fillId="8" borderId="1" xfId="0" applyNumberFormat="1" applyFont="1" applyFill="1" applyBorder="1" applyAlignment="1">
      <alignment horizontal="center" vertical="center"/>
    </xf>
    <xf numFmtId="165" fontId="4018" fillId="8" borderId="1" xfId="0" applyNumberFormat="1" applyFont="1" applyFill="1" applyBorder="1" applyAlignment="1">
      <alignment horizontal="center" vertical="center"/>
    </xf>
    <xf numFmtId="1" fontId="4019" fillId="8" borderId="1" xfId="0" applyNumberFormat="1" applyFont="1" applyFill="1" applyBorder="1" applyAlignment="1">
      <alignment horizontal="center" vertical="center"/>
    </xf>
    <xf numFmtId="165" fontId="4020" fillId="8" borderId="1" xfId="0" applyNumberFormat="1" applyFont="1" applyFill="1" applyBorder="1" applyAlignment="1">
      <alignment horizontal="center" vertical="center"/>
    </xf>
    <xf numFmtId="1" fontId="4021" fillId="8" borderId="1" xfId="0" applyNumberFormat="1" applyFont="1" applyFill="1" applyBorder="1" applyAlignment="1">
      <alignment horizontal="center" vertical="center"/>
    </xf>
    <xf numFmtId="165" fontId="4022" fillId="8" borderId="1" xfId="0" applyNumberFormat="1" applyFont="1" applyFill="1" applyBorder="1" applyAlignment="1">
      <alignment horizontal="center" vertical="center"/>
    </xf>
    <xf numFmtId="2" fontId="4023" fillId="8" borderId="1" xfId="0" applyNumberFormat="1" applyFont="1" applyFill="1" applyBorder="1" applyAlignment="1">
      <alignment horizontal="center" vertical="center"/>
    </xf>
    <xf numFmtId="2" fontId="4024" fillId="8" borderId="1" xfId="0" applyNumberFormat="1" applyFont="1" applyFill="1" applyBorder="1" applyAlignment="1">
      <alignment horizontal="center" vertical="center"/>
    </xf>
    <xf numFmtId="2" fontId="4025" fillId="8" borderId="1" xfId="0" applyNumberFormat="1" applyFont="1" applyFill="1" applyBorder="1" applyAlignment="1">
      <alignment horizontal="center" vertical="center"/>
    </xf>
    <xf numFmtId="2" fontId="4026" fillId="8" borderId="1" xfId="0" applyNumberFormat="1" applyFont="1" applyFill="1" applyBorder="1" applyAlignment="1">
      <alignment horizontal="center" vertical="center"/>
    </xf>
    <xf numFmtId="2" fontId="4027" fillId="8" borderId="1" xfId="0" applyNumberFormat="1" applyFont="1" applyFill="1" applyBorder="1" applyAlignment="1">
      <alignment horizontal="center" vertical="center"/>
    </xf>
    <xf numFmtId="2" fontId="4028" fillId="8" borderId="1" xfId="0" applyNumberFormat="1" applyFont="1" applyFill="1" applyBorder="1" applyAlignment="1">
      <alignment horizontal="center" vertical="center"/>
    </xf>
    <xf numFmtId="2" fontId="4029" fillId="8" borderId="1" xfId="0" applyNumberFormat="1" applyFont="1" applyFill="1" applyBorder="1" applyAlignment="1">
      <alignment horizontal="center" vertical="center"/>
    </xf>
    <xf numFmtId="2" fontId="4030" fillId="8" borderId="1" xfId="0" applyNumberFormat="1" applyFont="1" applyFill="1" applyBorder="1" applyAlignment="1">
      <alignment horizontal="center" vertical="center"/>
    </xf>
    <xf numFmtId="2" fontId="4031" fillId="8" borderId="1" xfId="0" applyNumberFormat="1" applyFont="1" applyFill="1" applyBorder="1" applyAlignment="1">
      <alignment horizontal="center" vertical="center"/>
    </xf>
    <xf numFmtId="2" fontId="4032" fillId="8" borderId="1" xfId="0" applyNumberFormat="1" applyFont="1" applyFill="1" applyBorder="1" applyAlignment="1">
      <alignment horizontal="center" vertical="center"/>
    </xf>
    <xf numFmtId="2" fontId="4033" fillId="8" borderId="1" xfId="0" applyNumberFormat="1" applyFont="1" applyFill="1" applyBorder="1" applyAlignment="1">
      <alignment horizontal="center" vertical="center"/>
    </xf>
    <xf numFmtId="2" fontId="4034" fillId="8" borderId="1" xfId="0" applyNumberFormat="1" applyFont="1" applyFill="1" applyBorder="1" applyAlignment="1">
      <alignment horizontal="center" vertical="center"/>
    </xf>
    <xf numFmtId="2" fontId="4035" fillId="8" borderId="1" xfId="0" applyNumberFormat="1" applyFont="1" applyFill="1" applyBorder="1" applyAlignment="1">
      <alignment horizontal="center" vertical="center"/>
    </xf>
    <xf numFmtId="2" fontId="4036" fillId="8" borderId="1" xfId="0" applyNumberFormat="1" applyFont="1" applyFill="1" applyBorder="1" applyAlignment="1">
      <alignment horizontal="center" vertical="center"/>
    </xf>
    <xf numFmtId="2" fontId="4037" fillId="8" borderId="1" xfId="0" applyNumberFormat="1" applyFont="1" applyFill="1" applyBorder="1" applyAlignment="1">
      <alignment horizontal="center" vertical="center"/>
    </xf>
    <xf numFmtId="2" fontId="4038" fillId="8" borderId="1" xfId="0" applyNumberFormat="1" applyFont="1" applyFill="1" applyBorder="1" applyAlignment="1">
      <alignment horizontal="center" vertical="center"/>
    </xf>
    <xf numFmtId="2" fontId="4039" fillId="8" borderId="1" xfId="0" applyNumberFormat="1" applyFont="1" applyFill="1" applyBorder="1" applyAlignment="1">
      <alignment horizontal="center" vertical="center"/>
    </xf>
    <xf numFmtId="2" fontId="4040" fillId="8" borderId="1" xfId="0" applyNumberFormat="1" applyFont="1" applyFill="1" applyBorder="1" applyAlignment="1">
      <alignment horizontal="center" vertical="center"/>
    </xf>
    <xf numFmtId="2" fontId="4041" fillId="8" borderId="1" xfId="0" applyNumberFormat="1" applyFont="1" applyFill="1" applyBorder="1" applyAlignment="1">
      <alignment horizontal="center" vertical="center"/>
    </xf>
    <xf numFmtId="2" fontId="4042" fillId="8" borderId="1" xfId="0" applyNumberFormat="1" applyFont="1" applyFill="1" applyBorder="1" applyAlignment="1">
      <alignment horizontal="center" vertical="center"/>
    </xf>
    <xf numFmtId="2" fontId="4043" fillId="8" borderId="1" xfId="0" applyNumberFormat="1" applyFont="1" applyFill="1" applyBorder="1" applyAlignment="1">
      <alignment horizontal="center" vertical="center"/>
    </xf>
    <xf numFmtId="2" fontId="4044" fillId="8" borderId="1" xfId="0" applyNumberFormat="1" applyFont="1" applyFill="1" applyBorder="1" applyAlignment="1">
      <alignment horizontal="center" vertical="center"/>
    </xf>
    <xf numFmtId="2" fontId="4045" fillId="8" borderId="1" xfId="0" applyNumberFormat="1" applyFont="1" applyFill="1" applyBorder="1" applyAlignment="1">
      <alignment horizontal="center" vertical="center"/>
    </xf>
    <xf numFmtId="2" fontId="4046" fillId="8" borderId="1" xfId="0" applyNumberFormat="1" applyFont="1" applyFill="1" applyBorder="1" applyAlignment="1">
      <alignment horizontal="center" vertical="center"/>
    </xf>
    <xf numFmtId="2" fontId="4047" fillId="8" borderId="1" xfId="0" applyNumberFormat="1" applyFont="1" applyFill="1" applyBorder="1" applyAlignment="1">
      <alignment horizontal="center" vertical="center"/>
    </xf>
    <xf numFmtId="2" fontId="4048" fillId="8" borderId="1" xfId="0" applyNumberFormat="1" applyFont="1" applyFill="1" applyBorder="1" applyAlignment="1">
      <alignment horizontal="center" vertical="center"/>
    </xf>
    <xf numFmtId="2" fontId="4049" fillId="8" borderId="1" xfId="0" applyNumberFormat="1" applyFont="1" applyFill="1" applyBorder="1" applyAlignment="1">
      <alignment horizontal="center" vertical="center"/>
    </xf>
    <xf numFmtId="2" fontId="4050" fillId="8" borderId="1" xfId="0" applyNumberFormat="1" applyFont="1" applyFill="1" applyBorder="1" applyAlignment="1">
      <alignment horizontal="center" vertical="center"/>
    </xf>
    <xf numFmtId="2" fontId="4051" fillId="8" borderId="1" xfId="0" applyNumberFormat="1" applyFont="1" applyFill="1" applyBorder="1" applyAlignment="1">
      <alignment horizontal="center" vertical="center"/>
    </xf>
    <xf numFmtId="2" fontId="4052" fillId="8" borderId="1" xfId="0" applyNumberFormat="1" applyFont="1" applyFill="1" applyBorder="1" applyAlignment="1">
      <alignment horizontal="center" vertical="center"/>
    </xf>
    <xf numFmtId="2" fontId="4053" fillId="8" borderId="1" xfId="0" applyNumberFormat="1" applyFont="1" applyFill="1" applyBorder="1" applyAlignment="1">
      <alignment horizontal="center" vertical="center"/>
    </xf>
    <xf numFmtId="2" fontId="4054" fillId="8" borderId="1" xfId="0" applyNumberFormat="1" applyFont="1" applyFill="1" applyBorder="1" applyAlignment="1">
      <alignment horizontal="center" vertical="center"/>
    </xf>
    <xf numFmtId="2" fontId="4055" fillId="8" borderId="1" xfId="0" applyNumberFormat="1" applyFont="1" applyFill="1" applyBorder="1" applyAlignment="1">
      <alignment horizontal="center" vertical="center"/>
    </xf>
    <xf numFmtId="2" fontId="4056" fillId="8" borderId="1" xfId="0" applyNumberFormat="1" applyFont="1" applyFill="1" applyBorder="1" applyAlignment="1">
      <alignment horizontal="center" vertical="center"/>
    </xf>
    <xf numFmtId="0" fontId="4057" fillId="7" borderId="1" xfId="0" applyNumberFormat="1" applyFont="1" applyFill="1" applyBorder="1" applyAlignment="1">
      <alignment horizontal="left" vertical="center"/>
    </xf>
    <xf numFmtId="0" fontId="4058" fillId="8" borderId="1" xfId="0" applyNumberFormat="1" applyFont="1" applyFill="1" applyBorder="1" applyAlignment="1">
      <alignment horizontal="center" vertical="center"/>
    </xf>
    <xf numFmtId="164" fontId="4059" fillId="8" borderId="1" xfId="0" applyNumberFormat="1" applyFont="1" applyFill="1" applyBorder="1" applyAlignment="1">
      <alignment horizontal="center" vertical="center"/>
    </xf>
    <xf numFmtId="1" fontId="4060" fillId="8" borderId="1" xfId="0" applyNumberFormat="1" applyFont="1" applyFill="1" applyBorder="1" applyAlignment="1">
      <alignment horizontal="center" vertical="center"/>
    </xf>
    <xf numFmtId="1" fontId="4061" fillId="8" borderId="1" xfId="0" applyNumberFormat="1" applyFont="1" applyFill="1" applyBorder="1" applyAlignment="1">
      <alignment horizontal="center" vertical="center"/>
    </xf>
    <xf numFmtId="1" fontId="4062" fillId="8" borderId="1" xfId="0" applyNumberFormat="1" applyFont="1" applyFill="1" applyBorder="1" applyAlignment="1">
      <alignment horizontal="center" vertical="center"/>
    </xf>
    <xf numFmtId="1" fontId="4063" fillId="8" borderId="1" xfId="0" applyNumberFormat="1" applyFont="1" applyFill="1" applyBorder="1" applyAlignment="1">
      <alignment horizontal="center" vertical="center"/>
    </xf>
    <xf numFmtId="1" fontId="4064" fillId="8" borderId="1" xfId="0" applyNumberFormat="1" applyFont="1" applyFill="1" applyBorder="1" applyAlignment="1">
      <alignment horizontal="center" vertical="center"/>
    </xf>
    <xf numFmtId="1" fontId="4065" fillId="8" borderId="1" xfId="0" applyNumberFormat="1" applyFont="1" applyFill="1" applyBorder="1" applyAlignment="1">
      <alignment horizontal="center" vertical="center"/>
    </xf>
    <xf numFmtId="1" fontId="4066" fillId="8" borderId="1" xfId="0" applyNumberFormat="1" applyFont="1" applyFill="1" applyBorder="1" applyAlignment="1">
      <alignment horizontal="center" vertical="center"/>
    </xf>
    <xf numFmtId="0" fontId="4067" fillId="8" borderId="1" xfId="0" applyNumberFormat="1" applyFont="1" applyFill="1" applyBorder="1" applyAlignment="1">
      <alignment horizontal="center" vertical="center"/>
    </xf>
    <xf numFmtId="0" fontId="4068" fillId="8" borderId="1" xfId="0" applyNumberFormat="1" applyFont="1" applyFill="1" applyBorder="1" applyAlignment="1">
      <alignment horizontal="center" vertical="center"/>
    </xf>
    <xf numFmtId="1" fontId="4069" fillId="8" borderId="1" xfId="0" applyNumberFormat="1" applyFont="1" applyFill="1" applyBorder="1" applyAlignment="1">
      <alignment horizontal="center" vertical="center"/>
    </xf>
    <xf numFmtId="1" fontId="4070" fillId="8" borderId="1" xfId="0" applyNumberFormat="1" applyFont="1" applyFill="1" applyBorder="1" applyAlignment="1">
      <alignment horizontal="center" vertical="center"/>
    </xf>
    <xf numFmtId="1" fontId="4071" fillId="8" borderId="1" xfId="0" applyNumberFormat="1" applyFont="1" applyFill="1" applyBorder="1" applyAlignment="1">
      <alignment horizontal="center" vertical="center"/>
    </xf>
    <xf numFmtId="165" fontId="4072" fillId="8" borderId="1" xfId="0" applyNumberFormat="1" applyFont="1" applyFill="1" applyBorder="1" applyAlignment="1">
      <alignment horizontal="center" vertical="center"/>
    </xf>
    <xf numFmtId="1" fontId="4073" fillId="8" borderId="1" xfId="0" applyNumberFormat="1" applyFont="1" applyFill="1" applyBorder="1" applyAlignment="1">
      <alignment horizontal="center" vertical="center"/>
    </xf>
    <xf numFmtId="165" fontId="4074" fillId="8" borderId="1" xfId="0" applyNumberFormat="1" applyFont="1" applyFill="1" applyBorder="1" applyAlignment="1">
      <alignment horizontal="center" vertical="center"/>
    </xf>
    <xf numFmtId="1" fontId="4075" fillId="8" borderId="1" xfId="0" applyNumberFormat="1" applyFont="1" applyFill="1" applyBorder="1" applyAlignment="1">
      <alignment horizontal="center" vertical="center"/>
    </xf>
    <xf numFmtId="165" fontId="4076" fillId="8" borderId="1" xfId="0" applyNumberFormat="1" applyFont="1" applyFill="1" applyBorder="1" applyAlignment="1">
      <alignment horizontal="center" vertical="center"/>
    </xf>
    <xf numFmtId="1" fontId="4077" fillId="8" borderId="1" xfId="0" applyNumberFormat="1" applyFont="1" applyFill="1" applyBorder="1" applyAlignment="1">
      <alignment horizontal="center" vertical="center"/>
    </xf>
    <xf numFmtId="165" fontId="4078" fillId="8" borderId="1" xfId="0" applyNumberFormat="1" applyFont="1" applyFill="1" applyBorder="1" applyAlignment="1">
      <alignment horizontal="center" vertical="center"/>
    </xf>
    <xf numFmtId="165" fontId="4079" fillId="8" borderId="1" xfId="0" applyNumberFormat="1" applyFont="1" applyFill="1" applyBorder="1" applyAlignment="1">
      <alignment horizontal="center" vertical="center"/>
    </xf>
    <xf numFmtId="1" fontId="4080" fillId="8" borderId="1" xfId="0" applyNumberFormat="1" applyFont="1" applyFill="1" applyBorder="1" applyAlignment="1">
      <alignment horizontal="center" vertical="center"/>
    </xf>
    <xf numFmtId="1" fontId="4081" fillId="8" borderId="1" xfId="0" applyNumberFormat="1" applyFont="1" applyFill="1" applyBorder="1" applyAlignment="1">
      <alignment horizontal="center" vertical="center"/>
    </xf>
    <xf numFmtId="1" fontId="4082" fillId="8" borderId="1" xfId="0" applyNumberFormat="1" applyFont="1" applyFill="1" applyBorder="1" applyAlignment="1">
      <alignment horizontal="center" vertical="center"/>
    </xf>
    <xf numFmtId="165" fontId="4083" fillId="8" borderId="1" xfId="0" applyNumberFormat="1" applyFont="1" applyFill="1" applyBorder="1" applyAlignment="1">
      <alignment horizontal="center" vertical="center"/>
    </xf>
    <xf numFmtId="164" fontId="4084" fillId="8" borderId="1" xfId="0" applyNumberFormat="1" applyFont="1" applyFill="1" applyBorder="1" applyAlignment="1">
      <alignment horizontal="center" vertical="center"/>
    </xf>
    <xf numFmtId="164" fontId="4085" fillId="8" borderId="1" xfId="0" applyNumberFormat="1" applyFont="1" applyFill="1" applyBorder="1" applyAlignment="1">
      <alignment horizontal="center" vertical="center"/>
    </xf>
    <xf numFmtId="1" fontId="4086" fillId="8" borderId="1" xfId="0" applyNumberFormat="1" applyFont="1" applyFill="1" applyBorder="1" applyAlignment="1">
      <alignment horizontal="center" vertical="center"/>
    </xf>
    <xf numFmtId="1" fontId="4087" fillId="8" borderId="1" xfId="0" applyNumberFormat="1" applyFont="1" applyFill="1" applyBorder="1" applyAlignment="1">
      <alignment horizontal="center" vertical="center"/>
    </xf>
    <xf numFmtId="1" fontId="4088" fillId="8" borderId="1" xfId="0" applyNumberFormat="1" applyFont="1" applyFill="1" applyBorder="1" applyAlignment="1">
      <alignment horizontal="center" vertical="center"/>
    </xf>
    <xf numFmtId="165" fontId="4089" fillId="8" borderId="1" xfId="0" applyNumberFormat="1" applyFont="1" applyFill="1" applyBorder="1" applyAlignment="1">
      <alignment horizontal="center" vertical="center"/>
    </xf>
    <xf numFmtId="1" fontId="4090" fillId="8" borderId="1" xfId="0" applyNumberFormat="1" applyFont="1" applyFill="1" applyBorder="1" applyAlignment="1">
      <alignment horizontal="center" vertical="center"/>
    </xf>
    <xf numFmtId="165" fontId="4091" fillId="8" borderId="1" xfId="0" applyNumberFormat="1" applyFont="1" applyFill="1" applyBorder="1" applyAlignment="1">
      <alignment horizontal="center" vertical="center"/>
    </xf>
    <xf numFmtId="1" fontId="4092" fillId="8" borderId="1" xfId="0" applyNumberFormat="1" applyFont="1" applyFill="1" applyBorder="1" applyAlignment="1">
      <alignment horizontal="center" vertical="center"/>
    </xf>
    <xf numFmtId="1" fontId="4093" fillId="8" borderId="1" xfId="0" applyNumberFormat="1" applyFont="1" applyFill="1" applyBorder="1" applyAlignment="1">
      <alignment horizontal="center" vertical="center"/>
    </xf>
    <xf numFmtId="1" fontId="4094" fillId="8" borderId="1" xfId="0" applyNumberFormat="1" applyFont="1" applyFill="1" applyBorder="1" applyAlignment="1">
      <alignment horizontal="center" vertical="center"/>
    </xf>
    <xf numFmtId="1" fontId="4095" fillId="8" borderId="1" xfId="0" applyNumberFormat="1" applyFont="1" applyFill="1" applyBorder="1" applyAlignment="1">
      <alignment horizontal="center" vertical="center"/>
    </xf>
    <xf numFmtId="165" fontId="4096" fillId="8" borderId="1" xfId="0" applyNumberFormat="1" applyFont="1" applyFill="1" applyBorder="1" applyAlignment="1">
      <alignment horizontal="center" vertical="center"/>
    </xf>
    <xf numFmtId="1" fontId="4097" fillId="8" borderId="1" xfId="0" applyNumberFormat="1" applyFont="1" applyFill="1" applyBorder="1" applyAlignment="1">
      <alignment horizontal="center" vertical="center"/>
    </xf>
    <xf numFmtId="165" fontId="4098" fillId="8" borderId="1" xfId="0" applyNumberFormat="1" applyFont="1" applyFill="1" applyBorder="1" applyAlignment="1">
      <alignment horizontal="center" vertical="center"/>
    </xf>
    <xf numFmtId="1" fontId="4099" fillId="8" borderId="1" xfId="0" applyNumberFormat="1" applyFont="1" applyFill="1" applyBorder="1" applyAlignment="1">
      <alignment horizontal="center" vertical="center"/>
    </xf>
    <xf numFmtId="165" fontId="4100" fillId="8" borderId="1" xfId="0" applyNumberFormat="1" applyFont="1" applyFill="1" applyBorder="1" applyAlignment="1">
      <alignment horizontal="center" vertical="center"/>
    </xf>
    <xf numFmtId="2" fontId="4101" fillId="8" borderId="1" xfId="0" applyNumberFormat="1" applyFont="1" applyFill="1" applyBorder="1" applyAlignment="1">
      <alignment horizontal="center" vertical="center"/>
    </xf>
    <xf numFmtId="2" fontId="4102" fillId="8" borderId="1" xfId="0" applyNumberFormat="1" applyFont="1" applyFill="1" applyBorder="1" applyAlignment="1">
      <alignment horizontal="center" vertical="center"/>
    </xf>
    <xf numFmtId="2" fontId="4103" fillId="8" borderId="1" xfId="0" applyNumberFormat="1" applyFont="1" applyFill="1" applyBorder="1" applyAlignment="1">
      <alignment horizontal="center" vertical="center"/>
    </xf>
    <xf numFmtId="2" fontId="4104" fillId="8" borderId="1" xfId="0" applyNumberFormat="1" applyFont="1" applyFill="1" applyBorder="1" applyAlignment="1">
      <alignment horizontal="center" vertical="center"/>
    </xf>
    <xf numFmtId="2" fontId="4105" fillId="8" borderId="1" xfId="0" applyNumberFormat="1" applyFont="1" applyFill="1" applyBorder="1" applyAlignment="1">
      <alignment horizontal="center" vertical="center"/>
    </xf>
    <xf numFmtId="2" fontId="4106" fillId="8" borderId="1" xfId="0" applyNumberFormat="1" applyFont="1" applyFill="1" applyBorder="1" applyAlignment="1">
      <alignment horizontal="center" vertical="center"/>
    </xf>
    <xf numFmtId="2" fontId="4107" fillId="8" borderId="1" xfId="0" applyNumberFormat="1" applyFont="1" applyFill="1" applyBorder="1" applyAlignment="1">
      <alignment horizontal="center" vertical="center"/>
    </xf>
    <xf numFmtId="2" fontId="4108" fillId="8" borderId="1" xfId="0" applyNumberFormat="1" applyFont="1" applyFill="1" applyBorder="1" applyAlignment="1">
      <alignment horizontal="center" vertical="center"/>
    </xf>
    <xf numFmtId="2" fontId="4109" fillId="8" borderId="1" xfId="0" applyNumberFormat="1" applyFont="1" applyFill="1" applyBorder="1" applyAlignment="1">
      <alignment horizontal="center" vertical="center"/>
    </xf>
    <xf numFmtId="2" fontId="4110" fillId="8" borderId="1" xfId="0" applyNumberFormat="1" applyFont="1" applyFill="1" applyBorder="1" applyAlignment="1">
      <alignment horizontal="center" vertical="center"/>
    </xf>
    <xf numFmtId="2" fontId="4111" fillId="8" borderId="1" xfId="0" applyNumberFormat="1" applyFont="1" applyFill="1" applyBorder="1" applyAlignment="1">
      <alignment horizontal="center" vertical="center"/>
    </xf>
    <xf numFmtId="2" fontId="4112" fillId="8" borderId="1" xfId="0" applyNumberFormat="1" applyFont="1" applyFill="1" applyBorder="1" applyAlignment="1">
      <alignment horizontal="center" vertical="center"/>
    </xf>
    <xf numFmtId="2" fontId="4113" fillId="8" borderId="1" xfId="0" applyNumberFormat="1" applyFont="1" applyFill="1" applyBorder="1" applyAlignment="1">
      <alignment horizontal="center" vertical="center"/>
    </xf>
    <xf numFmtId="2" fontId="4114" fillId="8" borderId="1" xfId="0" applyNumberFormat="1" applyFont="1" applyFill="1" applyBorder="1" applyAlignment="1">
      <alignment horizontal="center" vertical="center"/>
    </xf>
    <xf numFmtId="2" fontId="4115" fillId="8" borderId="1" xfId="0" applyNumberFormat="1" applyFont="1" applyFill="1" applyBorder="1" applyAlignment="1">
      <alignment horizontal="center" vertical="center"/>
    </xf>
    <xf numFmtId="2" fontId="4116" fillId="8" borderId="1" xfId="0" applyNumberFormat="1" applyFont="1" applyFill="1" applyBorder="1" applyAlignment="1">
      <alignment horizontal="center" vertical="center"/>
    </xf>
    <xf numFmtId="2" fontId="4117" fillId="8" borderId="1" xfId="0" applyNumberFormat="1" applyFont="1" applyFill="1" applyBorder="1" applyAlignment="1">
      <alignment horizontal="center" vertical="center"/>
    </xf>
    <xf numFmtId="2" fontId="4118" fillId="8" borderId="1" xfId="0" applyNumberFormat="1" applyFont="1" applyFill="1" applyBorder="1" applyAlignment="1">
      <alignment horizontal="center" vertical="center"/>
    </xf>
    <xf numFmtId="2" fontId="4119" fillId="8" borderId="1" xfId="0" applyNumberFormat="1" applyFont="1" applyFill="1" applyBorder="1" applyAlignment="1">
      <alignment horizontal="center" vertical="center"/>
    </xf>
    <xf numFmtId="2" fontId="4120" fillId="8" borderId="1" xfId="0" applyNumberFormat="1" applyFont="1" applyFill="1" applyBorder="1" applyAlignment="1">
      <alignment horizontal="center" vertical="center"/>
    </xf>
    <xf numFmtId="2" fontId="4121" fillId="8" borderId="1" xfId="0" applyNumberFormat="1" applyFont="1" applyFill="1" applyBorder="1" applyAlignment="1">
      <alignment horizontal="center" vertical="center"/>
    </xf>
    <xf numFmtId="2" fontId="4122" fillId="8" borderId="1" xfId="0" applyNumberFormat="1" applyFont="1" applyFill="1" applyBorder="1" applyAlignment="1">
      <alignment horizontal="center" vertical="center"/>
    </xf>
    <xf numFmtId="2" fontId="4123" fillId="8" borderId="1" xfId="0" applyNumberFormat="1" applyFont="1" applyFill="1" applyBorder="1" applyAlignment="1">
      <alignment horizontal="center" vertical="center"/>
    </xf>
    <xf numFmtId="2" fontId="4124" fillId="8" borderId="1" xfId="0" applyNumberFormat="1" applyFont="1" applyFill="1" applyBorder="1" applyAlignment="1">
      <alignment horizontal="center" vertical="center"/>
    </xf>
    <xf numFmtId="2" fontId="4125" fillId="8" borderId="1" xfId="0" applyNumberFormat="1" applyFont="1" applyFill="1" applyBorder="1" applyAlignment="1">
      <alignment horizontal="center" vertical="center"/>
    </xf>
    <xf numFmtId="2" fontId="4126" fillId="8" borderId="1" xfId="0" applyNumberFormat="1" applyFont="1" applyFill="1" applyBorder="1" applyAlignment="1">
      <alignment horizontal="center" vertical="center"/>
    </xf>
    <xf numFmtId="2" fontId="4127" fillId="8" borderId="1" xfId="0" applyNumberFormat="1" applyFont="1" applyFill="1" applyBorder="1" applyAlignment="1">
      <alignment horizontal="center" vertical="center"/>
    </xf>
    <xf numFmtId="2" fontId="4128" fillId="8" borderId="1" xfId="0" applyNumberFormat="1" applyFont="1" applyFill="1" applyBorder="1" applyAlignment="1">
      <alignment horizontal="center" vertical="center"/>
    </xf>
    <xf numFmtId="2" fontId="4129" fillId="8" borderId="1" xfId="0" applyNumberFormat="1" applyFont="1" applyFill="1" applyBorder="1" applyAlignment="1">
      <alignment horizontal="center" vertical="center"/>
    </xf>
    <xf numFmtId="2" fontId="4130" fillId="8" borderId="1" xfId="0" applyNumberFormat="1" applyFont="1" applyFill="1" applyBorder="1" applyAlignment="1">
      <alignment horizontal="center" vertical="center"/>
    </xf>
    <xf numFmtId="2" fontId="4131" fillId="8" borderId="1" xfId="0" applyNumberFormat="1" applyFont="1" applyFill="1" applyBorder="1" applyAlignment="1">
      <alignment horizontal="center" vertical="center"/>
    </xf>
    <xf numFmtId="2" fontId="4132" fillId="8" borderId="1" xfId="0" applyNumberFormat="1" applyFont="1" applyFill="1" applyBorder="1" applyAlignment="1">
      <alignment horizontal="center" vertical="center"/>
    </xf>
    <xf numFmtId="2" fontId="4133" fillId="8" borderId="1" xfId="0" applyNumberFormat="1" applyFont="1" applyFill="1" applyBorder="1" applyAlignment="1">
      <alignment horizontal="center" vertical="center"/>
    </xf>
    <xf numFmtId="2" fontId="4134" fillId="8" borderId="1" xfId="0" applyNumberFormat="1" applyFont="1" applyFill="1" applyBorder="1" applyAlignment="1">
      <alignment horizontal="center" vertical="center"/>
    </xf>
    <xf numFmtId="0" fontId="4135" fillId="7" borderId="1" xfId="0" applyNumberFormat="1" applyFont="1" applyFill="1" applyBorder="1" applyAlignment="1">
      <alignment horizontal="left" vertical="center"/>
    </xf>
    <xf numFmtId="0" fontId="4136" fillId="8" borderId="1" xfId="0" applyNumberFormat="1" applyFont="1" applyFill="1" applyBorder="1" applyAlignment="1">
      <alignment horizontal="center" vertical="center"/>
    </xf>
    <xf numFmtId="164" fontId="4137" fillId="8" borderId="1" xfId="0" applyNumberFormat="1" applyFont="1" applyFill="1" applyBorder="1" applyAlignment="1">
      <alignment horizontal="center" vertical="center"/>
    </xf>
    <xf numFmtId="1" fontId="4138" fillId="8" borderId="1" xfId="0" applyNumberFormat="1" applyFont="1" applyFill="1" applyBorder="1" applyAlignment="1">
      <alignment horizontal="center" vertical="center"/>
    </xf>
    <xf numFmtId="1" fontId="4139" fillId="8" borderId="1" xfId="0" applyNumberFormat="1" applyFont="1" applyFill="1" applyBorder="1" applyAlignment="1">
      <alignment horizontal="center" vertical="center"/>
    </xf>
    <xf numFmtId="1" fontId="4140" fillId="8" borderId="1" xfId="0" applyNumberFormat="1" applyFont="1" applyFill="1" applyBorder="1" applyAlignment="1">
      <alignment horizontal="center" vertical="center"/>
    </xf>
    <xf numFmtId="1" fontId="4141" fillId="8" borderId="1" xfId="0" applyNumberFormat="1" applyFont="1" applyFill="1" applyBorder="1" applyAlignment="1">
      <alignment horizontal="center" vertical="center"/>
    </xf>
    <xf numFmtId="1" fontId="4142" fillId="8" borderId="1" xfId="0" applyNumberFormat="1" applyFont="1" applyFill="1" applyBorder="1" applyAlignment="1">
      <alignment horizontal="center" vertical="center"/>
    </xf>
    <xf numFmtId="1" fontId="4143" fillId="8" borderId="1" xfId="0" applyNumberFormat="1" applyFont="1" applyFill="1" applyBorder="1" applyAlignment="1">
      <alignment horizontal="center" vertical="center"/>
    </xf>
    <xf numFmtId="1" fontId="4144" fillId="8" borderId="1" xfId="0" applyNumberFormat="1" applyFont="1" applyFill="1" applyBorder="1" applyAlignment="1">
      <alignment horizontal="center" vertical="center"/>
    </xf>
    <xf numFmtId="0" fontId="4145" fillId="8" borderId="1" xfId="0" applyNumberFormat="1" applyFont="1" applyFill="1" applyBorder="1" applyAlignment="1">
      <alignment horizontal="center" vertical="center"/>
    </xf>
    <xf numFmtId="0" fontId="4146" fillId="8" borderId="1" xfId="0" applyNumberFormat="1" applyFont="1" applyFill="1" applyBorder="1" applyAlignment="1">
      <alignment horizontal="center" vertical="center"/>
    </xf>
    <xf numFmtId="1" fontId="4147" fillId="8" borderId="1" xfId="0" applyNumberFormat="1" applyFont="1" applyFill="1" applyBorder="1" applyAlignment="1">
      <alignment horizontal="center" vertical="center"/>
    </xf>
    <xf numFmtId="1" fontId="4148" fillId="8" borderId="1" xfId="0" applyNumberFormat="1" applyFont="1" applyFill="1" applyBorder="1" applyAlignment="1">
      <alignment horizontal="center" vertical="center"/>
    </xf>
    <xf numFmtId="1" fontId="4149" fillId="8" borderId="1" xfId="0" applyNumberFormat="1" applyFont="1" applyFill="1" applyBorder="1" applyAlignment="1">
      <alignment horizontal="center" vertical="center"/>
    </xf>
    <xf numFmtId="165" fontId="4150" fillId="8" borderId="1" xfId="0" applyNumberFormat="1" applyFont="1" applyFill="1" applyBorder="1" applyAlignment="1">
      <alignment horizontal="center" vertical="center"/>
    </xf>
    <xf numFmtId="1" fontId="4151" fillId="8" borderId="1" xfId="0" applyNumberFormat="1" applyFont="1" applyFill="1" applyBorder="1" applyAlignment="1">
      <alignment horizontal="center" vertical="center"/>
    </xf>
    <xf numFmtId="165" fontId="4152" fillId="8" borderId="1" xfId="0" applyNumberFormat="1" applyFont="1" applyFill="1" applyBorder="1" applyAlignment="1">
      <alignment horizontal="center" vertical="center"/>
    </xf>
    <xf numFmtId="1" fontId="4153" fillId="8" borderId="1" xfId="0" applyNumberFormat="1" applyFont="1" applyFill="1" applyBorder="1" applyAlignment="1">
      <alignment horizontal="center" vertical="center"/>
    </xf>
    <xf numFmtId="165" fontId="4154" fillId="8" borderId="1" xfId="0" applyNumberFormat="1" applyFont="1" applyFill="1" applyBorder="1" applyAlignment="1">
      <alignment horizontal="center" vertical="center"/>
    </xf>
    <xf numFmtId="1" fontId="4155" fillId="8" borderId="1" xfId="0" applyNumberFormat="1" applyFont="1" applyFill="1" applyBorder="1" applyAlignment="1">
      <alignment horizontal="center" vertical="center"/>
    </xf>
    <xf numFmtId="165" fontId="4156" fillId="8" borderId="1" xfId="0" applyNumberFormat="1" applyFont="1" applyFill="1" applyBorder="1" applyAlignment="1">
      <alignment horizontal="center" vertical="center"/>
    </xf>
    <xf numFmtId="165" fontId="4157" fillId="8" borderId="1" xfId="0" applyNumberFormat="1" applyFont="1" applyFill="1" applyBorder="1" applyAlignment="1">
      <alignment horizontal="center" vertical="center"/>
    </xf>
    <xf numFmtId="1" fontId="4158" fillId="8" borderId="1" xfId="0" applyNumberFormat="1" applyFont="1" applyFill="1" applyBorder="1" applyAlignment="1">
      <alignment horizontal="center" vertical="center"/>
    </xf>
    <xf numFmtId="1" fontId="4159" fillId="8" borderId="1" xfId="0" applyNumberFormat="1" applyFont="1" applyFill="1" applyBorder="1" applyAlignment="1">
      <alignment horizontal="center" vertical="center"/>
    </xf>
    <xf numFmtId="1" fontId="4160" fillId="8" borderId="1" xfId="0" applyNumberFormat="1" applyFont="1" applyFill="1" applyBorder="1" applyAlignment="1">
      <alignment horizontal="center" vertical="center"/>
    </xf>
    <xf numFmtId="165" fontId="4161" fillId="8" borderId="1" xfId="0" applyNumberFormat="1" applyFont="1" applyFill="1" applyBorder="1" applyAlignment="1">
      <alignment horizontal="center" vertical="center"/>
    </xf>
    <xf numFmtId="164" fontId="4162" fillId="8" borderId="1" xfId="0" applyNumberFormat="1" applyFont="1" applyFill="1" applyBorder="1" applyAlignment="1">
      <alignment horizontal="center" vertical="center"/>
    </xf>
    <xf numFmtId="164" fontId="4163" fillId="8" borderId="1" xfId="0" applyNumberFormat="1" applyFont="1" applyFill="1" applyBorder="1" applyAlignment="1">
      <alignment horizontal="center" vertical="center"/>
    </xf>
    <xf numFmtId="1" fontId="4164" fillId="8" borderId="1" xfId="0" applyNumberFormat="1" applyFont="1" applyFill="1" applyBorder="1" applyAlignment="1">
      <alignment horizontal="center" vertical="center"/>
    </xf>
    <xf numFmtId="1" fontId="4165" fillId="8" borderId="1" xfId="0" applyNumberFormat="1" applyFont="1" applyFill="1" applyBorder="1" applyAlignment="1">
      <alignment horizontal="center" vertical="center"/>
    </xf>
    <xf numFmtId="1" fontId="4166" fillId="8" borderId="1" xfId="0" applyNumberFormat="1" applyFont="1" applyFill="1" applyBorder="1" applyAlignment="1">
      <alignment horizontal="center" vertical="center"/>
    </xf>
    <xf numFmtId="165" fontId="4167" fillId="8" borderId="1" xfId="0" applyNumberFormat="1" applyFont="1" applyFill="1" applyBorder="1" applyAlignment="1">
      <alignment horizontal="center" vertical="center"/>
    </xf>
    <xf numFmtId="1" fontId="4168" fillId="8" borderId="1" xfId="0" applyNumberFormat="1" applyFont="1" applyFill="1" applyBorder="1" applyAlignment="1">
      <alignment horizontal="center" vertical="center"/>
    </xf>
    <xf numFmtId="165" fontId="4169" fillId="8" borderId="1" xfId="0" applyNumberFormat="1" applyFont="1" applyFill="1" applyBorder="1" applyAlignment="1">
      <alignment horizontal="center" vertical="center"/>
    </xf>
    <xf numFmtId="1" fontId="4170" fillId="8" borderId="1" xfId="0" applyNumberFormat="1" applyFont="1" applyFill="1" applyBorder="1" applyAlignment="1">
      <alignment horizontal="center" vertical="center"/>
    </xf>
    <xf numFmtId="1" fontId="4171" fillId="8" borderId="1" xfId="0" applyNumberFormat="1" applyFont="1" applyFill="1" applyBorder="1" applyAlignment="1">
      <alignment horizontal="center" vertical="center"/>
    </xf>
    <xf numFmtId="1" fontId="4172" fillId="8" borderId="1" xfId="0" applyNumberFormat="1" applyFont="1" applyFill="1" applyBorder="1" applyAlignment="1">
      <alignment horizontal="center" vertical="center"/>
    </xf>
    <xf numFmtId="1" fontId="4173" fillId="8" borderId="1" xfId="0" applyNumberFormat="1" applyFont="1" applyFill="1" applyBorder="1" applyAlignment="1">
      <alignment horizontal="center" vertical="center"/>
    </xf>
    <xf numFmtId="165" fontId="4174" fillId="8" borderId="1" xfId="0" applyNumberFormat="1" applyFont="1" applyFill="1" applyBorder="1" applyAlignment="1">
      <alignment horizontal="center" vertical="center"/>
    </xf>
    <xf numFmtId="1" fontId="4175" fillId="8" borderId="1" xfId="0" applyNumberFormat="1" applyFont="1" applyFill="1" applyBorder="1" applyAlignment="1">
      <alignment horizontal="center" vertical="center"/>
    </xf>
    <xf numFmtId="165" fontId="4176" fillId="8" borderId="1" xfId="0" applyNumberFormat="1" applyFont="1" applyFill="1" applyBorder="1" applyAlignment="1">
      <alignment horizontal="center" vertical="center"/>
    </xf>
    <xf numFmtId="1" fontId="4177" fillId="8" borderId="1" xfId="0" applyNumberFormat="1" applyFont="1" applyFill="1" applyBorder="1" applyAlignment="1">
      <alignment horizontal="center" vertical="center"/>
    </xf>
    <xf numFmtId="165" fontId="4178" fillId="8" borderId="1" xfId="0" applyNumberFormat="1" applyFont="1" applyFill="1" applyBorder="1" applyAlignment="1">
      <alignment horizontal="center" vertical="center"/>
    </xf>
    <xf numFmtId="2" fontId="4179" fillId="8" borderId="1" xfId="0" applyNumberFormat="1" applyFont="1" applyFill="1" applyBorder="1" applyAlignment="1">
      <alignment horizontal="center" vertical="center"/>
    </xf>
    <xf numFmtId="2" fontId="4180" fillId="8" borderId="1" xfId="0" applyNumberFormat="1" applyFont="1" applyFill="1" applyBorder="1" applyAlignment="1">
      <alignment horizontal="center" vertical="center"/>
    </xf>
    <xf numFmtId="2" fontId="4181" fillId="8" borderId="1" xfId="0" applyNumberFormat="1" applyFont="1" applyFill="1" applyBorder="1" applyAlignment="1">
      <alignment horizontal="center" vertical="center"/>
    </xf>
    <xf numFmtId="2" fontId="4182" fillId="8" borderId="1" xfId="0" applyNumberFormat="1" applyFont="1" applyFill="1" applyBorder="1" applyAlignment="1">
      <alignment horizontal="center" vertical="center"/>
    </xf>
    <xf numFmtId="2" fontId="4183" fillId="8" borderId="1" xfId="0" applyNumberFormat="1" applyFont="1" applyFill="1" applyBorder="1" applyAlignment="1">
      <alignment horizontal="center" vertical="center"/>
    </xf>
    <xf numFmtId="2" fontId="4184" fillId="8" borderId="1" xfId="0" applyNumberFormat="1" applyFont="1" applyFill="1" applyBorder="1" applyAlignment="1">
      <alignment horizontal="center" vertical="center"/>
    </xf>
    <xf numFmtId="2" fontId="4185" fillId="8" borderId="1" xfId="0" applyNumberFormat="1" applyFont="1" applyFill="1" applyBorder="1" applyAlignment="1">
      <alignment horizontal="center" vertical="center"/>
    </xf>
    <xf numFmtId="2" fontId="4186" fillId="8" borderId="1" xfId="0" applyNumberFormat="1" applyFont="1" applyFill="1" applyBorder="1" applyAlignment="1">
      <alignment horizontal="center" vertical="center"/>
    </xf>
    <xf numFmtId="2" fontId="4187" fillId="8" borderId="1" xfId="0" applyNumberFormat="1" applyFont="1" applyFill="1" applyBorder="1" applyAlignment="1">
      <alignment horizontal="center" vertical="center"/>
    </xf>
    <xf numFmtId="2" fontId="4188" fillId="8" borderId="1" xfId="0" applyNumberFormat="1" applyFont="1" applyFill="1" applyBorder="1" applyAlignment="1">
      <alignment horizontal="center" vertical="center"/>
    </xf>
    <xf numFmtId="2" fontId="4189" fillId="8" borderId="1" xfId="0" applyNumberFormat="1" applyFont="1" applyFill="1" applyBorder="1" applyAlignment="1">
      <alignment horizontal="center" vertical="center"/>
    </xf>
    <xf numFmtId="2" fontId="4190" fillId="8" borderId="1" xfId="0" applyNumberFormat="1" applyFont="1" applyFill="1" applyBorder="1" applyAlignment="1">
      <alignment horizontal="center" vertical="center"/>
    </xf>
    <xf numFmtId="2" fontId="4191" fillId="8" borderId="1" xfId="0" applyNumberFormat="1" applyFont="1" applyFill="1" applyBorder="1" applyAlignment="1">
      <alignment horizontal="center" vertical="center"/>
    </xf>
    <xf numFmtId="2" fontId="4192" fillId="8" borderId="1" xfId="0" applyNumberFormat="1" applyFont="1" applyFill="1" applyBorder="1" applyAlignment="1">
      <alignment horizontal="center" vertical="center"/>
    </xf>
    <xf numFmtId="2" fontId="4193" fillId="8" borderId="1" xfId="0" applyNumberFormat="1" applyFont="1" applyFill="1" applyBorder="1" applyAlignment="1">
      <alignment horizontal="center" vertical="center"/>
    </xf>
    <xf numFmtId="2" fontId="4194" fillId="8" borderId="1" xfId="0" applyNumberFormat="1" applyFont="1" applyFill="1" applyBorder="1" applyAlignment="1">
      <alignment horizontal="center" vertical="center"/>
    </xf>
    <xf numFmtId="2" fontId="4195" fillId="8" borderId="1" xfId="0" applyNumberFormat="1" applyFont="1" applyFill="1" applyBorder="1" applyAlignment="1">
      <alignment horizontal="center" vertical="center"/>
    </xf>
    <xf numFmtId="2" fontId="4196" fillId="8" borderId="1" xfId="0" applyNumberFormat="1" applyFont="1" applyFill="1" applyBorder="1" applyAlignment="1">
      <alignment horizontal="center" vertical="center"/>
    </xf>
    <xf numFmtId="2" fontId="4197" fillId="8" borderId="1" xfId="0" applyNumberFormat="1" applyFont="1" applyFill="1" applyBorder="1" applyAlignment="1">
      <alignment horizontal="center" vertical="center"/>
    </xf>
    <xf numFmtId="2" fontId="4198" fillId="8" borderId="1" xfId="0" applyNumberFormat="1" applyFont="1" applyFill="1" applyBorder="1" applyAlignment="1">
      <alignment horizontal="center" vertical="center"/>
    </xf>
    <xf numFmtId="2" fontId="4199" fillId="8" borderId="1" xfId="0" applyNumberFormat="1" applyFont="1" applyFill="1" applyBorder="1" applyAlignment="1">
      <alignment horizontal="center" vertical="center"/>
    </xf>
    <xf numFmtId="2" fontId="4200" fillId="8" borderId="1" xfId="0" applyNumberFormat="1" applyFont="1" applyFill="1" applyBorder="1" applyAlignment="1">
      <alignment horizontal="center" vertical="center"/>
    </xf>
    <xf numFmtId="2" fontId="4201" fillId="8" borderId="1" xfId="0" applyNumberFormat="1" applyFont="1" applyFill="1" applyBorder="1" applyAlignment="1">
      <alignment horizontal="center" vertical="center"/>
    </xf>
    <xf numFmtId="2" fontId="4202" fillId="8" borderId="1" xfId="0" applyNumberFormat="1" applyFont="1" applyFill="1" applyBorder="1" applyAlignment="1">
      <alignment horizontal="center" vertical="center"/>
    </xf>
    <xf numFmtId="2" fontId="4203" fillId="8" borderId="1" xfId="0" applyNumberFormat="1" applyFont="1" applyFill="1" applyBorder="1" applyAlignment="1">
      <alignment horizontal="center" vertical="center"/>
    </xf>
    <xf numFmtId="2" fontId="4204" fillId="8" borderId="1" xfId="0" applyNumberFormat="1" applyFont="1" applyFill="1" applyBorder="1" applyAlignment="1">
      <alignment horizontal="center" vertical="center"/>
    </xf>
    <xf numFmtId="2" fontId="4205" fillId="8" borderId="1" xfId="0" applyNumberFormat="1" applyFont="1" applyFill="1" applyBorder="1" applyAlignment="1">
      <alignment horizontal="center" vertical="center"/>
    </xf>
    <xf numFmtId="2" fontId="4206" fillId="8" borderId="1" xfId="0" applyNumberFormat="1" applyFont="1" applyFill="1" applyBorder="1" applyAlignment="1">
      <alignment horizontal="center" vertical="center"/>
    </xf>
    <xf numFmtId="2" fontId="4207" fillId="8" borderId="1" xfId="0" applyNumberFormat="1" applyFont="1" applyFill="1" applyBorder="1" applyAlignment="1">
      <alignment horizontal="center" vertical="center"/>
    </xf>
    <xf numFmtId="2" fontId="4208" fillId="8" borderId="1" xfId="0" applyNumberFormat="1" applyFont="1" applyFill="1" applyBorder="1" applyAlignment="1">
      <alignment horizontal="center" vertical="center"/>
    </xf>
    <xf numFmtId="2" fontId="4209" fillId="8" borderId="1" xfId="0" applyNumberFormat="1" applyFont="1" applyFill="1" applyBorder="1" applyAlignment="1">
      <alignment horizontal="center" vertical="center"/>
    </xf>
    <xf numFmtId="2" fontId="4210" fillId="8" borderId="1" xfId="0" applyNumberFormat="1" applyFont="1" applyFill="1" applyBorder="1" applyAlignment="1">
      <alignment horizontal="center" vertical="center"/>
    </xf>
    <xf numFmtId="2" fontId="4211" fillId="8" borderId="1" xfId="0" applyNumberFormat="1" applyFont="1" applyFill="1" applyBorder="1" applyAlignment="1">
      <alignment horizontal="center" vertical="center"/>
    </xf>
    <xf numFmtId="2" fontId="4212" fillId="8" borderId="1" xfId="0" applyNumberFormat="1" applyFont="1" applyFill="1" applyBorder="1" applyAlignment="1">
      <alignment horizontal="center" vertical="center"/>
    </xf>
    <xf numFmtId="0" fontId="4213" fillId="7" borderId="1" xfId="0" applyNumberFormat="1" applyFont="1" applyFill="1" applyBorder="1" applyAlignment="1">
      <alignment horizontal="left" vertical="center"/>
    </xf>
    <xf numFmtId="0" fontId="4214" fillId="8" borderId="1" xfId="0" applyNumberFormat="1" applyFont="1" applyFill="1" applyBorder="1" applyAlignment="1">
      <alignment horizontal="center" vertical="center"/>
    </xf>
    <xf numFmtId="164" fontId="4215" fillId="8" borderId="1" xfId="0" applyNumberFormat="1" applyFont="1" applyFill="1" applyBorder="1" applyAlignment="1">
      <alignment horizontal="center" vertical="center"/>
    </xf>
    <xf numFmtId="1" fontId="4216" fillId="8" borderId="1" xfId="0" applyNumberFormat="1" applyFont="1" applyFill="1" applyBorder="1" applyAlignment="1">
      <alignment horizontal="center" vertical="center"/>
    </xf>
    <xf numFmtId="1" fontId="4217" fillId="8" borderId="1" xfId="0" applyNumberFormat="1" applyFont="1" applyFill="1" applyBorder="1" applyAlignment="1">
      <alignment horizontal="center" vertical="center"/>
    </xf>
    <xf numFmtId="1" fontId="4218" fillId="8" borderId="1" xfId="0" applyNumberFormat="1" applyFont="1" applyFill="1" applyBorder="1" applyAlignment="1">
      <alignment horizontal="center" vertical="center"/>
    </xf>
    <xf numFmtId="1" fontId="4219" fillId="8" borderId="1" xfId="0" applyNumberFormat="1" applyFont="1" applyFill="1" applyBorder="1" applyAlignment="1">
      <alignment horizontal="center" vertical="center"/>
    </xf>
    <xf numFmtId="1" fontId="4220" fillId="8" borderId="1" xfId="0" applyNumberFormat="1" applyFont="1" applyFill="1" applyBorder="1" applyAlignment="1">
      <alignment horizontal="center" vertical="center"/>
    </xf>
    <xf numFmtId="1" fontId="4221" fillId="8" borderId="1" xfId="0" applyNumberFormat="1" applyFont="1" applyFill="1" applyBorder="1" applyAlignment="1">
      <alignment horizontal="center" vertical="center"/>
    </xf>
    <xf numFmtId="1" fontId="4222" fillId="8" borderId="1" xfId="0" applyNumberFormat="1" applyFont="1" applyFill="1" applyBorder="1" applyAlignment="1">
      <alignment horizontal="center" vertical="center"/>
    </xf>
    <xf numFmtId="0" fontId="4223" fillId="8" borderId="1" xfId="0" applyNumberFormat="1" applyFont="1" applyFill="1" applyBorder="1" applyAlignment="1">
      <alignment horizontal="center" vertical="center"/>
    </xf>
    <xf numFmtId="0" fontId="4224" fillId="8" borderId="1" xfId="0" applyNumberFormat="1" applyFont="1" applyFill="1" applyBorder="1" applyAlignment="1">
      <alignment horizontal="center" vertical="center"/>
    </xf>
    <xf numFmtId="1" fontId="4225" fillId="8" borderId="1" xfId="0" applyNumberFormat="1" applyFont="1" applyFill="1" applyBorder="1" applyAlignment="1">
      <alignment horizontal="center" vertical="center"/>
    </xf>
    <xf numFmtId="1" fontId="4226" fillId="8" borderId="1" xfId="0" applyNumberFormat="1" applyFont="1" applyFill="1" applyBorder="1" applyAlignment="1">
      <alignment horizontal="center" vertical="center"/>
    </xf>
    <xf numFmtId="1" fontId="4227" fillId="8" borderId="1" xfId="0" applyNumberFormat="1" applyFont="1" applyFill="1" applyBorder="1" applyAlignment="1">
      <alignment horizontal="center" vertical="center"/>
    </xf>
    <xf numFmtId="165" fontId="4228" fillId="8" borderId="1" xfId="0" applyNumberFormat="1" applyFont="1" applyFill="1" applyBorder="1" applyAlignment="1">
      <alignment horizontal="center" vertical="center"/>
    </xf>
    <xf numFmtId="1" fontId="4229" fillId="8" borderId="1" xfId="0" applyNumberFormat="1" applyFont="1" applyFill="1" applyBorder="1" applyAlignment="1">
      <alignment horizontal="center" vertical="center"/>
    </xf>
    <xf numFmtId="165" fontId="4230" fillId="8" borderId="1" xfId="0" applyNumberFormat="1" applyFont="1" applyFill="1" applyBorder="1" applyAlignment="1">
      <alignment horizontal="center" vertical="center"/>
    </xf>
    <xf numFmtId="1" fontId="4231" fillId="8" borderId="1" xfId="0" applyNumberFormat="1" applyFont="1" applyFill="1" applyBorder="1" applyAlignment="1">
      <alignment horizontal="center" vertical="center"/>
    </xf>
    <xf numFmtId="165" fontId="4232" fillId="8" borderId="1" xfId="0" applyNumberFormat="1" applyFont="1" applyFill="1" applyBorder="1" applyAlignment="1">
      <alignment horizontal="center" vertical="center"/>
    </xf>
    <xf numFmtId="1" fontId="4233" fillId="8" borderId="1" xfId="0" applyNumberFormat="1" applyFont="1" applyFill="1" applyBorder="1" applyAlignment="1">
      <alignment horizontal="center" vertical="center"/>
    </xf>
    <xf numFmtId="165" fontId="4234" fillId="8" borderId="1" xfId="0" applyNumberFormat="1" applyFont="1" applyFill="1" applyBorder="1" applyAlignment="1">
      <alignment horizontal="center" vertical="center"/>
    </xf>
    <xf numFmtId="165" fontId="4235" fillId="8" borderId="1" xfId="0" applyNumberFormat="1" applyFont="1" applyFill="1" applyBorder="1" applyAlignment="1">
      <alignment horizontal="center" vertical="center"/>
    </xf>
    <xf numFmtId="1" fontId="4236" fillId="8" borderId="1" xfId="0" applyNumberFormat="1" applyFont="1" applyFill="1" applyBorder="1" applyAlignment="1">
      <alignment horizontal="center" vertical="center"/>
    </xf>
    <xf numFmtId="1" fontId="4237" fillId="8" borderId="1" xfId="0" applyNumberFormat="1" applyFont="1" applyFill="1" applyBorder="1" applyAlignment="1">
      <alignment horizontal="center" vertical="center"/>
    </xf>
    <xf numFmtId="1" fontId="4238" fillId="8" borderId="1" xfId="0" applyNumberFormat="1" applyFont="1" applyFill="1" applyBorder="1" applyAlignment="1">
      <alignment horizontal="center" vertical="center"/>
    </xf>
    <xf numFmtId="165" fontId="4239" fillId="8" borderId="1" xfId="0" applyNumberFormat="1" applyFont="1" applyFill="1" applyBorder="1" applyAlignment="1">
      <alignment horizontal="center" vertical="center"/>
    </xf>
    <xf numFmtId="164" fontId="4240" fillId="8" borderId="1" xfId="0" applyNumberFormat="1" applyFont="1" applyFill="1" applyBorder="1" applyAlignment="1">
      <alignment horizontal="center" vertical="center"/>
    </xf>
    <xf numFmtId="164" fontId="4241" fillId="8" borderId="1" xfId="0" applyNumberFormat="1" applyFont="1" applyFill="1" applyBorder="1" applyAlignment="1">
      <alignment horizontal="center" vertical="center"/>
    </xf>
    <xf numFmtId="1" fontId="4242" fillId="8" borderId="1" xfId="0" applyNumberFormat="1" applyFont="1" applyFill="1" applyBorder="1" applyAlignment="1">
      <alignment horizontal="center" vertical="center"/>
    </xf>
    <xf numFmtId="1" fontId="4243" fillId="8" borderId="1" xfId="0" applyNumberFormat="1" applyFont="1" applyFill="1" applyBorder="1" applyAlignment="1">
      <alignment horizontal="center" vertical="center"/>
    </xf>
    <xf numFmtId="1" fontId="4244" fillId="8" borderId="1" xfId="0" applyNumberFormat="1" applyFont="1" applyFill="1" applyBorder="1" applyAlignment="1">
      <alignment horizontal="center" vertical="center"/>
    </xf>
    <xf numFmtId="165" fontId="4245" fillId="8" borderId="1" xfId="0" applyNumberFormat="1" applyFont="1" applyFill="1" applyBorder="1" applyAlignment="1">
      <alignment horizontal="center" vertical="center"/>
    </xf>
    <xf numFmtId="1" fontId="4246" fillId="8" borderId="1" xfId="0" applyNumberFormat="1" applyFont="1" applyFill="1" applyBorder="1" applyAlignment="1">
      <alignment horizontal="center" vertical="center"/>
    </xf>
    <xf numFmtId="165" fontId="4247" fillId="8" borderId="1" xfId="0" applyNumberFormat="1" applyFont="1" applyFill="1" applyBorder="1" applyAlignment="1">
      <alignment horizontal="center" vertical="center"/>
    </xf>
    <xf numFmtId="1" fontId="4248" fillId="8" borderId="1" xfId="0" applyNumberFormat="1" applyFont="1" applyFill="1" applyBorder="1" applyAlignment="1">
      <alignment horizontal="center" vertical="center"/>
    </xf>
    <xf numFmtId="1" fontId="4249" fillId="8" borderId="1" xfId="0" applyNumberFormat="1" applyFont="1" applyFill="1" applyBorder="1" applyAlignment="1">
      <alignment horizontal="center" vertical="center"/>
    </xf>
    <xf numFmtId="1" fontId="4250" fillId="8" borderId="1" xfId="0" applyNumberFormat="1" applyFont="1" applyFill="1" applyBorder="1" applyAlignment="1">
      <alignment horizontal="center" vertical="center"/>
    </xf>
    <xf numFmtId="1" fontId="4251" fillId="8" borderId="1" xfId="0" applyNumberFormat="1" applyFont="1" applyFill="1" applyBorder="1" applyAlignment="1">
      <alignment horizontal="center" vertical="center"/>
    </xf>
    <xf numFmtId="165" fontId="4252" fillId="8" borderId="1" xfId="0" applyNumberFormat="1" applyFont="1" applyFill="1" applyBorder="1" applyAlignment="1">
      <alignment horizontal="center" vertical="center"/>
    </xf>
    <xf numFmtId="1" fontId="4253" fillId="8" borderId="1" xfId="0" applyNumberFormat="1" applyFont="1" applyFill="1" applyBorder="1" applyAlignment="1">
      <alignment horizontal="center" vertical="center"/>
    </xf>
    <xf numFmtId="165" fontId="4254" fillId="8" borderId="1" xfId="0" applyNumberFormat="1" applyFont="1" applyFill="1" applyBorder="1" applyAlignment="1">
      <alignment horizontal="center" vertical="center"/>
    </xf>
    <xf numFmtId="1" fontId="4255" fillId="8" borderId="1" xfId="0" applyNumberFormat="1" applyFont="1" applyFill="1" applyBorder="1" applyAlignment="1">
      <alignment horizontal="center" vertical="center"/>
    </xf>
    <xf numFmtId="165" fontId="4256" fillId="8" borderId="1" xfId="0" applyNumberFormat="1" applyFont="1" applyFill="1" applyBorder="1" applyAlignment="1">
      <alignment horizontal="center" vertical="center"/>
    </xf>
    <xf numFmtId="2" fontId="4257" fillId="8" borderId="1" xfId="0" applyNumberFormat="1" applyFont="1" applyFill="1" applyBorder="1" applyAlignment="1">
      <alignment horizontal="center" vertical="center"/>
    </xf>
    <xf numFmtId="2" fontId="4258" fillId="8" borderId="1" xfId="0" applyNumberFormat="1" applyFont="1" applyFill="1" applyBorder="1" applyAlignment="1">
      <alignment horizontal="center" vertical="center"/>
    </xf>
    <xf numFmtId="2" fontId="4259" fillId="8" borderId="1" xfId="0" applyNumberFormat="1" applyFont="1" applyFill="1" applyBorder="1" applyAlignment="1">
      <alignment horizontal="center" vertical="center"/>
    </xf>
    <xf numFmtId="2" fontId="4260" fillId="8" borderId="1" xfId="0" applyNumberFormat="1" applyFont="1" applyFill="1" applyBorder="1" applyAlignment="1">
      <alignment horizontal="center" vertical="center"/>
    </xf>
    <xf numFmtId="2" fontId="4261" fillId="8" borderId="1" xfId="0" applyNumberFormat="1" applyFont="1" applyFill="1" applyBorder="1" applyAlignment="1">
      <alignment horizontal="center" vertical="center"/>
    </xf>
    <xf numFmtId="2" fontId="4262" fillId="8" borderId="1" xfId="0" applyNumberFormat="1" applyFont="1" applyFill="1" applyBorder="1" applyAlignment="1">
      <alignment horizontal="center" vertical="center"/>
    </xf>
    <xf numFmtId="2" fontId="4263" fillId="8" borderId="1" xfId="0" applyNumberFormat="1" applyFont="1" applyFill="1" applyBorder="1" applyAlignment="1">
      <alignment horizontal="center" vertical="center"/>
    </xf>
    <xf numFmtId="2" fontId="4264" fillId="8" borderId="1" xfId="0" applyNumberFormat="1" applyFont="1" applyFill="1" applyBorder="1" applyAlignment="1">
      <alignment horizontal="center" vertical="center"/>
    </xf>
    <xf numFmtId="2" fontId="4265" fillId="8" borderId="1" xfId="0" applyNumberFormat="1" applyFont="1" applyFill="1" applyBorder="1" applyAlignment="1">
      <alignment horizontal="center" vertical="center"/>
    </xf>
    <xf numFmtId="2" fontId="4266" fillId="8" borderId="1" xfId="0" applyNumberFormat="1" applyFont="1" applyFill="1" applyBorder="1" applyAlignment="1">
      <alignment horizontal="center" vertical="center"/>
    </xf>
    <xf numFmtId="2" fontId="4267" fillId="8" borderId="1" xfId="0" applyNumberFormat="1" applyFont="1" applyFill="1" applyBorder="1" applyAlignment="1">
      <alignment horizontal="center" vertical="center"/>
    </xf>
    <xf numFmtId="2" fontId="4268" fillId="8" borderId="1" xfId="0" applyNumberFormat="1" applyFont="1" applyFill="1" applyBorder="1" applyAlignment="1">
      <alignment horizontal="center" vertical="center"/>
    </xf>
    <xf numFmtId="2" fontId="4269" fillId="8" borderId="1" xfId="0" applyNumberFormat="1" applyFont="1" applyFill="1" applyBorder="1" applyAlignment="1">
      <alignment horizontal="center" vertical="center"/>
    </xf>
    <xf numFmtId="2" fontId="4270" fillId="8" borderId="1" xfId="0" applyNumberFormat="1" applyFont="1" applyFill="1" applyBorder="1" applyAlignment="1">
      <alignment horizontal="center" vertical="center"/>
    </xf>
    <xf numFmtId="2" fontId="4271" fillId="8" borderId="1" xfId="0" applyNumberFormat="1" applyFont="1" applyFill="1" applyBorder="1" applyAlignment="1">
      <alignment horizontal="center" vertical="center"/>
    </xf>
    <xf numFmtId="2" fontId="4272" fillId="8" borderId="1" xfId="0" applyNumberFormat="1" applyFont="1" applyFill="1" applyBorder="1" applyAlignment="1">
      <alignment horizontal="center" vertical="center"/>
    </xf>
    <xf numFmtId="2" fontId="4273" fillId="8" borderId="1" xfId="0" applyNumberFormat="1" applyFont="1" applyFill="1" applyBorder="1" applyAlignment="1">
      <alignment horizontal="center" vertical="center"/>
    </xf>
    <xf numFmtId="2" fontId="4274" fillId="8" borderId="1" xfId="0" applyNumberFormat="1" applyFont="1" applyFill="1" applyBorder="1" applyAlignment="1">
      <alignment horizontal="center" vertical="center"/>
    </xf>
    <xf numFmtId="2" fontId="4275" fillId="8" borderId="1" xfId="0" applyNumberFormat="1" applyFont="1" applyFill="1" applyBorder="1" applyAlignment="1">
      <alignment horizontal="center" vertical="center"/>
    </xf>
    <xf numFmtId="2" fontId="4276" fillId="8" borderId="1" xfId="0" applyNumberFormat="1" applyFont="1" applyFill="1" applyBorder="1" applyAlignment="1">
      <alignment horizontal="center" vertical="center"/>
    </xf>
    <xf numFmtId="2" fontId="4277" fillId="8" borderId="1" xfId="0" applyNumberFormat="1" applyFont="1" applyFill="1" applyBorder="1" applyAlignment="1">
      <alignment horizontal="center" vertical="center"/>
    </xf>
    <xf numFmtId="2" fontId="4278" fillId="8" borderId="1" xfId="0" applyNumberFormat="1" applyFont="1" applyFill="1" applyBorder="1" applyAlignment="1">
      <alignment horizontal="center" vertical="center"/>
    </xf>
    <xf numFmtId="2" fontId="4279" fillId="8" borderId="1" xfId="0" applyNumberFormat="1" applyFont="1" applyFill="1" applyBorder="1" applyAlignment="1">
      <alignment horizontal="center" vertical="center"/>
    </xf>
    <xf numFmtId="2" fontId="4280" fillId="8" borderId="1" xfId="0" applyNumberFormat="1" applyFont="1" applyFill="1" applyBorder="1" applyAlignment="1">
      <alignment horizontal="center" vertical="center"/>
    </xf>
    <xf numFmtId="2" fontId="4281" fillId="8" borderId="1" xfId="0" applyNumberFormat="1" applyFont="1" applyFill="1" applyBorder="1" applyAlignment="1">
      <alignment horizontal="center" vertical="center"/>
    </xf>
    <xf numFmtId="2" fontId="4282" fillId="8" borderId="1" xfId="0" applyNumberFormat="1" applyFont="1" applyFill="1" applyBorder="1" applyAlignment="1">
      <alignment horizontal="center" vertical="center"/>
    </xf>
    <xf numFmtId="2" fontId="4283" fillId="8" borderId="1" xfId="0" applyNumberFormat="1" applyFont="1" applyFill="1" applyBorder="1" applyAlignment="1">
      <alignment horizontal="center" vertical="center"/>
    </xf>
    <xf numFmtId="2" fontId="4284" fillId="8" borderId="1" xfId="0" applyNumberFormat="1" applyFont="1" applyFill="1" applyBorder="1" applyAlignment="1">
      <alignment horizontal="center" vertical="center"/>
    </xf>
    <xf numFmtId="2" fontId="4285" fillId="8" borderId="1" xfId="0" applyNumberFormat="1" applyFont="1" applyFill="1" applyBorder="1" applyAlignment="1">
      <alignment horizontal="center" vertical="center"/>
    </xf>
    <xf numFmtId="2" fontId="4286" fillId="8" borderId="1" xfId="0" applyNumberFormat="1" applyFont="1" applyFill="1" applyBorder="1" applyAlignment="1">
      <alignment horizontal="center" vertical="center"/>
    </xf>
    <xf numFmtId="2" fontId="4287" fillId="8" borderId="1" xfId="0" applyNumberFormat="1" applyFont="1" applyFill="1" applyBorder="1" applyAlignment="1">
      <alignment horizontal="center" vertical="center"/>
    </xf>
    <xf numFmtId="2" fontId="4288" fillId="8" borderId="1" xfId="0" applyNumberFormat="1" applyFont="1" applyFill="1" applyBorder="1" applyAlignment="1">
      <alignment horizontal="center" vertical="center"/>
    </xf>
    <xf numFmtId="2" fontId="4289" fillId="8" borderId="1" xfId="0" applyNumberFormat="1" applyFont="1" applyFill="1" applyBorder="1" applyAlignment="1">
      <alignment horizontal="center" vertical="center"/>
    </xf>
    <xf numFmtId="2" fontId="4290" fillId="8" borderId="1" xfId="0" applyNumberFormat="1" applyFont="1" applyFill="1" applyBorder="1" applyAlignment="1">
      <alignment horizontal="center" vertical="center"/>
    </xf>
    <xf numFmtId="0" fontId="4291" fillId="7" borderId="1" xfId="0" applyNumberFormat="1" applyFont="1" applyFill="1" applyBorder="1" applyAlignment="1">
      <alignment horizontal="left" vertical="center"/>
    </xf>
    <xf numFmtId="0" fontId="4292" fillId="8" borderId="1" xfId="0" applyNumberFormat="1" applyFont="1" applyFill="1" applyBorder="1" applyAlignment="1">
      <alignment horizontal="center" vertical="center"/>
    </xf>
    <xf numFmtId="164" fontId="4293" fillId="8" borderId="1" xfId="0" applyNumberFormat="1" applyFont="1" applyFill="1" applyBorder="1" applyAlignment="1">
      <alignment horizontal="center" vertical="center"/>
    </xf>
    <xf numFmtId="1" fontId="4294" fillId="8" borderId="1" xfId="0" applyNumberFormat="1" applyFont="1" applyFill="1" applyBorder="1" applyAlignment="1">
      <alignment horizontal="center" vertical="center"/>
    </xf>
    <xf numFmtId="1" fontId="4295" fillId="8" borderId="1" xfId="0" applyNumberFormat="1" applyFont="1" applyFill="1" applyBorder="1" applyAlignment="1">
      <alignment horizontal="center" vertical="center"/>
    </xf>
    <xf numFmtId="1" fontId="4296" fillId="8" borderId="1" xfId="0" applyNumberFormat="1" applyFont="1" applyFill="1" applyBorder="1" applyAlignment="1">
      <alignment horizontal="center" vertical="center"/>
    </xf>
    <xf numFmtId="1" fontId="4297" fillId="8" borderId="1" xfId="0" applyNumberFormat="1" applyFont="1" applyFill="1" applyBorder="1" applyAlignment="1">
      <alignment horizontal="center" vertical="center"/>
    </xf>
    <xf numFmtId="1" fontId="4298" fillId="8" borderId="1" xfId="0" applyNumberFormat="1" applyFont="1" applyFill="1" applyBorder="1" applyAlignment="1">
      <alignment horizontal="center" vertical="center"/>
    </xf>
    <xf numFmtId="1" fontId="4299" fillId="8" borderId="1" xfId="0" applyNumberFormat="1" applyFont="1" applyFill="1" applyBorder="1" applyAlignment="1">
      <alignment horizontal="center" vertical="center"/>
    </xf>
    <xf numFmtId="1" fontId="4300" fillId="8" borderId="1" xfId="0" applyNumberFormat="1" applyFont="1" applyFill="1" applyBorder="1" applyAlignment="1">
      <alignment horizontal="center" vertical="center"/>
    </xf>
    <xf numFmtId="0" fontId="4301" fillId="8" borderId="1" xfId="0" applyNumberFormat="1" applyFont="1" applyFill="1" applyBorder="1" applyAlignment="1">
      <alignment horizontal="center" vertical="center"/>
    </xf>
    <xf numFmtId="0" fontId="4302" fillId="8" borderId="1" xfId="0" applyNumberFormat="1" applyFont="1" applyFill="1" applyBorder="1" applyAlignment="1">
      <alignment horizontal="center" vertical="center"/>
    </xf>
    <xf numFmtId="1" fontId="4303" fillId="8" borderId="1" xfId="0" applyNumberFormat="1" applyFont="1" applyFill="1" applyBorder="1" applyAlignment="1">
      <alignment horizontal="center" vertical="center"/>
    </xf>
    <xf numFmtId="1" fontId="4304" fillId="8" borderId="1" xfId="0" applyNumberFormat="1" applyFont="1" applyFill="1" applyBorder="1" applyAlignment="1">
      <alignment horizontal="center" vertical="center"/>
    </xf>
    <xf numFmtId="1" fontId="4305" fillId="8" borderId="1" xfId="0" applyNumberFormat="1" applyFont="1" applyFill="1" applyBorder="1" applyAlignment="1">
      <alignment horizontal="center" vertical="center"/>
    </xf>
    <xf numFmtId="165" fontId="4306" fillId="8" borderId="1" xfId="0" applyNumberFormat="1" applyFont="1" applyFill="1" applyBorder="1" applyAlignment="1">
      <alignment horizontal="center" vertical="center"/>
    </xf>
    <xf numFmtId="1" fontId="4307" fillId="8" borderId="1" xfId="0" applyNumberFormat="1" applyFont="1" applyFill="1" applyBorder="1" applyAlignment="1">
      <alignment horizontal="center" vertical="center"/>
    </xf>
    <xf numFmtId="165" fontId="4308" fillId="8" borderId="1" xfId="0" applyNumberFormat="1" applyFont="1" applyFill="1" applyBorder="1" applyAlignment="1">
      <alignment horizontal="center" vertical="center"/>
    </xf>
    <xf numFmtId="1" fontId="4309" fillId="8" borderId="1" xfId="0" applyNumberFormat="1" applyFont="1" applyFill="1" applyBorder="1" applyAlignment="1">
      <alignment horizontal="center" vertical="center"/>
    </xf>
    <xf numFmtId="165" fontId="4310" fillId="8" borderId="1" xfId="0" applyNumberFormat="1" applyFont="1" applyFill="1" applyBorder="1" applyAlignment="1">
      <alignment horizontal="center" vertical="center"/>
    </xf>
    <xf numFmtId="1" fontId="4311" fillId="8" borderId="1" xfId="0" applyNumberFormat="1" applyFont="1" applyFill="1" applyBorder="1" applyAlignment="1">
      <alignment horizontal="center" vertical="center"/>
    </xf>
    <xf numFmtId="165" fontId="4312" fillId="8" borderId="1" xfId="0" applyNumberFormat="1" applyFont="1" applyFill="1" applyBorder="1" applyAlignment="1">
      <alignment horizontal="center" vertical="center"/>
    </xf>
    <xf numFmtId="165" fontId="4313" fillId="8" borderId="1" xfId="0" applyNumberFormat="1" applyFont="1" applyFill="1" applyBorder="1" applyAlignment="1">
      <alignment horizontal="center" vertical="center"/>
    </xf>
    <xf numFmtId="1" fontId="4314" fillId="8" borderId="1" xfId="0" applyNumberFormat="1" applyFont="1" applyFill="1" applyBorder="1" applyAlignment="1">
      <alignment horizontal="center" vertical="center"/>
    </xf>
    <xf numFmtId="1" fontId="4315" fillId="8" borderId="1" xfId="0" applyNumberFormat="1" applyFont="1" applyFill="1" applyBorder="1" applyAlignment="1">
      <alignment horizontal="center" vertical="center"/>
    </xf>
    <xf numFmtId="1" fontId="4316" fillId="8" borderId="1" xfId="0" applyNumberFormat="1" applyFont="1" applyFill="1" applyBorder="1" applyAlignment="1">
      <alignment horizontal="center" vertical="center"/>
    </xf>
    <xf numFmtId="165" fontId="4317" fillId="8" borderId="1" xfId="0" applyNumberFormat="1" applyFont="1" applyFill="1" applyBorder="1" applyAlignment="1">
      <alignment horizontal="center" vertical="center"/>
    </xf>
    <xf numFmtId="164" fontId="4318" fillId="8" borderId="1" xfId="0" applyNumberFormat="1" applyFont="1" applyFill="1" applyBorder="1" applyAlignment="1">
      <alignment horizontal="center" vertical="center"/>
    </xf>
    <xf numFmtId="164" fontId="4319" fillId="8" borderId="1" xfId="0" applyNumberFormat="1" applyFont="1" applyFill="1" applyBorder="1" applyAlignment="1">
      <alignment horizontal="center" vertical="center"/>
    </xf>
    <xf numFmtId="1" fontId="4320" fillId="8" borderId="1" xfId="0" applyNumberFormat="1" applyFont="1" applyFill="1" applyBorder="1" applyAlignment="1">
      <alignment horizontal="center" vertical="center"/>
    </xf>
    <xf numFmtId="1" fontId="4321" fillId="8" borderId="1" xfId="0" applyNumberFormat="1" applyFont="1" applyFill="1" applyBorder="1" applyAlignment="1">
      <alignment horizontal="center" vertical="center"/>
    </xf>
    <xf numFmtId="1" fontId="4322" fillId="8" borderId="1" xfId="0" applyNumberFormat="1" applyFont="1" applyFill="1" applyBorder="1" applyAlignment="1">
      <alignment horizontal="center" vertical="center"/>
    </xf>
    <xf numFmtId="165" fontId="4323" fillId="8" borderId="1" xfId="0" applyNumberFormat="1" applyFont="1" applyFill="1" applyBorder="1" applyAlignment="1">
      <alignment horizontal="center" vertical="center"/>
    </xf>
    <xf numFmtId="1" fontId="4324" fillId="8" borderId="1" xfId="0" applyNumberFormat="1" applyFont="1" applyFill="1" applyBorder="1" applyAlignment="1">
      <alignment horizontal="center" vertical="center"/>
    </xf>
    <xf numFmtId="165" fontId="4325" fillId="8" borderId="1" xfId="0" applyNumberFormat="1" applyFont="1" applyFill="1" applyBorder="1" applyAlignment="1">
      <alignment horizontal="center" vertical="center"/>
    </xf>
    <xf numFmtId="1" fontId="4326" fillId="8" borderId="1" xfId="0" applyNumberFormat="1" applyFont="1" applyFill="1" applyBorder="1" applyAlignment="1">
      <alignment horizontal="center" vertical="center"/>
    </xf>
    <xf numFmtId="1" fontId="4327" fillId="8" borderId="1" xfId="0" applyNumberFormat="1" applyFont="1" applyFill="1" applyBorder="1" applyAlignment="1">
      <alignment horizontal="center" vertical="center"/>
    </xf>
    <xf numFmtId="1" fontId="4328" fillId="8" borderId="1" xfId="0" applyNumberFormat="1" applyFont="1" applyFill="1" applyBorder="1" applyAlignment="1">
      <alignment horizontal="center" vertical="center"/>
    </xf>
    <xf numFmtId="1" fontId="4329" fillId="8" borderId="1" xfId="0" applyNumberFormat="1" applyFont="1" applyFill="1" applyBorder="1" applyAlignment="1">
      <alignment horizontal="center" vertical="center"/>
    </xf>
    <xf numFmtId="165" fontId="4330" fillId="8" borderId="1" xfId="0" applyNumberFormat="1" applyFont="1" applyFill="1" applyBorder="1" applyAlignment="1">
      <alignment horizontal="center" vertical="center"/>
    </xf>
    <xf numFmtId="1" fontId="4331" fillId="8" borderId="1" xfId="0" applyNumberFormat="1" applyFont="1" applyFill="1" applyBorder="1" applyAlignment="1">
      <alignment horizontal="center" vertical="center"/>
    </xf>
    <xf numFmtId="165" fontId="4332" fillId="8" borderId="1" xfId="0" applyNumberFormat="1" applyFont="1" applyFill="1" applyBorder="1" applyAlignment="1">
      <alignment horizontal="center" vertical="center"/>
    </xf>
    <xf numFmtId="1" fontId="4333" fillId="8" borderId="1" xfId="0" applyNumberFormat="1" applyFont="1" applyFill="1" applyBorder="1" applyAlignment="1">
      <alignment horizontal="center" vertical="center"/>
    </xf>
    <xf numFmtId="165" fontId="4334" fillId="8" borderId="1" xfId="0" applyNumberFormat="1" applyFont="1" applyFill="1" applyBorder="1" applyAlignment="1">
      <alignment horizontal="center" vertical="center"/>
    </xf>
    <xf numFmtId="2" fontId="4335" fillId="8" borderId="1" xfId="0" applyNumberFormat="1" applyFont="1" applyFill="1" applyBorder="1" applyAlignment="1">
      <alignment horizontal="center" vertical="center"/>
    </xf>
    <xf numFmtId="2" fontId="4336" fillId="8" borderId="1" xfId="0" applyNumberFormat="1" applyFont="1" applyFill="1" applyBorder="1" applyAlignment="1">
      <alignment horizontal="center" vertical="center"/>
    </xf>
    <xf numFmtId="2" fontId="4337" fillId="8" borderId="1" xfId="0" applyNumberFormat="1" applyFont="1" applyFill="1" applyBorder="1" applyAlignment="1">
      <alignment horizontal="center" vertical="center"/>
    </xf>
    <xf numFmtId="2" fontId="4338" fillId="8" borderId="1" xfId="0" applyNumberFormat="1" applyFont="1" applyFill="1" applyBorder="1" applyAlignment="1">
      <alignment horizontal="center" vertical="center"/>
    </xf>
    <xf numFmtId="2" fontId="4339" fillId="8" borderId="1" xfId="0" applyNumberFormat="1" applyFont="1" applyFill="1" applyBorder="1" applyAlignment="1">
      <alignment horizontal="center" vertical="center"/>
    </xf>
    <xf numFmtId="2" fontId="4340" fillId="8" borderId="1" xfId="0" applyNumberFormat="1" applyFont="1" applyFill="1" applyBorder="1" applyAlignment="1">
      <alignment horizontal="center" vertical="center"/>
    </xf>
    <xf numFmtId="2" fontId="4341" fillId="8" borderId="1" xfId="0" applyNumberFormat="1" applyFont="1" applyFill="1" applyBorder="1" applyAlignment="1">
      <alignment horizontal="center" vertical="center"/>
    </xf>
    <xf numFmtId="2" fontId="4342" fillId="8" borderId="1" xfId="0" applyNumberFormat="1" applyFont="1" applyFill="1" applyBorder="1" applyAlignment="1">
      <alignment horizontal="center" vertical="center"/>
    </xf>
    <xf numFmtId="2" fontId="4343" fillId="8" borderId="1" xfId="0" applyNumberFormat="1" applyFont="1" applyFill="1" applyBorder="1" applyAlignment="1">
      <alignment horizontal="center" vertical="center"/>
    </xf>
    <xf numFmtId="2" fontId="4344" fillId="8" borderId="1" xfId="0" applyNumberFormat="1" applyFont="1" applyFill="1" applyBorder="1" applyAlignment="1">
      <alignment horizontal="center" vertical="center"/>
    </xf>
    <xf numFmtId="2" fontId="4345" fillId="8" borderId="1" xfId="0" applyNumberFormat="1" applyFont="1" applyFill="1" applyBorder="1" applyAlignment="1">
      <alignment horizontal="center" vertical="center"/>
    </xf>
    <xf numFmtId="2" fontId="4346" fillId="8" borderId="1" xfId="0" applyNumberFormat="1" applyFont="1" applyFill="1" applyBorder="1" applyAlignment="1">
      <alignment horizontal="center" vertical="center"/>
    </xf>
    <xf numFmtId="2" fontId="4347" fillId="8" borderId="1" xfId="0" applyNumberFormat="1" applyFont="1" applyFill="1" applyBorder="1" applyAlignment="1">
      <alignment horizontal="center" vertical="center"/>
    </xf>
    <xf numFmtId="2" fontId="4348" fillId="8" borderId="1" xfId="0" applyNumberFormat="1" applyFont="1" applyFill="1" applyBorder="1" applyAlignment="1">
      <alignment horizontal="center" vertical="center"/>
    </xf>
    <xf numFmtId="2" fontId="4349" fillId="8" borderId="1" xfId="0" applyNumberFormat="1" applyFont="1" applyFill="1" applyBorder="1" applyAlignment="1">
      <alignment horizontal="center" vertical="center"/>
    </xf>
    <xf numFmtId="2" fontId="4350" fillId="8" borderId="1" xfId="0" applyNumberFormat="1" applyFont="1" applyFill="1" applyBorder="1" applyAlignment="1">
      <alignment horizontal="center" vertical="center"/>
    </xf>
    <xf numFmtId="2" fontId="4351" fillId="8" borderId="1" xfId="0" applyNumberFormat="1" applyFont="1" applyFill="1" applyBorder="1" applyAlignment="1">
      <alignment horizontal="center" vertical="center"/>
    </xf>
    <xf numFmtId="2" fontId="4352" fillId="8" borderId="1" xfId="0" applyNumberFormat="1" applyFont="1" applyFill="1" applyBorder="1" applyAlignment="1">
      <alignment horizontal="center" vertical="center"/>
    </xf>
    <xf numFmtId="2" fontId="4353" fillId="8" borderId="1" xfId="0" applyNumberFormat="1" applyFont="1" applyFill="1" applyBorder="1" applyAlignment="1">
      <alignment horizontal="center" vertical="center"/>
    </xf>
    <xf numFmtId="2" fontId="4354" fillId="8" borderId="1" xfId="0" applyNumberFormat="1" applyFont="1" applyFill="1" applyBorder="1" applyAlignment="1">
      <alignment horizontal="center" vertical="center"/>
    </xf>
    <xf numFmtId="2" fontId="4355" fillId="8" borderId="1" xfId="0" applyNumberFormat="1" applyFont="1" applyFill="1" applyBorder="1" applyAlignment="1">
      <alignment horizontal="center" vertical="center"/>
    </xf>
    <xf numFmtId="2" fontId="4356" fillId="8" borderId="1" xfId="0" applyNumberFormat="1" applyFont="1" applyFill="1" applyBorder="1" applyAlignment="1">
      <alignment horizontal="center" vertical="center"/>
    </xf>
    <xf numFmtId="2" fontId="4357" fillId="8" borderId="1" xfId="0" applyNumberFormat="1" applyFont="1" applyFill="1" applyBorder="1" applyAlignment="1">
      <alignment horizontal="center" vertical="center"/>
    </xf>
    <xf numFmtId="2" fontId="4358" fillId="8" borderId="1" xfId="0" applyNumberFormat="1" applyFont="1" applyFill="1" applyBorder="1" applyAlignment="1">
      <alignment horizontal="center" vertical="center"/>
    </xf>
    <xf numFmtId="2" fontId="4359" fillId="8" borderId="1" xfId="0" applyNumberFormat="1" applyFont="1" applyFill="1" applyBorder="1" applyAlignment="1">
      <alignment horizontal="center" vertical="center"/>
    </xf>
    <xf numFmtId="2" fontId="4360" fillId="8" borderId="1" xfId="0" applyNumberFormat="1" applyFont="1" applyFill="1" applyBorder="1" applyAlignment="1">
      <alignment horizontal="center" vertical="center"/>
    </xf>
    <xf numFmtId="2" fontId="4361" fillId="8" borderId="1" xfId="0" applyNumberFormat="1" applyFont="1" applyFill="1" applyBorder="1" applyAlignment="1">
      <alignment horizontal="center" vertical="center"/>
    </xf>
    <xf numFmtId="2" fontId="4362" fillId="8" borderId="1" xfId="0" applyNumberFormat="1" applyFont="1" applyFill="1" applyBorder="1" applyAlignment="1">
      <alignment horizontal="center" vertical="center"/>
    </xf>
    <xf numFmtId="2" fontId="4363" fillId="8" borderId="1" xfId="0" applyNumberFormat="1" applyFont="1" applyFill="1" applyBorder="1" applyAlignment="1">
      <alignment horizontal="center" vertical="center"/>
    </xf>
    <xf numFmtId="2" fontId="4364" fillId="8" borderId="1" xfId="0" applyNumberFormat="1" applyFont="1" applyFill="1" applyBorder="1" applyAlignment="1">
      <alignment horizontal="center" vertical="center"/>
    </xf>
    <xf numFmtId="2" fontId="4365" fillId="8" borderId="1" xfId="0" applyNumberFormat="1" applyFont="1" applyFill="1" applyBorder="1" applyAlignment="1">
      <alignment horizontal="center" vertical="center"/>
    </xf>
    <xf numFmtId="2" fontId="4366" fillId="8" borderId="1" xfId="0" applyNumberFormat="1" applyFont="1" applyFill="1" applyBorder="1" applyAlignment="1">
      <alignment horizontal="center" vertical="center"/>
    </xf>
    <xf numFmtId="2" fontId="4367" fillId="8" borderId="1" xfId="0" applyNumberFormat="1" applyFont="1" applyFill="1" applyBorder="1" applyAlignment="1">
      <alignment horizontal="center" vertical="center"/>
    </xf>
    <xf numFmtId="2" fontId="4368" fillId="8" borderId="1" xfId="0" applyNumberFormat="1" applyFont="1" applyFill="1" applyBorder="1" applyAlignment="1">
      <alignment horizontal="center" vertical="center"/>
    </xf>
    <xf numFmtId="0" fontId="4369" fillId="7" borderId="1" xfId="0" applyNumberFormat="1" applyFont="1" applyFill="1" applyBorder="1" applyAlignment="1">
      <alignment horizontal="left" vertical="center"/>
    </xf>
    <xf numFmtId="0" fontId="4370" fillId="8" borderId="1" xfId="0" applyNumberFormat="1" applyFont="1" applyFill="1" applyBorder="1" applyAlignment="1">
      <alignment horizontal="center" vertical="center"/>
    </xf>
    <xf numFmtId="164" fontId="4371" fillId="8" borderId="1" xfId="0" applyNumberFormat="1" applyFont="1" applyFill="1" applyBorder="1" applyAlignment="1">
      <alignment horizontal="center" vertical="center"/>
    </xf>
    <xf numFmtId="1" fontId="4372" fillId="8" borderId="1" xfId="0" applyNumberFormat="1" applyFont="1" applyFill="1" applyBorder="1" applyAlignment="1">
      <alignment horizontal="center" vertical="center"/>
    </xf>
    <xf numFmtId="1" fontId="4373" fillId="8" borderId="1" xfId="0" applyNumberFormat="1" applyFont="1" applyFill="1" applyBorder="1" applyAlignment="1">
      <alignment horizontal="center" vertical="center"/>
    </xf>
    <xf numFmtId="1" fontId="4374" fillId="8" borderId="1" xfId="0" applyNumberFormat="1" applyFont="1" applyFill="1" applyBorder="1" applyAlignment="1">
      <alignment horizontal="center" vertical="center"/>
    </xf>
    <xf numFmtId="1" fontId="4375" fillId="8" borderId="1" xfId="0" applyNumberFormat="1" applyFont="1" applyFill="1" applyBorder="1" applyAlignment="1">
      <alignment horizontal="center" vertical="center"/>
    </xf>
    <xf numFmtId="1" fontId="4376" fillId="8" borderId="1" xfId="0" applyNumberFormat="1" applyFont="1" applyFill="1" applyBorder="1" applyAlignment="1">
      <alignment horizontal="center" vertical="center"/>
    </xf>
    <xf numFmtId="1" fontId="4377" fillId="8" borderId="1" xfId="0" applyNumberFormat="1" applyFont="1" applyFill="1" applyBorder="1" applyAlignment="1">
      <alignment horizontal="center" vertical="center"/>
    </xf>
    <xf numFmtId="1" fontId="4378" fillId="8" borderId="1" xfId="0" applyNumberFormat="1" applyFont="1" applyFill="1" applyBorder="1" applyAlignment="1">
      <alignment horizontal="center" vertical="center"/>
    </xf>
    <xf numFmtId="0" fontId="4379" fillId="8" borderId="1" xfId="0" applyNumberFormat="1" applyFont="1" applyFill="1" applyBorder="1" applyAlignment="1">
      <alignment horizontal="center" vertical="center"/>
    </xf>
    <xf numFmtId="0" fontId="4380" fillId="8" borderId="1" xfId="0" applyNumberFormat="1" applyFont="1" applyFill="1" applyBorder="1" applyAlignment="1">
      <alignment horizontal="center" vertical="center"/>
    </xf>
    <xf numFmtId="1" fontId="4381" fillId="8" borderId="1" xfId="0" applyNumberFormat="1" applyFont="1" applyFill="1" applyBorder="1" applyAlignment="1">
      <alignment horizontal="center" vertical="center"/>
    </xf>
    <xf numFmtId="1" fontId="4382" fillId="8" borderId="1" xfId="0" applyNumberFormat="1" applyFont="1" applyFill="1" applyBorder="1" applyAlignment="1">
      <alignment horizontal="center" vertical="center"/>
    </xf>
    <xf numFmtId="1" fontId="4383" fillId="8" borderId="1" xfId="0" applyNumberFormat="1" applyFont="1" applyFill="1" applyBorder="1" applyAlignment="1">
      <alignment horizontal="center" vertical="center"/>
    </xf>
    <xf numFmtId="165" fontId="4384" fillId="8" borderId="1" xfId="0" applyNumberFormat="1" applyFont="1" applyFill="1" applyBorder="1" applyAlignment="1">
      <alignment horizontal="center" vertical="center"/>
    </xf>
    <xf numFmtId="1" fontId="4385" fillId="8" borderId="1" xfId="0" applyNumberFormat="1" applyFont="1" applyFill="1" applyBorder="1" applyAlignment="1">
      <alignment horizontal="center" vertical="center"/>
    </xf>
    <xf numFmtId="165" fontId="4386" fillId="8" borderId="1" xfId="0" applyNumberFormat="1" applyFont="1" applyFill="1" applyBorder="1" applyAlignment="1">
      <alignment horizontal="center" vertical="center"/>
    </xf>
    <xf numFmtId="1" fontId="4387" fillId="8" borderId="1" xfId="0" applyNumberFormat="1" applyFont="1" applyFill="1" applyBorder="1" applyAlignment="1">
      <alignment horizontal="center" vertical="center"/>
    </xf>
    <xf numFmtId="165" fontId="4388" fillId="8" borderId="1" xfId="0" applyNumberFormat="1" applyFont="1" applyFill="1" applyBorder="1" applyAlignment="1">
      <alignment horizontal="center" vertical="center"/>
    </xf>
    <xf numFmtId="1" fontId="4389" fillId="8" borderId="1" xfId="0" applyNumberFormat="1" applyFont="1" applyFill="1" applyBorder="1" applyAlignment="1">
      <alignment horizontal="center" vertical="center"/>
    </xf>
    <xf numFmtId="165" fontId="4390" fillId="8" borderId="1" xfId="0" applyNumberFormat="1" applyFont="1" applyFill="1" applyBorder="1" applyAlignment="1">
      <alignment horizontal="center" vertical="center"/>
    </xf>
    <xf numFmtId="165" fontId="4391" fillId="8" borderId="1" xfId="0" applyNumberFormat="1" applyFont="1" applyFill="1" applyBorder="1" applyAlignment="1">
      <alignment horizontal="center" vertical="center"/>
    </xf>
    <xf numFmtId="1" fontId="4392" fillId="8" borderId="1" xfId="0" applyNumberFormat="1" applyFont="1" applyFill="1" applyBorder="1" applyAlignment="1">
      <alignment horizontal="center" vertical="center"/>
    </xf>
    <xf numFmtId="1" fontId="4393" fillId="8" borderId="1" xfId="0" applyNumberFormat="1" applyFont="1" applyFill="1" applyBorder="1" applyAlignment="1">
      <alignment horizontal="center" vertical="center"/>
    </xf>
    <xf numFmtId="1" fontId="4394" fillId="8" borderId="1" xfId="0" applyNumberFormat="1" applyFont="1" applyFill="1" applyBorder="1" applyAlignment="1">
      <alignment horizontal="center" vertical="center"/>
    </xf>
    <xf numFmtId="165" fontId="4395" fillId="8" borderId="1" xfId="0" applyNumberFormat="1" applyFont="1" applyFill="1" applyBorder="1" applyAlignment="1">
      <alignment horizontal="center" vertical="center"/>
    </xf>
    <xf numFmtId="164" fontId="4396" fillId="8" borderId="1" xfId="0" applyNumberFormat="1" applyFont="1" applyFill="1" applyBorder="1" applyAlignment="1">
      <alignment horizontal="center" vertical="center"/>
    </xf>
    <xf numFmtId="164" fontId="4397" fillId="8" borderId="1" xfId="0" applyNumberFormat="1" applyFont="1" applyFill="1" applyBorder="1" applyAlignment="1">
      <alignment horizontal="center" vertical="center"/>
    </xf>
    <xf numFmtId="1" fontId="4398" fillId="8" borderId="1" xfId="0" applyNumberFormat="1" applyFont="1" applyFill="1" applyBorder="1" applyAlignment="1">
      <alignment horizontal="center" vertical="center"/>
    </xf>
    <xf numFmtId="1" fontId="4399" fillId="8" borderId="1" xfId="0" applyNumberFormat="1" applyFont="1" applyFill="1" applyBorder="1" applyAlignment="1">
      <alignment horizontal="center" vertical="center"/>
    </xf>
    <xf numFmtId="1" fontId="4400" fillId="8" borderId="1" xfId="0" applyNumberFormat="1" applyFont="1" applyFill="1" applyBorder="1" applyAlignment="1">
      <alignment horizontal="center" vertical="center"/>
    </xf>
    <xf numFmtId="165" fontId="4401" fillId="8" borderId="1" xfId="0" applyNumberFormat="1" applyFont="1" applyFill="1" applyBorder="1" applyAlignment="1">
      <alignment horizontal="center" vertical="center"/>
    </xf>
    <xf numFmtId="1" fontId="4402" fillId="8" borderId="1" xfId="0" applyNumberFormat="1" applyFont="1" applyFill="1" applyBorder="1" applyAlignment="1">
      <alignment horizontal="center" vertical="center"/>
    </xf>
    <xf numFmtId="165" fontId="4403" fillId="8" borderId="1" xfId="0" applyNumberFormat="1" applyFont="1" applyFill="1" applyBorder="1" applyAlignment="1">
      <alignment horizontal="center" vertical="center"/>
    </xf>
    <xf numFmtId="1" fontId="4404" fillId="8" borderId="1" xfId="0" applyNumberFormat="1" applyFont="1" applyFill="1" applyBorder="1" applyAlignment="1">
      <alignment horizontal="center" vertical="center"/>
    </xf>
    <xf numFmtId="1" fontId="4405" fillId="8" borderId="1" xfId="0" applyNumberFormat="1" applyFont="1" applyFill="1" applyBorder="1" applyAlignment="1">
      <alignment horizontal="center" vertical="center"/>
    </xf>
    <xf numFmtId="1" fontId="4406" fillId="8" borderId="1" xfId="0" applyNumberFormat="1" applyFont="1" applyFill="1" applyBorder="1" applyAlignment="1">
      <alignment horizontal="center" vertical="center"/>
    </xf>
    <xf numFmtId="1" fontId="4407" fillId="8" borderId="1" xfId="0" applyNumberFormat="1" applyFont="1" applyFill="1" applyBorder="1" applyAlignment="1">
      <alignment horizontal="center" vertical="center"/>
    </xf>
    <xf numFmtId="165" fontId="4408" fillId="8" borderId="1" xfId="0" applyNumberFormat="1" applyFont="1" applyFill="1" applyBorder="1" applyAlignment="1">
      <alignment horizontal="center" vertical="center"/>
    </xf>
    <xf numFmtId="1" fontId="4409" fillId="8" borderId="1" xfId="0" applyNumberFormat="1" applyFont="1" applyFill="1" applyBorder="1" applyAlignment="1">
      <alignment horizontal="center" vertical="center"/>
    </xf>
    <xf numFmtId="165" fontId="4410" fillId="8" borderId="1" xfId="0" applyNumberFormat="1" applyFont="1" applyFill="1" applyBorder="1" applyAlignment="1">
      <alignment horizontal="center" vertical="center"/>
    </xf>
    <xf numFmtId="1" fontId="4411" fillId="8" borderId="1" xfId="0" applyNumberFormat="1" applyFont="1" applyFill="1" applyBorder="1" applyAlignment="1">
      <alignment horizontal="center" vertical="center"/>
    </xf>
    <xf numFmtId="165" fontId="4412" fillId="8" borderId="1" xfId="0" applyNumberFormat="1" applyFont="1" applyFill="1" applyBorder="1" applyAlignment="1">
      <alignment horizontal="center" vertical="center"/>
    </xf>
    <xf numFmtId="2" fontId="4413" fillId="8" borderId="1" xfId="0" applyNumberFormat="1" applyFont="1" applyFill="1" applyBorder="1" applyAlignment="1">
      <alignment horizontal="center" vertical="center"/>
    </xf>
    <xf numFmtId="2" fontId="4414" fillId="8" borderId="1" xfId="0" applyNumberFormat="1" applyFont="1" applyFill="1" applyBorder="1" applyAlignment="1">
      <alignment horizontal="center" vertical="center"/>
    </xf>
    <xf numFmtId="2" fontId="4415" fillId="8" borderId="1" xfId="0" applyNumberFormat="1" applyFont="1" applyFill="1" applyBorder="1" applyAlignment="1">
      <alignment horizontal="center" vertical="center"/>
    </xf>
    <xf numFmtId="2" fontId="4416" fillId="8" borderId="1" xfId="0" applyNumberFormat="1" applyFont="1" applyFill="1" applyBorder="1" applyAlignment="1">
      <alignment horizontal="center" vertical="center"/>
    </xf>
    <xf numFmtId="2" fontId="4417" fillId="8" borderId="1" xfId="0" applyNumberFormat="1" applyFont="1" applyFill="1" applyBorder="1" applyAlignment="1">
      <alignment horizontal="center" vertical="center"/>
    </xf>
    <xf numFmtId="2" fontId="4418" fillId="8" borderId="1" xfId="0" applyNumberFormat="1" applyFont="1" applyFill="1" applyBorder="1" applyAlignment="1">
      <alignment horizontal="center" vertical="center"/>
    </xf>
    <xf numFmtId="2" fontId="4419" fillId="8" borderId="1" xfId="0" applyNumberFormat="1" applyFont="1" applyFill="1" applyBorder="1" applyAlignment="1">
      <alignment horizontal="center" vertical="center"/>
    </xf>
    <xf numFmtId="2" fontId="4420" fillId="8" borderId="1" xfId="0" applyNumberFormat="1" applyFont="1" applyFill="1" applyBorder="1" applyAlignment="1">
      <alignment horizontal="center" vertical="center"/>
    </xf>
    <xf numFmtId="2" fontId="4421" fillId="8" borderId="1" xfId="0" applyNumberFormat="1" applyFont="1" applyFill="1" applyBorder="1" applyAlignment="1">
      <alignment horizontal="center" vertical="center"/>
    </xf>
    <xf numFmtId="2" fontId="4422" fillId="8" borderId="1" xfId="0" applyNumberFormat="1" applyFont="1" applyFill="1" applyBorder="1" applyAlignment="1">
      <alignment horizontal="center" vertical="center"/>
    </xf>
    <xf numFmtId="2" fontId="4423" fillId="8" borderId="1" xfId="0" applyNumberFormat="1" applyFont="1" applyFill="1" applyBorder="1" applyAlignment="1">
      <alignment horizontal="center" vertical="center"/>
    </xf>
    <xf numFmtId="2" fontId="4424" fillId="8" borderId="1" xfId="0" applyNumberFormat="1" applyFont="1" applyFill="1" applyBorder="1" applyAlignment="1">
      <alignment horizontal="center" vertical="center"/>
    </xf>
    <xf numFmtId="2" fontId="4425" fillId="8" borderId="1" xfId="0" applyNumberFormat="1" applyFont="1" applyFill="1" applyBorder="1" applyAlignment="1">
      <alignment horizontal="center" vertical="center"/>
    </xf>
    <xf numFmtId="2" fontId="4426" fillId="8" borderId="1" xfId="0" applyNumberFormat="1" applyFont="1" applyFill="1" applyBorder="1" applyAlignment="1">
      <alignment horizontal="center" vertical="center"/>
    </xf>
    <xf numFmtId="2" fontId="4427" fillId="8" borderId="1" xfId="0" applyNumberFormat="1" applyFont="1" applyFill="1" applyBorder="1" applyAlignment="1">
      <alignment horizontal="center" vertical="center"/>
    </xf>
    <xf numFmtId="2" fontId="4428" fillId="8" borderId="1" xfId="0" applyNumberFormat="1" applyFont="1" applyFill="1" applyBorder="1" applyAlignment="1">
      <alignment horizontal="center" vertical="center"/>
    </xf>
    <xf numFmtId="2" fontId="4429" fillId="8" borderId="1" xfId="0" applyNumberFormat="1" applyFont="1" applyFill="1" applyBorder="1" applyAlignment="1">
      <alignment horizontal="center" vertical="center"/>
    </xf>
    <xf numFmtId="2" fontId="4430" fillId="8" borderId="1" xfId="0" applyNumberFormat="1" applyFont="1" applyFill="1" applyBorder="1" applyAlignment="1">
      <alignment horizontal="center" vertical="center"/>
    </xf>
    <xf numFmtId="2" fontId="4431" fillId="8" borderId="1" xfId="0" applyNumberFormat="1" applyFont="1" applyFill="1" applyBorder="1" applyAlignment="1">
      <alignment horizontal="center" vertical="center"/>
    </xf>
    <xf numFmtId="2" fontId="4432" fillId="8" borderId="1" xfId="0" applyNumberFormat="1" applyFont="1" applyFill="1" applyBorder="1" applyAlignment="1">
      <alignment horizontal="center" vertical="center"/>
    </xf>
    <xf numFmtId="2" fontId="4433" fillId="8" borderId="1" xfId="0" applyNumberFormat="1" applyFont="1" applyFill="1" applyBorder="1" applyAlignment="1">
      <alignment horizontal="center" vertical="center"/>
    </xf>
    <xf numFmtId="2" fontId="4434" fillId="8" borderId="1" xfId="0" applyNumberFormat="1" applyFont="1" applyFill="1" applyBorder="1" applyAlignment="1">
      <alignment horizontal="center" vertical="center"/>
    </xf>
    <xf numFmtId="2" fontId="4435" fillId="8" borderId="1" xfId="0" applyNumberFormat="1" applyFont="1" applyFill="1" applyBorder="1" applyAlignment="1">
      <alignment horizontal="center" vertical="center"/>
    </xf>
    <xf numFmtId="2" fontId="4436" fillId="8" borderId="1" xfId="0" applyNumberFormat="1" applyFont="1" applyFill="1" applyBorder="1" applyAlignment="1">
      <alignment horizontal="center" vertical="center"/>
    </xf>
    <xf numFmtId="2" fontId="4437" fillId="8" borderId="1" xfId="0" applyNumberFormat="1" applyFont="1" applyFill="1" applyBorder="1" applyAlignment="1">
      <alignment horizontal="center" vertical="center"/>
    </xf>
    <xf numFmtId="2" fontId="4438" fillId="8" borderId="1" xfId="0" applyNumberFormat="1" applyFont="1" applyFill="1" applyBorder="1" applyAlignment="1">
      <alignment horizontal="center" vertical="center"/>
    </xf>
    <xf numFmtId="2" fontId="4439" fillId="8" borderId="1" xfId="0" applyNumberFormat="1" applyFont="1" applyFill="1" applyBorder="1" applyAlignment="1">
      <alignment horizontal="center" vertical="center"/>
    </xf>
    <xf numFmtId="2" fontId="4440" fillId="8" borderId="1" xfId="0" applyNumberFormat="1" applyFont="1" applyFill="1" applyBorder="1" applyAlignment="1">
      <alignment horizontal="center" vertical="center"/>
    </xf>
    <xf numFmtId="2" fontId="4441" fillId="8" borderId="1" xfId="0" applyNumberFormat="1" applyFont="1" applyFill="1" applyBorder="1" applyAlignment="1">
      <alignment horizontal="center" vertical="center"/>
    </xf>
    <xf numFmtId="2" fontId="4442" fillId="8" borderId="1" xfId="0" applyNumberFormat="1" applyFont="1" applyFill="1" applyBorder="1" applyAlignment="1">
      <alignment horizontal="center" vertical="center"/>
    </xf>
    <xf numFmtId="2" fontId="4443" fillId="8" borderId="1" xfId="0" applyNumberFormat="1" applyFont="1" applyFill="1" applyBorder="1" applyAlignment="1">
      <alignment horizontal="center" vertical="center"/>
    </xf>
    <xf numFmtId="2" fontId="4444" fillId="8" borderId="1" xfId="0" applyNumberFormat="1" applyFont="1" applyFill="1" applyBorder="1" applyAlignment="1">
      <alignment horizontal="center" vertical="center"/>
    </xf>
    <xf numFmtId="2" fontId="4445" fillId="8" borderId="1" xfId="0" applyNumberFormat="1" applyFont="1" applyFill="1" applyBorder="1" applyAlignment="1">
      <alignment horizontal="center" vertical="center"/>
    </xf>
    <xf numFmtId="2" fontId="4446" fillId="8" borderId="1" xfId="0" applyNumberFormat="1" applyFont="1" applyFill="1" applyBorder="1" applyAlignment="1">
      <alignment horizontal="center" vertical="center"/>
    </xf>
    <xf numFmtId="0" fontId="4447" fillId="7" borderId="1" xfId="0" applyNumberFormat="1" applyFont="1" applyFill="1" applyBorder="1" applyAlignment="1">
      <alignment horizontal="left" vertical="center"/>
    </xf>
    <xf numFmtId="0" fontId="4448" fillId="8" borderId="1" xfId="0" applyNumberFormat="1" applyFont="1" applyFill="1" applyBorder="1" applyAlignment="1">
      <alignment horizontal="center" vertical="center"/>
    </xf>
    <xf numFmtId="164" fontId="4449" fillId="8" borderId="1" xfId="0" applyNumberFormat="1" applyFont="1" applyFill="1" applyBorder="1" applyAlignment="1">
      <alignment horizontal="center" vertical="center"/>
    </xf>
    <xf numFmtId="1" fontId="4450" fillId="8" borderId="1" xfId="0" applyNumberFormat="1" applyFont="1" applyFill="1" applyBorder="1" applyAlignment="1">
      <alignment horizontal="center" vertical="center"/>
    </xf>
    <xf numFmtId="1" fontId="4451" fillId="8" borderId="1" xfId="0" applyNumberFormat="1" applyFont="1" applyFill="1" applyBorder="1" applyAlignment="1">
      <alignment horizontal="center" vertical="center"/>
    </xf>
    <xf numFmtId="1" fontId="4452" fillId="8" borderId="1" xfId="0" applyNumberFormat="1" applyFont="1" applyFill="1" applyBorder="1" applyAlignment="1">
      <alignment horizontal="center" vertical="center"/>
    </xf>
    <xf numFmtId="1" fontId="4453" fillId="8" borderId="1" xfId="0" applyNumberFormat="1" applyFont="1" applyFill="1" applyBorder="1" applyAlignment="1">
      <alignment horizontal="center" vertical="center"/>
    </xf>
    <xf numFmtId="1" fontId="4454" fillId="8" borderId="1" xfId="0" applyNumberFormat="1" applyFont="1" applyFill="1" applyBorder="1" applyAlignment="1">
      <alignment horizontal="center" vertical="center"/>
    </xf>
    <xf numFmtId="1" fontId="4455" fillId="8" borderId="1" xfId="0" applyNumberFormat="1" applyFont="1" applyFill="1" applyBorder="1" applyAlignment="1">
      <alignment horizontal="center" vertical="center"/>
    </xf>
    <xf numFmtId="1" fontId="4456" fillId="8" borderId="1" xfId="0" applyNumberFormat="1" applyFont="1" applyFill="1" applyBorder="1" applyAlignment="1">
      <alignment horizontal="center" vertical="center"/>
    </xf>
    <xf numFmtId="0" fontId="4457" fillId="8" borderId="1" xfId="0" applyNumberFormat="1" applyFont="1" applyFill="1" applyBorder="1" applyAlignment="1">
      <alignment horizontal="center" vertical="center"/>
    </xf>
    <xf numFmtId="0" fontId="4458" fillId="8" borderId="1" xfId="0" applyNumberFormat="1" applyFont="1" applyFill="1" applyBorder="1" applyAlignment="1">
      <alignment horizontal="center" vertical="center"/>
    </xf>
    <xf numFmtId="1" fontId="4459" fillId="8" borderId="1" xfId="0" applyNumberFormat="1" applyFont="1" applyFill="1" applyBorder="1" applyAlignment="1">
      <alignment horizontal="center" vertical="center"/>
    </xf>
    <xf numFmtId="1" fontId="4460" fillId="8" borderId="1" xfId="0" applyNumberFormat="1" applyFont="1" applyFill="1" applyBorder="1" applyAlignment="1">
      <alignment horizontal="center" vertical="center"/>
    </xf>
    <xf numFmtId="1" fontId="4461" fillId="8" borderId="1" xfId="0" applyNumberFormat="1" applyFont="1" applyFill="1" applyBorder="1" applyAlignment="1">
      <alignment horizontal="center" vertical="center"/>
    </xf>
    <xf numFmtId="165" fontId="4462" fillId="8" borderId="1" xfId="0" applyNumberFormat="1" applyFont="1" applyFill="1" applyBorder="1" applyAlignment="1">
      <alignment horizontal="center" vertical="center"/>
    </xf>
    <xf numFmtId="1" fontId="4463" fillId="8" borderId="1" xfId="0" applyNumberFormat="1" applyFont="1" applyFill="1" applyBorder="1" applyAlignment="1">
      <alignment horizontal="center" vertical="center"/>
    </xf>
    <xf numFmtId="165" fontId="4464" fillId="8" borderId="1" xfId="0" applyNumberFormat="1" applyFont="1" applyFill="1" applyBorder="1" applyAlignment="1">
      <alignment horizontal="center" vertical="center"/>
    </xf>
    <xf numFmtId="1" fontId="4465" fillId="8" borderId="1" xfId="0" applyNumberFormat="1" applyFont="1" applyFill="1" applyBorder="1" applyAlignment="1">
      <alignment horizontal="center" vertical="center"/>
    </xf>
    <xf numFmtId="165" fontId="4466" fillId="8" borderId="1" xfId="0" applyNumberFormat="1" applyFont="1" applyFill="1" applyBorder="1" applyAlignment="1">
      <alignment horizontal="center" vertical="center"/>
    </xf>
    <xf numFmtId="1" fontId="4467" fillId="8" borderId="1" xfId="0" applyNumberFormat="1" applyFont="1" applyFill="1" applyBorder="1" applyAlignment="1">
      <alignment horizontal="center" vertical="center"/>
    </xf>
    <xf numFmtId="165" fontId="4468" fillId="8" borderId="1" xfId="0" applyNumberFormat="1" applyFont="1" applyFill="1" applyBorder="1" applyAlignment="1">
      <alignment horizontal="center" vertical="center"/>
    </xf>
    <xf numFmtId="165" fontId="4469" fillId="8" borderId="1" xfId="0" applyNumberFormat="1" applyFont="1" applyFill="1" applyBorder="1" applyAlignment="1">
      <alignment horizontal="center" vertical="center"/>
    </xf>
    <xf numFmtId="1" fontId="4470" fillId="8" borderId="1" xfId="0" applyNumberFormat="1" applyFont="1" applyFill="1" applyBorder="1" applyAlignment="1">
      <alignment horizontal="center" vertical="center"/>
    </xf>
    <xf numFmtId="1" fontId="4471" fillId="8" borderId="1" xfId="0" applyNumberFormat="1" applyFont="1" applyFill="1" applyBorder="1" applyAlignment="1">
      <alignment horizontal="center" vertical="center"/>
    </xf>
    <xf numFmtId="1" fontId="4472" fillId="8" borderId="1" xfId="0" applyNumberFormat="1" applyFont="1" applyFill="1" applyBorder="1" applyAlignment="1">
      <alignment horizontal="center" vertical="center"/>
    </xf>
    <xf numFmtId="165" fontId="4473" fillId="8" borderId="1" xfId="0" applyNumberFormat="1" applyFont="1" applyFill="1" applyBorder="1" applyAlignment="1">
      <alignment horizontal="center" vertical="center"/>
    </xf>
    <xf numFmtId="164" fontId="4474" fillId="8" borderId="1" xfId="0" applyNumberFormat="1" applyFont="1" applyFill="1" applyBorder="1" applyAlignment="1">
      <alignment horizontal="center" vertical="center"/>
    </xf>
    <xf numFmtId="164" fontId="4475" fillId="8" borderId="1" xfId="0" applyNumberFormat="1" applyFont="1" applyFill="1" applyBorder="1" applyAlignment="1">
      <alignment horizontal="center" vertical="center"/>
    </xf>
    <xf numFmtId="1" fontId="4476" fillId="8" borderId="1" xfId="0" applyNumberFormat="1" applyFont="1" applyFill="1" applyBorder="1" applyAlignment="1">
      <alignment horizontal="center" vertical="center"/>
    </xf>
    <xf numFmtId="1" fontId="4477" fillId="8" borderId="1" xfId="0" applyNumberFormat="1" applyFont="1" applyFill="1" applyBorder="1" applyAlignment="1">
      <alignment horizontal="center" vertical="center"/>
    </xf>
    <xf numFmtId="1" fontId="4478" fillId="8" borderId="1" xfId="0" applyNumberFormat="1" applyFont="1" applyFill="1" applyBorder="1" applyAlignment="1">
      <alignment horizontal="center" vertical="center"/>
    </xf>
    <xf numFmtId="165" fontId="4479" fillId="8" borderId="1" xfId="0" applyNumberFormat="1" applyFont="1" applyFill="1" applyBorder="1" applyAlignment="1">
      <alignment horizontal="center" vertical="center"/>
    </xf>
    <xf numFmtId="1" fontId="4480" fillId="8" borderId="1" xfId="0" applyNumberFormat="1" applyFont="1" applyFill="1" applyBorder="1" applyAlignment="1">
      <alignment horizontal="center" vertical="center"/>
    </xf>
    <xf numFmtId="165" fontId="4481" fillId="8" borderId="1" xfId="0" applyNumberFormat="1" applyFont="1" applyFill="1" applyBorder="1" applyAlignment="1">
      <alignment horizontal="center" vertical="center"/>
    </xf>
    <xf numFmtId="1" fontId="4482" fillId="8" borderId="1" xfId="0" applyNumberFormat="1" applyFont="1" applyFill="1" applyBorder="1" applyAlignment="1">
      <alignment horizontal="center" vertical="center"/>
    </xf>
    <xf numFmtId="1" fontId="4483" fillId="8" borderId="1" xfId="0" applyNumberFormat="1" applyFont="1" applyFill="1" applyBorder="1" applyAlignment="1">
      <alignment horizontal="center" vertical="center"/>
    </xf>
    <xf numFmtId="1" fontId="4484" fillId="8" borderId="1" xfId="0" applyNumberFormat="1" applyFont="1" applyFill="1" applyBorder="1" applyAlignment="1">
      <alignment horizontal="center" vertical="center"/>
    </xf>
    <xf numFmtId="1" fontId="4485" fillId="8" borderId="1" xfId="0" applyNumberFormat="1" applyFont="1" applyFill="1" applyBorder="1" applyAlignment="1">
      <alignment horizontal="center" vertical="center"/>
    </xf>
    <xf numFmtId="165" fontId="4486" fillId="8" borderId="1" xfId="0" applyNumberFormat="1" applyFont="1" applyFill="1" applyBorder="1" applyAlignment="1">
      <alignment horizontal="center" vertical="center"/>
    </xf>
    <xf numFmtId="1" fontId="4487" fillId="8" borderId="1" xfId="0" applyNumberFormat="1" applyFont="1" applyFill="1" applyBorder="1" applyAlignment="1">
      <alignment horizontal="center" vertical="center"/>
    </xf>
    <xf numFmtId="165" fontId="4488" fillId="8" borderId="1" xfId="0" applyNumberFormat="1" applyFont="1" applyFill="1" applyBorder="1" applyAlignment="1">
      <alignment horizontal="center" vertical="center"/>
    </xf>
    <xf numFmtId="1" fontId="4489" fillId="8" borderId="1" xfId="0" applyNumberFormat="1" applyFont="1" applyFill="1" applyBorder="1" applyAlignment="1">
      <alignment horizontal="center" vertical="center"/>
    </xf>
    <xf numFmtId="165" fontId="4490" fillId="8" borderId="1" xfId="0" applyNumberFormat="1" applyFont="1" applyFill="1" applyBorder="1" applyAlignment="1">
      <alignment horizontal="center" vertical="center"/>
    </xf>
    <xf numFmtId="2" fontId="4491" fillId="8" borderId="1" xfId="0" applyNumberFormat="1" applyFont="1" applyFill="1" applyBorder="1" applyAlignment="1">
      <alignment horizontal="center" vertical="center"/>
    </xf>
    <xf numFmtId="2" fontId="4492" fillId="8" borderId="1" xfId="0" applyNumberFormat="1" applyFont="1" applyFill="1" applyBorder="1" applyAlignment="1">
      <alignment horizontal="center" vertical="center"/>
    </xf>
    <xf numFmtId="2" fontId="4493" fillId="8" borderId="1" xfId="0" applyNumberFormat="1" applyFont="1" applyFill="1" applyBorder="1" applyAlignment="1">
      <alignment horizontal="center" vertical="center"/>
    </xf>
    <xf numFmtId="2" fontId="4494" fillId="8" borderId="1" xfId="0" applyNumberFormat="1" applyFont="1" applyFill="1" applyBorder="1" applyAlignment="1">
      <alignment horizontal="center" vertical="center"/>
    </xf>
    <xf numFmtId="2" fontId="4495" fillId="8" borderId="1" xfId="0" applyNumberFormat="1" applyFont="1" applyFill="1" applyBorder="1" applyAlignment="1">
      <alignment horizontal="center" vertical="center"/>
    </xf>
    <xf numFmtId="2" fontId="4496" fillId="8" borderId="1" xfId="0" applyNumberFormat="1" applyFont="1" applyFill="1" applyBorder="1" applyAlignment="1">
      <alignment horizontal="center" vertical="center"/>
    </xf>
    <xf numFmtId="2" fontId="4497" fillId="8" borderId="1" xfId="0" applyNumberFormat="1" applyFont="1" applyFill="1" applyBorder="1" applyAlignment="1">
      <alignment horizontal="center" vertical="center"/>
    </xf>
    <xf numFmtId="2" fontId="4498" fillId="8" borderId="1" xfId="0" applyNumberFormat="1" applyFont="1" applyFill="1" applyBorder="1" applyAlignment="1">
      <alignment horizontal="center" vertical="center"/>
    </xf>
    <xf numFmtId="2" fontId="4499" fillId="8" borderId="1" xfId="0" applyNumberFormat="1" applyFont="1" applyFill="1" applyBorder="1" applyAlignment="1">
      <alignment horizontal="center" vertical="center"/>
    </xf>
    <xf numFmtId="2" fontId="4500" fillId="8" borderId="1" xfId="0" applyNumberFormat="1" applyFont="1" applyFill="1" applyBorder="1" applyAlignment="1">
      <alignment horizontal="center" vertical="center"/>
    </xf>
    <xf numFmtId="2" fontId="4501" fillId="8" borderId="1" xfId="0" applyNumberFormat="1" applyFont="1" applyFill="1" applyBorder="1" applyAlignment="1">
      <alignment horizontal="center" vertical="center"/>
    </xf>
    <xf numFmtId="2" fontId="4502" fillId="8" borderId="1" xfId="0" applyNumberFormat="1" applyFont="1" applyFill="1" applyBorder="1" applyAlignment="1">
      <alignment horizontal="center" vertical="center"/>
    </xf>
    <xf numFmtId="2" fontId="4503" fillId="8" borderId="1" xfId="0" applyNumberFormat="1" applyFont="1" applyFill="1" applyBorder="1" applyAlignment="1">
      <alignment horizontal="center" vertical="center"/>
    </xf>
    <xf numFmtId="2" fontId="4504" fillId="8" borderId="1" xfId="0" applyNumberFormat="1" applyFont="1" applyFill="1" applyBorder="1" applyAlignment="1">
      <alignment horizontal="center" vertical="center"/>
    </xf>
    <xf numFmtId="2" fontId="4505" fillId="8" borderId="1" xfId="0" applyNumberFormat="1" applyFont="1" applyFill="1" applyBorder="1" applyAlignment="1">
      <alignment horizontal="center" vertical="center"/>
    </xf>
    <xf numFmtId="2" fontId="4506" fillId="8" borderId="1" xfId="0" applyNumberFormat="1" applyFont="1" applyFill="1" applyBorder="1" applyAlignment="1">
      <alignment horizontal="center" vertical="center"/>
    </xf>
    <xf numFmtId="2" fontId="4507" fillId="8" borderId="1" xfId="0" applyNumberFormat="1" applyFont="1" applyFill="1" applyBorder="1" applyAlignment="1">
      <alignment horizontal="center" vertical="center"/>
    </xf>
    <xf numFmtId="2" fontId="4508" fillId="8" borderId="1" xfId="0" applyNumberFormat="1" applyFont="1" applyFill="1" applyBorder="1" applyAlignment="1">
      <alignment horizontal="center" vertical="center"/>
    </xf>
    <xf numFmtId="2" fontId="4509" fillId="8" borderId="1" xfId="0" applyNumberFormat="1" applyFont="1" applyFill="1" applyBorder="1" applyAlignment="1">
      <alignment horizontal="center" vertical="center"/>
    </xf>
    <xf numFmtId="2" fontId="4510" fillId="8" borderId="1" xfId="0" applyNumberFormat="1" applyFont="1" applyFill="1" applyBorder="1" applyAlignment="1">
      <alignment horizontal="center" vertical="center"/>
    </xf>
    <xf numFmtId="2" fontId="4511" fillId="8" borderId="1" xfId="0" applyNumberFormat="1" applyFont="1" applyFill="1" applyBorder="1" applyAlignment="1">
      <alignment horizontal="center" vertical="center"/>
    </xf>
    <xf numFmtId="2" fontId="4512" fillId="8" borderId="1" xfId="0" applyNumberFormat="1" applyFont="1" applyFill="1" applyBorder="1" applyAlignment="1">
      <alignment horizontal="center" vertical="center"/>
    </xf>
    <xf numFmtId="2" fontId="4513" fillId="8" borderId="1" xfId="0" applyNumberFormat="1" applyFont="1" applyFill="1" applyBorder="1" applyAlignment="1">
      <alignment horizontal="center" vertical="center"/>
    </xf>
    <xf numFmtId="2" fontId="4514" fillId="8" borderId="1" xfId="0" applyNumberFormat="1" applyFont="1" applyFill="1" applyBorder="1" applyAlignment="1">
      <alignment horizontal="center" vertical="center"/>
    </xf>
    <xf numFmtId="2" fontId="4515" fillId="8" borderId="1" xfId="0" applyNumberFormat="1" applyFont="1" applyFill="1" applyBorder="1" applyAlignment="1">
      <alignment horizontal="center" vertical="center"/>
    </xf>
    <xf numFmtId="2" fontId="4516" fillId="8" borderId="1" xfId="0" applyNumberFormat="1" applyFont="1" applyFill="1" applyBorder="1" applyAlignment="1">
      <alignment horizontal="center" vertical="center"/>
    </xf>
    <xf numFmtId="2" fontId="4517" fillId="8" borderId="1" xfId="0" applyNumberFormat="1" applyFont="1" applyFill="1" applyBorder="1" applyAlignment="1">
      <alignment horizontal="center" vertical="center"/>
    </xf>
    <xf numFmtId="2" fontId="4518" fillId="8" borderId="1" xfId="0" applyNumberFormat="1" applyFont="1" applyFill="1" applyBorder="1" applyAlignment="1">
      <alignment horizontal="center" vertical="center"/>
    </xf>
    <xf numFmtId="2" fontId="4519" fillId="8" borderId="1" xfId="0" applyNumberFormat="1" applyFont="1" applyFill="1" applyBorder="1" applyAlignment="1">
      <alignment horizontal="center" vertical="center"/>
    </xf>
    <xf numFmtId="2" fontId="4520" fillId="8" borderId="1" xfId="0" applyNumberFormat="1" applyFont="1" applyFill="1" applyBorder="1" applyAlignment="1">
      <alignment horizontal="center" vertical="center"/>
    </xf>
    <xf numFmtId="2" fontId="4521" fillId="8" borderId="1" xfId="0" applyNumberFormat="1" applyFont="1" applyFill="1" applyBorder="1" applyAlignment="1">
      <alignment horizontal="center" vertical="center"/>
    </xf>
    <xf numFmtId="2" fontId="4522" fillId="8" borderId="1" xfId="0" applyNumberFormat="1" applyFont="1" applyFill="1" applyBorder="1" applyAlignment="1">
      <alignment horizontal="center" vertical="center"/>
    </xf>
    <xf numFmtId="2" fontId="4523" fillId="8" borderId="1" xfId="0" applyNumberFormat="1" applyFont="1" applyFill="1" applyBorder="1" applyAlignment="1">
      <alignment horizontal="center" vertical="center"/>
    </xf>
    <xf numFmtId="2" fontId="4524" fillId="8" borderId="1" xfId="0" applyNumberFormat="1" applyFont="1" applyFill="1" applyBorder="1" applyAlignment="1">
      <alignment horizontal="center" vertical="center"/>
    </xf>
    <xf numFmtId="0" fontId="4525" fillId="7" borderId="1" xfId="0" applyNumberFormat="1" applyFont="1" applyFill="1" applyBorder="1" applyAlignment="1">
      <alignment horizontal="left" vertical="center"/>
    </xf>
    <xf numFmtId="0" fontId="4526" fillId="8" borderId="1" xfId="0" applyNumberFormat="1" applyFont="1" applyFill="1" applyBorder="1" applyAlignment="1">
      <alignment horizontal="center" vertical="center"/>
    </xf>
    <xf numFmtId="164" fontId="4527" fillId="8" borderId="1" xfId="0" applyNumberFormat="1" applyFont="1" applyFill="1" applyBorder="1" applyAlignment="1">
      <alignment horizontal="center" vertical="center"/>
    </xf>
    <xf numFmtId="1" fontId="4528" fillId="8" borderId="1" xfId="0" applyNumberFormat="1" applyFont="1" applyFill="1" applyBorder="1" applyAlignment="1">
      <alignment horizontal="center" vertical="center"/>
    </xf>
    <xf numFmtId="1" fontId="4529" fillId="8" borderId="1" xfId="0" applyNumberFormat="1" applyFont="1" applyFill="1" applyBorder="1" applyAlignment="1">
      <alignment horizontal="center" vertical="center"/>
    </xf>
    <xf numFmtId="1" fontId="4530" fillId="8" borderId="1" xfId="0" applyNumberFormat="1" applyFont="1" applyFill="1" applyBorder="1" applyAlignment="1">
      <alignment horizontal="center" vertical="center"/>
    </xf>
    <xf numFmtId="1" fontId="4531" fillId="8" borderId="1" xfId="0" applyNumberFormat="1" applyFont="1" applyFill="1" applyBorder="1" applyAlignment="1">
      <alignment horizontal="center" vertical="center"/>
    </xf>
    <xf numFmtId="1" fontId="4532" fillId="8" borderId="1" xfId="0" applyNumberFormat="1" applyFont="1" applyFill="1" applyBorder="1" applyAlignment="1">
      <alignment horizontal="center" vertical="center"/>
    </xf>
    <xf numFmtId="1" fontId="4533" fillId="8" borderId="1" xfId="0" applyNumberFormat="1" applyFont="1" applyFill="1" applyBorder="1" applyAlignment="1">
      <alignment horizontal="center" vertical="center"/>
    </xf>
    <xf numFmtId="1" fontId="4534" fillId="8" borderId="1" xfId="0" applyNumberFormat="1" applyFont="1" applyFill="1" applyBorder="1" applyAlignment="1">
      <alignment horizontal="center" vertical="center"/>
    </xf>
    <xf numFmtId="0" fontId="4535" fillId="8" borderId="1" xfId="0" applyNumberFormat="1" applyFont="1" applyFill="1" applyBorder="1" applyAlignment="1">
      <alignment horizontal="center" vertical="center"/>
    </xf>
    <xf numFmtId="0" fontId="4536" fillId="8" borderId="1" xfId="0" applyNumberFormat="1" applyFont="1" applyFill="1" applyBorder="1" applyAlignment="1">
      <alignment horizontal="center" vertical="center"/>
    </xf>
    <xf numFmtId="1" fontId="4537" fillId="8" borderId="1" xfId="0" applyNumberFormat="1" applyFont="1" applyFill="1" applyBorder="1" applyAlignment="1">
      <alignment horizontal="center" vertical="center"/>
    </xf>
    <xf numFmtId="1" fontId="4538" fillId="8" borderId="1" xfId="0" applyNumberFormat="1" applyFont="1" applyFill="1" applyBorder="1" applyAlignment="1">
      <alignment horizontal="center" vertical="center"/>
    </xf>
    <xf numFmtId="1" fontId="4539" fillId="8" borderId="1" xfId="0" applyNumberFormat="1" applyFont="1" applyFill="1" applyBorder="1" applyAlignment="1">
      <alignment horizontal="center" vertical="center"/>
    </xf>
    <xf numFmtId="165" fontId="4540" fillId="8" borderId="1" xfId="0" applyNumberFormat="1" applyFont="1" applyFill="1" applyBorder="1" applyAlignment="1">
      <alignment horizontal="center" vertical="center"/>
    </xf>
    <xf numFmtId="1" fontId="4541" fillId="8" borderId="1" xfId="0" applyNumberFormat="1" applyFont="1" applyFill="1" applyBorder="1" applyAlignment="1">
      <alignment horizontal="center" vertical="center"/>
    </xf>
    <xf numFmtId="165" fontId="4542" fillId="8" borderId="1" xfId="0" applyNumberFormat="1" applyFont="1" applyFill="1" applyBorder="1" applyAlignment="1">
      <alignment horizontal="center" vertical="center"/>
    </xf>
    <xf numFmtId="1" fontId="4543" fillId="8" borderId="1" xfId="0" applyNumberFormat="1" applyFont="1" applyFill="1" applyBorder="1" applyAlignment="1">
      <alignment horizontal="center" vertical="center"/>
    </xf>
    <xf numFmtId="165" fontId="4544" fillId="8" borderId="1" xfId="0" applyNumberFormat="1" applyFont="1" applyFill="1" applyBorder="1" applyAlignment="1">
      <alignment horizontal="center" vertical="center"/>
    </xf>
    <xf numFmtId="1" fontId="4545" fillId="8" borderId="1" xfId="0" applyNumberFormat="1" applyFont="1" applyFill="1" applyBorder="1" applyAlignment="1">
      <alignment horizontal="center" vertical="center"/>
    </xf>
    <xf numFmtId="165" fontId="4546" fillId="8" borderId="1" xfId="0" applyNumberFormat="1" applyFont="1" applyFill="1" applyBorder="1" applyAlignment="1">
      <alignment horizontal="center" vertical="center"/>
    </xf>
    <xf numFmtId="165" fontId="4547" fillId="8" borderId="1" xfId="0" applyNumberFormat="1" applyFont="1" applyFill="1" applyBorder="1" applyAlignment="1">
      <alignment horizontal="center" vertical="center"/>
    </xf>
    <xf numFmtId="1" fontId="4548" fillId="8" borderId="1" xfId="0" applyNumberFormat="1" applyFont="1" applyFill="1" applyBorder="1" applyAlignment="1">
      <alignment horizontal="center" vertical="center"/>
    </xf>
    <xf numFmtId="1" fontId="4549" fillId="8" borderId="1" xfId="0" applyNumberFormat="1" applyFont="1" applyFill="1" applyBorder="1" applyAlignment="1">
      <alignment horizontal="center" vertical="center"/>
    </xf>
    <xf numFmtId="1" fontId="4550" fillId="8" borderId="1" xfId="0" applyNumberFormat="1" applyFont="1" applyFill="1" applyBorder="1" applyAlignment="1">
      <alignment horizontal="center" vertical="center"/>
    </xf>
    <xf numFmtId="165" fontId="4551" fillId="8" borderId="1" xfId="0" applyNumberFormat="1" applyFont="1" applyFill="1" applyBorder="1" applyAlignment="1">
      <alignment horizontal="center" vertical="center"/>
    </xf>
    <xf numFmtId="164" fontId="4552" fillId="8" borderId="1" xfId="0" applyNumberFormat="1" applyFont="1" applyFill="1" applyBorder="1" applyAlignment="1">
      <alignment horizontal="center" vertical="center"/>
    </xf>
    <xf numFmtId="164" fontId="4553" fillId="8" borderId="1" xfId="0" applyNumberFormat="1" applyFont="1" applyFill="1" applyBorder="1" applyAlignment="1">
      <alignment horizontal="center" vertical="center"/>
    </xf>
    <xf numFmtId="1" fontId="4554" fillId="8" borderId="1" xfId="0" applyNumberFormat="1" applyFont="1" applyFill="1" applyBorder="1" applyAlignment="1">
      <alignment horizontal="center" vertical="center"/>
    </xf>
    <xf numFmtId="1" fontId="4555" fillId="8" borderId="1" xfId="0" applyNumberFormat="1" applyFont="1" applyFill="1" applyBorder="1" applyAlignment="1">
      <alignment horizontal="center" vertical="center"/>
    </xf>
    <xf numFmtId="1" fontId="4556" fillId="8" borderId="1" xfId="0" applyNumberFormat="1" applyFont="1" applyFill="1" applyBorder="1" applyAlignment="1">
      <alignment horizontal="center" vertical="center"/>
    </xf>
    <xf numFmtId="165" fontId="4557" fillId="8" borderId="1" xfId="0" applyNumberFormat="1" applyFont="1" applyFill="1" applyBorder="1" applyAlignment="1">
      <alignment horizontal="center" vertical="center"/>
    </xf>
    <xf numFmtId="1" fontId="4558" fillId="8" borderId="1" xfId="0" applyNumberFormat="1" applyFont="1" applyFill="1" applyBorder="1" applyAlignment="1">
      <alignment horizontal="center" vertical="center"/>
    </xf>
    <xf numFmtId="165" fontId="4559" fillId="8" borderId="1" xfId="0" applyNumberFormat="1" applyFont="1" applyFill="1" applyBorder="1" applyAlignment="1">
      <alignment horizontal="center" vertical="center"/>
    </xf>
    <xf numFmtId="1" fontId="4560" fillId="8" borderId="1" xfId="0" applyNumberFormat="1" applyFont="1" applyFill="1" applyBorder="1" applyAlignment="1">
      <alignment horizontal="center" vertical="center"/>
    </xf>
    <xf numFmtId="1" fontId="4561" fillId="8" borderId="1" xfId="0" applyNumberFormat="1" applyFont="1" applyFill="1" applyBorder="1" applyAlignment="1">
      <alignment horizontal="center" vertical="center"/>
    </xf>
    <xf numFmtId="1" fontId="4562" fillId="8" borderId="1" xfId="0" applyNumberFormat="1" applyFont="1" applyFill="1" applyBorder="1" applyAlignment="1">
      <alignment horizontal="center" vertical="center"/>
    </xf>
    <xf numFmtId="1" fontId="4563" fillId="8" borderId="1" xfId="0" applyNumberFormat="1" applyFont="1" applyFill="1" applyBorder="1" applyAlignment="1">
      <alignment horizontal="center" vertical="center"/>
    </xf>
    <xf numFmtId="165" fontId="4564" fillId="8" borderId="1" xfId="0" applyNumberFormat="1" applyFont="1" applyFill="1" applyBorder="1" applyAlignment="1">
      <alignment horizontal="center" vertical="center"/>
    </xf>
    <xf numFmtId="1" fontId="4565" fillId="8" borderId="1" xfId="0" applyNumberFormat="1" applyFont="1" applyFill="1" applyBorder="1" applyAlignment="1">
      <alignment horizontal="center" vertical="center"/>
    </xf>
    <xf numFmtId="165" fontId="4566" fillId="8" borderId="1" xfId="0" applyNumberFormat="1" applyFont="1" applyFill="1" applyBorder="1" applyAlignment="1">
      <alignment horizontal="center" vertical="center"/>
    </xf>
    <xf numFmtId="1" fontId="4567" fillId="8" borderId="1" xfId="0" applyNumberFormat="1" applyFont="1" applyFill="1" applyBorder="1" applyAlignment="1">
      <alignment horizontal="center" vertical="center"/>
    </xf>
    <xf numFmtId="165" fontId="4568" fillId="8" borderId="1" xfId="0" applyNumberFormat="1" applyFont="1" applyFill="1" applyBorder="1" applyAlignment="1">
      <alignment horizontal="center" vertical="center"/>
    </xf>
    <xf numFmtId="2" fontId="4569" fillId="8" borderId="1" xfId="0" applyNumberFormat="1" applyFont="1" applyFill="1" applyBorder="1" applyAlignment="1">
      <alignment horizontal="center" vertical="center"/>
    </xf>
    <xf numFmtId="2" fontId="4570" fillId="8" borderId="1" xfId="0" applyNumberFormat="1" applyFont="1" applyFill="1" applyBorder="1" applyAlignment="1">
      <alignment horizontal="center" vertical="center"/>
    </xf>
    <xf numFmtId="2" fontId="4571" fillId="8" borderId="1" xfId="0" applyNumberFormat="1" applyFont="1" applyFill="1" applyBorder="1" applyAlignment="1">
      <alignment horizontal="center" vertical="center"/>
    </xf>
    <xf numFmtId="2" fontId="4572" fillId="8" borderId="1" xfId="0" applyNumberFormat="1" applyFont="1" applyFill="1" applyBorder="1" applyAlignment="1">
      <alignment horizontal="center" vertical="center"/>
    </xf>
    <xf numFmtId="2" fontId="4573" fillId="8" borderId="1" xfId="0" applyNumberFormat="1" applyFont="1" applyFill="1" applyBorder="1" applyAlignment="1">
      <alignment horizontal="center" vertical="center"/>
    </xf>
    <xf numFmtId="2" fontId="4574" fillId="8" borderId="1" xfId="0" applyNumberFormat="1" applyFont="1" applyFill="1" applyBorder="1" applyAlignment="1">
      <alignment horizontal="center" vertical="center"/>
    </xf>
    <xf numFmtId="2" fontId="4575" fillId="8" borderId="1" xfId="0" applyNumberFormat="1" applyFont="1" applyFill="1" applyBorder="1" applyAlignment="1">
      <alignment horizontal="center" vertical="center"/>
    </xf>
    <xf numFmtId="2" fontId="4576" fillId="8" borderId="1" xfId="0" applyNumberFormat="1" applyFont="1" applyFill="1" applyBorder="1" applyAlignment="1">
      <alignment horizontal="center" vertical="center"/>
    </xf>
    <xf numFmtId="2" fontId="4577" fillId="8" borderId="1" xfId="0" applyNumberFormat="1" applyFont="1" applyFill="1" applyBorder="1" applyAlignment="1">
      <alignment horizontal="center" vertical="center"/>
    </xf>
    <xf numFmtId="2" fontId="4578" fillId="8" borderId="1" xfId="0" applyNumberFormat="1" applyFont="1" applyFill="1" applyBorder="1" applyAlignment="1">
      <alignment horizontal="center" vertical="center"/>
    </xf>
    <xf numFmtId="2" fontId="4579" fillId="8" borderId="1" xfId="0" applyNumberFormat="1" applyFont="1" applyFill="1" applyBorder="1" applyAlignment="1">
      <alignment horizontal="center" vertical="center"/>
    </xf>
    <xf numFmtId="2" fontId="4580" fillId="8" borderId="1" xfId="0" applyNumberFormat="1" applyFont="1" applyFill="1" applyBorder="1" applyAlignment="1">
      <alignment horizontal="center" vertical="center"/>
    </xf>
    <xf numFmtId="2" fontId="4581" fillId="8" borderId="1" xfId="0" applyNumberFormat="1" applyFont="1" applyFill="1" applyBorder="1" applyAlignment="1">
      <alignment horizontal="center" vertical="center"/>
    </xf>
    <xf numFmtId="2" fontId="4582" fillId="8" borderId="1" xfId="0" applyNumberFormat="1" applyFont="1" applyFill="1" applyBorder="1" applyAlignment="1">
      <alignment horizontal="center" vertical="center"/>
    </xf>
    <xf numFmtId="2" fontId="4583" fillId="8" borderId="1" xfId="0" applyNumberFormat="1" applyFont="1" applyFill="1" applyBorder="1" applyAlignment="1">
      <alignment horizontal="center" vertical="center"/>
    </xf>
    <xf numFmtId="2" fontId="4584" fillId="8" borderId="1" xfId="0" applyNumberFormat="1" applyFont="1" applyFill="1" applyBorder="1" applyAlignment="1">
      <alignment horizontal="center" vertical="center"/>
    </xf>
    <xf numFmtId="2" fontId="4585" fillId="8" borderId="1" xfId="0" applyNumberFormat="1" applyFont="1" applyFill="1" applyBorder="1" applyAlignment="1">
      <alignment horizontal="center" vertical="center"/>
    </xf>
    <xf numFmtId="2" fontId="4586" fillId="8" borderId="1" xfId="0" applyNumberFormat="1" applyFont="1" applyFill="1" applyBorder="1" applyAlignment="1">
      <alignment horizontal="center" vertical="center"/>
    </xf>
    <xf numFmtId="2" fontId="4587" fillId="8" borderId="1" xfId="0" applyNumberFormat="1" applyFont="1" applyFill="1" applyBorder="1" applyAlignment="1">
      <alignment horizontal="center" vertical="center"/>
    </xf>
    <xf numFmtId="2" fontId="4588" fillId="8" borderId="1" xfId="0" applyNumberFormat="1" applyFont="1" applyFill="1" applyBorder="1" applyAlignment="1">
      <alignment horizontal="center" vertical="center"/>
    </xf>
    <xf numFmtId="2" fontId="4589" fillId="8" borderId="1" xfId="0" applyNumberFormat="1" applyFont="1" applyFill="1" applyBorder="1" applyAlignment="1">
      <alignment horizontal="center" vertical="center"/>
    </xf>
    <xf numFmtId="2" fontId="4590" fillId="8" borderId="1" xfId="0" applyNumberFormat="1" applyFont="1" applyFill="1" applyBorder="1" applyAlignment="1">
      <alignment horizontal="center" vertical="center"/>
    </xf>
    <xf numFmtId="2" fontId="4591" fillId="8" borderId="1" xfId="0" applyNumberFormat="1" applyFont="1" applyFill="1" applyBorder="1" applyAlignment="1">
      <alignment horizontal="center" vertical="center"/>
    </xf>
    <xf numFmtId="2" fontId="4592" fillId="8" borderId="1" xfId="0" applyNumberFormat="1" applyFont="1" applyFill="1" applyBorder="1" applyAlignment="1">
      <alignment horizontal="center" vertical="center"/>
    </xf>
    <xf numFmtId="2" fontId="4593" fillId="8" borderId="1" xfId="0" applyNumberFormat="1" applyFont="1" applyFill="1" applyBorder="1" applyAlignment="1">
      <alignment horizontal="center" vertical="center"/>
    </xf>
    <xf numFmtId="2" fontId="4594" fillId="8" borderId="1" xfId="0" applyNumberFormat="1" applyFont="1" applyFill="1" applyBorder="1" applyAlignment="1">
      <alignment horizontal="center" vertical="center"/>
    </xf>
    <xf numFmtId="2" fontId="4595" fillId="8" borderId="1" xfId="0" applyNumberFormat="1" applyFont="1" applyFill="1" applyBorder="1" applyAlignment="1">
      <alignment horizontal="center" vertical="center"/>
    </xf>
    <xf numFmtId="2" fontId="4596" fillId="8" borderId="1" xfId="0" applyNumberFormat="1" applyFont="1" applyFill="1" applyBorder="1" applyAlignment="1">
      <alignment horizontal="center" vertical="center"/>
    </xf>
    <xf numFmtId="2" fontId="4597" fillId="8" borderId="1" xfId="0" applyNumberFormat="1" applyFont="1" applyFill="1" applyBorder="1" applyAlignment="1">
      <alignment horizontal="center" vertical="center"/>
    </xf>
    <xf numFmtId="2" fontId="4598" fillId="8" borderId="1" xfId="0" applyNumberFormat="1" applyFont="1" applyFill="1" applyBorder="1" applyAlignment="1">
      <alignment horizontal="center" vertical="center"/>
    </xf>
    <xf numFmtId="2" fontId="4599" fillId="8" borderId="1" xfId="0" applyNumberFormat="1" applyFont="1" applyFill="1" applyBorder="1" applyAlignment="1">
      <alignment horizontal="center" vertical="center"/>
    </xf>
    <xf numFmtId="2" fontId="4600" fillId="8" borderId="1" xfId="0" applyNumberFormat="1" applyFont="1" applyFill="1" applyBorder="1" applyAlignment="1">
      <alignment horizontal="center" vertical="center"/>
    </xf>
    <xf numFmtId="2" fontId="4601" fillId="8" borderId="1" xfId="0" applyNumberFormat="1" applyFont="1" applyFill="1" applyBorder="1" applyAlignment="1">
      <alignment horizontal="center" vertical="center"/>
    </xf>
    <xf numFmtId="2" fontId="4602" fillId="8" borderId="1" xfId="0" applyNumberFormat="1" applyFont="1" applyFill="1" applyBorder="1" applyAlignment="1">
      <alignment horizontal="center" vertical="center"/>
    </xf>
    <xf numFmtId="0" fontId="4603" fillId="7" borderId="1" xfId="0" applyNumberFormat="1" applyFont="1" applyFill="1" applyBorder="1" applyAlignment="1">
      <alignment horizontal="left" vertical="center"/>
    </xf>
    <xf numFmtId="0" fontId="4604" fillId="8" borderId="1" xfId="0" applyNumberFormat="1" applyFont="1" applyFill="1" applyBorder="1" applyAlignment="1">
      <alignment horizontal="center" vertical="center"/>
    </xf>
    <xf numFmtId="164" fontId="4605" fillId="8" borderId="1" xfId="0" applyNumberFormat="1" applyFont="1" applyFill="1" applyBorder="1" applyAlignment="1">
      <alignment horizontal="center" vertical="center"/>
    </xf>
    <xf numFmtId="1" fontId="4606" fillId="8" borderId="1" xfId="0" applyNumberFormat="1" applyFont="1" applyFill="1" applyBorder="1" applyAlignment="1">
      <alignment horizontal="center" vertical="center"/>
    </xf>
    <xf numFmtId="1" fontId="4607" fillId="8" borderId="1" xfId="0" applyNumberFormat="1" applyFont="1" applyFill="1" applyBorder="1" applyAlignment="1">
      <alignment horizontal="center" vertical="center"/>
    </xf>
    <xf numFmtId="1" fontId="4608" fillId="8" borderId="1" xfId="0" applyNumberFormat="1" applyFont="1" applyFill="1" applyBorder="1" applyAlignment="1">
      <alignment horizontal="center" vertical="center"/>
    </xf>
    <xf numFmtId="1" fontId="4609" fillId="8" borderId="1" xfId="0" applyNumberFormat="1" applyFont="1" applyFill="1" applyBorder="1" applyAlignment="1">
      <alignment horizontal="center" vertical="center"/>
    </xf>
    <xf numFmtId="1" fontId="4610" fillId="8" borderId="1" xfId="0" applyNumberFormat="1" applyFont="1" applyFill="1" applyBorder="1" applyAlignment="1">
      <alignment horizontal="center" vertical="center"/>
    </xf>
    <xf numFmtId="1" fontId="4611" fillId="8" borderId="1" xfId="0" applyNumberFormat="1" applyFont="1" applyFill="1" applyBorder="1" applyAlignment="1">
      <alignment horizontal="center" vertical="center"/>
    </xf>
    <xf numFmtId="1" fontId="4612" fillId="8" borderId="1" xfId="0" applyNumberFormat="1" applyFont="1" applyFill="1" applyBorder="1" applyAlignment="1">
      <alignment horizontal="center" vertical="center"/>
    </xf>
    <xf numFmtId="0" fontId="4613" fillId="8" borderId="1" xfId="0" applyNumberFormat="1" applyFont="1" applyFill="1" applyBorder="1" applyAlignment="1">
      <alignment horizontal="center" vertical="center"/>
    </xf>
    <xf numFmtId="0" fontId="4614" fillId="8" borderId="1" xfId="0" applyNumberFormat="1" applyFont="1" applyFill="1" applyBorder="1" applyAlignment="1">
      <alignment horizontal="center" vertical="center"/>
    </xf>
    <xf numFmtId="1" fontId="4615" fillId="8" borderId="1" xfId="0" applyNumberFormat="1" applyFont="1" applyFill="1" applyBorder="1" applyAlignment="1">
      <alignment horizontal="center" vertical="center"/>
    </xf>
    <xf numFmtId="1" fontId="4616" fillId="8" borderId="1" xfId="0" applyNumberFormat="1" applyFont="1" applyFill="1" applyBorder="1" applyAlignment="1">
      <alignment horizontal="center" vertical="center"/>
    </xf>
    <xf numFmtId="1" fontId="4617" fillId="8" borderId="1" xfId="0" applyNumberFormat="1" applyFont="1" applyFill="1" applyBorder="1" applyAlignment="1">
      <alignment horizontal="center" vertical="center"/>
    </xf>
    <xf numFmtId="165" fontId="4618" fillId="8" borderId="1" xfId="0" applyNumberFormat="1" applyFont="1" applyFill="1" applyBorder="1" applyAlignment="1">
      <alignment horizontal="center" vertical="center"/>
    </xf>
    <xf numFmtId="1" fontId="4619" fillId="8" borderId="1" xfId="0" applyNumberFormat="1" applyFont="1" applyFill="1" applyBorder="1" applyAlignment="1">
      <alignment horizontal="center" vertical="center"/>
    </xf>
    <xf numFmtId="165" fontId="4620" fillId="8" borderId="1" xfId="0" applyNumberFormat="1" applyFont="1" applyFill="1" applyBorder="1" applyAlignment="1">
      <alignment horizontal="center" vertical="center"/>
    </xf>
    <xf numFmtId="1" fontId="4621" fillId="8" borderId="1" xfId="0" applyNumberFormat="1" applyFont="1" applyFill="1" applyBorder="1" applyAlignment="1">
      <alignment horizontal="center" vertical="center"/>
    </xf>
    <xf numFmtId="165" fontId="4622" fillId="8" borderId="1" xfId="0" applyNumberFormat="1" applyFont="1" applyFill="1" applyBorder="1" applyAlignment="1">
      <alignment horizontal="center" vertical="center"/>
    </xf>
    <xf numFmtId="1" fontId="4623" fillId="8" borderId="1" xfId="0" applyNumberFormat="1" applyFont="1" applyFill="1" applyBorder="1" applyAlignment="1">
      <alignment horizontal="center" vertical="center"/>
    </xf>
    <xf numFmtId="165" fontId="4624" fillId="8" borderId="1" xfId="0" applyNumberFormat="1" applyFont="1" applyFill="1" applyBorder="1" applyAlignment="1">
      <alignment horizontal="center" vertical="center"/>
    </xf>
    <xf numFmtId="165" fontId="4625" fillId="8" borderId="1" xfId="0" applyNumberFormat="1" applyFont="1" applyFill="1" applyBorder="1" applyAlignment="1">
      <alignment horizontal="center" vertical="center"/>
    </xf>
    <xf numFmtId="1" fontId="4626" fillId="8" borderId="1" xfId="0" applyNumberFormat="1" applyFont="1" applyFill="1" applyBorder="1" applyAlignment="1">
      <alignment horizontal="center" vertical="center"/>
    </xf>
    <xf numFmtId="1" fontId="4627" fillId="8" borderId="1" xfId="0" applyNumberFormat="1" applyFont="1" applyFill="1" applyBorder="1" applyAlignment="1">
      <alignment horizontal="center" vertical="center"/>
    </xf>
    <xf numFmtId="1" fontId="4628" fillId="8" borderId="1" xfId="0" applyNumberFormat="1" applyFont="1" applyFill="1" applyBorder="1" applyAlignment="1">
      <alignment horizontal="center" vertical="center"/>
    </xf>
    <xf numFmtId="165" fontId="4629" fillId="8" borderId="1" xfId="0" applyNumberFormat="1" applyFont="1" applyFill="1" applyBorder="1" applyAlignment="1">
      <alignment horizontal="center" vertical="center"/>
    </xf>
    <xf numFmtId="164" fontId="4630" fillId="8" borderId="1" xfId="0" applyNumberFormat="1" applyFont="1" applyFill="1" applyBorder="1" applyAlignment="1">
      <alignment horizontal="center" vertical="center"/>
    </xf>
    <xf numFmtId="164" fontId="4631" fillId="8" borderId="1" xfId="0" applyNumberFormat="1" applyFont="1" applyFill="1" applyBorder="1" applyAlignment="1">
      <alignment horizontal="center" vertical="center"/>
    </xf>
    <xf numFmtId="1" fontId="4632" fillId="8" borderId="1" xfId="0" applyNumberFormat="1" applyFont="1" applyFill="1" applyBorder="1" applyAlignment="1">
      <alignment horizontal="center" vertical="center"/>
    </xf>
    <xf numFmtId="1" fontId="4633" fillId="8" borderId="1" xfId="0" applyNumberFormat="1" applyFont="1" applyFill="1" applyBorder="1" applyAlignment="1">
      <alignment horizontal="center" vertical="center"/>
    </xf>
    <xf numFmtId="1" fontId="4634" fillId="8" borderId="1" xfId="0" applyNumberFormat="1" applyFont="1" applyFill="1" applyBorder="1" applyAlignment="1">
      <alignment horizontal="center" vertical="center"/>
    </xf>
    <xf numFmtId="165" fontId="4635" fillId="8" borderId="1" xfId="0" applyNumberFormat="1" applyFont="1" applyFill="1" applyBorder="1" applyAlignment="1">
      <alignment horizontal="center" vertical="center"/>
    </xf>
    <xf numFmtId="1" fontId="4636" fillId="8" borderId="1" xfId="0" applyNumberFormat="1" applyFont="1" applyFill="1" applyBorder="1" applyAlignment="1">
      <alignment horizontal="center" vertical="center"/>
    </xf>
    <xf numFmtId="165" fontId="4637" fillId="8" borderId="1" xfId="0" applyNumberFormat="1" applyFont="1" applyFill="1" applyBorder="1" applyAlignment="1">
      <alignment horizontal="center" vertical="center"/>
    </xf>
    <xf numFmtId="1" fontId="4638" fillId="8" borderId="1" xfId="0" applyNumberFormat="1" applyFont="1" applyFill="1" applyBorder="1" applyAlignment="1">
      <alignment horizontal="center" vertical="center"/>
    </xf>
    <xf numFmtId="1" fontId="4639" fillId="8" borderId="1" xfId="0" applyNumberFormat="1" applyFont="1" applyFill="1" applyBorder="1" applyAlignment="1">
      <alignment horizontal="center" vertical="center"/>
    </xf>
    <xf numFmtId="1" fontId="4640" fillId="8" borderId="1" xfId="0" applyNumberFormat="1" applyFont="1" applyFill="1" applyBorder="1" applyAlignment="1">
      <alignment horizontal="center" vertical="center"/>
    </xf>
    <xf numFmtId="1" fontId="4641" fillId="8" borderId="1" xfId="0" applyNumberFormat="1" applyFont="1" applyFill="1" applyBorder="1" applyAlignment="1">
      <alignment horizontal="center" vertical="center"/>
    </xf>
    <xf numFmtId="165" fontId="4642" fillId="8" borderId="1" xfId="0" applyNumberFormat="1" applyFont="1" applyFill="1" applyBorder="1" applyAlignment="1">
      <alignment horizontal="center" vertical="center"/>
    </xf>
    <xf numFmtId="1" fontId="4643" fillId="8" borderId="1" xfId="0" applyNumberFormat="1" applyFont="1" applyFill="1" applyBorder="1" applyAlignment="1">
      <alignment horizontal="center" vertical="center"/>
    </xf>
    <xf numFmtId="165" fontId="4644" fillId="8" borderId="1" xfId="0" applyNumberFormat="1" applyFont="1" applyFill="1" applyBorder="1" applyAlignment="1">
      <alignment horizontal="center" vertical="center"/>
    </xf>
    <xf numFmtId="1" fontId="4645" fillId="8" borderId="1" xfId="0" applyNumberFormat="1" applyFont="1" applyFill="1" applyBorder="1" applyAlignment="1">
      <alignment horizontal="center" vertical="center"/>
    </xf>
    <xf numFmtId="165" fontId="4646" fillId="8" borderId="1" xfId="0" applyNumberFormat="1" applyFont="1" applyFill="1" applyBorder="1" applyAlignment="1">
      <alignment horizontal="center" vertical="center"/>
    </xf>
    <xf numFmtId="2" fontId="4647" fillId="8" borderId="1" xfId="0" applyNumberFormat="1" applyFont="1" applyFill="1" applyBorder="1" applyAlignment="1">
      <alignment horizontal="center" vertical="center"/>
    </xf>
    <xf numFmtId="2" fontId="4648" fillId="8" borderId="1" xfId="0" applyNumberFormat="1" applyFont="1" applyFill="1" applyBorder="1" applyAlignment="1">
      <alignment horizontal="center" vertical="center"/>
    </xf>
    <xf numFmtId="2" fontId="4649" fillId="8" borderId="1" xfId="0" applyNumberFormat="1" applyFont="1" applyFill="1" applyBorder="1" applyAlignment="1">
      <alignment horizontal="center" vertical="center"/>
    </xf>
    <xf numFmtId="2" fontId="4650" fillId="8" borderId="1" xfId="0" applyNumberFormat="1" applyFont="1" applyFill="1" applyBorder="1" applyAlignment="1">
      <alignment horizontal="center" vertical="center"/>
    </xf>
    <xf numFmtId="2" fontId="4651" fillId="8" borderId="1" xfId="0" applyNumberFormat="1" applyFont="1" applyFill="1" applyBorder="1" applyAlignment="1">
      <alignment horizontal="center" vertical="center"/>
    </xf>
    <xf numFmtId="2" fontId="4652" fillId="8" borderId="1" xfId="0" applyNumberFormat="1" applyFont="1" applyFill="1" applyBorder="1" applyAlignment="1">
      <alignment horizontal="center" vertical="center"/>
    </xf>
    <xf numFmtId="2" fontId="4653" fillId="8" borderId="1" xfId="0" applyNumberFormat="1" applyFont="1" applyFill="1" applyBorder="1" applyAlignment="1">
      <alignment horizontal="center" vertical="center"/>
    </xf>
    <xf numFmtId="2" fontId="4654" fillId="8" borderId="1" xfId="0" applyNumberFormat="1" applyFont="1" applyFill="1" applyBorder="1" applyAlignment="1">
      <alignment horizontal="center" vertical="center"/>
    </xf>
    <xf numFmtId="2" fontId="4655" fillId="8" borderId="1" xfId="0" applyNumberFormat="1" applyFont="1" applyFill="1" applyBorder="1" applyAlignment="1">
      <alignment horizontal="center" vertical="center"/>
    </xf>
    <xf numFmtId="2" fontId="4656" fillId="8" borderId="1" xfId="0" applyNumberFormat="1" applyFont="1" applyFill="1" applyBorder="1" applyAlignment="1">
      <alignment horizontal="center" vertical="center"/>
    </xf>
    <xf numFmtId="2" fontId="4657" fillId="8" borderId="1" xfId="0" applyNumberFormat="1" applyFont="1" applyFill="1" applyBorder="1" applyAlignment="1">
      <alignment horizontal="center" vertical="center"/>
    </xf>
    <xf numFmtId="2" fontId="4658" fillId="8" borderId="1" xfId="0" applyNumberFormat="1" applyFont="1" applyFill="1" applyBorder="1" applyAlignment="1">
      <alignment horizontal="center" vertical="center"/>
    </xf>
    <xf numFmtId="2" fontId="4659" fillId="8" borderId="1" xfId="0" applyNumberFormat="1" applyFont="1" applyFill="1" applyBorder="1" applyAlignment="1">
      <alignment horizontal="center" vertical="center"/>
    </xf>
    <xf numFmtId="2" fontId="4660" fillId="8" borderId="1" xfId="0" applyNumberFormat="1" applyFont="1" applyFill="1" applyBorder="1" applyAlignment="1">
      <alignment horizontal="center" vertical="center"/>
    </xf>
    <xf numFmtId="2" fontId="4661" fillId="8" borderId="1" xfId="0" applyNumberFormat="1" applyFont="1" applyFill="1" applyBorder="1" applyAlignment="1">
      <alignment horizontal="center" vertical="center"/>
    </xf>
    <xf numFmtId="2" fontId="4662" fillId="8" borderId="1" xfId="0" applyNumberFormat="1" applyFont="1" applyFill="1" applyBorder="1" applyAlignment="1">
      <alignment horizontal="center" vertical="center"/>
    </xf>
    <xf numFmtId="2" fontId="4663" fillId="8" borderId="1" xfId="0" applyNumberFormat="1" applyFont="1" applyFill="1" applyBorder="1" applyAlignment="1">
      <alignment horizontal="center" vertical="center"/>
    </xf>
    <xf numFmtId="2" fontId="4664" fillId="8" borderId="1" xfId="0" applyNumberFormat="1" applyFont="1" applyFill="1" applyBorder="1" applyAlignment="1">
      <alignment horizontal="center" vertical="center"/>
    </xf>
    <xf numFmtId="2" fontId="4665" fillId="8" borderId="1" xfId="0" applyNumberFormat="1" applyFont="1" applyFill="1" applyBorder="1" applyAlignment="1">
      <alignment horizontal="center" vertical="center"/>
    </xf>
    <xf numFmtId="2" fontId="4666" fillId="8" borderId="1" xfId="0" applyNumberFormat="1" applyFont="1" applyFill="1" applyBorder="1" applyAlignment="1">
      <alignment horizontal="center" vertical="center"/>
    </xf>
    <xf numFmtId="2" fontId="4667" fillId="8" borderId="1" xfId="0" applyNumberFormat="1" applyFont="1" applyFill="1" applyBorder="1" applyAlignment="1">
      <alignment horizontal="center" vertical="center"/>
    </xf>
    <xf numFmtId="2" fontId="4668" fillId="8" borderId="1" xfId="0" applyNumberFormat="1" applyFont="1" applyFill="1" applyBorder="1" applyAlignment="1">
      <alignment horizontal="center" vertical="center"/>
    </xf>
    <xf numFmtId="2" fontId="4669" fillId="8" borderId="1" xfId="0" applyNumberFormat="1" applyFont="1" applyFill="1" applyBorder="1" applyAlignment="1">
      <alignment horizontal="center" vertical="center"/>
    </xf>
    <xf numFmtId="2" fontId="4670" fillId="8" borderId="1" xfId="0" applyNumberFormat="1" applyFont="1" applyFill="1" applyBorder="1" applyAlignment="1">
      <alignment horizontal="center" vertical="center"/>
    </xf>
    <xf numFmtId="2" fontId="4671" fillId="8" borderId="1" xfId="0" applyNumberFormat="1" applyFont="1" applyFill="1" applyBorder="1" applyAlignment="1">
      <alignment horizontal="center" vertical="center"/>
    </xf>
    <xf numFmtId="2" fontId="4672" fillId="8" borderId="1" xfId="0" applyNumberFormat="1" applyFont="1" applyFill="1" applyBorder="1" applyAlignment="1">
      <alignment horizontal="center" vertical="center"/>
    </xf>
    <xf numFmtId="2" fontId="4673" fillId="8" borderId="1" xfId="0" applyNumberFormat="1" applyFont="1" applyFill="1" applyBorder="1" applyAlignment="1">
      <alignment horizontal="center" vertical="center"/>
    </xf>
    <xf numFmtId="2" fontId="4674" fillId="8" borderId="1" xfId="0" applyNumberFormat="1" applyFont="1" applyFill="1" applyBorder="1" applyAlignment="1">
      <alignment horizontal="center" vertical="center"/>
    </xf>
    <xf numFmtId="2" fontId="4675" fillId="8" borderId="1" xfId="0" applyNumberFormat="1" applyFont="1" applyFill="1" applyBorder="1" applyAlignment="1">
      <alignment horizontal="center" vertical="center"/>
    </xf>
    <xf numFmtId="2" fontId="4676" fillId="8" borderId="1" xfId="0" applyNumberFormat="1" applyFont="1" applyFill="1" applyBorder="1" applyAlignment="1">
      <alignment horizontal="center" vertical="center"/>
    </xf>
    <xf numFmtId="2" fontId="4677" fillId="8" borderId="1" xfId="0" applyNumberFormat="1" applyFont="1" applyFill="1" applyBorder="1" applyAlignment="1">
      <alignment horizontal="center" vertical="center"/>
    </xf>
    <xf numFmtId="2" fontId="4678" fillId="8" borderId="1" xfId="0" applyNumberFormat="1" applyFont="1" applyFill="1" applyBorder="1" applyAlignment="1">
      <alignment horizontal="center" vertical="center"/>
    </xf>
    <xf numFmtId="2" fontId="4679" fillId="8" borderId="1" xfId="0" applyNumberFormat="1" applyFont="1" applyFill="1" applyBorder="1" applyAlignment="1">
      <alignment horizontal="center" vertical="center"/>
    </xf>
    <xf numFmtId="2" fontId="4680" fillId="8" borderId="1" xfId="0" applyNumberFormat="1" applyFont="1" applyFill="1" applyBorder="1" applyAlignment="1">
      <alignment horizontal="center" vertical="center"/>
    </xf>
    <xf numFmtId="0" fontId="4681" fillId="7" borderId="1" xfId="0" applyNumberFormat="1" applyFont="1" applyFill="1" applyBorder="1" applyAlignment="1">
      <alignment horizontal="left" vertical="center"/>
    </xf>
    <xf numFmtId="0" fontId="4682" fillId="8" borderId="1" xfId="0" applyNumberFormat="1" applyFont="1" applyFill="1" applyBorder="1" applyAlignment="1">
      <alignment horizontal="center" vertical="center"/>
    </xf>
    <xf numFmtId="164" fontId="4683" fillId="8" borderId="1" xfId="0" applyNumberFormat="1" applyFont="1" applyFill="1" applyBorder="1" applyAlignment="1">
      <alignment horizontal="center" vertical="center"/>
    </xf>
    <xf numFmtId="1" fontId="4684" fillId="8" borderId="1" xfId="0" applyNumberFormat="1" applyFont="1" applyFill="1" applyBorder="1" applyAlignment="1">
      <alignment horizontal="center" vertical="center"/>
    </xf>
    <xf numFmtId="1" fontId="4685" fillId="8" borderId="1" xfId="0" applyNumberFormat="1" applyFont="1" applyFill="1" applyBorder="1" applyAlignment="1">
      <alignment horizontal="center" vertical="center"/>
    </xf>
    <xf numFmtId="1" fontId="4686" fillId="8" borderId="1" xfId="0" applyNumberFormat="1" applyFont="1" applyFill="1" applyBorder="1" applyAlignment="1">
      <alignment horizontal="center" vertical="center"/>
    </xf>
    <xf numFmtId="1" fontId="4687" fillId="8" borderId="1" xfId="0" applyNumberFormat="1" applyFont="1" applyFill="1" applyBorder="1" applyAlignment="1">
      <alignment horizontal="center" vertical="center"/>
    </xf>
    <xf numFmtId="1" fontId="4688" fillId="8" borderId="1" xfId="0" applyNumberFormat="1" applyFont="1" applyFill="1" applyBorder="1" applyAlignment="1">
      <alignment horizontal="center" vertical="center"/>
    </xf>
    <xf numFmtId="1" fontId="4689" fillId="8" borderId="1" xfId="0" applyNumberFormat="1" applyFont="1" applyFill="1" applyBorder="1" applyAlignment="1">
      <alignment horizontal="center" vertical="center"/>
    </xf>
    <xf numFmtId="1" fontId="4690" fillId="8" borderId="1" xfId="0" applyNumberFormat="1" applyFont="1" applyFill="1" applyBorder="1" applyAlignment="1">
      <alignment horizontal="center" vertical="center"/>
    </xf>
    <xf numFmtId="0" fontId="4691" fillId="8" borderId="1" xfId="0" applyNumberFormat="1" applyFont="1" applyFill="1" applyBorder="1" applyAlignment="1">
      <alignment horizontal="center" vertical="center"/>
    </xf>
    <xf numFmtId="0" fontId="4692" fillId="8" borderId="1" xfId="0" applyNumberFormat="1" applyFont="1" applyFill="1" applyBorder="1" applyAlignment="1">
      <alignment horizontal="center" vertical="center"/>
    </xf>
    <xf numFmtId="1" fontId="4693" fillId="8" borderId="1" xfId="0" applyNumberFormat="1" applyFont="1" applyFill="1" applyBorder="1" applyAlignment="1">
      <alignment horizontal="center" vertical="center"/>
    </xf>
    <xf numFmtId="1" fontId="4694" fillId="8" borderId="1" xfId="0" applyNumberFormat="1" applyFont="1" applyFill="1" applyBorder="1" applyAlignment="1">
      <alignment horizontal="center" vertical="center"/>
    </xf>
    <xf numFmtId="1" fontId="4695" fillId="8" borderId="1" xfId="0" applyNumberFormat="1" applyFont="1" applyFill="1" applyBorder="1" applyAlignment="1">
      <alignment horizontal="center" vertical="center"/>
    </xf>
    <xf numFmtId="165" fontId="4696" fillId="8" borderId="1" xfId="0" applyNumberFormat="1" applyFont="1" applyFill="1" applyBorder="1" applyAlignment="1">
      <alignment horizontal="center" vertical="center"/>
    </xf>
    <xf numFmtId="1" fontId="4697" fillId="8" borderId="1" xfId="0" applyNumberFormat="1" applyFont="1" applyFill="1" applyBorder="1" applyAlignment="1">
      <alignment horizontal="center" vertical="center"/>
    </xf>
    <xf numFmtId="165" fontId="4698" fillId="8" borderId="1" xfId="0" applyNumberFormat="1" applyFont="1" applyFill="1" applyBorder="1" applyAlignment="1">
      <alignment horizontal="center" vertical="center"/>
    </xf>
    <xf numFmtId="1" fontId="4699" fillId="8" borderId="1" xfId="0" applyNumberFormat="1" applyFont="1" applyFill="1" applyBorder="1" applyAlignment="1">
      <alignment horizontal="center" vertical="center"/>
    </xf>
    <xf numFmtId="165" fontId="4700" fillId="8" borderId="1" xfId="0" applyNumberFormat="1" applyFont="1" applyFill="1" applyBorder="1" applyAlignment="1">
      <alignment horizontal="center" vertical="center"/>
    </xf>
    <xf numFmtId="1" fontId="4701" fillId="8" borderId="1" xfId="0" applyNumberFormat="1" applyFont="1" applyFill="1" applyBorder="1" applyAlignment="1">
      <alignment horizontal="center" vertical="center"/>
    </xf>
    <xf numFmtId="165" fontId="4702" fillId="8" borderId="1" xfId="0" applyNumberFormat="1" applyFont="1" applyFill="1" applyBorder="1" applyAlignment="1">
      <alignment horizontal="center" vertical="center"/>
    </xf>
    <xf numFmtId="165" fontId="4703" fillId="8" borderId="1" xfId="0" applyNumberFormat="1" applyFont="1" applyFill="1" applyBorder="1" applyAlignment="1">
      <alignment horizontal="center" vertical="center"/>
    </xf>
    <xf numFmtId="1" fontId="4704" fillId="8" borderId="1" xfId="0" applyNumberFormat="1" applyFont="1" applyFill="1" applyBorder="1" applyAlignment="1">
      <alignment horizontal="center" vertical="center"/>
    </xf>
    <xf numFmtId="1" fontId="4705" fillId="8" borderId="1" xfId="0" applyNumberFormat="1" applyFont="1" applyFill="1" applyBorder="1" applyAlignment="1">
      <alignment horizontal="center" vertical="center"/>
    </xf>
    <xf numFmtId="1" fontId="4706" fillId="8" borderId="1" xfId="0" applyNumberFormat="1" applyFont="1" applyFill="1" applyBorder="1" applyAlignment="1">
      <alignment horizontal="center" vertical="center"/>
    </xf>
    <xf numFmtId="165" fontId="4707" fillId="8" borderId="1" xfId="0" applyNumberFormat="1" applyFont="1" applyFill="1" applyBorder="1" applyAlignment="1">
      <alignment horizontal="center" vertical="center"/>
    </xf>
    <xf numFmtId="164" fontId="4708" fillId="8" borderId="1" xfId="0" applyNumberFormat="1" applyFont="1" applyFill="1" applyBorder="1" applyAlignment="1">
      <alignment horizontal="center" vertical="center"/>
    </xf>
    <xf numFmtId="164" fontId="4709" fillId="8" borderId="1" xfId="0" applyNumberFormat="1" applyFont="1" applyFill="1" applyBorder="1" applyAlignment="1">
      <alignment horizontal="center" vertical="center"/>
    </xf>
    <xf numFmtId="1" fontId="4710" fillId="8" borderId="1" xfId="0" applyNumberFormat="1" applyFont="1" applyFill="1" applyBorder="1" applyAlignment="1">
      <alignment horizontal="center" vertical="center"/>
    </xf>
    <xf numFmtId="1" fontId="4711" fillId="8" borderId="1" xfId="0" applyNumberFormat="1" applyFont="1" applyFill="1" applyBorder="1" applyAlignment="1">
      <alignment horizontal="center" vertical="center"/>
    </xf>
    <xf numFmtId="1" fontId="4712" fillId="8" borderId="1" xfId="0" applyNumberFormat="1" applyFont="1" applyFill="1" applyBorder="1" applyAlignment="1">
      <alignment horizontal="center" vertical="center"/>
    </xf>
    <xf numFmtId="165" fontId="4713" fillId="8" borderId="1" xfId="0" applyNumberFormat="1" applyFont="1" applyFill="1" applyBorder="1" applyAlignment="1">
      <alignment horizontal="center" vertical="center"/>
    </xf>
    <xf numFmtId="1" fontId="4714" fillId="8" borderId="1" xfId="0" applyNumberFormat="1" applyFont="1" applyFill="1" applyBorder="1" applyAlignment="1">
      <alignment horizontal="center" vertical="center"/>
    </xf>
    <xf numFmtId="165" fontId="4715" fillId="8" borderId="1" xfId="0" applyNumberFormat="1" applyFont="1" applyFill="1" applyBorder="1" applyAlignment="1">
      <alignment horizontal="center" vertical="center"/>
    </xf>
    <xf numFmtId="1" fontId="4716" fillId="8" borderId="1" xfId="0" applyNumberFormat="1" applyFont="1" applyFill="1" applyBorder="1" applyAlignment="1">
      <alignment horizontal="center" vertical="center"/>
    </xf>
    <xf numFmtId="1" fontId="4717" fillId="8" borderId="1" xfId="0" applyNumberFormat="1" applyFont="1" applyFill="1" applyBorder="1" applyAlignment="1">
      <alignment horizontal="center" vertical="center"/>
    </xf>
    <xf numFmtId="1" fontId="4718" fillId="8" borderId="1" xfId="0" applyNumberFormat="1" applyFont="1" applyFill="1" applyBorder="1" applyAlignment="1">
      <alignment horizontal="center" vertical="center"/>
    </xf>
    <xf numFmtId="1" fontId="4719" fillId="8" borderId="1" xfId="0" applyNumberFormat="1" applyFont="1" applyFill="1" applyBorder="1" applyAlignment="1">
      <alignment horizontal="center" vertical="center"/>
    </xf>
    <xf numFmtId="165" fontId="4720" fillId="8" borderId="1" xfId="0" applyNumberFormat="1" applyFont="1" applyFill="1" applyBorder="1" applyAlignment="1">
      <alignment horizontal="center" vertical="center"/>
    </xf>
    <xf numFmtId="1" fontId="4721" fillId="8" borderId="1" xfId="0" applyNumberFormat="1" applyFont="1" applyFill="1" applyBorder="1" applyAlignment="1">
      <alignment horizontal="center" vertical="center"/>
    </xf>
    <xf numFmtId="165" fontId="4722" fillId="8" borderId="1" xfId="0" applyNumberFormat="1" applyFont="1" applyFill="1" applyBorder="1" applyAlignment="1">
      <alignment horizontal="center" vertical="center"/>
    </xf>
    <xf numFmtId="1" fontId="4723" fillId="8" borderId="1" xfId="0" applyNumberFormat="1" applyFont="1" applyFill="1" applyBorder="1" applyAlignment="1">
      <alignment horizontal="center" vertical="center"/>
    </xf>
    <xf numFmtId="165" fontId="4724" fillId="8" borderId="1" xfId="0" applyNumberFormat="1" applyFont="1" applyFill="1" applyBorder="1" applyAlignment="1">
      <alignment horizontal="center" vertical="center"/>
    </xf>
    <xf numFmtId="2" fontId="4725" fillId="8" borderId="1" xfId="0" applyNumberFormat="1" applyFont="1" applyFill="1" applyBorder="1" applyAlignment="1">
      <alignment horizontal="center" vertical="center"/>
    </xf>
    <xf numFmtId="2" fontId="4726" fillId="8" borderId="1" xfId="0" applyNumberFormat="1" applyFont="1" applyFill="1" applyBorder="1" applyAlignment="1">
      <alignment horizontal="center" vertical="center"/>
    </xf>
    <xf numFmtId="2" fontId="4727" fillId="8" borderId="1" xfId="0" applyNumberFormat="1" applyFont="1" applyFill="1" applyBorder="1" applyAlignment="1">
      <alignment horizontal="center" vertical="center"/>
    </xf>
    <xf numFmtId="2" fontId="4728" fillId="8" borderId="1" xfId="0" applyNumberFormat="1" applyFont="1" applyFill="1" applyBorder="1" applyAlignment="1">
      <alignment horizontal="center" vertical="center"/>
    </xf>
    <xf numFmtId="2" fontId="4729" fillId="8" borderId="1" xfId="0" applyNumberFormat="1" applyFont="1" applyFill="1" applyBorder="1" applyAlignment="1">
      <alignment horizontal="center" vertical="center"/>
    </xf>
    <xf numFmtId="2" fontId="4730" fillId="8" borderId="1" xfId="0" applyNumberFormat="1" applyFont="1" applyFill="1" applyBorder="1" applyAlignment="1">
      <alignment horizontal="center" vertical="center"/>
    </xf>
    <xf numFmtId="2" fontId="4731" fillId="8" borderId="1" xfId="0" applyNumberFormat="1" applyFont="1" applyFill="1" applyBorder="1" applyAlignment="1">
      <alignment horizontal="center" vertical="center"/>
    </xf>
    <xf numFmtId="2" fontId="4732" fillId="8" borderId="1" xfId="0" applyNumberFormat="1" applyFont="1" applyFill="1" applyBorder="1" applyAlignment="1">
      <alignment horizontal="center" vertical="center"/>
    </xf>
    <xf numFmtId="2" fontId="4733" fillId="8" borderId="1" xfId="0" applyNumberFormat="1" applyFont="1" applyFill="1" applyBorder="1" applyAlignment="1">
      <alignment horizontal="center" vertical="center"/>
    </xf>
    <xf numFmtId="2" fontId="4734" fillId="8" borderId="1" xfId="0" applyNumberFormat="1" applyFont="1" applyFill="1" applyBorder="1" applyAlignment="1">
      <alignment horizontal="center" vertical="center"/>
    </xf>
    <xf numFmtId="2" fontId="4735" fillId="8" borderId="1" xfId="0" applyNumberFormat="1" applyFont="1" applyFill="1" applyBorder="1" applyAlignment="1">
      <alignment horizontal="center" vertical="center"/>
    </xf>
    <xf numFmtId="2" fontId="4736" fillId="8" borderId="1" xfId="0" applyNumberFormat="1" applyFont="1" applyFill="1" applyBorder="1" applyAlignment="1">
      <alignment horizontal="center" vertical="center"/>
    </xf>
    <xf numFmtId="2" fontId="4737" fillId="8" borderId="1" xfId="0" applyNumberFormat="1" applyFont="1" applyFill="1" applyBorder="1" applyAlignment="1">
      <alignment horizontal="center" vertical="center"/>
    </xf>
    <xf numFmtId="2" fontId="4738" fillId="8" borderId="1" xfId="0" applyNumberFormat="1" applyFont="1" applyFill="1" applyBorder="1" applyAlignment="1">
      <alignment horizontal="center" vertical="center"/>
    </xf>
    <xf numFmtId="2" fontId="4739" fillId="8" borderId="1" xfId="0" applyNumberFormat="1" applyFont="1" applyFill="1" applyBorder="1" applyAlignment="1">
      <alignment horizontal="center" vertical="center"/>
    </xf>
    <xf numFmtId="2" fontId="4740" fillId="8" borderId="1" xfId="0" applyNumberFormat="1" applyFont="1" applyFill="1" applyBorder="1" applyAlignment="1">
      <alignment horizontal="center" vertical="center"/>
    </xf>
    <xf numFmtId="2" fontId="4741" fillId="8" borderId="1" xfId="0" applyNumberFormat="1" applyFont="1" applyFill="1" applyBorder="1" applyAlignment="1">
      <alignment horizontal="center" vertical="center"/>
    </xf>
    <xf numFmtId="2" fontId="4742" fillId="8" borderId="1" xfId="0" applyNumberFormat="1" applyFont="1" applyFill="1" applyBorder="1" applyAlignment="1">
      <alignment horizontal="center" vertical="center"/>
    </xf>
    <xf numFmtId="2" fontId="4743" fillId="8" borderId="1" xfId="0" applyNumberFormat="1" applyFont="1" applyFill="1" applyBorder="1" applyAlignment="1">
      <alignment horizontal="center" vertical="center"/>
    </xf>
    <xf numFmtId="2" fontId="4744" fillId="8" borderId="1" xfId="0" applyNumberFormat="1" applyFont="1" applyFill="1" applyBorder="1" applyAlignment="1">
      <alignment horizontal="center" vertical="center"/>
    </xf>
    <xf numFmtId="2" fontId="4745" fillId="8" borderId="1" xfId="0" applyNumberFormat="1" applyFont="1" applyFill="1" applyBorder="1" applyAlignment="1">
      <alignment horizontal="center" vertical="center"/>
    </xf>
    <xf numFmtId="2" fontId="4746" fillId="8" borderId="1" xfId="0" applyNumberFormat="1" applyFont="1" applyFill="1" applyBorder="1" applyAlignment="1">
      <alignment horizontal="center" vertical="center"/>
    </xf>
    <xf numFmtId="2" fontId="4747" fillId="8" borderId="1" xfId="0" applyNumberFormat="1" applyFont="1" applyFill="1" applyBorder="1" applyAlignment="1">
      <alignment horizontal="center" vertical="center"/>
    </xf>
    <xf numFmtId="2" fontId="4748" fillId="8" borderId="1" xfId="0" applyNumberFormat="1" applyFont="1" applyFill="1" applyBorder="1" applyAlignment="1">
      <alignment horizontal="center" vertical="center"/>
    </xf>
    <xf numFmtId="2" fontId="4749" fillId="8" borderId="1" xfId="0" applyNumberFormat="1" applyFont="1" applyFill="1" applyBorder="1" applyAlignment="1">
      <alignment horizontal="center" vertical="center"/>
    </xf>
    <xf numFmtId="2" fontId="4750" fillId="8" borderId="1" xfId="0" applyNumberFormat="1" applyFont="1" applyFill="1" applyBorder="1" applyAlignment="1">
      <alignment horizontal="center" vertical="center"/>
    </xf>
    <xf numFmtId="2" fontId="4751" fillId="8" borderId="1" xfId="0" applyNumberFormat="1" applyFont="1" applyFill="1" applyBorder="1" applyAlignment="1">
      <alignment horizontal="center" vertical="center"/>
    </xf>
    <xf numFmtId="2" fontId="4752" fillId="8" borderId="1" xfId="0" applyNumberFormat="1" applyFont="1" applyFill="1" applyBorder="1" applyAlignment="1">
      <alignment horizontal="center" vertical="center"/>
    </xf>
    <xf numFmtId="2" fontId="4753" fillId="8" borderId="1" xfId="0" applyNumberFormat="1" applyFont="1" applyFill="1" applyBorder="1" applyAlignment="1">
      <alignment horizontal="center" vertical="center"/>
    </xf>
    <xf numFmtId="2" fontId="4754" fillId="8" borderId="1" xfId="0" applyNumberFormat="1" applyFont="1" applyFill="1" applyBorder="1" applyAlignment="1">
      <alignment horizontal="center" vertical="center"/>
    </xf>
    <xf numFmtId="2" fontId="4755" fillId="8" borderId="1" xfId="0" applyNumberFormat="1" applyFont="1" applyFill="1" applyBorder="1" applyAlignment="1">
      <alignment horizontal="center" vertical="center"/>
    </xf>
    <xf numFmtId="2" fontId="4756" fillId="8" borderId="1" xfId="0" applyNumberFormat="1" applyFont="1" applyFill="1" applyBorder="1" applyAlignment="1">
      <alignment horizontal="center" vertical="center"/>
    </xf>
    <xf numFmtId="2" fontId="4757" fillId="8" borderId="1" xfId="0" applyNumberFormat="1" applyFont="1" applyFill="1" applyBorder="1" applyAlignment="1">
      <alignment horizontal="center" vertical="center"/>
    </xf>
    <xf numFmtId="2" fontId="4758" fillId="8" borderId="1" xfId="0" applyNumberFormat="1" applyFont="1" applyFill="1" applyBorder="1" applyAlignment="1">
      <alignment horizontal="center" vertical="center"/>
    </xf>
    <xf numFmtId="0" fontId="4759" fillId="7" borderId="1" xfId="0" applyNumberFormat="1" applyFont="1" applyFill="1" applyBorder="1" applyAlignment="1">
      <alignment horizontal="left" vertical="center"/>
    </xf>
    <xf numFmtId="0" fontId="4760" fillId="8" borderId="1" xfId="0" applyNumberFormat="1" applyFont="1" applyFill="1" applyBorder="1" applyAlignment="1">
      <alignment horizontal="center" vertical="center"/>
    </xf>
    <xf numFmtId="164" fontId="4761" fillId="8" borderId="1" xfId="0" applyNumberFormat="1" applyFont="1" applyFill="1" applyBorder="1" applyAlignment="1">
      <alignment horizontal="center" vertical="center"/>
    </xf>
    <xf numFmtId="1" fontId="4762" fillId="8" borderId="1" xfId="0" applyNumberFormat="1" applyFont="1" applyFill="1" applyBorder="1" applyAlignment="1">
      <alignment horizontal="center" vertical="center"/>
    </xf>
    <xf numFmtId="1" fontId="4763" fillId="8" borderId="1" xfId="0" applyNumberFormat="1" applyFont="1" applyFill="1" applyBorder="1" applyAlignment="1">
      <alignment horizontal="center" vertical="center"/>
    </xf>
    <xf numFmtId="1" fontId="4764" fillId="8" borderId="1" xfId="0" applyNumberFormat="1" applyFont="1" applyFill="1" applyBorder="1" applyAlignment="1">
      <alignment horizontal="center" vertical="center"/>
    </xf>
    <xf numFmtId="1" fontId="4765" fillId="8" borderId="1" xfId="0" applyNumberFormat="1" applyFont="1" applyFill="1" applyBorder="1" applyAlignment="1">
      <alignment horizontal="center" vertical="center"/>
    </xf>
    <xf numFmtId="1" fontId="4766" fillId="8" borderId="1" xfId="0" applyNumberFormat="1" applyFont="1" applyFill="1" applyBorder="1" applyAlignment="1">
      <alignment horizontal="center" vertical="center"/>
    </xf>
    <xf numFmtId="1" fontId="4767" fillId="8" borderId="1" xfId="0" applyNumberFormat="1" applyFont="1" applyFill="1" applyBorder="1" applyAlignment="1">
      <alignment horizontal="center" vertical="center"/>
    </xf>
    <xf numFmtId="1" fontId="4768" fillId="8" borderId="1" xfId="0" applyNumberFormat="1" applyFont="1" applyFill="1" applyBorder="1" applyAlignment="1">
      <alignment horizontal="center" vertical="center"/>
    </xf>
    <xf numFmtId="0" fontId="4769" fillId="8" borderId="1" xfId="0" applyNumberFormat="1" applyFont="1" applyFill="1" applyBorder="1" applyAlignment="1">
      <alignment horizontal="center" vertical="center"/>
    </xf>
    <xf numFmtId="0" fontId="4770" fillId="8" borderId="1" xfId="0" applyNumberFormat="1" applyFont="1" applyFill="1" applyBorder="1" applyAlignment="1">
      <alignment horizontal="center" vertical="center"/>
    </xf>
    <xf numFmtId="1" fontId="4771" fillId="8" borderId="1" xfId="0" applyNumberFormat="1" applyFont="1" applyFill="1" applyBorder="1" applyAlignment="1">
      <alignment horizontal="center" vertical="center"/>
    </xf>
    <xf numFmtId="1" fontId="4772" fillId="8" borderId="1" xfId="0" applyNumberFormat="1" applyFont="1" applyFill="1" applyBorder="1" applyAlignment="1">
      <alignment horizontal="center" vertical="center"/>
    </xf>
    <xf numFmtId="1" fontId="4773" fillId="8" borderId="1" xfId="0" applyNumberFormat="1" applyFont="1" applyFill="1" applyBorder="1" applyAlignment="1">
      <alignment horizontal="center" vertical="center"/>
    </xf>
    <xf numFmtId="165" fontId="4774" fillId="8" borderId="1" xfId="0" applyNumberFormat="1" applyFont="1" applyFill="1" applyBorder="1" applyAlignment="1">
      <alignment horizontal="center" vertical="center"/>
    </xf>
    <xf numFmtId="1" fontId="4775" fillId="8" borderId="1" xfId="0" applyNumberFormat="1" applyFont="1" applyFill="1" applyBorder="1" applyAlignment="1">
      <alignment horizontal="center" vertical="center"/>
    </xf>
    <xf numFmtId="165" fontId="4776" fillId="8" borderId="1" xfId="0" applyNumberFormat="1" applyFont="1" applyFill="1" applyBorder="1" applyAlignment="1">
      <alignment horizontal="center" vertical="center"/>
    </xf>
    <xf numFmtId="1" fontId="4777" fillId="8" borderId="1" xfId="0" applyNumberFormat="1" applyFont="1" applyFill="1" applyBorder="1" applyAlignment="1">
      <alignment horizontal="center" vertical="center"/>
    </xf>
    <xf numFmtId="165" fontId="4778" fillId="8" borderId="1" xfId="0" applyNumberFormat="1" applyFont="1" applyFill="1" applyBorder="1" applyAlignment="1">
      <alignment horizontal="center" vertical="center"/>
    </xf>
    <xf numFmtId="1" fontId="4779" fillId="8" borderId="1" xfId="0" applyNumberFormat="1" applyFont="1" applyFill="1" applyBorder="1" applyAlignment="1">
      <alignment horizontal="center" vertical="center"/>
    </xf>
    <xf numFmtId="165" fontId="4780" fillId="8" borderId="1" xfId="0" applyNumberFormat="1" applyFont="1" applyFill="1" applyBorder="1" applyAlignment="1">
      <alignment horizontal="center" vertical="center"/>
    </xf>
    <xf numFmtId="165" fontId="4781" fillId="8" borderId="1" xfId="0" applyNumberFormat="1" applyFont="1" applyFill="1" applyBorder="1" applyAlignment="1">
      <alignment horizontal="center" vertical="center"/>
    </xf>
    <xf numFmtId="1" fontId="4782" fillId="8" borderId="1" xfId="0" applyNumberFormat="1" applyFont="1" applyFill="1" applyBorder="1" applyAlignment="1">
      <alignment horizontal="center" vertical="center"/>
    </xf>
    <xf numFmtId="1" fontId="4783" fillId="8" borderId="1" xfId="0" applyNumberFormat="1" applyFont="1" applyFill="1" applyBorder="1" applyAlignment="1">
      <alignment horizontal="center" vertical="center"/>
    </xf>
    <xf numFmtId="1" fontId="4784" fillId="8" borderId="1" xfId="0" applyNumberFormat="1" applyFont="1" applyFill="1" applyBorder="1" applyAlignment="1">
      <alignment horizontal="center" vertical="center"/>
    </xf>
    <xf numFmtId="165" fontId="4785" fillId="8" borderId="1" xfId="0" applyNumberFormat="1" applyFont="1" applyFill="1" applyBorder="1" applyAlignment="1">
      <alignment horizontal="center" vertical="center"/>
    </xf>
    <xf numFmtId="164" fontId="4786" fillId="8" borderId="1" xfId="0" applyNumberFormat="1" applyFont="1" applyFill="1" applyBorder="1" applyAlignment="1">
      <alignment horizontal="center" vertical="center"/>
    </xf>
    <xf numFmtId="164" fontId="4787" fillId="8" borderId="1" xfId="0" applyNumberFormat="1" applyFont="1" applyFill="1" applyBorder="1" applyAlignment="1">
      <alignment horizontal="center" vertical="center"/>
    </xf>
    <xf numFmtId="1" fontId="4788" fillId="8" borderId="1" xfId="0" applyNumberFormat="1" applyFont="1" applyFill="1" applyBorder="1" applyAlignment="1">
      <alignment horizontal="center" vertical="center"/>
    </xf>
    <xf numFmtId="1" fontId="4789" fillId="8" borderId="1" xfId="0" applyNumberFormat="1" applyFont="1" applyFill="1" applyBorder="1" applyAlignment="1">
      <alignment horizontal="center" vertical="center"/>
    </xf>
    <xf numFmtId="1" fontId="4790" fillId="8" borderId="1" xfId="0" applyNumberFormat="1" applyFont="1" applyFill="1" applyBorder="1" applyAlignment="1">
      <alignment horizontal="center" vertical="center"/>
    </xf>
    <xf numFmtId="165" fontId="4791" fillId="8" borderId="1" xfId="0" applyNumberFormat="1" applyFont="1" applyFill="1" applyBorder="1" applyAlignment="1">
      <alignment horizontal="center" vertical="center"/>
    </xf>
    <xf numFmtId="1" fontId="4792" fillId="8" borderId="1" xfId="0" applyNumberFormat="1" applyFont="1" applyFill="1" applyBorder="1" applyAlignment="1">
      <alignment horizontal="center" vertical="center"/>
    </xf>
    <xf numFmtId="165" fontId="4793" fillId="8" borderId="1" xfId="0" applyNumberFormat="1" applyFont="1" applyFill="1" applyBorder="1" applyAlignment="1">
      <alignment horizontal="center" vertical="center"/>
    </xf>
    <xf numFmtId="1" fontId="4794" fillId="8" borderId="1" xfId="0" applyNumberFormat="1" applyFont="1" applyFill="1" applyBorder="1" applyAlignment="1">
      <alignment horizontal="center" vertical="center"/>
    </xf>
    <xf numFmtId="1" fontId="4795" fillId="8" borderId="1" xfId="0" applyNumberFormat="1" applyFont="1" applyFill="1" applyBorder="1" applyAlignment="1">
      <alignment horizontal="center" vertical="center"/>
    </xf>
    <xf numFmtId="1" fontId="4796" fillId="8" borderId="1" xfId="0" applyNumberFormat="1" applyFont="1" applyFill="1" applyBorder="1" applyAlignment="1">
      <alignment horizontal="center" vertical="center"/>
    </xf>
    <xf numFmtId="1" fontId="4797" fillId="8" borderId="1" xfId="0" applyNumberFormat="1" applyFont="1" applyFill="1" applyBorder="1" applyAlignment="1">
      <alignment horizontal="center" vertical="center"/>
    </xf>
    <xf numFmtId="165" fontId="4798" fillId="8" borderId="1" xfId="0" applyNumberFormat="1" applyFont="1" applyFill="1" applyBorder="1" applyAlignment="1">
      <alignment horizontal="center" vertical="center"/>
    </xf>
    <xf numFmtId="1" fontId="4799" fillId="8" borderId="1" xfId="0" applyNumberFormat="1" applyFont="1" applyFill="1" applyBorder="1" applyAlignment="1">
      <alignment horizontal="center" vertical="center"/>
    </xf>
    <xf numFmtId="165" fontId="4800" fillId="8" borderId="1" xfId="0" applyNumberFormat="1" applyFont="1" applyFill="1" applyBorder="1" applyAlignment="1">
      <alignment horizontal="center" vertical="center"/>
    </xf>
    <xf numFmtId="1" fontId="4801" fillId="8" borderId="1" xfId="0" applyNumberFormat="1" applyFont="1" applyFill="1" applyBorder="1" applyAlignment="1">
      <alignment horizontal="center" vertical="center"/>
    </xf>
    <xf numFmtId="165" fontId="4802" fillId="8" borderId="1" xfId="0" applyNumberFormat="1" applyFont="1" applyFill="1" applyBorder="1" applyAlignment="1">
      <alignment horizontal="center" vertical="center"/>
    </xf>
    <xf numFmtId="2" fontId="4803" fillId="8" borderId="1" xfId="0" applyNumberFormat="1" applyFont="1" applyFill="1" applyBorder="1" applyAlignment="1">
      <alignment horizontal="center" vertical="center"/>
    </xf>
    <xf numFmtId="2" fontId="4804" fillId="8" borderId="1" xfId="0" applyNumberFormat="1" applyFont="1" applyFill="1" applyBorder="1" applyAlignment="1">
      <alignment horizontal="center" vertical="center"/>
    </xf>
    <xf numFmtId="2" fontId="4805" fillId="8" borderId="1" xfId="0" applyNumberFormat="1" applyFont="1" applyFill="1" applyBorder="1" applyAlignment="1">
      <alignment horizontal="center" vertical="center"/>
    </xf>
    <xf numFmtId="2" fontId="4806" fillId="8" borderId="1" xfId="0" applyNumberFormat="1" applyFont="1" applyFill="1" applyBorder="1" applyAlignment="1">
      <alignment horizontal="center" vertical="center"/>
    </xf>
    <xf numFmtId="2" fontId="4807" fillId="8" borderId="1" xfId="0" applyNumberFormat="1" applyFont="1" applyFill="1" applyBorder="1" applyAlignment="1">
      <alignment horizontal="center" vertical="center"/>
    </xf>
    <xf numFmtId="2" fontId="4808" fillId="8" borderId="1" xfId="0" applyNumberFormat="1" applyFont="1" applyFill="1" applyBorder="1" applyAlignment="1">
      <alignment horizontal="center" vertical="center"/>
    </xf>
    <xf numFmtId="2" fontId="4809" fillId="8" borderId="1" xfId="0" applyNumberFormat="1" applyFont="1" applyFill="1" applyBorder="1" applyAlignment="1">
      <alignment horizontal="center" vertical="center"/>
    </xf>
    <xf numFmtId="2" fontId="4810" fillId="8" borderId="1" xfId="0" applyNumberFormat="1" applyFont="1" applyFill="1" applyBorder="1" applyAlignment="1">
      <alignment horizontal="center" vertical="center"/>
    </xf>
    <xf numFmtId="2" fontId="4811" fillId="8" borderId="1" xfId="0" applyNumberFormat="1" applyFont="1" applyFill="1" applyBorder="1" applyAlignment="1">
      <alignment horizontal="center" vertical="center"/>
    </xf>
    <xf numFmtId="2" fontId="4812" fillId="8" borderId="1" xfId="0" applyNumberFormat="1" applyFont="1" applyFill="1" applyBorder="1" applyAlignment="1">
      <alignment horizontal="center" vertical="center"/>
    </xf>
    <xf numFmtId="2" fontId="4813" fillId="8" borderId="1" xfId="0" applyNumberFormat="1" applyFont="1" applyFill="1" applyBorder="1" applyAlignment="1">
      <alignment horizontal="center" vertical="center"/>
    </xf>
    <xf numFmtId="2" fontId="4814" fillId="8" borderId="1" xfId="0" applyNumberFormat="1" applyFont="1" applyFill="1" applyBorder="1" applyAlignment="1">
      <alignment horizontal="center" vertical="center"/>
    </xf>
    <xf numFmtId="2" fontId="4815" fillId="8" borderId="1" xfId="0" applyNumberFormat="1" applyFont="1" applyFill="1" applyBorder="1" applyAlignment="1">
      <alignment horizontal="center" vertical="center"/>
    </xf>
    <xf numFmtId="2" fontId="4816" fillId="8" borderId="1" xfId="0" applyNumberFormat="1" applyFont="1" applyFill="1" applyBorder="1" applyAlignment="1">
      <alignment horizontal="center" vertical="center"/>
    </xf>
    <xf numFmtId="2" fontId="4817" fillId="8" borderId="1" xfId="0" applyNumberFormat="1" applyFont="1" applyFill="1" applyBorder="1" applyAlignment="1">
      <alignment horizontal="center" vertical="center"/>
    </xf>
    <xf numFmtId="2" fontId="4818" fillId="8" borderId="1" xfId="0" applyNumberFormat="1" applyFont="1" applyFill="1" applyBorder="1" applyAlignment="1">
      <alignment horizontal="center" vertical="center"/>
    </xf>
    <xf numFmtId="2" fontId="4819" fillId="8" borderId="1" xfId="0" applyNumberFormat="1" applyFont="1" applyFill="1" applyBorder="1" applyAlignment="1">
      <alignment horizontal="center" vertical="center"/>
    </xf>
    <xf numFmtId="2" fontId="4820" fillId="8" borderId="1" xfId="0" applyNumberFormat="1" applyFont="1" applyFill="1" applyBorder="1" applyAlignment="1">
      <alignment horizontal="center" vertical="center"/>
    </xf>
    <xf numFmtId="2" fontId="4821" fillId="8" borderId="1" xfId="0" applyNumberFormat="1" applyFont="1" applyFill="1" applyBorder="1" applyAlignment="1">
      <alignment horizontal="center" vertical="center"/>
    </xf>
    <xf numFmtId="2" fontId="4822" fillId="8" borderId="1" xfId="0" applyNumberFormat="1" applyFont="1" applyFill="1" applyBorder="1" applyAlignment="1">
      <alignment horizontal="center" vertical="center"/>
    </xf>
    <xf numFmtId="2" fontId="4823" fillId="8" borderId="1" xfId="0" applyNumberFormat="1" applyFont="1" applyFill="1" applyBorder="1" applyAlignment="1">
      <alignment horizontal="center" vertical="center"/>
    </xf>
    <xf numFmtId="2" fontId="4824" fillId="8" borderId="1" xfId="0" applyNumberFormat="1" applyFont="1" applyFill="1" applyBorder="1" applyAlignment="1">
      <alignment horizontal="center" vertical="center"/>
    </xf>
    <xf numFmtId="2" fontId="4825" fillId="8" borderId="1" xfId="0" applyNumberFormat="1" applyFont="1" applyFill="1" applyBorder="1" applyAlignment="1">
      <alignment horizontal="center" vertical="center"/>
    </xf>
    <xf numFmtId="2" fontId="4826" fillId="8" borderId="1" xfId="0" applyNumberFormat="1" applyFont="1" applyFill="1" applyBorder="1" applyAlignment="1">
      <alignment horizontal="center" vertical="center"/>
    </xf>
    <xf numFmtId="2" fontId="4827" fillId="8" borderId="1" xfId="0" applyNumberFormat="1" applyFont="1" applyFill="1" applyBorder="1" applyAlignment="1">
      <alignment horizontal="center" vertical="center"/>
    </xf>
    <xf numFmtId="2" fontId="4828" fillId="8" borderId="1" xfId="0" applyNumberFormat="1" applyFont="1" applyFill="1" applyBorder="1" applyAlignment="1">
      <alignment horizontal="center" vertical="center"/>
    </xf>
    <xf numFmtId="2" fontId="4829" fillId="8" borderId="1" xfId="0" applyNumberFormat="1" applyFont="1" applyFill="1" applyBorder="1" applyAlignment="1">
      <alignment horizontal="center" vertical="center"/>
    </xf>
    <xf numFmtId="2" fontId="4830" fillId="8" borderId="1" xfId="0" applyNumberFormat="1" applyFont="1" applyFill="1" applyBorder="1" applyAlignment="1">
      <alignment horizontal="center" vertical="center"/>
    </xf>
    <xf numFmtId="2" fontId="4831" fillId="8" borderId="1" xfId="0" applyNumberFormat="1" applyFont="1" applyFill="1" applyBorder="1" applyAlignment="1">
      <alignment horizontal="center" vertical="center"/>
    </xf>
    <xf numFmtId="2" fontId="4832" fillId="8" borderId="1" xfId="0" applyNumberFormat="1" applyFont="1" applyFill="1" applyBorder="1" applyAlignment="1">
      <alignment horizontal="center" vertical="center"/>
    </xf>
    <xf numFmtId="2" fontId="4833" fillId="8" borderId="1" xfId="0" applyNumberFormat="1" applyFont="1" applyFill="1" applyBorder="1" applyAlignment="1">
      <alignment horizontal="center" vertical="center"/>
    </xf>
    <xf numFmtId="2" fontId="4834" fillId="8" borderId="1" xfId="0" applyNumberFormat="1" applyFont="1" applyFill="1" applyBorder="1" applyAlignment="1">
      <alignment horizontal="center" vertical="center"/>
    </xf>
    <xf numFmtId="2" fontId="4835" fillId="8" borderId="1" xfId="0" applyNumberFormat="1" applyFont="1" applyFill="1" applyBorder="1" applyAlignment="1">
      <alignment horizontal="center" vertical="center"/>
    </xf>
    <xf numFmtId="2" fontId="4836" fillId="8" borderId="1" xfId="0" applyNumberFormat="1" applyFont="1" applyFill="1" applyBorder="1" applyAlignment="1">
      <alignment horizontal="center" vertical="center"/>
    </xf>
    <xf numFmtId="0" fontId="4837" fillId="7" borderId="1" xfId="0" applyNumberFormat="1" applyFont="1" applyFill="1" applyBorder="1" applyAlignment="1">
      <alignment horizontal="left" vertical="center"/>
    </xf>
    <xf numFmtId="0" fontId="4838" fillId="8" borderId="1" xfId="0" applyNumberFormat="1" applyFont="1" applyFill="1" applyBorder="1" applyAlignment="1">
      <alignment horizontal="center" vertical="center"/>
    </xf>
    <xf numFmtId="164" fontId="4839" fillId="8" borderId="1" xfId="0" applyNumberFormat="1" applyFont="1" applyFill="1" applyBorder="1" applyAlignment="1">
      <alignment horizontal="center" vertical="center"/>
    </xf>
    <xf numFmtId="1" fontId="4840" fillId="8" borderId="1" xfId="0" applyNumberFormat="1" applyFont="1" applyFill="1" applyBorder="1" applyAlignment="1">
      <alignment horizontal="center" vertical="center"/>
    </xf>
    <xf numFmtId="1" fontId="4841" fillId="8" borderId="1" xfId="0" applyNumberFormat="1" applyFont="1" applyFill="1" applyBorder="1" applyAlignment="1">
      <alignment horizontal="center" vertical="center"/>
    </xf>
    <xf numFmtId="1" fontId="4842" fillId="8" borderId="1" xfId="0" applyNumberFormat="1" applyFont="1" applyFill="1" applyBorder="1" applyAlignment="1">
      <alignment horizontal="center" vertical="center"/>
    </xf>
    <xf numFmtId="1" fontId="4843" fillId="8" borderId="1" xfId="0" applyNumberFormat="1" applyFont="1" applyFill="1" applyBorder="1" applyAlignment="1">
      <alignment horizontal="center" vertical="center"/>
    </xf>
    <xf numFmtId="1" fontId="4844" fillId="8" borderId="1" xfId="0" applyNumberFormat="1" applyFont="1" applyFill="1" applyBorder="1" applyAlignment="1">
      <alignment horizontal="center" vertical="center"/>
    </xf>
    <xf numFmtId="1" fontId="4845" fillId="8" borderId="1" xfId="0" applyNumberFormat="1" applyFont="1" applyFill="1" applyBorder="1" applyAlignment="1">
      <alignment horizontal="center" vertical="center"/>
    </xf>
    <xf numFmtId="1" fontId="4846" fillId="8" borderId="1" xfId="0" applyNumberFormat="1" applyFont="1" applyFill="1" applyBorder="1" applyAlignment="1">
      <alignment horizontal="center" vertical="center"/>
    </xf>
    <xf numFmtId="0" fontId="4847" fillId="8" borderId="1" xfId="0" applyNumberFormat="1" applyFont="1" applyFill="1" applyBorder="1" applyAlignment="1">
      <alignment horizontal="center" vertical="center"/>
    </xf>
    <xf numFmtId="0" fontId="4848" fillId="8" borderId="1" xfId="0" applyNumberFormat="1" applyFont="1" applyFill="1" applyBorder="1" applyAlignment="1">
      <alignment horizontal="center" vertical="center"/>
    </xf>
    <xf numFmtId="1" fontId="4849" fillId="8" borderId="1" xfId="0" applyNumberFormat="1" applyFont="1" applyFill="1" applyBorder="1" applyAlignment="1">
      <alignment horizontal="center" vertical="center"/>
    </xf>
    <xf numFmtId="1" fontId="4850" fillId="8" borderId="1" xfId="0" applyNumberFormat="1" applyFont="1" applyFill="1" applyBorder="1" applyAlignment="1">
      <alignment horizontal="center" vertical="center"/>
    </xf>
    <xf numFmtId="1" fontId="4851" fillId="8" borderId="1" xfId="0" applyNumberFormat="1" applyFont="1" applyFill="1" applyBorder="1" applyAlignment="1">
      <alignment horizontal="center" vertical="center"/>
    </xf>
    <xf numFmtId="165" fontId="4852" fillId="8" borderId="1" xfId="0" applyNumberFormat="1" applyFont="1" applyFill="1" applyBorder="1" applyAlignment="1">
      <alignment horizontal="center" vertical="center"/>
    </xf>
    <xf numFmtId="1" fontId="4853" fillId="8" borderId="1" xfId="0" applyNumberFormat="1" applyFont="1" applyFill="1" applyBorder="1" applyAlignment="1">
      <alignment horizontal="center" vertical="center"/>
    </xf>
    <xf numFmtId="165" fontId="4854" fillId="8" borderId="1" xfId="0" applyNumberFormat="1" applyFont="1" applyFill="1" applyBorder="1" applyAlignment="1">
      <alignment horizontal="center" vertical="center"/>
    </xf>
    <xf numFmtId="1" fontId="4855" fillId="8" borderId="1" xfId="0" applyNumberFormat="1" applyFont="1" applyFill="1" applyBorder="1" applyAlignment="1">
      <alignment horizontal="center" vertical="center"/>
    </xf>
    <xf numFmtId="165" fontId="4856" fillId="8" borderId="1" xfId="0" applyNumberFormat="1" applyFont="1" applyFill="1" applyBorder="1" applyAlignment="1">
      <alignment horizontal="center" vertical="center"/>
    </xf>
    <xf numFmtId="1" fontId="4857" fillId="8" borderId="1" xfId="0" applyNumberFormat="1" applyFont="1" applyFill="1" applyBorder="1" applyAlignment="1">
      <alignment horizontal="center" vertical="center"/>
    </xf>
    <xf numFmtId="165" fontId="4858" fillId="8" borderId="1" xfId="0" applyNumberFormat="1" applyFont="1" applyFill="1" applyBorder="1" applyAlignment="1">
      <alignment horizontal="center" vertical="center"/>
    </xf>
    <xf numFmtId="165" fontId="4859" fillId="8" borderId="1" xfId="0" applyNumberFormat="1" applyFont="1" applyFill="1" applyBorder="1" applyAlignment="1">
      <alignment horizontal="center" vertical="center"/>
    </xf>
    <xf numFmtId="1" fontId="4860" fillId="8" borderId="1" xfId="0" applyNumberFormat="1" applyFont="1" applyFill="1" applyBorder="1" applyAlignment="1">
      <alignment horizontal="center" vertical="center"/>
    </xf>
    <xf numFmtId="1" fontId="4861" fillId="8" borderId="1" xfId="0" applyNumberFormat="1" applyFont="1" applyFill="1" applyBorder="1" applyAlignment="1">
      <alignment horizontal="center" vertical="center"/>
    </xf>
    <xf numFmtId="1" fontId="4862" fillId="8" borderId="1" xfId="0" applyNumberFormat="1" applyFont="1" applyFill="1" applyBorder="1" applyAlignment="1">
      <alignment horizontal="center" vertical="center"/>
    </xf>
    <xf numFmtId="165" fontId="4863" fillId="8" borderId="1" xfId="0" applyNumberFormat="1" applyFont="1" applyFill="1" applyBorder="1" applyAlignment="1">
      <alignment horizontal="center" vertical="center"/>
    </xf>
    <xf numFmtId="164" fontId="4864" fillId="8" borderId="1" xfId="0" applyNumberFormat="1" applyFont="1" applyFill="1" applyBorder="1" applyAlignment="1">
      <alignment horizontal="center" vertical="center"/>
    </xf>
    <xf numFmtId="164" fontId="4865" fillId="8" borderId="1" xfId="0" applyNumberFormat="1" applyFont="1" applyFill="1" applyBorder="1" applyAlignment="1">
      <alignment horizontal="center" vertical="center"/>
    </xf>
    <xf numFmtId="1" fontId="4866" fillId="8" borderId="1" xfId="0" applyNumberFormat="1" applyFont="1" applyFill="1" applyBorder="1" applyAlignment="1">
      <alignment horizontal="center" vertical="center"/>
    </xf>
    <xf numFmtId="1" fontId="4867" fillId="8" borderId="1" xfId="0" applyNumberFormat="1" applyFont="1" applyFill="1" applyBorder="1" applyAlignment="1">
      <alignment horizontal="center" vertical="center"/>
    </xf>
    <xf numFmtId="1" fontId="4868" fillId="8" borderId="1" xfId="0" applyNumberFormat="1" applyFont="1" applyFill="1" applyBorder="1" applyAlignment="1">
      <alignment horizontal="center" vertical="center"/>
    </xf>
    <xf numFmtId="165" fontId="4869" fillId="8" borderId="1" xfId="0" applyNumberFormat="1" applyFont="1" applyFill="1" applyBorder="1" applyAlignment="1">
      <alignment horizontal="center" vertical="center"/>
    </xf>
    <xf numFmtId="1" fontId="4870" fillId="8" borderId="1" xfId="0" applyNumberFormat="1" applyFont="1" applyFill="1" applyBorder="1" applyAlignment="1">
      <alignment horizontal="center" vertical="center"/>
    </xf>
    <xf numFmtId="165" fontId="4871" fillId="8" borderId="1" xfId="0" applyNumberFormat="1" applyFont="1" applyFill="1" applyBorder="1" applyAlignment="1">
      <alignment horizontal="center" vertical="center"/>
    </xf>
    <xf numFmtId="1" fontId="4872" fillId="8" borderId="1" xfId="0" applyNumberFormat="1" applyFont="1" applyFill="1" applyBorder="1" applyAlignment="1">
      <alignment horizontal="center" vertical="center"/>
    </xf>
    <xf numFmtId="1" fontId="4873" fillId="8" borderId="1" xfId="0" applyNumberFormat="1" applyFont="1" applyFill="1" applyBorder="1" applyAlignment="1">
      <alignment horizontal="center" vertical="center"/>
    </xf>
    <xf numFmtId="1" fontId="4874" fillId="8" borderId="1" xfId="0" applyNumberFormat="1" applyFont="1" applyFill="1" applyBorder="1" applyAlignment="1">
      <alignment horizontal="center" vertical="center"/>
    </xf>
    <xf numFmtId="1" fontId="4875" fillId="8" borderId="1" xfId="0" applyNumberFormat="1" applyFont="1" applyFill="1" applyBorder="1" applyAlignment="1">
      <alignment horizontal="center" vertical="center"/>
    </xf>
    <xf numFmtId="165" fontId="4876" fillId="8" borderId="1" xfId="0" applyNumberFormat="1" applyFont="1" applyFill="1" applyBorder="1" applyAlignment="1">
      <alignment horizontal="center" vertical="center"/>
    </xf>
    <xf numFmtId="1" fontId="4877" fillId="8" borderId="1" xfId="0" applyNumberFormat="1" applyFont="1" applyFill="1" applyBorder="1" applyAlignment="1">
      <alignment horizontal="center" vertical="center"/>
    </xf>
    <xf numFmtId="165" fontId="4878" fillId="8" borderId="1" xfId="0" applyNumberFormat="1" applyFont="1" applyFill="1" applyBorder="1" applyAlignment="1">
      <alignment horizontal="center" vertical="center"/>
    </xf>
    <xf numFmtId="1" fontId="4879" fillId="8" borderId="1" xfId="0" applyNumberFormat="1" applyFont="1" applyFill="1" applyBorder="1" applyAlignment="1">
      <alignment horizontal="center" vertical="center"/>
    </xf>
    <xf numFmtId="165" fontId="4880" fillId="8" borderId="1" xfId="0" applyNumberFormat="1" applyFont="1" applyFill="1" applyBorder="1" applyAlignment="1">
      <alignment horizontal="center" vertical="center"/>
    </xf>
    <xf numFmtId="2" fontId="4881" fillId="8" borderId="1" xfId="0" applyNumberFormat="1" applyFont="1" applyFill="1" applyBorder="1" applyAlignment="1">
      <alignment horizontal="center" vertical="center"/>
    </xf>
    <xf numFmtId="2" fontId="4882" fillId="8" borderId="1" xfId="0" applyNumberFormat="1" applyFont="1" applyFill="1" applyBorder="1" applyAlignment="1">
      <alignment horizontal="center" vertical="center"/>
    </xf>
    <xf numFmtId="2" fontId="4883" fillId="8" borderId="1" xfId="0" applyNumberFormat="1" applyFont="1" applyFill="1" applyBorder="1" applyAlignment="1">
      <alignment horizontal="center" vertical="center"/>
    </xf>
    <xf numFmtId="2" fontId="4884" fillId="8" borderId="1" xfId="0" applyNumberFormat="1" applyFont="1" applyFill="1" applyBorder="1" applyAlignment="1">
      <alignment horizontal="center" vertical="center"/>
    </xf>
    <xf numFmtId="2" fontId="4885" fillId="8" borderId="1" xfId="0" applyNumberFormat="1" applyFont="1" applyFill="1" applyBorder="1" applyAlignment="1">
      <alignment horizontal="center" vertical="center"/>
    </xf>
    <xf numFmtId="2" fontId="4886" fillId="8" borderId="1" xfId="0" applyNumberFormat="1" applyFont="1" applyFill="1" applyBorder="1" applyAlignment="1">
      <alignment horizontal="center" vertical="center"/>
    </xf>
    <xf numFmtId="2" fontId="4887" fillId="8" borderId="1" xfId="0" applyNumberFormat="1" applyFont="1" applyFill="1" applyBorder="1" applyAlignment="1">
      <alignment horizontal="center" vertical="center"/>
    </xf>
    <xf numFmtId="2" fontId="4888" fillId="8" borderId="1" xfId="0" applyNumberFormat="1" applyFont="1" applyFill="1" applyBorder="1" applyAlignment="1">
      <alignment horizontal="center" vertical="center"/>
    </xf>
    <xf numFmtId="2" fontId="4889" fillId="8" borderId="1" xfId="0" applyNumberFormat="1" applyFont="1" applyFill="1" applyBorder="1" applyAlignment="1">
      <alignment horizontal="center" vertical="center"/>
    </xf>
    <xf numFmtId="2" fontId="4890" fillId="8" borderId="1" xfId="0" applyNumberFormat="1" applyFont="1" applyFill="1" applyBorder="1" applyAlignment="1">
      <alignment horizontal="center" vertical="center"/>
    </xf>
    <xf numFmtId="2" fontId="4891" fillId="8" borderId="1" xfId="0" applyNumberFormat="1" applyFont="1" applyFill="1" applyBorder="1" applyAlignment="1">
      <alignment horizontal="center" vertical="center"/>
    </xf>
    <xf numFmtId="2" fontId="4892" fillId="8" borderId="1" xfId="0" applyNumberFormat="1" applyFont="1" applyFill="1" applyBorder="1" applyAlignment="1">
      <alignment horizontal="center" vertical="center"/>
    </xf>
    <xf numFmtId="2" fontId="4893" fillId="8" borderId="1" xfId="0" applyNumberFormat="1" applyFont="1" applyFill="1" applyBorder="1" applyAlignment="1">
      <alignment horizontal="center" vertical="center"/>
    </xf>
    <xf numFmtId="2" fontId="4894" fillId="8" borderId="1" xfId="0" applyNumberFormat="1" applyFont="1" applyFill="1" applyBorder="1" applyAlignment="1">
      <alignment horizontal="center" vertical="center"/>
    </xf>
    <xf numFmtId="2" fontId="4895" fillId="8" borderId="1" xfId="0" applyNumberFormat="1" applyFont="1" applyFill="1" applyBorder="1" applyAlignment="1">
      <alignment horizontal="center" vertical="center"/>
    </xf>
    <xf numFmtId="2" fontId="4896" fillId="8" borderId="1" xfId="0" applyNumberFormat="1" applyFont="1" applyFill="1" applyBorder="1" applyAlignment="1">
      <alignment horizontal="center" vertical="center"/>
    </xf>
    <xf numFmtId="2" fontId="4897" fillId="8" borderId="1" xfId="0" applyNumberFormat="1" applyFont="1" applyFill="1" applyBorder="1" applyAlignment="1">
      <alignment horizontal="center" vertical="center"/>
    </xf>
    <xf numFmtId="2" fontId="4898" fillId="8" borderId="1" xfId="0" applyNumberFormat="1" applyFont="1" applyFill="1" applyBorder="1" applyAlignment="1">
      <alignment horizontal="center" vertical="center"/>
    </xf>
    <xf numFmtId="2" fontId="4899" fillId="8" borderId="1" xfId="0" applyNumberFormat="1" applyFont="1" applyFill="1" applyBorder="1" applyAlignment="1">
      <alignment horizontal="center" vertical="center"/>
    </xf>
    <xf numFmtId="2" fontId="4900" fillId="8" borderId="1" xfId="0" applyNumberFormat="1" applyFont="1" applyFill="1" applyBorder="1" applyAlignment="1">
      <alignment horizontal="center" vertical="center"/>
    </xf>
    <xf numFmtId="2" fontId="4901" fillId="8" borderId="1" xfId="0" applyNumberFormat="1" applyFont="1" applyFill="1" applyBorder="1" applyAlignment="1">
      <alignment horizontal="center" vertical="center"/>
    </xf>
    <xf numFmtId="2" fontId="4902" fillId="8" borderId="1" xfId="0" applyNumberFormat="1" applyFont="1" applyFill="1" applyBorder="1" applyAlignment="1">
      <alignment horizontal="center" vertical="center"/>
    </xf>
    <xf numFmtId="2" fontId="4903" fillId="8" borderId="1" xfId="0" applyNumberFormat="1" applyFont="1" applyFill="1" applyBorder="1" applyAlignment="1">
      <alignment horizontal="center" vertical="center"/>
    </xf>
    <xf numFmtId="2" fontId="4904" fillId="8" borderId="1" xfId="0" applyNumberFormat="1" applyFont="1" applyFill="1" applyBorder="1" applyAlignment="1">
      <alignment horizontal="center" vertical="center"/>
    </xf>
    <xf numFmtId="2" fontId="4905" fillId="8" borderId="1" xfId="0" applyNumberFormat="1" applyFont="1" applyFill="1" applyBorder="1" applyAlignment="1">
      <alignment horizontal="center" vertical="center"/>
    </xf>
    <xf numFmtId="2" fontId="4906" fillId="8" borderId="1" xfId="0" applyNumberFormat="1" applyFont="1" applyFill="1" applyBorder="1" applyAlignment="1">
      <alignment horizontal="center" vertical="center"/>
    </xf>
    <xf numFmtId="2" fontId="4907" fillId="8" borderId="1" xfId="0" applyNumberFormat="1" applyFont="1" applyFill="1" applyBorder="1" applyAlignment="1">
      <alignment horizontal="center" vertical="center"/>
    </xf>
    <xf numFmtId="2" fontId="4908" fillId="8" borderId="1" xfId="0" applyNumberFormat="1" applyFont="1" applyFill="1" applyBorder="1" applyAlignment="1">
      <alignment horizontal="center" vertical="center"/>
    </xf>
    <xf numFmtId="2" fontId="4909" fillId="8" borderId="1" xfId="0" applyNumberFormat="1" applyFont="1" applyFill="1" applyBorder="1" applyAlignment="1">
      <alignment horizontal="center" vertical="center"/>
    </xf>
    <xf numFmtId="2" fontId="4910" fillId="8" borderId="1" xfId="0" applyNumberFormat="1" applyFont="1" applyFill="1" applyBorder="1" applyAlignment="1">
      <alignment horizontal="center" vertical="center"/>
    </xf>
    <xf numFmtId="2" fontId="4911" fillId="8" borderId="1" xfId="0" applyNumberFormat="1" applyFont="1" applyFill="1" applyBorder="1" applyAlignment="1">
      <alignment horizontal="center" vertical="center"/>
    </xf>
    <xf numFmtId="2" fontId="4912" fillId="8" borderId="1" xfId="0" applyNumberFormat="1" applyFont="1" applyFill="1" applyBorder="1" applyAlignment="1">
      <alignment horizontal="center" vertical="center"/>
    </xf>
    <xf numFmtId="2" fontId="4913" fillId="8" borderId="1" xfId="0" applyNumberFormat="1" applyFont="1" applyFill="1" applyBorder="1" applyAlignment="1">
      <alignment horizontal="center" vertical="center"/>
    </xf>
    <xf numFmtId="2" fontId="4914" fillId="8" borderId="1" xfId="0" applyNumberFormat="1" applyFont="1" applyFill="1" applyBorder="1" applyAlignment="1">
      <alignment horizontal="center" vertical="center"/>
    </xf>
    <xf numFmtId="0" fontId="4915" fillId="7" borderId="1" xfId="0" applyNumberFormat="1" applyFont="1" applyFill="1" applyBorder="1" applyAlignment="1">
      <alignment horizontal="left" vertical="center"/>
    </xf>
    <xf numFmtId="0" fontId="4916" fillId="8" borderId="1" xfId="0" applyNumberFormat="1" applyFont="1" applyFill="1" applyBorder="1" applyAlignment="1">
      <alignment horizontal="center" vertical="center"/>
    </xf>
    <xf numFmtId="164" fontId="4917" fillId="8" borderId="1" xfId="0" applyNumberFormat="1" applyFont="1" applyFill="1" applyBorder="1" applyAlignment="1">
      <alignment horizontal="center" vertical="center"/>
    </xf>
    <xf numFmtId="1" fontId="4918" fillId="8" borderId="1" xfId="0" applyNumberFormat="1" applyFont="1" applyFill="1" applyBorder="1" applyAlignment="1">
      <alignment horizontal="center" vertical="center"/>
    </xf>
    <xf numFmtId="1" fontId="4919" fillId="8" borderId="1" xfId="0" applyNumberFormat="1" applyFont="1" applyFill="1" applyBorder="1" applyAlignment="1">
      <alignment horizontal="center" vertical="center"/>
    </xf>
    <xf numFmtId="1" fontId="4920" fillId="8" borderId="1" xfId="0" applyNumberFormat="1" applyFont="1" applyFill="1" applyBorder="1" applyAlignment="1">
      <alignment horizontal="center" vertical="center"/>
    </xf>
    <xf numFmtId="1" fontId="4921" fillId="8" borderId="1" xfId="0" applyNumberFormat="1" applyFont="1" applyFill="1" applyBorder="1" applyAlignment="1">
      <alignment horizontal="center" vertical="center"/>
    </xf>
    <xf numFmtId="1" fontId="4922" fillId="8" borderId="1" xfId="0" applyNumberFormat="1" applyFont="1" applyFill="1" applyBorder="1" applyAlignment="1">
      <alignment horizontal="center" vertical="center"/>
    </xf>
    <xf numFmtId="1" fontId="4923" fillId="8" borderId="1" xfId="0" applyNumberFormat="1" applyFont="1" applyFill="1" applyBorder="1" applyAlignment="1">
      <alignment horizontal="center" vertical="center"/>
    </xf>
    <xf numFmtId="1" fontId="4924" fillId="8" borderId="1" xfId="0" applyNumberFormat="1" applyFont="1" applyFill="1" applyBorder="1" applyAlignment="1">
      <alignment horizontal="center" vertical="center"/>
    </xf>
    <xf numFmtId="0" fontId="4925" fillId="8" borderId="1" xfId="0" applyNumberFormat="1" applyFont="1" applyFill="1" applyBorder="1" applyAlignment="1">
      <alignment horizontal="center" vertical="center"/>
    </xf>
    <xf numFmtId="0" fontId="4926" fillId="8" borderId="1" xfId="0" applyNumberFormat="1" applyFont="1" applyFill="1" applyBorder="1" applyAlignment="1">
      <alignment horizontal="center" vertical="center"/>
    </xf>
    <xf numFmtId="1" fontId="4927" fillId="8" borderId="1" xfId="0" applyNumberFormat="1" applyFont="1" applyFill="1" applyBorder="1" applyAlignment="1">
      <alignment horizontal="center" vertical="center"/>
    </xf>
    <xf numFmtId="1" fontId="4928" fillId="8" borderId="1" xfId="0" applyNumberFormat="1" applyFont="1" applyFill="1" applyBorder="1" applyAlignment="1">
      <alignment horizontal="center" vertical="center"/>
    </xf>
    <xf numFmtId="1" fontId="4929" fillId="8" borderId="1" xfId="0" applyNumberFormat="1" applyFont="1" applyFill="1" applyBorder="1" applyAlignment="1">
      <alignment horizontal="center" vertical="center"/>
    </xf>
    <xf numFmtId="165" fontId="4930" fillId="8" borderId="1" xfId="0" applyNumberFormat="1" applyFont="1" applyFill="1" applyBorder="1" applyAlignment="1">
      <alignment horizontal="center" vertical="center"/>
    </xf>
    <xf numFmtId="1" fontId="4931" fillId="8" borderId="1" xfId="0" applyNumberFormat="1" applyFont="1" applyFill="1" applyBorder="1" applyAlignment="1">
      <alignment horizontal="center" vertical="center"/>
    </xf>
    <xf numFmtId="165" fontId="4932" fillId="8" borderId="1" xfId="0" applyNumberFormat="1" applyFont="1" applyFill="1" applyBorder="1" applyAlignment="1">
      <alignment horizontal="center" vertical="center"/>
    </xf>
    <xf numFmtId="1" fontId="4933" fillId="8" borderId="1" xfId="0" applyNumberFormat="1" applyFont="1" applyFill="1" applyBorder="1" applyAlignment="1">
      <alignment horizontal="center" vertical="center"/>
    </xf>
    <xf numFmtId="165" fontId="4934" fillId="8" borderId="1" xfId="0" applyNumberFormat="1" applyFont="1" applyFill="1" applyBorder="1" applyAlignment="1">
      <alignment horizontal="center" vertical="center"/>
    </xf>
    <xf numFmtId="1" fontId="4935" fillId="8" borderId="1" xfId="0" applyNumberFormat="1" applyFont="1" applyFill="1" applyBorder="1" applyAlignment="1">
      <alignment horizontal="center" vertical="center"/>
    </xf>
    <xf numFmtId="165" fontId="4936" fillId="8" borderId="1" xfId="0" applyNumberFormat="1" applyFont="1" applyFill="1" applyBorder="1" applyAlignment="1">
      <alignment horizontal="center" vertical="center"/>
    </xf>
    <xf numFmtId="165" fontId="4937" fillId="8" borderId="1" xfId="0" applyNumberFormat="1" applyFont="1" applyFill="1" applyBorder="1" applyAlignment="1">
      <alignment horizontal="center" vertical="center"/>
    </xf>
    <xf numFmtId="1" fontId="4938" fillId="8" borderId="1" xfId="0" applyNumberFormat="1" applyFont="1" applyFill="1" applyBorder="1" applyAlignment="1">
      <alignment horizontal="center" vertical="center"/>
    </xf>
    <xf numFmtId="1" fontId="4939" fillId="8" borderId="1" xfId="0" applyNumberFormat="1" applyFont="1" applyFill="1" applyBorder="1" applyAlignment="1">
      <alignment horizontal="center" vertical="center"/>
    </xf>
    <xf numFmtId="1" fontId="4940" fillId="8" borderId="1" xfId="0" applyNumberFormat="1" applyFont="1" applyFill="1" applyBorder="1" applyAlignment="1">
      <alignment horizontal="center" vertical="center"/>
    </xf>
    <xf numFmtId="165" fontId="4941" fillId="8" borderId="1" xfId="0" applyNumberFormat="1" applyFont="1" applyFill="1" applyBorder="1" applyAlignment="1">
      <alignment horizontal="center" vertical="center"/>
    </xf>
    <xf numFmtId="164" fontId="4942" fillId="8" borderId="1" xfId="0" applyNumberFormat="1" applyFont="1" applyFill="1" applyBorder="1" applyAlignment="1">
      <alignment horizontal="center" vertical="center"/>
    </xf>
    <xf numFmtId="164" fontId="4943" fillId="8" borderId="1" xfId="0" applyNumberFormat="1" applyFont="1" applyFill="1" applyBorder="1" applyAlignment="1">
      <alignment horizontal="center" vertical="center"/>
    </xf>
    <xf numFmtId="1" fontId="4944" fillId="8" borderId="1" xfId="0" applyNumberFormat="1" applyFont="1" applyFill="1" applyBorder="1" applyAlignment="1">
      <alignment horizontal="center" vertical="center"/>
    </xf>
    <xf numFmtId="1" fontId="4945" fillId="8" borderId="1" xfId="0" applyNumberFormat="1" applyFont="1" applyFill="1" applyBorder="1" applyAlignment="1">
      <alignment horizontal="center" vertical="center"/>
    </xf>
    <xf numFmtId="1" fontId="4946" fillId="8" borderId="1" xfId="0" applyNumberFormat="1" applyFont="1" applyFill="1" applyBorder="1" applyAlignment="1">
      <alignment horizontal="center" vertical="center"/>
    </xf>
    <xf numFmtId="165" fontId="4947" fillId="8" borderId="1" xfId="0" applyNumberFormat="1" applyFont="1" applyFill="1" applyBorder="1" applyAlignment="1">
      <alignment horizontal="center" vertical="center"/>
    </xf>
    <xf numFmtId="1" fontId="4948" fillId="8" borderId="1" xfId="0" applyNumberFormat="1" applyFont="1" applyFill="1" applyBorder="1" applyAlignment="1">
      <alignment horizontal="center" vertical="center"/>
    </xf>
    <xf numFmtId="165" fontId="4949" fillId="8" borderId="1" xfId="0" applyNumberFormat="1" applyFont="1" applyFill="1" applyBorder="1" applyAlignment="1">
      <alignment horizontal="center" vertical="center"/>
    </xf>
    <xf numFmtId="1" fontId="4950" fillId="8" borderId="1" xfId="0" applyNumberFormat="1" applyFont="1" applyFill="1" applyBorder="1" applyAlignment="1">
      <alignment horizontal="center" vertical="center"/>
    </xf>
    <xf numFmtId="1" fontId="4951" fillId="8" borderId="1" xfId="0" applyNumberFormat="1" applyFont="1" applyFill="1" applyBorder="1" applyAlignment="1">
      <alignment horizontal="center" vertical="center"/>
    </xf>
    <xf numFmtId="1" fontId="4952" fillId="8" borderId="1" xfId="0" applyNumberFormat="1" applyFont="1" applyFill="1" applyBorder="1" applyAlignment="1">
      <alignment horizontal="center" vertical="center"/>
    </xf>
    <xf numFmtId="1" fontId="4953" fillId="8" borderId="1" xfId="0" applyNumberFormat="1" applyFont="1" applyFill="1" applyBorder="1" applyAlignment="1">
      <alignment horizontal="center" vertical="center"/>
    </xf>
    <xf numFmtId="165" fontId="4954" fillId="8" borderId="1" xfId="0" applyNumberFormat="1" applyFont="1" applyFill="1" applyBorder="1" applyAlignment="1">
      <alignment horizontal="center" vertical="center"/>
    </xf>
    <xf numFmtId="1" fontId="4955" fillId="8" borderId="1" xfId="0" applyNumberFormat="1" applyFont="1" applyFill="1" applyBorder="1" applyAlignment="1">
      <alignment horizontal="center" vertical="center"/>
    </xf>
    <xf numFmtId="165" fontId="4956" fillId="8" borderId="1" xfId="0" applyNumberFormat="1" applyFont="1" applyFill="1" applyBorder="1" applyAlignment="1">
      <alignment horizontal="center" vertical="center"/>
    </xf>
    <xf numFmtId="1" fontId="4957" fillId="8" borderId="1" xfId="0" applyNumberFormat="1" applyFont="1" applyFill="1" applyBorder="1" applyAlignment="1">
      <alignment horizontal="center" vertical="center"/>
    </xf>
    <xf numFmtId="165" fontId="4958" fillId="8" borderId="1" xfId="0" applyNumberFormat="1" applyFont="1" applyFill="1" applyBorder="1" applyAlignment="1">
      <alignment horizontal="center" vertical="center"/>
    </xf>
    <xf numFmtId="2" fontId="4959" fillId="8" borderId="1" xfId="0" applyNumberFormat="1" applyFont="1" applyFill="1" applyBorder="1" applyAlignment="1">
      <alignment horizontal="center" vertical="center"/>
    </xf>
    <xf numFmtId="2" fontId="4960" fillId="8" borderId="1" xfId="0" applyNumberFormat="1" applyFont="1" applyFill="1" applyBorder="1" applyAlignment="1">
      <alignment horizontal="center" vertical="center"/>
    </xf>
    <xf numFmtId="2" fontId="4961" fillId="8" borderId="1" xfId="0" applyNumberFormat="1" applyFont="1" applyFill="1" applyBorder="1" applyAlignment="1">
      <alignment horizontal="center" vertical="center"/>
    </xf>
    <xf numFmtId="2" fontId="4962" fillId="8" borderId="1" xfId="0" applyNumberFormat="1" applyFont="1" applyFill="1" applyBorder="1" applyAlignment="1">
      <alignment horizontal="center" vertical="center"/>
    </xf>
    <xf numFmtId="2" fontId="4963" fillId="8" borderId="1" xfId="0" applyNumberFormat="1" applyFont="1" applyFill="1" applyBorder="1" applyAlignment="1">
      <alignment horizontal="center" vertical="center"/>
    </xf>
    <xf numFmtId="2" fontId="4964" fillId="8" borderId="1" xfId="0" applyNumberFormat="1" applyFont="1" applyFill="1" applyBorder="1" applyAlignment="1">
      <alignment horizontal="center" vertical="center"/>
    </xf>
    <xf numFmtId="2" fontId="4965" fillId="8" borderId="1" xfId="0" applyNumberFormat="1" applyFont="1" applyFill="1" applyBorder="1" applyAlignment="1">
      <alignment horizontal="center" vertical="center"/>
    </xf>
    <xf numFmtId="2" fontId="4966" fillId="8" borderId="1" xfId="0" applyNumberFormat="1" applyFont="1" applyFill="1" applyBorder="1" applyAlignment="1">
      <alignment horizontal="center" vertical="center"/>
    </xf>
    <xf numFmtId="2" fontId="4967" fillId="8" borderId="1" xfId="0" applyNumberFormat="1" applyFont="1" applyFill="1" applyBorder="1" applyAlignment="1">
      <alignment horizontal="center" vertical="center"/>
    </xf>
    <xf numFmtId="2" fontId="4968" fillId="8" borderId="1" xfId="0" applyNumberFormat="1" applyFont="1" applyFill="1" applyBorder="1" applyAlignment="1">
      <alignment horizontal="center" vertical="center"/>
    </xf>
    <xf numFmtId="2" fontId="4969" fillId="8" borderId="1" xfId="0" applyNumberFormat="1" applyFont="1" applyFill="1" applyBorder="1" applyAlignment="1">
      <alignment horizontal="center" vertical="center"/>
    </xf>
    <xf numFmtId="2" fontId="4970" fillId="8" borderId="1" xfId="0" applyNumberFormat="1" applyFont="1" applyFill="1" applyBorder="1" applyAlignment="1">
      <alignment horizontal="center" vertical="center"/>
    </xf>
    <xf numFmtId="2" fontId="4971" fillId="8" borderId="1" xfId="0" applyNumberFormat="1" applyFont="1" applyFill="1" applyBorder="1" applyAlignment="1">
      <alignment horizontal="center" vertical="center"/>
    </xf>
    <xf numFmtId="2" fontId="4972" fillId="8" borderId="1" xfId="0" applyNumberFormat="1" applyFont="1" applyFill="1" applyBorder="1" applyAlignment="1">
      <alignment horizontal="center" vertical="center"/>
    </xf>
    <xf numFmtId="2" fontId="4973" fillId="8" borderId="1" xfId="0" applyNumberFormat="1" applyFont="1" applyFill="1" applyBorder="1" applyAlignment="1">
      <alignment horizontal="center" vertical="center"/>
    </xf>
    <xf numFmtId="2" fontId="4974" fillId="8" borderId="1" xfId="0" applyNumberFormat="1" applyFont="1" applyFill="1" applyBorder="1" applyAlignment="1">
      <alignment horizontal="center" vertical="center"/>
    </xf>
    <xf numFmtId="2" fontId="4975" fillId="8" borderId="1" xfId="0" applyNumberFormat="1" applyFont="1" applyFill="1" applyBorder="1" applyAlignment="1">
      <alignment horizontal="center" vertical="center"/>
    </xf>
    <xf numFmtId="2" fontId="4976" fillId="8" borderId="1" xfId="0" applyNumberFormat="1" applyFont="1" applyFill="1" applyBorder="1" applyAlignment="1">
      <alignment horizontal="center" vertical="center"/>
    </xf>
    <xf numFmtId="2" fontId="4977" fillId="8" borderId="1" xfId="0" applyNumberFormat="1" applyFont="1" applyFill="1" applyBorder="1" applyAlignment="1">
      <alignment horizontal="center" vertical="center"/>
    </xf>
    <xf numFmtId="2" fontId="4978" fillId="8" borderId="1" xfId="0" applyNumberFormat="1" applyFont="1" applyFill="1" applyBorder="1" applyAlignment="1">
      <alignment horizontal="center" vertical="center"/>
    </xf>
    <xf numFmtId="2" fontId="4979" fillId="8" borderId="1" xfId="0" applyNumberFormat="1" applyFont="1" applyFill="1" applyBorder="1" applyAlignment="1">
      <alignment horizontal="center" vertical="center"/>
    </xf>
    <xf numFmtId="2" fontId="4980" fillId="8" borderId="1" xfId="0" applyNumberFormat="1" applyFont="1" applyFill="1" applyBorder="1" applyAlignment="1">
      <alignment horizontal="center" vertical="center"/>
    </xf>
    <xf numFmtId="2" fontId="4981" fillId="8" borderId="1" xfId="0" applyNumberFormat="1" applyFont="1" applyFill="1" applyBorder="1" applyAlignment="1">
      <alignment horizontal="center" vertical="center"/>
    </xf>
    <xf numFmtId="2" fontId="4982" fillId="8" borderId="1" xfId="0" applyNumberFormat="1" applyFont="1" applyFill="1" applyBorder="1" applyAlignment="1">
      <alignment horizontal="center" vertical="center"/>
    </xf>
    <xf numFmtId="2" fontId="4983" fillId="8" borderId="1" xfId="0" applyNumberFormat="1" applyFont="1" applyFill="1" applyBorder="1" applyAlignment="1">
      <alignment horizontal="center" vertical="center"/>
    </xf>
    <xf numFmtId="2" fontId="4984" fillId="8" borderId="1" xfId="0" applyNumberFormat="1" applyFont="1" applyFill="1" applyBorder="1" applyAlignment="1">
      <alignment horizontal="center" vertical="center"/>
    </xf>
    <xf numFmtId="2" fontId="4985" fillId="8" borderId="1" xfId="0" applyNumberFormat="1" applyFont="1" applyFill="1" applyBorder="1" applyAlignment="1">
      <alignment horizontal="center" vertical="center"/>
    </xf>
    <xf numFmtId="2" fontId="4986" fillId="8" borderId="1" xfId="0" applyNumberFormat="1" applyFont="1" applyFill="1" applyBorder="1" applyAlignment="1">
      <alignment horizontal="center" vertical="center"/>
    </xf>
    <xf numFmtId="2" fontId="4987" fillId="8" borderId="1" xfId="0" applyNumberFormat="1" applyFont="1" applyFill="1" applyBorder="1" applyAlignment="1">
      <alignment horizontal="center" vertical="center"/>
    </xf>
    <xf numFmtId="2" fontId="4988" fillId="8" borderId="1" xfId="0" applyNumberFormat="1" applyFont="1" applyFill="1" applyBorder="1" applyAlignment="1">
      <alignment horizontal="center" vertical="center"/>
    </xf>
    <xf numFmtId="2" fontId="4989" fillId="8" borderId="1" xfId="0" applyNumberFormat="1" applyFont="1" applyFill="1" applyBorder="1" applyAlignment="1">
      <alignment horizontal="center" vertical="center"/>
    </xf>
    <xf numFmtId="2" fontId="4990" fillId="8" borderId="1" xfId="0" applyNumberFormat="1" applyFont="1" applyFill="1" applyBorder="1" applyAlignment="1">
      <alignment horizontal="center" vertical="center"/>
    </xf>
    <xf numFmtId="2" fontId="4991" fillId="8" borderId="1" xfId="0" applyNumberFormat="1" applyFont="1" applyFill="1" applyBorder="1" applyAlignment="1">
      <alignment horizontal="center" vertical="center"/>
    </xf>
    <xf numFmtId="2" fontId="4992" fillId="8" borderId="1" xfId="0" applyNumberFormat="1" applyFont="1" applyFill="1" applyBorder="1" applyAlignment="1">
      <alignment horizontal="center" vertical="center"/>
    </xf>
    <xf numFmtId="0" fontId="4993" fillId="7" borderId="1" xfId="0" applyNumberFormat="1" applyFont="1" applyFill="1" applyBorder="1" applyAlignment="1">
      <alignment horizontal="left" vertical="center"/>
    </xf>
    <xf numFmtId="0" fontId="4994" fillId="8" borderId="1" xfId="0" applyNumberFormat="1" applyFont="1" applyFill="1" applyBorder="1" applyAlignment="1">
      <alignment horizontal="center" vertical="center"/>
    </xf>
    <xf numFmtId="164" fontId="4995" fillId="8" borderId="1" xfId="0" applyNumberFormat="1" applyFont="1" applyFill="1" applyBorder="1" applyAlignment="1">
      <alignment horizontal="center" vertical="center"/>
    </xf>
    <xf numFmtId="1" fontId="4996" fillId="8" borderId="1" xfId="0" applyNumberFormat="1" applyFont="1" applyFill="1" applyBorder="1" applyAlignment="1">
      <alignment horizontal="center" vertical="center"/>
    </xf>
    <xf numFmtId="1" fontId="4997" fillId="8" borderId="1" xfId="0" applyNumberFormat="1" applyFont="1" applyFill="1" applyBorder="1" applyAlignment="1">
      <alignment horizontal="center" vertical="center"/>
    </xf>
    <xf numFmtId="1" fontId="4998" fillId="8" borderId="1" xfId="0" applyNumberFormat="1" applyFont="1" applyFill="1" applyBorder="1" applyAlignment="1">
      <alignment horizontal="center" vertical="center"/>
    </xf>
    <xf numFmtId="1" fontId="4999" fillId="8" borderId="1" xfId="0" applyNumberFormat="1" applyFont="1" applyFill="1" applyBorder="1" applyAlignment="1">
      <alignment horizontal="center" vertical="center"/>
    </xf>
    <xf numFmtId="1" fontId="5000" fillId="8" borderId="1" xfId="0" applyNumberFormat="1" applyFont="1" applyFill="1" applyBorder="1" applyAlignment="1">
      <alignment horizontal="center" vertical="center"/>
    </xf>
    <xf numFmtId="1" fontId="5001" fillId="8" borderId="1" xfId="0" applyNumberFormat="1" applyFont="1" applyFill="1" applyBorder="1" applyAlignment="1">
      <alignment horizontal="center" vertical="center"/>
    </xf>
    <xf numFmtId="1" fontId="5002" fillId="8" borderId="1" xfId="0" applyNumberFormat="1" applyFont="1" applyFill="1" applyBorder="1" applyAlignment="1">
      <alignment horizontal="center" vertical="center"/>
    </xf>
    <xf numFmtId="0" fontId="5003" fillId="8" borderId="1" xfId="0" applyNumberFormat="1" applyFont="1" applyFill="1" applyBorder="1" applyAlignment="1">
      <alignment horizontal="center" vertical="center"/>
    </xf>
    <xf numFmtId="0" fontId="5004" fillId="8" borderId="1" xfId="0" applyNumberFormat="1" applyFont="1" applyFill="1" applyBorder="1" applyAlignment="1">
      <alignment horizontal="center" vertical="center"/>
    </xf>
    <xf numFmtId="1" fontId="5005" fillId="8" borderId="1" xfId="0" applyNumberFormat="1" applyFont="1" applyFill="1" applyBorder="1" applyAlignment="1">
      <alignment horizontal="center" vertical="center"/>
    </xf>
    <xf numFmtId="1" fontId="5006" fillId="8" borderId="1" xfId="0" applyNumberFormat="1" applyFont="1" applyFill="1" applyBorder="1" applyAlignment="1">
      <alignment horizontal="center" vertical="center"/>
    </xf>
    <xf numFmtId="1" fontId="5007" fillId="8" borderId="1" xfId="0" applyNumberFormat="1" applyFont="1" applyFill="1" applyBorder="1" applyAlignment="1">
      <alignment horizontal="center" vertical="center"/>
    </xf>
    <xf numFmtId="165" fontId="5008" fillId="8" borderId="1" xfId="0" applyNumberFormat="1" applyFont="1" applyFill="1" applyBorder="1" applyAlignment="1">
      <alignment horizontal="center" vertical="center"/>
    </xf>
    <xf numFmtId="1" fontId="5009" fillId="8" borderId="1" xfId="0" applyNumberFormat="1" applyFont="1" applyFill="1" applyBorder="1" applyAlignment="1">
      <alignment horizontal="center" vertical="center"/>
    </xf>
    <xf numFmtId="165" fontId="5010" fillId="8" borderId="1" xfId="0" applyNumberFormat="1" applyFont="1" applyFill="1" applyBorder="1" applyAlignment="1">
      <alignment horizontal="center" vertical="center"/>
    </xf>
    <xf numFmtId="1" fontId="5011" fillId="8" borderId="1" xfId="0" applyNumberFormat="1" applyFont="1" applyFill="1" applyBorder="1" applyAlignment="1">
      <alignment horizontal="center" vertical="center"/>
    </xf>
    <xf numFmtId="165" fontId="5012" fillId="8" borderId="1" xfId="0" applyNumberFormat="1" applyFont="1" applyFill="1" applyBorder="1" applyAlignment="1">
      <alignment horizontal="center" vertical="center"/>
    </xf>
    <xf numFmtId="1" fontId="5013" fillId="8" borderId="1" xfId="0" applyNumberFormat="1" applyFont="1" applyFill="1" applyBorder="1" applyAlignment="1">
      <alignment horizontal="center" vertical="center"/>
    </xf>
    <xf numFmtId="165" fontId="5014" fillId="8" borderId="1" xfId="0" applyNumberFormat="1" applyFont="1" applyFill="1" applyBorder="1" applyAlignment="1">
      <alignment horizontal="center" vertical="center"/>
    </xf>
    <xf numFmtId="165" fontId="5015" fillId="8" borderId="1" xfId="0" applyNumberFormat="1" applyFont="1" applyFill="1" applyBorder="1" applyAlignment="1">
      <alignment horizontal="center" vertical="center"/>
    </xf>
    <xf numFmtId="1" fontId="5016" fillId="8" borderId="1" xfId="0" applyNumberFormat="1" applyFont="1" applyFill="1" applyBorder="1" applyAlignment="1">
      <alignment horizontal="center" vertical="center"/>
    </xf>
    <xf numFmtId="1" fontId="5017" fillId="8" borderId="1" xfId="0" applyNumberFormat="1" applyFont="1" applyFill="1" applyBorder="1" applyAlignment="1">
      <alignment horizontal="center" vertical="center"/>
    </xf>
    <xf numFmtId="1" fontId="5018" fillId="8" borderId="1" xfId="0" applyNumberFormat="1" applyFont="1" applyFill="1" applyBorder="1" applyAlignment="1">
      <alignment horizontal="center" vertical="center"/>
    </xf>
    <xf numFmtId="165" fontId="5019" fillId="8" borderId="1" xfId="0" applyNumberFormat="1" applyFont="1" applyFill="1" applyBorder="1" applyAlignment="1">
      <alignment horizontal="center" vertical="center"/>
    </xf>
    <xf numFmtId="164" fontId="5020" fillId="8" borderId="1" xfId="0" applyNumberFormat="1" applyFont="1" applyFill="1" applyBorder="1" applyAlignment="1">
      <alignment horizontal="center" vertical="center"/>
    </xf>
    <xf numFmtId="164" fontId="5021" fillId="8" borderId="1" xfId="0" applyNumberFormat="1" applyFont="1" applyFill="1" applyBorder="1" applyAlignment="1">
      <alignment horizontal="center" vertical="center"/>
    </xf>
    <xf numFmtId="1" fontId="5022" fillId="8" borderId="1" xfId="0" applyNumberFormat="1" applyFont="1" applyFill="1" applyBorder="1" applyAlignment="1">
      <alignment horizontal="center" vertical="center"/>
    </xf>
    <xf numFmtId="1" fontId="5023" fillId="8" borderId="1" xfId="0" applyNumberFormat="1" applyFont="1" applyFill="1" applyBorder="1" applyAlignment="1">
      <alignment horizontal="center" vertical="center"/>
    </xf>
    <xf numFmtId="1" fontId="5024" fillId="8" borderId="1" xfId="0" applyNumberFormat="1" applyFont="1" applyFill="1" applyBorder="1" applyAlignment="1">
      <alignment horizontal="center" vertical="center"/>
    </xf>
    <xf numFmtId="165" fontId="5025" fillId="8" borderId="1" xfId="0" applyNumberFormat="1" applyFont="1" applyFill="1" applyBorder="1" applyAlignment="1">
      <alignment horizontal="center" vertical="center"/>
    </xf>
    <xf numFmtId="1" fontId="5026" fillId="8" borderId="1" xfId="0" applyNumberFormat="1" applyFont="1" applyFill="1" applyBorder="1" applyAlignment="1">
      <alignment horizontal="center" vertical="center"/>
    </xf>
    <xf numFmtId="165" fontId="5027" fillId="8" borderId="1" xfId="0" applyNumberFormat="1" applyFont="1" applyFill="1" applyBorder="1" applyAlignment="1">
      <alignment horizontal="center" vertical="center"/>
    </xf>
    <xf numFmtId="1" fontId="5028" fillId="8" borderId="1" xfId="0" applyNumberFormat="1" applyFont="1" applyFill="1" applyBorder="1" applyAlignment="1">
      <alignment horizontal="center" vertical="center"/>
    </xf>
    <xf numFmtId="1" fontId="5029" fillId="8" borderId="1" xfId="0" applyNumberFormat="1" applyFont="1" applyFill="1" applyBorder="1" applyAlignment="1">
      <alignment horizontal="center" vertical="center"/>
    </xf>
    <xf numFmtId="1" fontId="5030" fillId="8" borderId="1" xfId="0" applyNumberFormat="1" applyFont="1" applyFill="1" applyBorder="1" applyAlignment="1">
      <alignment horizontal="center" vertical="center"/>
    </xf>
    <xf numFmtId="1" fontId="5031" fillId="8" borderId="1" xfId="0" applyNumberFormat="1" applyFont="1" applyFill="1" applyBorder="1" applyAlignment="1">
      <alignment horizontal="center" vertical="center"/>
    </xf>
    <xf numFmtId="165" fontId="5032" fillId="8" borderId="1" xfId="0" applyNumberFormat="1" applyFont="1" applyFill="1" applyBorder="1" applyAlignment="1">
      <alignment horizontal="center" vertical="center"/>
    </xf>
    <xf numFmtId="1" fontId="5033" fillId="8" borderId="1" xfId="0" applyNumberFormat="1" applyFont="1" applyFill="1" applyBorder="1" applyAlignment="1">
      <alignment horizontal="center" vertical="center"/>
    </xf>
    <xf numFmtId="165" fontId="5034" fillId="8" borderId="1" xfId="0" applyNumberFormat="1" applyFont="1" applyFill="1" applyBorder="1" applyAlignment="1">
      <alignment horizontal="center" vertical="center"/>
    </xf>
    <xf numFmtId="1" fontId="5035" fillId="8" borderId="1" xfId="0" applyNumberFormat="1" applyFont="1" applyFill="1" applyBorder="1" applyAlignment="1">
      <alignment horizontal="center" vertical="center"/>
    </xf>
    <xf numFmtId="165" fontId="5036" fillId="8" borderId="1" xfId="0" applyNumberFormat="1" applyFont="1" applyFill="1" applyBorder="1" applyAlignment="1">
      <alignment horizontal="center" vertical="center"/>
    </xf>
    <xf numFmtId="2" fontId="5037" fillId="8" borderId="1" xfId="0" applyNumberFormat="1" applyFont="1" applyFill="1" applyBorder="1" applyAlignment="1">
      <alignment horizontal="center" vertical="center"/>
    </xf>
    <xf numFmtId="2" fontId="5038" fillId="8" borderId="1" xfId="0" applyNumberFormat="1" applyFont="1" applyFill="1" applyBorder="1" applyAlignment="1">
      <alignment horizontal="center" vertical="center"/>
    </xf>
    <xf numFmtId="2" fontId="5039" fillId="8" borderId="1" xfId="0" applyNumberFormat="1" applyFont="1" applyFill="1" applyBorder="1" applyAlignment="1">
      <alignment horizontal="center" vertical="center"/>
    </xf>
    <xf numFmtId="2" fontId="5040" fillId="8" borderId="1" xfId="0" applyNumberFormat="1" applyFont="1" applyFill="1" applyBorder="1" applyAlignment="1">
      <alignment horizontal="center" vertical="center"/>
    </xf>
    <xf numFmtId="2" fontId="5041" fillId="8" borderId="1" xfId="0" applyNumberFormat="1" applyFont="1" applyFill="1" applyBorder="1" applyAlignment="1">
      <alignment horizontal="center" vertical="center"/>
    </xf>
    <xf numFmtId="2" fontId="5042" fillId="8" borderId="1" xfId="0" applyNumberFormat="1" applyFont="1" applyFill="1" applyBorder="1" applyAlignment="1">
      <alignment horizontal="center" vertical="center"/>
    </xf>
    <xf numFmtId="2" fontId="5043" fillId="8" borderId="1" xfId="0" applyNumberFormat="1" applyFont="1" applyFill="1" applyBorder="1" applyAlignment="1">
      <alignment horizontal="center" vertical="center"/>
    </xf>
    <xf numFmtId="2" fontId="5044" fillId="8" borderId="1" xfId="0" applyNumberFormat="1" applyFont="1" applyFill="1" applyBorder="1" applyAlignment="1">
      <alignment horizontal="center" vertical="center"/>
    </xf>
    <xf numFmtId="2" fontId="5045" fillId="8" borderId="1" xfId="0" applyNumberFormat="1" applyFont="1" applyFill="1" applyBorder="1" applyAlignment="1">
      <alignment horizontal="center" vertical="center"/>
    </xf>
    <xf numFmtId="2" fontId="5046" fillId="8" borderId="1" xfId="0" applyNumberFormat="1" applyFont="1" applyFill="1" applyBorder="1" applyAlignment="1">
      <alignment horizontal="center" vertical="center"/>
    </xf>
    <xf numFmtId="2" fontId="5047" fillId="8" borderId="1" xfId="0" applyNumberFormat="1" applyFont="1" applyFill="1" applyBorder="1" applyAlignment="1">
      <alignment horizontal="center" vertical="center"/>
    </xf>
    <xf numFmtId="2" fontId="5048" fillId="8" borderId="1" xfId="0" applyNumberFormat="1" applyFont="1" applyFill="1" applyBorder="1" applyAlignment="1">
      <alignment horizontal="center" vertical="center"/>
    </xf>
    <xf numFmtId="2" fontId="5049" fillId="8" borderId="1" xfId="0" applyNumberFormat="1" applyFont="1" applyFill="1" applyBorder="1" applyAlignment="1">
      <alignment horizontal="center" vertical="center"/>
    </xf>
    <xf numFmtId="2" fontId="5050" fillId="8" borderId="1" xfId="0" applyNumberFormat="1" applyFont="1" applyFill="1" applyBorder="1" applyAlignment="1">
      <alignment horizontal="center" vertical="center"/>
    </xf>
    <xf numFmtId="2" fontId="5051" fillId="8" borderId="1" xfId="0" applyNumberFormat="1" applyFont="1" applyFill="1" applyBorder="1" applyAlignment="1">
      <alignment horizontal="center" vertical="center"/>
    </xf>
    <xf numFmtId="2" fontId="5052" fillId="8" borderId="1" xfId="0" applyNumberFormat="1" applyFont="1" applyFill="1" applyBorder="1" applyAlignment="1">
      <alignment horizontal="center" vertical="center"/>
    </xf>
    <xf numFmtId="2" fontId="5053" fillId="8" borderId="1" xfId="0" applyNumberFormat="1" applyFont="1" applyFill="1" applyBorder="1" applyAlignment="1">
      <alignment horizontal="center" vertical="center"/>
    </xf>
    <xf numFmtId="2" fontId="5054" fillId="8" borderId="1" xfId="0" applyNumberFormat="1" applyFont="1" applyFill="1" applyBorder="1" applyAlignment="1">
      <alignment horizontal="center" vertical="center"/>
    </xf>
    <xf numFmtId="2" fontId="5055" fillId="8" borderId="1" xfId="0" applyNumberFormat="1" applyFont="1" applyFill="1" applyBorder="1" applyAlignment="1">
      <alignment horizontal="center" vertical="center"/>
    </xf>
    <xf numFmtId="2" fontId="5056" fillId="8" borderId="1" xfId="0" applyNumberFormat="1" applyFont="1" applyFill="1" applyBorder="1" applyAlignment="1">
      <alignment horizontal="center" vertical="center"/>
    </xf>
    <xf numFmtId="2" fontId="5057" fillId="8" borderId="1" xfId="0" applyNumberFormat="1" applyFont="1" applyFill="1" applyBorder="1" applyAlignment="1">
      <alignment horizontal="center" vertical="center"/>
    </xf>
    <xf numFmtId="2" fontId="5058" fillId="8" borderId="1" xfId="0" applyNumberFormat="1" applyFont="1" applyFill="1" applyBorder="1" applyAlignment="1">
      <alignment horizontal="center" vertical="center"/>
    </xf>
    <xf numFmtId="2" fontId="5059" fillId="8" borderId="1" xfId="0" applyNumberFormat="1" applyFont="1" applyFill="1" applyBorder="1" applyAlignment="1">
      <alignment horizontal="center" vertical="center"/>
    </xf>
    <xf numFmtId="2" fontId="5060" fillId="8" borderId="1" xfId="0" applyNumberFormat="1" applyFont="1" applyFill="1" applyBorder="1" applyAlignment="1">
      <alignment horizontal="center" vertical="center"/>
    </xf>
    <xf numFmtId="2" fontId="5061" fillId="8" borderId="1" xfId="0" applyNumberFormat="1" applyFont="1" applyFill="1" applyBorder="1" applyAlignment="1">
      <alignment horizontal="center" vertical="center"/>
    </xf>
    <xf numFmtId="2" fontId="5062" fillId="8" borderId="1" xfId="0" applyNumberFormat="1" applyFont="1" applyFill="1" applyBorder="1" applyAlignment="1">
      <alignment horizontal="center" vertical="center"/>
    </xf>
    <xf numFmtId="2" fontId="5063" fillId="8" borderId="1" xfId="0" applyNumberFormat="1" applyFont="1" applyFill="1" applyBorder="1" applyAlignment="1">
      <alignment horizontal="center" vertical="center"/>
    </xf>
    <xf numFmtId="2" fontId="5064" fillId="8" borderId="1" xfId="0" applyNumberFormat="1" applyFont="1" applyFill="1" applyBorder="1" applyAlignment="1">
      <alignment horizontal="center" vertical="center"/>
    </xf>
    <xf numFmtId="2" fontId="5065" fillId="8" borderId="1" xfId="0" applyNumberFormat="1" applyFont="1" applyFill="1" applyBorder="1" applyAlignment="1">
      <alignment horizontal="center" vertical="center"/>
    </xf>
    <xf numFmtId="2" fontId="5066" fillId="8" borderId="1" xfId="0" applyNumberFormat="1" applyFont="1" applyFill="1" applyBorder="1" applyAlignment="1">
      <alignment horizontal="center" vertical="center"/>
    </xf>
    <xf numFmtId="2" fontId="5067" fillId="8" borderId="1" xfId="0" applyNumberFormat="1" applyFont="1" applyFill="1" applyBorder="1" applyAlignment="1">
      <alignment horizontal="center" vertical="center"/>
    </xf>
    <xf numFmtId="2" fontId="5068" fillId="8" borderId="1" xfId="0" applyNumberFormat="1" applyFont="1" applyFill="1" applyBorder="1" applyAlignment="1">
      <alignment horizontal="center" vertical="center"/>
    </xf>
    <xf numFmtId="2" fontId="5069" fillId="8" borderId="1" xfId="0" applyNumberFormat="1" applyFont="1" applyFill="1" applyBorder="1" applyAlignment="1">
      <alignment horizontal="center" vertical="center"/>
    </xf>
    <xf numFmtId="2" fontId="5070" fillId="8" borderId="1" xfId="0" applyNumberFormat="1" applyFont="1" applyFill="1" applyBorder="1" applyAlignment="1">
      <alignment horizontal="center" vertical="center"/>
    </xf>
    <xf numFmtId="0" fontId="5071" fillId="7" borderId="1" xfId="0" applyNumberFormat="1" applyFont="1" applyFill="1" applyBorder="1" applyAlignment="1">
      <alignment horizontal="left" vertical="center"/>
    </xf>
    <xf numFmtId="0" fontId="5072" fillId="8" borderId="1" xfId="0" applyNumberFormat="1" applyFont="1" applyFill="1" applyBorder="1" applyAlignment="1">
      <alignment horizontal="center" vertical="center"/>
    </xf>
    <xf numFmtId="164" fontId="5073" fillId="8" borderId="1" xfId="0" applyNumberFormat="1" applyFont="1" applyFill="1" applyBorder="1" applyAlignment="1">
      <alignment horizontal="center" vertical="center"/>
    </xf>
    <xf numFmtId="1" fontId="5074" fillId="8" borderId="1" xfId="0" applyNumberFormat="1" applyFont="1" applyFill="1" applyBorder="1" applyAlignment="1">
      <alignment horizontal="center" vertical="center"/>
    </xf>
    <xf numFmtId="1" fontId="5075" fillId="8" borderId="1" xfId="0" applyNumberFormat="1" applyFont="1" applyFill="1" applyBorder="1" applyAlignment="1">
      <alignment horizontal="center" vertical="center"/>
    </xf>
    <xf numFmtId="1" fontId="5076" fillId="8" borderId="1" xfId="0" applyNumberFormat="1" applyFont="1" applyFill="1" applyBorder="1" applyAlignment="1">
      <alignment horizontal="center" vertical="center"/>
    </xf>
    <xf numFmtId="1" fontId="5077" fillId="8" borderId="1" xfId="0" applyNumberFormat="1" applyFont="1" applyFill="1" applyBorder="1" applyAlignment="1">
      <alignment horizontal="center" vertical="center"/>
    </xf>
    <xf numFmtId="1" fontId="5078" fillId="8" borderId="1" xfId="0" applyNumberFormat="1" applyFont="1" applyFill="1" applyBorder="1" applyAlignment="1">
      <alignment horizontal="center" vertical="center"/>
    </xf>
    <xf numFmtId="1" fontId="5079" fillId="8" borderId="1" xfId="0" applyNumberFormat="1" applyFont="1" applyFill="1" applyBorder="1" applyAlignment="1">
      <alignment horizontal="center" vertical="center"/>
    </xf>
    <xf numFmtId="1" fontId="5080" fillId="8" borderId="1" xfId="0" applyNumberFormat="1" applyFont="1" applyFill="1" applyBorder="1" applyAlignment="1">
      <alignment horizontal="center" vertical="center"/>
    </xf>
    <xf numFmtId="0" fontId="5081" fillId="8" borderId="1" xfId="0" applyNumberFormat="1" applyFont="1" applyFill="1" applyBorder="1" applyAlignment="1">
      <alignment horizontal="center" vertical="center"/>
    </xf>
    <xf numFmtId="0" fontId="5082" fillId="8" borderId="1" xfId="0" applyNumberFormat="1" applyFont="1" applyFill="1" applyBorder="1" applyAlignment="1">
      <alignment horizontal="center" vertical="center"/>
    </xf>
    <xf numFmtId="1" fontId="5083" fillId="8" borderId="1" xfId="0" applyNumberFormat="1" applyFont="1" applyFill="1" applyBorder="1" applyAlignment="1">
      <alignment horizontal="center" vertical="center"/>
    </xf>
    <xf numFmtId="1" fontId="5084" fillId="8" borderId="1" xfId="0" applyNumberFormat="1" applyFont="1" applyFill="1" applyBorder="1" applyAlignment="1">
      <alignment horizontal="center" vertical="center"/>
    </xf>
    <xf numFmtId="1" fontId="5085" fillId="8" borderId="1" xfId="0" applyNumberFormat="1" applyFont="1" applyFill="1" applyBorder="1" applyAlignment="1">
      <alignment horizontal="center" vertical="center"/>
    </xf>
    <xf numFmtId="165" fontId="5086" fillId="8" borderId="1" xfId="0" applyNumberFormat="1" applyFont="1" applyFill="1" applyBorder="1" applyAlignment="1">
      <alignment horizontal="center" vertical="center"/>
    </xf>
    <xf numFmtId="1" fontId="5087" fillId="8" borderId="1" xfId="0" applyNumberFormat="1" applyFont="1" applyFill="1" applyBorder="1" applyAlignment="1">
      <alignment horizontal="center" vertical="center"/>
    </xf>
    <xf numFmtId="165" fontId="5088" fillId="8" borderId="1" xfId="0" applyNumberFormat="1" applyFont="1" applyFill="1" applyBorder="1" applyAlignment="1">
      <alignment horizontal="center" vertical="center"/>
    </xf>
    <xf numFmtId="1" fontId="5089" fillId="8" borderId="1" xfId="0" applyNumberFormat="1" applyFont="1" applyFill="1" applyBorder="1" applyAlignment="1">
      <alignment horizontal="center" vertical="center"/>
    </xf>
    <xf numFmtId="165" fontId="5090" fillId="8" borderId="1" xfId="0" applyNumberFormat="1" applyFont="1" applyFill="1" applyBorder="1" applyAlignment="1">
      <alignment horizontal="center" vertical="center"/>
    </xf>
    <xf numFmtId="1" fontId="5091" fillId="8" borderId="1" xfId="0" applyNumberFormat="1" applyFont="1" applyFill="1" applyBorder="1" applyAlignment="1">
      <alignment horizontal="center" vertical="center"/>
    </xf>
    <xf numFmtId="165" fontId="5092" fillId="8" borderId="1" xfId="0" applyNumberFormat="1" applyFont="1" applyFill="1" applyBorder="1" applyAlignment="1">
      <alignment horizontal="center" vertical="center"/>
    </xf>
    <xf numFmtId="165" fontId="5093" fillId="8" borderId="1" xfId="0" applyNumberFormat="1" applyFont="1" applyFill="1" applyBorder="1" applyAlignment="1">
      <alignment horizontal="center" vertical="center"/>
    </xf>
    <xf numFmtId="1" fontId="5094" fillId="8" borderId="1" xfId="0" applyNumberFormat="1" applyFont="1" applyFill="1" applyBorder="1" applyAlignment="1">
      <alignment horizontal="center" vertical="center"/>
    </xf>
    <xf numFmtId="1" fontId="5095" fillId="8" borderId="1" xfId="0" applyNumberFormat="1" applyFont="1" applyFill="1" applyBorder="1" applyAlignment="1">
      <alignment horizontal="center" vertical="center"/>
    </xf>
    <xf numFmtId="1" fontId="5096" fillId="8" borderId="1" xfId="0" applyNumberFormat="1" applyFont="1" applyFill="1" applyBorder="1" applyAlignment="1">
      <alignment horizontal="center" vertical="center"/>
    </xf>
    <xf numFmtId="165" fontId="5097" fillId="8" borderId="1" xfId="0" applyNumberFormat="1" applyFont="1" applyFill="1" applyBorder="1" applyAlignment="1">
      <alignment horizontal="center" vertical="center"/>
    </xf>
    <xf numFmtId="164" fontId="5098" fillId="8" borderId="1" xfId="0" applyNumberFormat="1" applyFont="1" applyFill="1" applyBorder="1" applyAlignment="1">
      <alignment horizontal="center" vertical="center"/>
    </xf>
    <xf numFmtId="164" fontId="5099" fillId="8" borderId="1" xfId="0" applyNumberFormat="1" applyFont="1" applyFill="1" applyBorder="1" applyAlignment="1">
      <alignment horizontal="center" vertical="center"/>
    </xf>
    <xf numFmtId="1" fontId="5100" fillId="8" borderId="1" xfId="0" applyNumberFormat="1" applyFont="1" applyFill="1" applyBorder="1" applyAlignment="1">
      <alignment horizontal="center" vertical="center"/>
    </xf>
    <xf numFmtId="1" fontId="5101" fillId="8" borderId="1" xfId="0" applyNumberFormat="1" applyFont="1" applyFill="1" applyBorder="1" applyAlignment="1">
      <alignment horizontal="center" vertical="center"/>
    </xf>
    <xf numFmtId="1" fontId="5102" fillId="8" borderId="1" xfId="0" applyNumberFormat="1" applyFont="1" applyFill="1" applyBorder="1" applyAlignment="1">
      <alignment horizontal="center" vertical="center"/>
    </xf>
    <xf numFmtId="165" fontId="5103" fillId="8" borderId="1" xfId="0" applyNumberFormat="1" applyFont="1" applyFill="1" applyBorder="1" applyAlignment="1">
      <alignment horizontal="center" vertical="center"/>
    </xf>
    <xf numFmtId="1" fontId="5104" fillId="8" borderId="1" xfId="0" applyNumberFormat="1" applyFont="1" applyFill="1" applyBorder="1" applyAlignment="1">
      <alignment horizontal="center" vertical="center"/>
    </xf>
    <xf numFmtId="165" fontId="5105" fillId="8" borderId="1" xfId="0" applyNumberFormat="1" applyFont="1" applyFill="1" applyBorder="1" applyAlignment="1">
      <alignment horizontal="center" vertical="center"/>
    </xf>
    <xf numFmtId="1" fontId="5106" fillId="8" borderId="1" xfId="0" applyNumberFormat="1" applyFont="1" applyFill="1" applyBorder="1" applyAlignment="1">
      <alignment horizontal="center" vertical="center"/>
    </xf>
    <xf numFmtId="1" fontId="5107" fillId="8" borderId="1" xfId="0" applyNumberFormat="1" applyFont="1" applyFill="1" applyBorder="1" applyAlignment="1">
      <alignment horizontal="center" vertical="center"/>
    </xf>
    <xf numFmtId="1" fontId="5108" fillId="8" borderId="1" xfId="0" applyNumberFormat="1" applyFont="1" applyFill="1" applyBorder="1" applyAlignment="1">
      <alignment horizontal="center" vertical="center"/>
    </xf>
    <xf numFmtId="1" fontId="5109" fillId="8" borderId="1" xfId="0" applyNumberFormat="1" applyFont="1" applyFill="1" applyBorder="1" applyAlignment="1">
      <alignment horizontal="center" vertical="center"/>
    </xf>
    <xf numFmtId="165" fontId="5110" fillId="8" borderId="1" xfId="0" applyNumberFormat="1" applyFont="1" applyFill="1" applyBorder="1" applyAlignment="1">
      <alignment horizontal="center" vertical="center"/>
    </xf>
    <xf numFmtId="1" fontId="5111" fillId="8" borderId="1" xfId="0" applyNumberFormat="1" applyFont="1" applyFill="1" applyBorder="1" applyAlignment="1">
      <alignment horizontal="center" vertical="center"/>
    </xf>
    <xf numFmtId="165" fontId="5112" fillId="8" borderId="1" xfId="0" applyNumberFormat="1" applyFont="1" applyFill="1" applyBorder="1" applyAlignment="1">
      <alignment horizontal="center" vertical="center"/>
    </xf>
    <xf numFmtId="1" fontId="5113" fillId="8" borderId="1" xfId="0" applyNumberFormat="1" applyFont="1" applyFill="1" applyBorder="1" applyAlignment="1">
      <alignment horizontal="center" vertical="center"/>
    </xf>
    <xf numFmtId="165" fontId="5114" fillId="8" borderId="1" xfId="0" applyNumberFormat="1" applyFont="1" applyFill="1" applyBorder="1" applyAlignment="1">
      <alignment horizontal="center" vertical="center"/>
    </xf>
    <xf numFmtId="2" fontId="5115" fillId="8" borderId="1" xfId="0" applyNumberFormat="1" applyFont="1" applyFill="1" applyBorder="1" applyAlignment="1">
      <alignment horizontal="center" vertical="center"/>
    </xf>
    <xf numFmtId="2" fontId="5116" fillId="8" borderId="1" xfId="0" applyNumberFormat="1" applyFont="1" applyFill="1" applyBorder="1" applyAlignment="1">
      <alignment horizontal="center" vertical="center"/>
    </xf>
    <xf numFmtId="2" fontId="5117" fillId="8" borderId="1" xfId="0" applyNumberFormat="1" applyFont="1" applyFill="1" applyBorder="1" applyAlignment="1">
      <alignment horizontal="center" vertical="center"/>
    </xf>
    <xf numFmtId="2" fontId="5118" fillId="8" borderId="1" xfId="0" applyNumberFormat="1" applyFont="1" applyFill="1" applyBorder="1" applyAlignment="1">
      <alignment horizontal="center" vertical="center"/>
    </xf>
    <xf numFmtId="2" fontId="5119" fillId="8" borderId="1" xfId="0" applyNumberFormat="1" applyFont="1" applyFill="1" applyBorder="1" applyAlignment="1">
      <alignment horizontal="center" vertical="center"/>
    </xf>
    <xf numFmtId="2" fontId="5120" fillId="8" borderId="1" xfId="0" applyNumberFormat="1" applyFont="1" applyFill="1" applyBorder="1" applyAlignment="1">
      <alignment horizontal="center" vertical="center"/>
    </xf>
    <xf numFmtId="2" fontId="5121" fillId="8" borderId="1" xfId="0" applyNumberFormat="1" applyFont="1" applyFill="1" applyBorder="1" applyAlignment="1">
      <alignment horizontal="center" vertical="center"/>
    </xf>
    <xf numFmtId="2" fontId="5122" fillId="8" borderId="1" xfId="0" applyNumberFormat="1" applyFont="1" applyFill="1" applyBorder="1" applyAlignment="1">
      <alignment horizontal="center" vertical="center"/>
    </xf>
    <xf numFmtId="2" fontId="5123" fillId="8" borderId="1" xfId="0" applyNumberFormat="1" applyFont="1" applyFill="1" applyBorder="1" applyAlignment="1">
      <alignment horizontal="center" vertical="center"/>
    </xf>
    <xf numFmtId="2" fontId="5124" fillId="8" borderId="1" xfId="0" applyNumberFormat="1" applyFont="1" applyFill="1" applyBorder="1" applyAlignment="1">
      <alignment horizontal="center" vertical="center"/>
    </xf>
    <xf numFmtId="2" fontId="5125" fillId="8" borderId="1" xfId="0" applyNumberFormat="1" applyFont="1" applyFill="1" applyBorder="1" applyAlignment="1">
      <alignment horizontal="center" vertical="center"/>
    </xf>
    <xf numFmtId="2" fontId="5126" fillId="8" borderId="1" xfId="0" applyNumberFormat="1" applyFont="1" applyFill="1" applyBorder="1" applyAlignment="1">
      <alignment horizontal="center" vertical="center"/>
    </xf>
    <xf numFmtId="2" fontId="5127" fillId="8" borderId="1" xfId="0" applyNumberFormat="1" applyFont="1" applyFill="1" applyBorder="1" applyAlignment="1">
      <alignment horizontal="center" vertical="center"/>
    </xf>
    <xf numFmtId="2" fontId="5128" fillId="8" borderId="1" xfId="0" applyNumberFormat="1" applyFont="1" applyFill="1" applyBorder="1" applyAlignment="1">
      <alignment horizontal="center" vertical="center"/>
    </xf>
    <xf numFmtId="2" fontId="5129" fillId="8" borderId="1" xfId="0" applyNumberFormat="1" applyFont="1" applyFill="1" applyBorder="1" applyAlignment="1">
      <alignment horizontal="center" vertical="center"/>
    </xf>
    <xf numFmtId="2" fontId="5130" fillId="8" borderId="1" xfId="0" applyNumberFormat="1" applyFont="1" applyFill="1" applyBorder="1" applyAlignment="1">
      <alignment horizontal="center" vertical="center"/>
    </xf>
    <xf numFmtId="2" fontId="5131" fillId="8" borderId="1" xfId="0" applyNumberFormat="1" applyFont="1" applyFill="1" applyBorder="1" applyAlignment="1">
      <alignment horizontal="center" vertical="center"/>
    </xf>
    <xf numFmtId="2" fontId="5132" fillId="8" borderId="1" xfId="0" applyNumberFormat="1" applyFont="1" applyFill="1" applyBorder="1" applyAlignment="1">
      <alignment horizontal="center" vertical="center"/>
    </xf>
    <xf numFmtId="2" fontId="5133" fillId="8" borderId="1" xfId="0" applyNumberFormat="1" applyFont="1" applyFill="1" applyBorder="1" applyAlignment="1">
      <alignment horizontal="center" vertical="center"/>
    </xf>
    <xf numFmtId="2" fontId="5134" fillId="8" borderId="1" xfId="0" applyNumberFormat="1" applyFont="1" applyFill="1" applyBorder="1" applyAlignment="1">
      <alignment horizontal="center" vertical="center"/>
    </xf>
    <xf numFmtId="2" fontId="5135" fillId="8" borderId="1" xfId="0" applyNumberFormat="1" applyFont="1" applyFill="1" applyBorder="1" applyAlignment="1">
      <alignment horizontal="center" vertical="center"/>
    </xf>
    <xf numFmtId="2" fontId="5136" fillId="8" borderId="1" xfId="0" applyNumberFormat="1" applyFont="1" applyFill="1" applyBorder="1" applyAlignment="1">
      <alignment horizontal="center" vertical="center"/>
    </xf>
    <xf numFmtId="2" fontId="5137" fillId="8" borderId="1" xfId="0" applyNumberFormat="1" applyFont="1" applyFill="1" applyBorder="1" applyAlignment="1">
      <alignment horizontal="center" vertical="center"/>
    </xf>
    <xf numFmtId="2" fontId="5138" fillId="8" borderId="1" xfId="0" applyNumberFormat="1" applyFont="1" applyFill="1" applyBorder="1" applyAlignment="1">
      <alignment horizontal="center" vertical="center"/>
    </xf>
    <xf numFmtId="2" fontId="5139" fillId="8" borderId="1" xfId="0" applyNumberFormat="1" applyFont="1" applyFill="1" applyBorder="1" applyAlignment="1">
      <alignment horizontal="center" vertical="center"/>
    </xf>
    <xf numFmtId="2" fontId="5140" fillId="8" borderId="1" xfId="0" applyNumberFormat="1" applyFont="1" applyFill="1" applyBorder="1" applyAlignment="1">
      <alignment horizontal="center" vertical="center"/>
    </xf>
    <xf numFmtId="2" fontId="5141" fillId="8" borderId="1" xfId="0" applyNumberFormat="1" applyFont="1" applyFill="1" applyBorder="1" applyAlignment="1">
      <alignment horizontal="center" vertical="center"/>
    </xf>
    <xf numFmtId="2" fontId="5142" fillId="8" borderId="1" xfId="0" applyNumberFormat="1" applyFont="1" applyFill="1" applyBorder="1" applyAlignment="1">
      <alignment horizontal="center" vertical="center"/>
    </xf>
    <xf numFmtId="2" fontId="5143" fillId="8" borderId="1" xfId="0" applyNumberFormat="1" applyFont="1" applyFill="1" applyBorder="1" applyAlignment="1">
      <alignment horizontal="center" vertical="center"/>
    </xf>
    <xf numFmtId="2" fontId="5144" fillId="8" borderId="1" xfId="0" applyNumberFormat="1" applyFont="1" applyFill="1" applyBorder="1" applyAlignment="1">
      <alignment horizontal="center" vertical="center"/>
    </xf>
    <xf numFmtId="2" fontId="5145" fillId="8" borderId="1" xfId="0" applyNumberFormat="1" applyFont="1" applyFill="1" applyBorder="1" applyAlignment="1">
      <alignment horizontal="center" vertical="center"/>
    </xf>
    <xf numFmtId="2" fontId="5146" fillId="8" borderId="1" xfId="0" applyNumberFormat="1" applyFont="1" applyFill="1" applyBorder="1" applyAlignment="1">
      <alignment horizontal="center" vertical="center"/>
    </xf>
    <xf numFmtId="2" fontId="5147" fillId="8" borderId="1" xfId="0" applyNumberFormat="1" applyFont="1" applyFill="1" applyBorder="1" applyAlignment="1">
      <alignment horizontal="center" vertical="center"/>
    </xf>
    <xf numFmtId="2" fontId="5148" fillId="8" borderId="1" xfId="0" applyNumberFormat="1" applyFont="1" applyFill="1" applyBorder="1" applyAlignment="1">
      <alignment horizontal="center" vertical="center"/>
    </xf>
    <xf numFmtId="0" fontId="5149" fillId="7" borderId="1" xfId="0" applyNumberFormat="1" applyFont="1" applyFill="1" applyBorder="1" applyAlignment="1">
      <alignment horizontal="left" vertical="center"/>
    </xf>
    <xf numFmtId="0" fontId="5150" fillId="8" borderId="1" xfId="0" applyNumberFormat="1" applyFont="1" applyFill="1" applyBorder="1" applyAlignment="1">
      <alignment horizontal="center" vertical="center"/>
    </xf>
    <xf numFmtId="164" fontId="5151" fillId="8" borderId="1" xfId="0" applyNumberFormat="1" applyFont="1" applyFill="1" applyBorder="1" applyAlignment="1">
      <alignment horizontal="center" vertical="center"/>
    </xf>
    <xf numFmtId="1" fontId="5152" fillId="8" borderId="1" xfId="0" applyNumberFormat="1" applyFont="1" applyFill="1" applyBorder="1" applyAlignment="1">
      <alignment horizontal="center" vertical="center"/>
    </xf>
    <xf numFmtId="1" fontId="5153" fillId="8" borderId="1" xfId="0" applyNumberFormat="1" applyFont="1" applyFill="1" applyBorder="1" applyAlignment="1">
      <alignment horizontal="center" vertical="center"/>
    </xf>
    <xf numFmtId="1" fontId="5154" fillId="8" borderId="1" xfId="0" applyNumberFormat="1" applyFont="1" applyFill="1" applyBorder="1" applyAlignment="1">
      <alignment horizontal="center" vertical="center"/>
    </xf>
    <xf numFmtId="1" fontId="5155" fillId="8" borderId="1" xfId="0" applyNumberFormat="1" applyFont="1" applyFill="1" applyBorder="1" applyAlignment="1">
      <alignment horizontal="center" vertical="center"/>
    </xf>
    <xf numFmtId="1" fontId="5156" fillId="8" borderId="1" xfId="0" applyNumberFormat="1" applyFont="1" applyFill="1" applyBorder="1" applyAlignment="1">
      <alignment horizontal="center" vertical="center"/>
    </xf>
    <xf numFmtId="1" fontId="5157" fillId="8" borderId="1" xfId="0" applyNumberFormat="1" applyFont="1" applyFill="1" applyBorder="1" applyAlignment="1">
      <alignment horizontal="center" vertical="center"/>
    </xf>
    <xf numFmtId="1" fontId="5158" fillId="8" borderId="1" xfId="0" applyNumberFormat="1" applyFont="1" applyFill="1" applyBorder="1" applyAlignment="1">
      <alignment horizontal="center" vertical="center"/>
    </xf>
    <xf numFmtId="0" fontId="5159" fillId="8" borderId="1" xfId="0" applyNumberFormat="1" applyFont="1" applyFill="1" applyBorder="1" applyAlignment="1">
      <alignment horizontal="center" vertical="center"/>
    </xf>
    <xf numFmtId="0" fontId="5160" fillId="8" borderId="1" xfId="0" applyNumberFormat="1" applyFont="1" applyFill="1" applyBorder="1" applyAlignment="1">
      <alignment horizontal="center" vertical="center"/>
    </xf>
    <xf numFmtId="1" fontId="5161" fillId="8" borderId="1" xfId="0" applyNumberFormat="1" applyFont="1" applyFill="1" applyBorder="1" applyAlignment="1">
      <alignment horizontal="center" vertical="center"/>
    </xf>
    <xf numFmtId="1" fontId="5162" fillId="8" borderId="1" xfId="0" applyNumberFormat="1" applyFont="1" applyFill="1" applyBorder="1" applyAlignment="1">
      <alignment horizontal="center" vertical="center"/>
    </xf>
    <xf numFmtId="1" fontId="5163" fillId="8" borderId="1" xfId="0" applyNumberFormat="1" applyFont="1" applyFill="1" applyBorder="1" applyAlignment="1">
      <alignment horizontal="center" vertical="center"/>
    </xf>
    <xf numFmtId="165" fontId="5164" fillId="8" borderId="1" xfId="0" applyNumberFormat="1" applyFont="1" applyFill="1" applyBorder="1" applyAlignment="1">
      <alignment horizontal="center" vertical="center"/>
    </xf>
    <xf numFmtId="1" fontId="5165" fillId="8" borderId="1" xfId="0" applyNumberFormat="1" applyFont="1" applyFill="1" applyBorder="1" applyAlignment="1">
      <alignment horizontal="center" vertical="center"/>
    </xf>
    <xf numFmtId="165" fontId="5166" fillId="8" borderId="1" xfId="0" applyNumberFormat="1" applyFont="1" applyFill="1" applyBorder="1" applyAlignment="1">
      <alignment horizontal="center" vertical="center"/>
    </xf>
    <xf numFmtId="1" fontId="5167" fillId="8" borderId="1" xfId="0" applyNumberFormat="1" applyFont="1" applyFill="1" applyBorder="1" applyAlignment="1">
      <alignment horizontal="center" vertical="center"/>
    </xf>
    <xf numFmtId="165" fontId="5168" fillId="8" borderId="1" xfId="0" applyNumberFormat="1" applyFont="1" applyFill="1" applyBorder="1" applyAlignment="1">
      <alignment horizontal="center" vertical="center"/>
    </xf>
    <xf numFmtId="1" fontId="5169" fillId="8" borderId="1" xfId="0" applyNumberFormat="1" applyFont="1" applyFill="1" applyBorder="1" applyAlignment="1">
      <alignment horizontal="center" vertical="center"/>
    </xf>
    <xf numFmtId="165" fontId="5170" fillId="8" borderId="1" xfId="0" applyNumberFormat="1" applyFont="1" applyFill="1" applyBorder="1" applyAlignment="1">
      <alignment horizontal="center" vertical="center"/>
    </xf>
    <xf numFmtId="165" fontId="5171" fillId="8" borderId="1" xfId="0" applyNumberFormat="1" applyFont="1" applyFill="1" applyBorder="1" applyAlignment="1">
      <alignment horizontal="center" vertical="center"/>
    </xf>
    <xf numFmtId="1" fontId="5172" fillId="8" borderId="1" xfId="0" applyNumberFormat="1" applyFont="1" applyFill="1" applyBorder="1" applyAlignment="1">
      <alignment horizontal="center" vertical="center"/>
    </xf>
    <xf numFmtId="1" fontId="5173" fillId="8" borderId="1" xfId="0" applyNumberFormat="1" applyFont="1" applyFill="1" applyBorder="1" applyAlignment="1">
      <alignment horizontal="center" vertical="center"/>
    </xf>
    <xf numFmtId="1" fontId="5174" fillId="8" borderId="1" xfId="0" applyNumberFormat="1" applyFont="1" applyFill="1" applyBorder="1" applyAlignment="1">
      <alignment horizontal="center" vertical="center"/>
    </xf>
    <xf numFmtId="165" fontId="5175" fillId="8" borderId="1" xfId="0" applyNumberFormat="1" applyFont="1" applyFill="1" applyBorder="1" applyAlignment="1">
      <alignment horizontal="center" vertical="center"/>
    </xf>
    <xf numFmtId="164" fontId="5176" fillId="8" borderId="1" xfId="0" applyNumberFormat="1" applyFont="1" applyFill="1" applyBorder="1" applyAlignment="1">
      <alignment horizontal="center" vertical="center"/>
    </xf>
    <xf numFmtId="164" fontId="5177" fillId="8" borderId="1" xfId="0" applyNumberFormat="1" applyFont="1" applyFill="1" applyBorder="1" applyAlignment="1">
      <alignment horizontal="center" vertical="center"/>
    </xf>
    <xf numFmtId="1" fontId="5178" fillId="8" borderId="1" xfId="0" applyNumberFormat="1" applyFont="1" applyFill="1" applyBorder="1" applyAlignment="1">
      <alignment horizontal="center" vertical="center"/>
    </xf>
    <xf numFmtId="1" fontId="5179" fillId="8" borderId="1" xfId="0" applyNumberFormat="1" applyFont="1" applyFill="1" applyBorder="1" applyAlignment="1">
      <alignment horizontal="center" vertical="center"/>
    </xf>
    <xf numFmtId="1" fontId="5180" fillId="8" borderId="1" xfId="0" applyNumberFormat="1" applyFont="1" applyFill="1" applyBorder="1" applyAlignment="1">
      <alignment horizontal="center" vertical="center"/>
    </xf>
    <xf numFmtId="165" fontId="5181" fillId="8" borderId="1" xfId="0" applyNumberFormat="1" applyFont="1" applyFill="1" applyBorder="1" applyAlignment="1">
      <alignment horizontal="center" vertical="center"/>
    </xf>
    <xf numFmtId="1" fontId="5182" fillId="8" borderId="1" xfId="0" applyNumberFormat="1" applyFont="1" applyFill="1" applyBorder="1" applyAlignment="1">
      <alignment horizontal="center" vertical="center"/>
    </xf>
    <xf numFmtId="165" fontId="5183" fillId="8" borderId="1" xfId="0" applyNumberFormat="1" applyFont="1" applyFill="1" applyBorder="1" applyAlignment="1">
      <alignment horizontal="center" vertical="center"/>
    </xf>
    <xf numFmtId="1" fontId="5184" fillId="8" borderId="1" xfId="0" applyNumberFormat="1" applyFont="1" applyFill="1" applyBorder="1" applyAlignment="1">
      <alignment horizontal="center" vertical="center"/>
    </xf>
    <xf numFmtId="1" fontId="5185" fillId="8" borderId="1" xfId="0" applyNumberFormat="1" applyFont="1" applyFill="1" applyBorder="1" applyAlignment="1">
      <alignment horizontal="center" vertical="center"/>
    </xf>
    <xf numFmtId="1" fontId="5186" fillId="8" borderId="1" xfId="0" applyNumberFormat="1" applyFont="1" applyFill="1" applyBorder="1" applyAlignment="1">
      <alignment horizontal="center" vertical="center"/>
    </xf>
    <xf numFmtId="1" fontId="5187" fillId="8" borderId="1" xfId="0" applyNumberFormat="1" applyFont="1" applyFill="1" applyBorder="1" applyAlignment="1">
      <alignment horizontal="center" vertical="center"/>
    </xf>
    <xf numFmtId="165" fontId="5188" fillId="8" borderId="1" xfId="0" applyNumberFormat="1" applyFont="1" applyFill="1" applyBorder="1" applyAlignment="1">
      <alignment horizontal="center" vertical="center"/>
    </xf>
    <xf numFmtId="1" fontId="5189" fillId="8" borderId="1" xfId="0" applyNumberFormat="1" applyFont="1" applyFill="1" applyBorder="1" applyAlignment="1">
      <alignment horizontal="center" vertical="center"/>
    </xf>
    <xf numFmtId="165" fontId="5190" fillId="8" borderId="1" xfId="0" applyNumberFormat="1" applyFont="1" applyFill="1" applyBorder="1" applyAlignment="1">
      <alignment horizontal="center" vertical="center"/>
    </xf>
    <xf numFmtId="1" fontId="5191" fillId="8" borderId="1" xfId="0" applyNumberFormat="1" applyFont="1" applyFill="1" applyBorder="1" applyAlignment="1">
      <alignment horizontal="center" vertical="center"/>
    </xf>
    <xf numFmtId="165" fontId="5192" fillId="8" borderId="1" xfId="0" applyNumberFormat="1" applyFont="1" applyFill="1" applyBorder="1" applyAlignment="1">
      <alignment horizontal="center" vertical="center"/>
    </xf>
    <xf numFmtId="2" fontId="5193" fillId="8" borderId="1" xfId="0" applyNumberFormat="1" applyFont="1" applyFill="1" applyBorder="1" applyAlignment="1">
      <alignment horizontal="center" vertical="center"/>
    </xf>
    <xf numFmtId="2" fontId="5194" fillId="8" borderId="1" xfId="0" applyNumberFormat="1" applyFont="1" applyFill="1" applyBorder="1" applyAlignment="1">
      <alignment horizontal="center" vertical="center"/>
    </xf>
    <xf numFmtId="2" fontId="5195" fillId="8" borderId="1" xfId="0" applyNumberFormat="1" applyFont="1" applyFill="1" applyBorder="1" applyAlignment="1">
      <alignment horizontal="center" vertical="center"/>
    </xf>
    <xf numFmtId="2" fontId="5196" fillId="8" borderId="1" xfId="0" applyNumberFormat="1" applyFont="1" applyFill="1" applyBorder="1" applyAlignment="1">
      <alignment horizontal="center" vertical="center"/>
    </xf>
    <xf numFmtId="2" fontId="5197" fillId="8" borderId="1" xfId="0" applyNumberFormat="1" applyFont="1" applyFill="1" applyBorder="1" applyAlignment="1">
      <alignment horizontal="center" vertical="center"/>
    </xf>
    <xf numFmtId="2" fontId="5198" fillId="8" borderId="1" xfId="0" applyNumberFormat="1" applyFont="1" applyFill="1" applyBorder="1" applyAlignment="1">
      <alignment horizontal="center" vertical="center"/>
    </xf>
    <xf numFmtId="2" fontId="5199" fillId="8" borderId="1" xfId="0" applyNumberFormat="1" applyFont="1" applyFill="1" applyBorder="1" applyAlignment="1">
      <alignment horizontal="center" vertical="center"/>
    </xf>
    <xf numFmtId="2" fontId="5200" fillId="8" borderId="1" xfId="0" applyNumberFormat="1" applyFont="1" applyFill="1" applyBorder="1" applyAlignment="1">
      <alignment horizontal="center" vertical="center"/>
    </xf>
    <xf numFmtId="2" fontId="5201" fillId="8" borderId="1" xfId="0" applyNumberFormat="1" applyFont="1" applyFill="1" applyBorder="1" applyAlignment="1">
      <alignment horizontal="center" vertical="center"/>
    </xf>
    <xf numFmtId="2" fontId="5202" fillId="8" borderId="1" xfId="0" applyNumberFormat="1" applyFont="1" applyFill="1" applyBorder="1" applyAlignment="1">
      <alignment horizontal="center" vertical="center"/>
    </xf>
    <xf numFmtId="2" fontId="5203" fillId="8" borderId="1" xfId="0" applyNumberFormat="1" applyFont="1" applyFill="1" applyBorder="1" applyAlignment="1">
      <alignment horizontal="center" vertical="center"/>
    </xf>
    <xf numFmtId="2" fontId="5204" fillId="8" borderId="1" xfId="0" applyNumberFormat="1" applyFont="1" applyFill="1" applyBorder="1" applyAlignment="1">
      <alignment horizontal="center" vertical="center"/>
    </xf>
    <xf numFmtId="2" fontId="5205" fillId="8" borderId="1" xfId="0" applyNumberFormat="1" applyFont="1" applyFill="1" applyBorder="1" applyAlignment="1">
      <alignment horizontal="center" vertical="center"/>
    </xf>
    <xf numFmtId="2" fontId="5206" fillId="8" borderId="1" xfId="0" applyNumberFormat="1" applyFont="1" applyFill="1" applyBorder="1" applyAlignment="1">
      <alignment horizontal="center" vertical="center"/>
    </xf>
    <xf numFmtId="2" fontId="5207" fillId="8" borderId="1" xfId="0" applyNumberFormat="1" applyFont="1" applyFill="1" applyBorder="1" applyAlignment="1">
      <alignment horizontal="center" vertical="center"/>
    </xf>
    <xf numFmtId="2" fontId="5208" fillId="8" borderId="1" xfId="0" applyNumberFormat="1" applyFont="1" applyFill="1" applyBorder="1" applyAlignment="1">
      <alignment horizontal="center" vertical="center"/>
    </xf>
    <xf numFmtId="2" fontId="5209" fillId="8" borderId="1" xfId="0" applyNumberFormat="1" applyFont="1" applyFill="1" applyBorder="1" applyAlignment="1">
      <alignment horizontal="center" vertical="center"/>
    </xf>
    <xf numFmtId="2" fontId="5210" fillId="8" borderId="1" xfId="0" applyNumberFormat="1" applyFont="1" applyFill="1" applyBorder="1" applyAlignment="1">
      <alignment horizontal="center" vertical="center"/>
    </xf>
    <xf numFmtId="2" fontId="5211" fillId="8" borderId="1" xfId="0" applyNumberFormat="1" applyFont="1" applyFill="1" applyBorder="1" applyAlignment="1">
      <alignment horizontal="center" vertical="center"/>
    </xf>
    <xf numFmtId="2" fontId="5212" fillId="8" borderId="1" xfId="0" applyNumberFormat="1" applyFont="1" applyFill="1" applyBorder="1" applyAlignment="1">
      <alignment horizontal="center" vertical="center"/>
    </xf>
    <xf numFmtId="2" fontId="5213" fillId="8" borderId="1" xfId="0" applyNumberFormat="1" applyFont="1" applyFill="1" applyBorder="1" applyAlignment="1">
      <alignment horizontal="center" vertical="center"/>
    </xf>
    <xf numFmtId="2" fontId="5214" fillId="8" borderId="1" xfId="0" applyNumberFormat="1" applyFont="1" applyFill="1" applyBorder="1" applyAlignment="1">
      <alignment horizontal="center" vertical="center"/>
    </xf>
    <xf numFmtId="2" fontId="5215" fillId="8" borderId="1" xfId="0" applyNumberFormat="1" applyFont="1" applyFill="1" applyBorder="1" applyAlignment="1">
      <alignment horizontal="center" vertical="center"/>
    </xf>
    <xf numFmtId="2" fontId="5216" fillId="8" borderId="1" xfId="0" applyNumberFormat="1" applyFont="1" applyFill="1" applyBorder="1" applyAlignment="1">
      <alignment horizontal="center" vertical="center"/>
    </xf>
    <xf numFmtId="2" fontId="5217" fillId="8" borderId="1" xfId="0" applyNumberFormat="1" applyFont="1" applyFill="1" applyBorder="1" applyAlignment="1">
      <alignment horizontal="center" vertical="center"/>
    </xf>
    <xf numFmtId="2" fontId="5218" fillId="8" borderId="1" xfId="0" applyNumberFormat="1" applyFont="1" applyFill="1" applyBorder="1" applyAlignment="1">
      <alignment horizontal="center" vertical="center"/>
    </xf>
    <xf numFmtId="2" fontId="5219" fillId="8" borderId="1" xfId="0" applyNumberFormat="1" applyFont="1" applyFill="1" applyBorder="1" applyAlignment="1">
      <alignment horizontal="center" vertical="center"/>
    </xf>
    <xf numFmtId="2" fontId="5220" fillId="8" borderId="1" xfId="0" applyNumberFormat="1" applyFont="1" applyFill="1" applyBorder="1" applyAlignment="1">
      <alignment horizontal="center" vertical="center"/>
    </xf>
    <xf numFmtId="2" fontId="5221" fillId="8" borderId="1" xfId="0" applyNumberFormat="1" applyFont="1" applyFill="1" applyBorder="1" applyAlignment="1">
      <alignment horizontal="center" vertical="center"/>
    </xf>
    <xf numFmtId="2" fontId="5222" fillId="8" borderId="1" xfId="0" applyNumberFormat="1" applyFont="1" applyFill="1" applyBorder="1" applyAlignment="1">
      <alignment horizontal="center" vertical="center"/>
    </xf>
    <xf numFmtId="2" fontId="5223" fillId="8" borderId="1" xfId="0" applyNumberFormat="1" applyFont="1" applyFill="1" applyBorder="1" applyAlignment="1">
      <alignment horizontal="center" vertical="center"/>
    </xf>
    <xf numFmtId="2" fontId="5224" fillId="8" borderId="1" xfId="0" applyNumberFormat="1" applyFont="1" applyFill="1" applyBorder="1" applyAlignment="1">
      <alignment horizontal="center" vertical="center"/>
    </xf>
    <xf numFmtId="2" fontId="5225" fillId="8" borderId="1" xfId="0" applyNumberFormat="1" applyFont="1" applyFill="1" applyBorder="1" applyAlignment="1">
      <alignment horizontal="center" vertical="center"/>
    </xf>
    <xf numFmtId="2" fontId="5226" fillId="8" borderId="1" xfId="0" applyNumberFormat="1" applyFont="1" applyFill="1" applyBorder="1" applyAlignment="1">
      <alignment horizontal="center" vertical="center"/>
    </xf>
    <xf numFmtId="0" fontId="5227" fillId="7" borderId="1" xfId="0" applyNumberFormat="1" applyFont="1" applyFill="1" applyBorder="1" applyAlignment="1">
      <alignment horizontal="left" vertical="center"/>
    </xf>
    <xf numFmtId="0" fontId="5228" fillId="8" borderId="1" xfId="0" applyNumberFormat="1" applyFont="1" applyFill="1" applyBorder="1" applyAlignment="1">
      <alignment horizontal="center" vertical="center"/>
    </xf>
    <xf numFmtId="164" fontId="5229" fillId="8" borderId="1" xfId="0" applyNumberFormat="1" applyFont="1" applyFill="1" applyBorder="1" applyAlignment="1">
      <alignment horizontal="center" vertical="center"/>
    </xf>
    <xf numFmtId="1" fontId="5230" fillId="8" borderId="1" xfId="0" applyNumberFormat="1" applyFont="1" applyFill="1" applyBorder="1" applyAlignment="1">
      <alignment horizontal="center" vertical="center"/>
    </xf>
    <xf numFmtId="1" fontId="5231" fillId="8" borderId="1" xfId="0" applyNumberFormat="1" applyFont="1" applyFill="1" applyBorder="1" applyAlignment="1">
      <alignment horizontal="center" vertical="center"/>
    </xf>
    <xf numFmtId="1" fontId="5232" fillId="8" borderId="1" xfId="0" applyNumberFormat="1" applyFont="1" applyFill="1" applyBorder="1" applyAlignment="1">
      <alignment horizontal="center" vertical="center"/>
    </xf>
    <xf numFmtId="1" fontId="5233" fillId="8" borderId="1" xfId="0" applyNumberFormat="1" applyFont="1" applyFill="1" applyBorder="1" applyAlignment="1">
      <alignment horizontal="center" vertical="center"/>
    </xf>
    <xf numFmtId="1" fontId="5234" fillId="8" borderId="1" xfId="0" applyNumberFormat="1" applyFont="1" applyFill="1" applyBorder="1" applyAlignment="1">
      <alignment horizontal="center" vertical="center"/>
    </xf>
    <xf numFmtId="1" fontId="5235" fillId="8" borderId="1" xfId="0" applyNumberFormat="1" applyFont="1" applyFill="1" applyBorder="1" applyAlignment="1">
      <alignment horizontal="center" vertical="center"/>
    </xf>
    <xf numFmtId="1" fontId="5236" fillId="8" borderId="1" xfId="0" applyNumberFormat="1" applyFont="1" applyFill="1" applyBorder="1" applyAlignment="1">
      <alignment horizontal="center" vertical="center"/>
    </xf>
    <xf numFmtId="0" fontId="5237" fillId="8" borderId="1" xfId="0" applyNumberFormat="1" applyFont="1" applyFill="1" applyBorder="1" applyAlignment="1">
      <alignment horizontal="center" vertical="center"/>
    </xf>
    <xf numFmtId="0" fontId="5238" fillId="8" borderId="1" xfId="0" applyNumberFormat="1" applyFont="1" applyFill="1" applyBorder="1" applyAlignment="1">
      <alignment horizontal="center" vertical="center"/>
    </xf>
    <xf numFmtId="1" fontId="5239" fillId="8" borderId="1" xfId="0" applyNumberFormat="1" applyFont="1" applyFill="1" applyBorder="1" applyAlignment="1">
      <alignment horizontal="center" vertical="center"/>
    </xf>
    <xf numFmtId="1" fontId="5240" fillId="8" borderId="1" xfId="0" applyNumberFormat="1" applyFont="1" applyFill="1" applyBorder="1" applyAlignment="1">
      <alignment horizontal="center" vertical="center"/>
    </xf>
    <xf numFmtId="1" fontId="5241" fillId="8" borderId="1" xfId="0" applyNumberFormat="1" applyFont="1" applyFill="1" applyBorder="1" applyAlignment="1">
      <alignment horizontal="center" vertical="center"/>
    </xf>
    <xf numFmtId="165" fontId="5242" fillId="8" borderId="1" xfId="0" applyNumberFormat="1" applyFont="1" applyFill="1" applyBorder="1" applyAlignment="1">
      <alignment horizontal="center" vertical="center"/>
    </xf>
    <xf numFmtId="1" fontId="5243" fillId="8" borderId="1" xfId="0" applyNumberFormat="1" applyFont="1" applyFill="1" applyBorder="1" applyAlignment="1">
      <alignment horizontal="center" vertical="center"/>
    </xf>
    <xf numFmtId="165" fontId="5244" fillId="8" borderId="1" xfId="0" applyNumberFormat="1" applyFont="1" applyFill="1" applyBorder="1" applyAlignment="1">
      <alignment horizontal="center" vertical="center"/>
    </xf>
    <xf numFmtId="1" fontId="5245" fillId="8" borderId="1" xfId="0" applyNumberFormat="1" applyFont="1" applyFill="1" applyBorder="1" applyAlignment="1">
      <alignment horizontal="center" vertical="center"/>
    </xf>
    <xf numFmtId="165" fontId="5246" fillId="8" borderId="1" xfId="0" applyNumberFormat="1" applyFont="1" applyFill="1" applyBorder="1" applyAlignment="1">
      <alignment horizontal="center" vertical="center"/>
    </xf>
    <xf numFmtId="1" fontId="5247" fillId="8" borderId="1" xfId="0" applyNumberFormat="1" applyFont="1" applyFill="1" applyBorder="1" applyAlignment="1">
      <alignment horizontal="center" vertical="center"/>
    </xf>
    <xf numFmtId="165" fontId="5248" fillId="8" borderId="1" xfId="0" applyNumberFormat="1" applyFont="1" applyFill="1" applyBorder="1" applyAlignment="1">
      <alignment horizontal="center" vertical="center"/>
    </xf>
    <xf numFmtId="165" fontId="5249" fillId="8" borderId="1" xfId="0" applyNumberFormat="1" applyFont="1" applyFill="1" applyBorder="1" applyAlignment="1">
      <alignment horizontal="center" vertical="center"/>
    </xf>
    <xf numFmtId="1" fontId="5250" fillId="8" borderId="1" xfId="0" applyNumberFormat="1" applyFont="1" applyFill="1" applyBorder="1" applyAlignment="1">
      <alignment horizontal="center" vertical="center"/>
    </xf>
    <xf numFmtId="1" fontId="5251" fillId="8" borderId="1" xfId="0" applyNumberFormat="1" applyFont="1" applyFill="1" applyBorder="1" applyAlignment="1">
      <alignment horizontal="center" vertical="center"/>
    </xf>
    <xf numFmtId="1" fontId="5252" fillId="8" borderId="1" xfId="0" applyNumberFormat="1" applyFont="1" applyFill="1" applyBorder="1" applyAlignment="1">
      <alignment horizontal="center" vertical="center"/>
    </xf>
    <xf numFmtId="165" fontId="5253" fillId="8" borderId="1" xfId="0" applyNumberFormat="1" applyFont="1" applyFill="1" applyBorder="1" applyAlignment="1">
      <alignment horizontal="center" vertical="center"/>
    </xf>
    <xf numFmtId="164" fontId="5254" fillId="8" borderId="1" xfId="0" applyNumberFormat="1" applyFont="1" applyFill="1" applyBorder="1" applyAlignment="1">
      <alignment horizontal="center" vertical="center"/>
    </xf>
    <xf numFmtId="164" fontId="5255" fillId="8" borderId="1" xfId="0" applyNumberFormat="1" applyFont="1" applyFill="1" applyBorder="1" applyAlignment="1">
      <alignment horizontal="center" vertical="center"/>
    </xf>
    <xf numFmtId="1" fontId="5256" fillId="8" borderId="1" xfId="0" applyNumberFormat="1" applyFont="1" applyFill="1" applyBorder="1" applyAlignment="1">
      <alignment horizontal="center" vertical="center"/>
    </xf>
    <xf numFmtId="1" fontId="5257" fillId="8" borderId="1" xfId="0" applyNumberFormat="1" applyFont="1" applyFill="1" applyBorder="1" applyAlignment="1">
      <alignment horizontal="center" vertical="center"/>
    </xf>
    <xf numFmtId="1" fontId="5258" fillId="8" borderId="1" xfId="0" applyNumberFormat="1" applyFont="1" applyFill="1" applyBorder="1" applyAlignment="1">
      <alignment horizontal="center" vertical="center"/>
    </xf>
    <xf numFmtId="165" fontId="5259" fillId="8" borderId="1" xfId="0" applyNumberFormat="1" applyFont="1" applyFill="1" applyBorder="1" applyAlignment="1">
      <alignment horizontal="center" vertical="center"/>
    </xf>
    <xf numFmtId="1" fontId="5260" fillId="8" borderId="1" xfId="0" applyNumberFormat="1" applyFont="1" applyFill="1" applyBorder="1" applyAlignment="1">
      <alignment horizontal="center" vertical="center"/>
    </xf>
    <xf numFmtId="165" fontId="5261" fillId="8" borderId="1" xfId="0" applyNumberFormat="1" applyFont="1" applyFill="1" applyBorder="1" applyAlignment="1">
      <alignment horizontal="center" vertical="center"/>
    </xf>
    <xf numFmtId="1" fontId="5262" fillId="8" borderId="1" xfId="0" applyNumberFormat="1" applyFont="1" applyFill="1" applyBorder="1" applyAlignment="1">
      <alignment horizontal="center" vertical="center"/>
    </xf>
    <xf numFmtId="1" fontId="5263" fillId="8" borderId="1" xfId="0" applyNumberFormat="1" applyFont="1" applyFill="1" applyBorder="1" applyAlignment="1">
      <alignment horizontal="center" vertical="center"/>
    </xf>
    <xf numFmtId="1" fontId="5264" fillId="8" borderId="1" xfId="0" applyNumberFormat="1" applyFont="1" applyFill="1" applyBorder="1" applyAlignment="1">
      <alignment horizontal="center" vertical="center"/>
    </xf>
    <xf numFmtId="1" fontId="5265" fillId="8" borderId="1" xfId="0" applyNumberFormat="1" applyFont="1" applyFill="1" applyBorder="1" applyAlignment="1">
      <alignment horizontal="center" vertical="center"/>
    </xf>
    <xf numFmtId="165" fontId="5266" fillId="8" borderId="1" xfId="0" applyNumberFormat="1" applyFont="1" applyFill="1" applyBorder="1" applyAlignment="1">
      <alignment horizontal="center" vertical="center"/>
    </xf>
    <xf numFmtId="1" fontId="5267" fillId="8" borderId="1" xfId="0" applyNumberFormat="1" applyFont="1" applyFill="1" applyBorder="1" applyAlignment="1">
      <alignment horizontal="center" vertical="center"/>
    </xf>
    <xf numFmtId="165" fontId="5268" fillId="8" borderId="1" xfId="0" applyNumberFormat="1" applyFont="1" applyFill="1" applyBorder="1" applyAlignment="1">
      <alignment horizontal="center" vertical="center"/>
    </xf>
    <xf numFmtId="1" fontId="5269" fillId="8" borderId="1" xfId="0" applyNumberFormat="1" applyFont="1" applyFill="1" applyBorder="1" applyAlignment="1">
      <alignment horizontal="center" vertical="center"/>
    </xf>
    <xf numFmtId="165" fontId="5270" fillId="8" borderId="1" xfId="0" applyNumberFormat="1" applyFont="1" applyFill="1" applyBorder="1" applyAlignment="1">
      <alignment horizontal="center" vertical="center"/>
    </xf>
    <xf numFmtId="2" fontId="5271" fillId="8" borderId="1" xfId="0" applyNumberFormat="1" applyFont="1" applyFill="1" applyBorder="1" applyAlignment="1">
      <alignment horizontal="center" vertical="center"/>
    </xf>
    <xf numFmtId="2" fontId="5272" fillId="8" borderId="1" xfId="0" applyNumberFormat="1" applyFont="1" applyFill="1" applyBorder="1" applyAlignment="1">
      <alignment horizontal="center" vertical="center"/>
    </xf>
    <xf numFmtId="2" fontId="5273" fillId="8" borderId="1" xfId="0" applyNumberFormat="1" applyFont="1" applyFill="1" applyBorder="1" applyAlignment="1">
      <alignment horizontal="center" vertical="center"/>
    </xf>
    <xf numFmtId="2" fontId="5274" fillId="8" borderId="1" xfId="0" applyNumberFormat="1" applyFont="1" applyFill="1" applyBorder="1" applyAlignment="1">
      <alignment horizontal="center" vertical="center"/>
    </xf>
    <xf numFmtId="2" fontId="5275" fillId="8" borderId="1" xfId="0" applyNumberFormat="1" applyFont="1" applyFill="1" applyBorder="1" applyAlignment="1">
      <alignment horizontal="center" vertical="center"/>
    </xf>
    <xf numFmtId="2" fontId="5276" fillId="8" borderId="1" xfId="0" applyNumberFormat="1" applyFont="1" applyFill="1" applyBorder="1" applyAlignment="1">
      <alignment horizontal="center" vertical="center"/>
    </xf>
    <xf numFmtId="2" fontId="5277" fillId="8" borderId="1" xfId="0" applyNumberFormat="1" applyFont="1" applyFill="1" applyBorder="1" applyAlignment="1">
      <alignment horizontal="center" vertical="center"/>
    </xf>
    <xf numFmtId="2" fontId="5278" fillId="8" borderId="1" xfId="0" applyNumberFormat="1" applyFont="1" applyFill="1" applyBorder="1" applyAlignment="1">
      <alignment horizontal="center" vertical="center"/>
    </xf>
    <xf numFmtId="2" fontId="5279" fillId="8" borderId="1" xfId="0" applyNumberFormat="1" applyFont="1" applyFill="1" applyBorder="1" applyAlignment="1">
      <alignment horizontal="center" vertical="center"/>
    </xf>
    <xf numFmtId="2" fontId="5280" fillId="8" borderId="1" xfId="0" applyNumberFormat="1" applyFont="1" applyFill="1" applyBorder="1" applyAlignment="1">
      <alignment horizontal="center" vertical="center"/>
    </xf>
    <xf numFmtId="2" fontId="5281" fillId="8" borderId="1" xfId="0" applyNumberFormat="1" applyFont="1" applyFill="1" applyBorder="1" applyAlignment="1">
      <alignment horizontal="center" vertical="center"/>
    </xf>
    <xf numFmtId="2" fontId="5282" fillId="8" borderId="1" xfId="0" applyNumberFormat="1" applyFont="1" applyFill="1" applyBorder="1" applyAlignment="1">
      <alignment horizontal="center" vertical="center"/>
    </xf>
    <xf numFmtId="2" fontId="5283" fillId="8" borderId="1" xfId="0" applyNumberFormat="1" applyFont="1" applyFill="1" applyBorder="1" applyAlignment="1">
      <alignment horizontal="center" vertical="center"/>
    </xf>
    <xf numFmtId="2" fontId="5284" fillId="8" borderId="1" xfId="0" applyNumberFormat="1" applyFont="1" applyFill="1" applyBorder="1" applyAlignment="1">
      <alignment horizontal="center" vertical="center"/>
    </xf>
    <xf numFmtId="2" fontId="5285" fillId="8" borderId="1" xfId="0" applyNumberFormat="1" applyFont="1" applyFill="1" applyBorder="1" applyAlignment="1">
      <alignment horizontal="center" vertical="center"/>
    </xf>
    <xf numFmtId="2" fontId="5286" fillId="8" borderId="1" xfId="0" applyNumberFormat="1" applyFont="1" applyFill="1" applyBorder="1" applyAlignment="1">
      <alignment horizontal="center" vertical="center"/>
    </xf>
    <xf numFmtId="2" fontId="5287" fillId="8" borderId="1" xfId="0" applyNumberFormat="1" applyFont="1" applyFill="1" applyBorder="1" applyAlignment="1">
      <alignment horizontal="center" vertical="center"/>
    </xf>
    <xf numFmtId="2" fontId="5288" fillId="8" borderId="1" xfId="0" applyNumberFormat="1" applyFont="1" applyFill="1" applyBorder="1" applyAlignment="1">
      <alignment horizontal="center" vertical="center"/>
    </xf>
    <xf numFmtId="2" fontId="5289" fillId="8" borderId="1" xfId="0" applyNumberFormat="1" applyFont="1" applyFill="1" applyBorder="1" applyAlignment="1">
      <alignment horizontal="center" vertical="center"/>
    </xf>
    <xf numFmtId="2" fontId="5290" fillId="8" borderId="1" xfId="0" applyNumberFormat="1" applyFont="1" applyFill="1" applyBorder="1" applyAlignment="1">
      <alignment horizontal="center" vertical="center"/>
    </xf>
    <xf numFmtId="2" fontId="5291" fillId="8" borderId="1" xfId="0" applyNumberFormat="1" applyFont="1" applyFill="1" applyBorder="1" applyAlignment="1">
      <alignment horizontal="center" vertical="center"/>
    </xf>
    <xf numFmtId="2" fontId="5292" fillId="8" borderId="1" xfId="0" applyNumberFormat="1" applyFont="1" applyFill="1" applyBorder="1" applyAlignment="1">
      <alignment horizontal="center" vertical="center"/>
    </xf>
    <xf numFmtId="2" fontId="5293" fillId="8" borderId="1" xfId="0" applyNumberFormat="1" applyFont="1" applyFill="1" applyBorder="1" applyAlignment="1">
      <alignment horizontal="center" vertical="center"/>
    </xf>
    <xf numFmtId="2" fontId="5294" fillId="8" borderId="1" xfId="0" applyNumberFormat="1" applyFont="1" applyFill="1" applyBorder="1" applyAlignment="1">
      <alignment horizontal="center" vertical="center"/>
    </xf>
    <xf numFmtId="2" fontId="5295" fillId="8" borderId="1" xfId="0" applyNumberFormat="1" applyFont="1" applyFill="1" applyBorder="1" applyAlignment="1">
      <alignment horizontal="center" vertical="center"/>
    </xf>
    <xf numFmtId="2" fontId="5296" fillId="8" borderId="1" xfId="0" applyNumberFormat="1" applyFont="1" applyFill="1" applyBorder="1" applyAlignment="1">
      <alignment horizontal="center" vertical="center"/>
    </xf>
    <xf numFmtId="2" fontId="5297" fillId="8" borderId="1" xfId="0" applyNumberFormat="1" applyFont="1" applyFill="1" applyBorder="1" applyAlignment="1">
      <alignment horizontal="center" vertical="center"/>
    </xf>
    <xf numFmtId="2" fontId="5298" fillId="8" borderId="1" xfId="0" applyNumberFormat="1" applyFont="1" applyFill="1" applyBorder="1" applyAlignment="1">
      <alignment horizontal="center" vertical="center"/>
    </xf>
    <xf numFmtId="2" fontId="5299" fillId="8" borderId="1" xfId="0" applyNumberFormat="1" applyFont="1" applyFill="1" applyBorder="1" applyAlignment="1">
      <alignment horizontal="center" vertical="center"/>
    </xf>
    <xf numFmtId="2" fontId="5300" fillId="8" borderId="1" xfId="0" applyNumberFormat="1" applyFont="1" applyFill="1" applyBorder="1" applyAlignment="1">
      <alignment horizontal="center" vertical="center"/>
    </xf>
    <xf numFmtId="2" fontId="5301" fillId="8" borderId="1" xfId="0" applyNumberFormat="1" applyFont="1" applyFill="1" applyBorder="1" applyAlignment="1">
      <alignment horizontal="center" vertical="center"/>
    </xf>
    <xf numFmtId="2" fontId="5302" fillId="8" borderId="1" xfId="0" applyNumberFormat="1" applyFont="1" applyFill="1" applyBorder="1" applyAlignment="1">
      <alignment horizontal="center" vertical="center"/>
    </xf>
    <xf numFmtId="2" fontId="5303" fillId="8" borderId="1" xfId="0" applyNumberFormat="1" applyFont="1" applyFill="1" applyBorder="1" applyAlignment="1">
      <alignment horizontal="center" vertical="center"/>
    </xf>
    <xf numFmtId="2" fontId="5304" fillId="8" borderId="1" xfId="0" applyNumberFormat="1" applyFont="1" applyFill="1" applyBorder="1" applyAlignment="1">
      <alignment horizontal="center" vertical="center"/>
    </xf>
    <xf numFmtId="0" fontId="5305" fillId="2" borderId="1" xfId="0" applyFont="1" applyFill="1" applyBorder="1" applyAlignment="1">
      <alignment horizontal="center" vertical="center"/>
    </xf>
    <xf numFmtId="0" fontId="5306" fillId="2" borderId="1" xfId="0" applyFont="1" applyFill="1" applyBorder="1" applyAlignment="1">
      <alignment horizontal="center" vertical="center"/>
    </xf>
    <xf numFmtId="0" fontId="5307" fillId="2" borderId="1" xfId="0" applyFont="1" applyFill="1" applyBorder="1" applyAlignment="1">
      <alignment horizontal="center" vertical="center"/>
    </xf>
    <xf numFmtId="0" fontId="5308" fillId="2" borderId="1" xfId="0" applyFont="1" applyFill="1" applyBorder="1" applyAlignment="1">
      <alignment horizontal="center" vertical="center"/>
    </xf>
    <xf numFmtId="0" fontId="5309" fillId="2" borderId="1" xfId="0" applyFont="1" applyFill="1" applyBorder="1" applyAlignment="1">
      <alignment horizontal="center" vertical="center"/>
    </xf>
    <xf numFmtId="0" fontId="5310" fillId="2" borderId="1" xfId="0" applyFont="1" applyFill="1" applyBorder="1" applyAlignment="1">
      <alignment horizontal="center" vertical="center"/>
    </xf>
    <xf numFmtId="0" fontId="5311" fillId="2" borderId="1" xfId="0" applyFont="1" applyFill="1" applyBorder="1" applyAlignment="1">
      <alignment horizontal="center" vertical="center"/>
    </xf>
    <xf numFmtId="0" fontId="5312" fillId="2" borderId="1" xfId="0" applyFont="1" applyFill="1" applyBorder="1" applyAlignment="1">
      <alignment horizontal="center" vertical="center"/>
    </xf>
    <xf numFmtId="0" fontId="5313" fillId="2" borderId="1" xfId="0" applyFont="1" applyFill="1" applyBorder="1" applyAlignment="1">
      <alignment horizontal="center" vertical="center"/>
    </xf>
    <xf numFmtId="0" fontId="5314" fillId="2" borderId="1" xfId="0" applyFont="1" applyFill="1" applyBorder="1" applyAlignment="1">
      <alignment horizontal="center" vertical="center"/>
    </xf>
    <xf numFmtId="0" fontId="5315" fillId="2" borderId="1" xfId="0" applyFont="1" applyFill="1" applyBorder="1" applyAlignment="1">
      <alignment horizontal="center" vertical="center"/>
    </xf>
    <xf numFmtId="0" fontId="5316" fillId="2" borderId="1" xfId="0" applyFont="1" applyFill="1" applyBorder="1" applyAlignment="1">
      <alignment horizontal="center" vertical="center"/>
    </xf>
    <xf numFmtId="0" fontId="5317" fillId="2" borderId="1" xfId="0" applyFont="1" applyFill="1" applyBorder="1" applyAlignment="1">
      <alignment horizontal="center" vertical="center"/>
    </xf>
    <xf numFmtId="0" fontId="5318" fillId="2" borderId="1" xfId="0" applyFont="1" applyFill="1" applyBorder="1" applyAlignment="1">
      <alignment horizontal="center" vertical="center"/>
    </xf>
    <xf numFmtId="0" fontId="5319" fillId="2" borderId="1" xfId="0" applyFont="1" applyFill="1" applyBorder="1" applyAlignment="1">
      <alignment horizontal="center" vertical="center"/>
    </xf>
    <xf numFmtId="0" fontId="5320" fillId="2" borderId="1" xfId="0" applyFont="1" applyFill="1" applyBorder="1" applyAlignment="1">
      <alignment horizontal="center" vertical="center"/>
    </xf>
    <xf numFmtId="0" fontId="5321" fillId="2" borderId="1" xfId="0" applyFont="1" applyFill="1" applyBorder="1" applyAlignment="1">
      <alignment horizontal="center" vertical="center"/>
    </xf>
    <xf numFmtId="0" fontId="5322" fillId="2" borderId="1" xfId="0" applyFont="1" applyFill="1" applyBorder="1" applyAlignment="1">
      <alignment horizontal="center" vertical="center"/>
    </xf>
    <xf numFmtId="0" fontId="5323" fillId="2" borderId="1" xfId="0" applyFont="1" applyFill="1" applyBorder="1" applyAlignment="1">
      <alignment horizontal="center" vertical="center"/>
    </xf>
    <xf numFmtId="0" fontId="5324" fillId="2" borderId="1" xfId="0" applyFont="1" applyFill="1" applyBorder="1" applyAlignment="1">
      <alignment horizontal="center" vertical="center"/>
    </xf>
    <xf numFmtId="0" fontId="5325" fillId="2" borderId="1" xfId="0" applyFont="1" applyFill="1" applyBorder="1" applyAlignment="1">
      <alignment horizontal="center" vertical="center"/>
    </xf>
    <xf numFmtId="0" fontId="5326" fillId="2" borderId="1" xfId="0" applyFont="1" applyFill="1" applyBorder="1" applyAlignment="1">
      <alignment horizontal="center" vertical="center"/>
    </xf>
    <xf numFmtId="0" fontId="5327" fillId="2" borderId="1" xfId="0" applyFont="1" applyFill="1" applyBorder="1" applyAlignment="1">
      <alignment horizontal="center" vertical="center"/>
    </xf>
    <xf numFmtId="0" fontId="5328" fillId="2" borderId="1" xfId="0" applyFont="1" applyFill="1" applyBorder="1" applyAlignment="1">
      <alignment horizontal="center" vertical="center"/>
    </xf>
    <xf numFmtId="0" fontId="5329" fillId="2" borderId="1" xfId="0" applyFont="1" applyFill="1" applyBorder="1" applyAlignment="1">
      <alignment horizontal="center" vertical="center"/>
    </xf>
    <xf numFmtId="0" fontId="5330" fillId="2" borderId="1" xfId="0" applyFont="1" applyFill="1" applyBorder="1" applyAlignment="1">
      <alignment horizontal="center" vertical="center"/>
    </xf>
    <xf numFmtId="0" fontId="5331" fillId="2" borderId="1" xfId="0" applyFont="1" applyFill="1" applyBorder="1" applyAlignment="1">
      <alignment horizontal="center" vertical="center"/>
    </xf>
    <xf numFmtId="0" fontId="5332" fillId="2" borderId="1" xfId="0" applyFont="1" applyFill="1" applyBorder="1" applyAlignment="1">
      <alignment horizontal="center" vertical="center"/>
    </xf>
    <xf numFmtId="0" fontId="5333" fillId="2" borderId="1" xfId="0" applyFont="1" applyFill="1" applyBorder="1" applyAlignment="1">
      <alignment horizontal="center" vertical="center"/>
    </xf>
    <xf numFmtId="0" fontId="5334" fillId="2" borderId="1" xfId="0" applyFont="1" applyFill="1" applyBorder="1" applyAlignment="1">
      <alignment horizontal="center" vertical="center"/>
    </xf>
    <xf numFmtId="0" fontId="5335" fillId="2" borderId="1" xfId="0" applyFont="1" applyFill="1" applyBorder="1" applyAlignment="1">
      <alignment horizontal="center" vertical="center"/>
    </xf>
    <xf numFmtId="0" fontId="5336" fillId="2" borderId="1" xfId="0" applyFont="1" applyFill="1" applyBorder="1" applyAlignment="1">
      <alignment horizontal="center" vertical="center"/>
    </xf>
    <xf numFmtId="0" fontId="5337" fillId="2" borderId="1" xfId="0" applyFont="1" applyFill="1" applyBorder="1" applyAlignment="1">
      <alignment horizontal="center" vertical="center"/>
    </xf>
    <xf numFmtId="0" fontId="5338" fillId="2" borderId="1" xfId="0" applyFont="1" applyFill="1" applyBorder="1" applyAlignment="1">
      <alignment horizontal="center" vertical="center"/>
    </xf>
    <xf numFmtId="0" fontId="5339" fillId="2" borderId="1" xfId="0" applyFont="1" applyFill="1" applyBorder="1" applyAlignment="1">
      <alignment horizontal="center" vertical="center"/>
    </xf>
    <xf numFmtId="0" fontId="5340" fillId="2" borderId="1" xfId="0" applyFont="1" applyFill="1" applyBorder="1" applyAlignment="1">
      <alignment horizontal="center" vertical="center"/>
    </xf>
    <xf numFmtId="0" fontId="5341" fillId="2" borderId="1" xfId="0" applyFont="1" applyFill="1" applyBorder="1" applyAlignment="1">
      <alignment horizontal="center" vertical="center"/>
    </xf>
    <xf numFmtId="0" fontId="5342" fillId="2" borderId="1" xfId="0" applyFont="1" applyFill="1" applyBorder="1" applyAlignment="1">
      <alignment horizontal="center" vertical="center"/>
    </xf>
    <xf numFmtId="0" fontId="5343" fillId="2" borderId="1" xfId="0" applyFont="1" applyFill="1" applyBorder="1" applyAlignment="1">
      <alignment horizontal="center" vertical="center"/>
    </xf>
    <xf numFmtId="0" fontId="5344" fillId="2" borderId="1" xfId="0" applyFont="1" applyFill="1" applyBorder="1" applyAlignment="1">
      <alignment horizontal="center" vertical="center"/>
    </xf>
    <xf numFmtId="0" fontId="5345" fillId="2" borderId="1" xfId="0" applyFont="1" applyFill="1" applyBorder="1" applyAlignment="1">
      <alignment horizontal="center" vertical="center"/>
    </xf>
    <xf numFmtId="0" fontId="5346" fillId="2" borderId="1" xfId="0" applyFont="1" applyFill="1" applyBorder="1" applyAlignment="1">
      <alignment horizontal="center" vertical="center"/>
    </xf>
    <xf numFmtId="0" fontId="5347" fillId="2" borderId="1" xfId="0" applyFont="1" applyFill="1" applyBorder="1" applyAlignment="1">
      <alignment horizontal="center" vertical="center"/>
    </xf>
    <xf numFmtId="0" fontId="5348" fillId="2" borderId="1" xfId="0" applyFont="1" applyFill="1" applyBorder="1" applyAlignment="1">
      <alignment horizontal="center" vertical="center"/>
    </xf>
    <xf numFmtId="0" fontId="5349" fillId="2" borderId="1" xfId="0" applyFont="1" applyFill="1" applyBorder="1" applyAlignment="1">
      <alignment horizontal="center" vertical="center"/>
    </xf>
    <xf numFmtId="0" fontId="5350" fillId="2" borderId="1" xfId="0" applyFont="1" applyFill="1" applyBorder="1" applyAlignment="1">
      <alignment horizontal="center" vertical="center"/>
    </xf>
    <xf numFmtId="0" fontId="5351" fillId="3" borderId="1" xfId="0" applyFont="1" applyFill="1" applyBorder="1" applyAlignment="1">
      <alignment horizontal="center" vertical="center"/>
    </xf>
    <xf numFmtId="0" fontId="5352" fillId="3" borderId="1" xfId="0" applyFont="1" applyFill="1" applyBorder="1" applyAlignment="1">
      <alignment horizontal="center" vertical="center"/>
    </xf>
    <xf numFmtId="0" fontId="5353" fillId="3" borderId="1" xfId="0" applyFont="1" applyFill="1" applyBorder="1" applyAlignment="1">
      <alignment horizontal="center" vertical="center"/>
    </xf>
    <xf numFmtId="0" fontId="5354" fillId="3" borderId="1" xfId="0" applyFont="1" applyFill="1" applyBorder="1" applyAlignment="1">
      <alignment horizontal="center" vertical="center"/>
    </xf>
    <xf numFmtId="0" fontId="5355" fillId="3" borderId="1" xfId="0" applyFont="1" applyFill="1" applyBorder="1" applyAlignment="1">
      <alignment horizontal="center" vertical="center"/>
    </xf>
    <xf numFmtId="0" fontId="5356" fillId="3" borderId="1" xfId="0" applyFont="1" applyFill="1" applyBorder="1" applyAlignment="1">
      <alignment horizontal="center" vertical="center"/>
    </xf>
    <xf numFmtId="0" fontId="5357" fillId="3" borderId="1" xfId="0" applyFont="1" applyFill="1" applyBorder="1" applyAlignment="1">
      <alignment horizontal="center" vertical="center"/>
    </xf>
    <xf numFmtId="0" fontId="5358" fillId="3" borderId="1" xfId="0" applyFont="1" applyFill="1" applyBorder="1" applyAlignment="1">
      <alignment horizontal="center" vertical="center"/>
    </xf>
    <xf numFmtId="0" fontId="5359" fillId="3" borderId="1" xfId="0" applyFont="1" applyFill="1" applyBorder="1" applyAlignment="1">
      <alignment horizontal="center" vertical="center"/>
    </xf>
    <xf numFmtId="0" fontId="5360" fillId="3" borderId="1" xfId="0" applyFont="1" applyFill="1" applyBorder="1" applyAlignment="1">
      <alignment horizontal="center" vertical="center"/>
    </xf>
    <xf numFmtId="0" fontId="5361" fillId="3" borderId="1" xfId="0" applyFont="1" applyFill="1" applyBorder="1" applyAlignment="1">
      <alignment horizontal="center" vertical="center"/>
    </xf>
    <xf numFmtId="0" fontId="5362" fillId="3" borderId="1" xfId="0" applyFont="1" applyFill="1" applyBorder="1" applyAlignment="1">
      <alignment horizontal="center" vertical="center"/>
    </xf>
    <xf numFmtId="0" fontId="5363" fillId="3" borderId="1" xfId="0" applyFont="1" applyFill="1" applyBorder="1" applyAlignment="1">
      <alignment horizontal="center" vertical="center"/>
    </xf>
    <xf numFmtId="0" fontId="5364" fillId="3" borderId="1" xfId="0" applyFont="1" applyFill="1" applyBorder="1" applyAlignment="1">
      <alignment horizontal="center" vertical="center"/>
    </xf>
    <xf numFmtId="0" fontId="5365" fillId="3" borderId="1" xfId="0" applyFont="1" applyFill="1" applyBorder="1" applyAlignment="1">
      <alignment horizontal="center" vertical="center"/>
    </xf>
    <xf numFmtId="0" fontId="5366" fillId="3" borderId="1" xfId="0" applyFont="1" applyFill="1" applyBorder="1" applyAlignment="1">
      <alignment horizontal="center" vertical="center"/>
    </xf>
    <xf numFmtId="0" fontId="5367" fillId="3" borderId="1" xfId="0" applyFont="1" applyFill="1" applyBorder="1" applyAlignment="1">
      <alignment horizontal="center" vertical="center"/>
    </xf>
    <xf numFmtId="0" fontId="5368" fillId="3" borderId="1" xfId="0" applyFont="1" applyFill="1" applyBorder="1" applyAlignment="1">
      <alignment horizontal="center" vertical="center"/>
    </xf>
    <xf numFmtId="0" fontId="5369" fillId="3" borderId="1" xfId="0" applyFont="1" applyFill="1" applyBorder="1" applyAlignment="1">
      <alignment horizontal="center" vertical="center"/>
    </xf>
    <xf numFmtId="0" fontId="5370" fillId="3" borderId="1" xfId="0" applyFont="1" applyFill="1" applyBorder="1" applyAlignment="1">
      <alignment horizontal="center" vertical="center"/>
    </xf>
    <xf numFmtId="0" fontId="5371" fillId="3" borderId="1" xfId="0" applyFont="1" applyFill="1" applyBorder="1" applyAlignment="1">
      <alignment horizontal="center" vertical="center"/>
    </xf>
    <xf numFmtId="0" fontId="5372" fillId="3" borderId="1" xfId="0" applyFont="1" applyFill="1" applyBorder="1" applyAlignment="1">
      <alignment horizontal="center" vertical="center"/>
    </xf>
    <xf numFmtId="0" fontId="5373" fillId="4" borderId="1" xfId="0" applyFont="1" applyFill="1" applyBorder="1" applyAlignment="1">
      <alignment horizontal="center" vertical="center"/>
    </xf>
    <xf numFmtId="0" fontId="5374" fillId="4" borderId="1" xfId="0" applyFont="1" applyFill="1" applyBorder="1" applyAlignment="1">
      <alignment horizontal="center" vertical="center"/>
    </xf>
    <xf numFmtId="0" fontId="5375" fillId="4" borderId="1" xfId="0" applyFont="1" applyFill="1" applyBorder="1" applyAlignment="1">
      <alignment horizontal="center" vertical="center"/>
    </xf>
    <xf numFmtId="0" fontId="5376" fillId="4" borderId="1" xfId="0" applyFont="1" applyFill="1" applyBorder="1" applyAlignment="1">
      <alignment horizontal="center" vertical="center"/>
    </xf>
    <xf numFmtId="0" fontId="5377" fillId="5" borderId="1" xfId="0" applyFont="1" applyFill="1" applyBorder="1" applyAlignment="1">
      <alignment horizontal="center" vertical="center"/>
    </xf>
    <xf numFmtId="0" fontId="5378" fillId="5" borderId="1" xfId="0" applyFont="1" applyFill="1" applyBorder="1" applyAlignment="1">
      <alignment horizontal="center" vertical="center"/>
    </xf>
    <xf numFmtId="0" fontId="5379" fillId="5" borderId="1" xfId="0" applyFont="1" applyFill="1" applyBorder="1" applyAlignment="1">
      <alignment horizontal="center" vertical="center"/>
    </xf>
    <xf numFmtId="0" fontId="5380" fillId="6" borderId="1" xfId="0" applyFont="1" applyFill="1" applyBorder="1" applyAlignment="1">
      <alignment horizontal="center" vertical="center"/>
    </xf>
    <xf numFmtId="0" fontId="5381" fillId="6" borderId="1" xfId="0" applyFont="1" applyFill="1" applyBorder="1" applyAlignment="1">
      <alignment horizontal="center" vertical="center"/>
    </xf>
    <xf numFmtId="0" fontId="5382" fillId="6" borderId="1" xfId="0" applyFont="1" applyFill="1" applyBorder="1" applyAlignment="1">
      <alignment horizontal="center" vertical="center"/>
    </xf>
    <xf numFmtId="0" fontId="5383" fillId="7" borderId="1" xfId="0" applyNumberFormat="1" applyFont="1" applyFill="1" applyBorder="1" applyAlignment="1">
      <alignment horizontal="left" vertical="center"/>
    </xf>
    <xf numFmtId="0" fontId="5384" fillId="8" borderId="1" xfId="0" applyNumberFormat="1" applyFont="1" applyFill="1" applyBorder="1" applyAlignment="1">
      <alignment horizontal="center" vertical="center"/>
    </xf>
    <xf numFmtId="164" fontId="5385" fillId="8" borderId="1" xfId="0" applyNumberFormat="1" applyFont="1" applyFill="1" applyBorder="1" applyAlignment="1">
      <alignment horizontal="center" vertical="center"/>
    </xf>
    <xf numFmtId="1" fontId="5386" fillId="8" borderId="1" xfId="0" applyNumberFormat="1" applyFont="1" applyFill="1" applyBorder="1" applyAlignment="1">
      <alignment horizontal="center" vertical="center"/>
    </xf>
    <xf numFmtId="1" fontId="5387" fillId="8" borderId="1" xfId="0" applyNumberFormat="1" applyFont="1" applyFill="1" applyBorder="1" applyAlignment="1">
      <alignment horizontal="center" vertical="center"/>
    </xf>
    <xf numFmtId="1" fontId="5388" fillId="8" borderId="1" xfId="0" applyNumberFormat="1" applyFont="1" applyFill="1" applyBorder="1" applyAlignment="1">
      <alignment horizontal="center" vertical="center"/>
    </xf>
    <xf numFmtId="1" fontId="5389" fillId="8" borderId="1" xfId="0" applyNumberFormat="1" applyFont="1" applyFill="1" applyBorder="1" applyAlignment="1">
      <alignment horizontal="center" vertical="center"/>
    </xf>
    <xf numFmtId="1" fontId="5390" fillId="8" borderId="1" xfId="0" applyNumberFormat="1" applyFont="1" applyFill="1" applyBorder="1" applyAlignment="1">
      <alignment horizontal="center" vertical="center"/>
    </xf>
    <xf numFmtId="1" fontId="5391" fillId="8" borderId="1" xfId="0" applyNumberFormat="1" applyFont="1" applyFill="1" applyBorder="1" applyAlignment="1">
      <alignment horizontal="center" vertical="center"/>
    </xf>
    <xf numFmtId="1" fontId="5392" fillId="8" borderId="1" xfId="0" applyNumberFormat="1" applyFont="1" applyFill="1" applyBorder="1" applyAlignment="1">
      <alignment horizontal="center" vertical="center"/>
    </xf>
    <xf numFmtId="0" fontId="5393" fillId="8" borderId="1" xfId="0" applyNumberFormat="1" applyFont="1" applyFill="1" applyBorder="1" applyAlignment="1">
      <alignment horizontal="center" vertical="center"/>
    </xf>
    <xf numFmtId="0" fontId="5394" fillId="8" borderId="1" xfId="0" applyNumberFormat="1" applyFont="1" applyFill="1" applyBorder="1" applyAlignment="1">
      <alignment horizontal="center" vertical="center"/>
    </xf>
    <xf numFmtId="1" fontId="5395" fillId="8" borderId="1" xfId="0" applyNumberFormat="1" applyFont="1" applyFill="1" applyBorder="1" applyAlignment="1">
      <alignment horizontal="center" vertical="center"/>
    </xf>
    <xf numFmtId="1" fontId="5396" fillId="8" borderId="1" xfId="0" applyNumberFormat="1" applyFont="1" applyFill="1" applyBorder="1" applyAlignment="1">
      <alignment horizontal="center" vertical="center"/>
    </xf>
    <xf numFmtId="1" fontId="5397" fillId="8" borderId="1" xfId="0" applyNumberFormat="1" applyFont="1" applyFill="1" applyBorder="1" applyAlignment="1">
      <alignment horizontal="center" vertical="center"/>
    </xf>
    <xf numFmtId="165" fontId="5398" fillId="8" borderId="1" xfId="0" applyNumberFormat="1" applyFont="1" applyFill="1" applyBorder="1" applyAlignment="1">
      <alignment horizontal="center" vertical="center"/>
    </xf>
    <xf numFmtId="1" fontId="5399" fillId="8" borderId="1" xfId="0" applyNumberFormat="1" applyFont="1" applyFill="1" applyBorder="1" applyAlignment="1">
      <alignment horizontal="center" vertical="center"/>
    </xf>
    <xf numFmtId="165" fontId="5400" fillId="8" borderId="1" xfId="0" applyNumberFormat="1" applyFont="1" applyFill="1" applyBorder="1" applyAlignment="1">
      <alignment horizontal="center" vertical="center"/>
    </xf>
    <xf numFmtId="1" fontId="5401" fillId="8" borderId="1" xfId="0" applyNumberFormat="1" applyFont="1" applyFill="1" applyBorder="1" applyAlignment="1">
      <alignment horizontal="center" vertical="center"/>
    </xf>
    <xf numFmtId="165" fontId="5402" fillId="8" borderId="1" xfId="0" applyNumberFormat="1" applyFont="1" applyFill="1" applyBorder="1" applyAlignment="1">
      <alignment horizontal="center" vertical="center"/>
    </xf>
    <xf numFmtId="1" fontId="5403" fillId="8" borderId="1" xfId="0" applyNumberFormat="1" applyFont="1" applyFill="1" applyBorder="1" applyAlignment="1">
      <alignment horizontal="center" vertical="center"/>
    </xf>
    <xf numFmtId="165" fontId="5404" fillId="8" borderId="1" xfId="0" applyNumberFormat="1" applyFont="1" applyFill="1" applyBorder="1" applyAlignment="1">
      <alignment horizontal="center" vertical="center"/>
    </xf>
    <xf numFmtId="165" fontId="5405" fillId="8" borderId="1" xfId="0" applyNumberFormat="1" applyFont="1" applyFill="1" applyBorder="1" applyAlignment="1">
      <alignment horizontal="center" vertical="center"/>
    </xf>
    <xf numFmtId="1" fontId="5406" fillId="8" borderId="1" xfId="0" applyNumberFormat="1" applyFont="1" applyFill="1" applyBorder="1" applyAlignment="1">
      <alignment horizontal="center" vertical="center"/>
    </xf>
    <xf numFmtId="1" fontId="5407" fillId="8" borderId="1" xfId="0" applyNumberFormat="1" applyFont="1" applyFill="1" applyBorder="1" applyAlignment="1">
      <alignment horizontal="center" vertical="center"/>
    </xf>
    <xf numFmtId="1" fontId="5408" fillId="8" borderId="1" xfId="0" applyNumberFormat="1" applyFont="1" applyFill="1" applyBorder="1" applyAlignment="1">
      <alignment horizontal="center" vertical="center"/>
    </xf>
    <xf numFmtId="165" fontId="5409" fillId="8" borderId="1" xfId="0" applyNumberFormat="1" applyFont="1" applyFill="1" applyBorder="1" applyAlignment="1">
      <alignment horizontal="center" vertical="center"/>
    </xf>
    <xf numFmtId="164" fontId="5410" fillId="8" borderId="1" xfId="0" applyNumberFormat="1" applyFont="1" applyFill="1" applyBorder="1" applyAlignment="1">
      <alignment horizontal="center" vertical="center"/>
    </xf>
    <xf numFmtId="164" fontId="5411" fillId="8" borderId="1" xfId="0" applyNumberFormat="1" applyFont="1" applyFill="1" applyBorder="1" applyAlignment="1">
      <alignment horizontal="center" vertical="center"/>
    </xf>
    <xf numFmtId="1" fontId="5412" fillId="8" borderId="1" xfId="0" applyNumberFormat="1" applyFont="1" applyFill="1" applyBorder="1" applyAlignment="1">
      <alignment horizontal="center" vertical="center"/>
    </xf>
    <xf numFmtId="1" fontId="5413" fillId="8" borderId="1" xfId="0" applyNumberFormat="1" applyFont="1" applyFill="1" applyBorder="1" applyAlignment="1">
      <alignment horizontal="center" vertical="center"/>
    </xf>
    <xf numFmtId="1" fontId="5414" fillId="8" borderId="1" xfId="0" applyNumberFormat="1" applyFont="1" applyFill="1" applyBorder="1" applyAlignment="1">
      <alignment horizontal="center" vertical="center"/>
    </xf>
    <xf numFmtId="165" fontId="5415" fillId="8" borderId="1" xfId="0" applyNumberFormat="1" applyFont="1" applyFill="1" applyBorder="1" applyAlignment="1">
      <alignment horizontal="center" vertical="center"/>
    </xf>
    <xf numFmtId="1" fontId="5416" fillId="8" borderId="1" xfId="0" applyNumberFormat="1" applyFont="1" applyFill="1" applyBorder="1" applyAlignment="1">
      <alignment horizontal="center" vertical="center"/>
    </xf>
    <xf numFmtId="165" fontId="5417" fillId="8" borderId="1" xfId="0" applyNumberFormat="1" applyFont="1" applyFill="1" applyBorder="1" applyAlignment="1">
      <alignment horizontal="center" vertical="center"/>
    </xf>
    <xf numFmtId="1" fontId="5418" fillId="8" borderId="1" xfId="0" applyNumberFormat="1" applyFont="1" applyFill="1" applyBorder="1" applyAlignment="1">
      <alignment horizontal="center" vertical="center"/>
    </xf>
    <xf numFmtId="1" fontId="5419" fillId="8" borderId="1" xfId="0" applyNumberFormat="1" applyFont="1" applyFill="1" applyBorder="1" applyAlignment="1">
      <alignment horizontal="center" vertical="center"/>
    </xf>
    <xf numFmtId="1" fontId="5420" fillId="8" borderId="1" xfId="0" applyNumberFormat="1" applyFont="1" applyFill="1" applyBorder="1" applyAlignment="1">
      <alignment horizontal="center" vertical="center"/>
    </xf>
    <xf numFmtId="1" fontId="5421" fillId="8" borderId="1" xfId="0" applyNumberFormat="1" applyFont="1" applyFill="1" applyBorder="1" applyAlignment="1">
      <alignment horizontal="center" vertical="center"/>
    </xf>
    <xf numFmtId="165" fontId="5422" fillId="8" borderId="1" xfId="0" applyNumberFormat="1" applyFont="1" applyFill="1" applyBorder="1" applyAlignment="1">
      <alignment horizontal="center" vertical="center"/>
    </xf>
    <xf numFmtId="1" fontId="5423" fillId="8" borderId="1" xfId="0" applyNumberFormat="1" applyFont="1" applyFill="1" applyBorder="1" applyAlignment="1">
      <alignment horizontal="center" vertical="center"/>
    </xf>
    <xf numFmtId="165" fontId="5424" fillId="8" borderId="1" xfId="0" applyNumberFormat="1" applyFont="1" applyFill="1" applyBorder="1" applyAlignment="1">
      <alignment horizontal="center" vertical="center"/>
    </xf>
    <xf numFmtId="1" fontId="5425" fillId="8" borderId="1" xfId="0" applyNumberFormat="1" applyFont="1" applyFill="1" applyBorder="1" applyAlignment="1">
      <alignment horizontal="center" vertical="center"/>
    </xf>
    <xf numFmtId="165" fontId="5426" fillId="8" borderId="1" xfId="0" applyNumberFormat="1" applyFont="1" applyFill="1" applyBorder="1" applyAlignment="1">
      <alignment horizontal="center" vertical="center"/>
    </xf>
    <xf numFmtId="2" fontId="5427" fillId="8" borderId="1" xfId="0" applyNumberFormat="1" applyFont="1" applyFill="1" applyBorder="1" applyAlignment="1">
      <alignment horizontal="center" vertical="center"/>
    </xf>
    <xf numFmtId="2" fontId="5428" fillId="8" borderId="1" xfId="0" applyNumberFormat="1" applyFont="1" applyFill="1" applyBorder="1" applyAlignment="1">
      <alignment horizontal="center" vertical="center"/>
    </xf>
    <xf numFmtId="2" fontId="5429" fillId="8" borderId="1" xfId="0" applyNumberFormat="1" applyFont="1" applyFill="1" applyBorder="1" applyAlignment="1">
      <alignment horizontal="center" vertical="center"/>
    </xf>
    <xf numFmtId="2" fontId="5430" fillId="8" borderId="1" xfId="0" applyNumberFormat="1" applyFont="1" applyFill="1" applyBorder="1" applyAlignment="1">
      <alignment horizontal="center" vertical="center"/>
    </xf>
    <xf numFmtId="2" fontId="5431" fillId="8" borderId="1" xfId="0" applyNumberFormat="1" applyFont="1" applyFill="1" applyBorder="1" applyAlignment="1">
      <alignment horizontal="center" vertical="center"/>
    </xf>
    <xf numFmtId="2" fontId="5432" fillId="8" borderId="1" xfId="0" applyNumberFormat="1" applyFont="1" applyFill="1" applyBorder="1" applyAlignment="1">
      <alignment horizontal="center" vertical="center"/>
    </xf>
    <xf numFmtId="2" fontId="5433" fillId="8" borderId="1" xfId="0" applyNumberFormat="1" applyFont="1" applyFill="1" applyBorder="1" applyAlignment="1">
      <alignment horizontal="center" vertical="center"/>
    </xf>
    <xf numFmtId="2" fontId="5434" fillId="8" borderId="1" xfId="0" applyNumberFormat="1" applyFont="1" applyFill="1" applyBorder="1" applyAlignment="1">
      <alignment horizontal="center" vertical="center"/>
    </xf>
    <xf numFmtId="2" fontId="5435" fillId="8" borderId="1" xfId="0" applyNumberFormat="1" applyFont="1" applyFill="1" applyBorder="1" applyAlignment="1">
      <alignment horizontal="center" vertical="center"/>
    </xf>
    <xf numFmtId="2" fontId="5436" fillId="8" borderId="1" xfId="0" applyNumberFormat="1" applyFont="1" applyFill="1" applyBorder="1" applyAlignment="1">
      <alignment horizontal="center" vertical="center"/>
    </xf>
    <xf numFmtId="2" fontId="5437" fillId="8" borderId="1" xfId="0" applyNumberFormat="1" applyFont="1" applyFill="1" applyBorder="1" applyAlignment="1">
      <alignment horizontal="center" vertical="center"/>
    </xf>
    <xf numFmtId="2" fontId="5438" fillId="8" borderId="1" xfId="0" applyNumberFormat="1" applyFont="1" applyFill="1" applyBorder="1" applyAlignment="1">
      <alignment horizontal="center" vertical="center"/>
    </xf>
    <xf numFmtId="2" fontId="5439" fillId="8" borderId="1" xfId="0" applyNumberFormat="1" applyFont="1" applyFill="1" applyBorder="1" applyAlignment="1">
      <alignment horizontal="center" vertical="center"/>
    </xf>
    <xf numFmtId="2" fontId="5440" fillId="8" borderId="1" xfId="0" applyNumberFormat="1" applyFont="1" applyFill="1" applyBorder="1" applyAlignment="1">
      <alignment horizontal="center" vertical="center"/>
    </xf>
    <xf numFmtId="2" fontId="5441" fillId="8" borderId="1" xfId="0" applyNumberFormat="1" applyFont="1" applyFill="1" applyBorder="1" applyAlignment="1">
      <alignment horizontal="center" vertical="center"/>
    </xf>
    <xf numFmtId="2" fontId="5442" fillId="8" borderId="1" xfId="0" applyNumberFormat="1" applyFont="1" applyFill="1" applyBorder="1" applyAlignment="1">
      <alignment horizontal="center" vertical="center"/>
    </xf>
    <xf numFmtId="2" fontId="5443" fillId="8" borderId="1" xfId="0" applyNumberFormat="1" applyFont="1" applyFill="1" applyBorder="1" applyAlignment="1">
      <alignment horizontal="center" vertical="center"/>
    </xf>
    <xf numFmtId="2" fontId="5444" fillId="8" borderId="1" xfId="0" applyNumberFormat="1" applyFont="1" applyFill="1" applyBorder="1" applyAlignment="1">
      <alignment horizontal="center" vertical="center"/>
    </xf>
    <xf numFmtId="2" fontId="5445" fillId="8" borderId="1" xfId="0" applyNumberFormat="1" applyFont="1" applyFill="1" applyBorder="1" applyAlignment="1">
      <alignment horizontal="center" vertical="center"/>
    </xf>
    <xf numFmtId="2" fontId="5446" fillId="8" borderId="1" xfId="0" applyNumberFormat="1" applyFont="1" applyFill="1" applyBorder="1" applyAlignment="1">
      <alignment horizontal="center" vertical="center"/>
    </xf>
    <xf numFmtId="2" fontId="5447" fillId="8" borderId="1" xfId="0" applyNumberFormat="1" applyFont="1" applyFill="1" applyBorder="1" applyAlignment="1">
      <alignment horizontal="center" vertical="center"/>
    </xf>
    <xf numFmtId="2" fontId="5448" fillId="8" borderId="1" xfId="0" applyNumberFormat="1" applyFont="1" applyFill="1" applyBorder="1" applyAlignment="1">
      <alignment horizontal="center" vertical="center"/>
    </xf>
    <xf numFmtId="2" fontId="5449" fillId="8" borderId="1" xfId="0" applyNumberFormat="1" applyFont="1" applyFill="1" applyBorder="1" applyAlignment="1">
      <alignment horizontal="center" vertical="center"/>
    </xf>
    <xf numFmtId="2" fontId="5450" fillId="8" borderId="1" xfId="0" applyNumberFormat="1" applyFont="1" applyFill="1" applyBorder="1" applyAlignment="1">
      <alignment horizontal="center" vertical="center"/>
    </xf>
    <xf numFmtId="2" fontId="5451" fillId="8" borderId="1" xfId="0" applyNumberFormat="1" applyFont="1" applyFill="1" applyBorder="1" applyAlignment="1">
      <alignment horizontal="center" vertical="center"/>
    </xf>
    <xf numFmtId="2" fontId="5452" fillId="8" borderId="1" xfId="0" applyNumberFormat="1" applyFont="1" applyFill="1" applyBorder="1" applyAlignment="1">
      <alignment horizontal="center" vertical="center"/>
    </xf>
    <xf numFmtId="2" fontId="5453" fillId="8" borderId="1" xfId="0" applyNumberFormat="1" applyFont="1" applyFill="1" applyBorder="1" applyAlignment="1">
      <alignment horizontal="center" vertical="center"/>
    </xf>
    <xf numFmtId="2" fontId="5454" fillId="8" borderId="1" xfId="0" applyNumberFormat="1" applyFont="1" applyFill="1" applyBorder="1" applyAlignment="1">
      <alignment horizontal="center" vertical="center"/>
    </xf>
    <xf numFmtId="2" fontId="5455" fillId="8" borderId="1" xfId="0" applyNumberFormat="1" applyFont="1" applyFill="1" applyBorder="1" applyAlignment="1">
      <alignment horizontal="center" vertical="center"/>
    </xf>
    <xf numFmtId="2" fontId="5456" fillId="8" borderId="1" xfId="0" applyNumberFormat="1" applyFont="1" applyFill="1" applyBorder="1" applyAlignment="1">
      <alignment horizontal="center" vertical="center"/>
    </xf>
    <xf numFmtId="2" fontId="5457" fillId="8" borderId="1" xfId="0" applyNumberFormat="1" applyFont="1" applyFill="1" applyBorder="1" applyAlignment="1">
      <alignment horizontal="center" vertical="center"/>
    </xf>
    <xf numFmtId="2" fontId="5458" fillId="8" borderId="1" xfId="0" applyNumberFormat="1" applyFont="1" applyFill="1" applyBorder="1" applyAlignment="1">
      <alignment horizontal="center" vertical="center"/>
    </xf>
    <xf numFmtId="2" fontId="5459" fillId="8" borderId="1" xfId="0" applyNumberFormat="1" applyFont="1" applyFill="1" applyBorder="1" applyAlignment="1">
      <alignment horizontal="center" vertical="center"/>
    </xf>
    <xf numFmtId="2" fontId="5460" fillId="8" borderId="1" xfId="0" applyNumberFormat="1" applyFont="1" applyFill="1" applyBorder="1" applyAlignment="1">
      <alignment horizontal="center" vertical="center"/>
    </xf>
    <xf numFmtId="0" fontId="5461" fillId="7" borderId="1" xfId="0" applyNumberFormat="1" applyFont="1" applyFill="1" applyBorder="1" applyAlignment="1">
      <alignment horizontal="left" vertical="center"/>
    </xf>
    <xf numFmtId="0" fontId="5462" fillId="8" borderId="1" xfId="0" applyNumberFormat="1" applyFont="1" applyFill="1" applyBorder="1" applyAlignment="1">
      <alignment horizontal="center" vertical="center"/>
    </xf>
    <xf numFmtId="164" fontId="5463" fillId="8" borderId="1" xfId="0" applyNumberFormat="1" applyFont="1" applyFill="1" applyBorder="1" applyAlignment="1">
      <alignment horizontal="center" vertical="center"/>
    </xf>
    <xf numFmtId="1" fontId="5464" fillId="8" borderId="1" xfId="0" applyNumberFormat="1" applyFont="1" applyFill="1" applyBorder="1" applyAlignment="1">
      <alignment horizontal="center" vertical="center"/>
    </xf>
    <xf numFmtId="1" fontId="5465" fillId="8" borderId="1" xfId="0" applyNumberFormat="1" applyFont="1" applyFill="1" applyBorder="1" applyAlignment="1">
      <alignment horizontal="center" vertical="center"/>
    </xf>
    <xf numFmtId="1" fontId="5466" fillId="8" borderId="1" xfId="0" applyNumberFormat="1" applyFont="1" applyFill="1" applyBorder="1" applyAlignment="1">
      <alignment horizontal="center" vertical="center"/>
    </xf>
    <xf numFmtId="1" fontId="5467" fillId="8" borderId="1" xfId="0" applyNumberFormat="1" applyFont="1" applyFill="1" applyBorder="1" applyAlignment="1">
      <alignment horizontal="center" vertical="center"/>
    </xf>
    <xf numFmtId="1" fontId="5468" fillId="8" borderId="1" xfId="0" applyNumberFormat="1" applyFont="1" applyFill="1" applyBorder="1" applyAlignment="1">
      <alignment horizontal="center" vertical="center"/>
    </xf>
    <xf numFmtId="1" fontId="5469" fillId="8" borderId="1" xfId="0" applyNumberFormat="1" applyFont="1" applyFill="1" applyBorder="1" applyAlignment="1">
      <alignment horizontal="center" vertical="center"/>
    </xf>
    <xf numFmtId="1" fontId="5470" fillId="8" borderId="1" xfId="0" applyNumberFormat="1" applyFont="1" applyFill="1" applyBorder="1" applyAlignment="1">
      <alignment horizontal="center" vertical="center"/>
    </xf>
    <xf numFmtId="0" fontId="5471" fillId="8" borderId="1" xfId="0" applyNumberFormat="1" applyFont="1" applyFill="1" applyBorder="1" applyAlignment="1">
      <alignment horizontal="center" vertical="center"/>
    </xf>
    <xf numFmtId="0" fontId="5472" fillId="8" borderId="1" xfId="0" applyNumberFormat="1" applyFont="1" applyFill="1" applyBorder="1" applyAlignment="1">
      <alignment horizontal="center" vertical="center"/>
    </xf>
    <xf numFmtId="1" fontId="5473" fillId="8" borderId="1" xfId="0" applyNumberFormat="1" applyFont="1" applyFill="1" applyBorder="1" applyAlignment="1">
      <alignment horizontal="center" vertical="center"/>
    </xf>
    <xf numFmtId="1" fontId="5474" fillId="8" borderId="1" xfId="0" applyNumberFormat="1" applyFont="1" applyFill="1" applyBorder="1" applyAlignment="1">
      <alignment horizontal="center" vertical="center"/>
    </xf>
    <xf numFmtId="1" fontId="5475" fillId="8" borderId="1" xfId="0" applyNumberFormat="1" applyFont="1" applyFill="1" applyBorder="1" applyAlignment="1">
      <alignment horizontal="center" vertical="center"/>
    </xf>
    <xf numFmtId="165" fontId="5476" fillId="8" borderId="1" xfId="0" applyNumberFormat="1" applyFont="1" applyFill="1" applyBorder="1" applyAlignment="1">
      <alignment horizontal="center" vertical="center"/>
    </xf>
    <xf numFmtId="1" fontId="5477" fillId="8" borderId="1" xfId="0" applyNumberFormat="1" applyFont="1" applyFill="1" applyBorder="1" applyAlignment="1">
      <alignment horizontal="center" vertical="center"/>
    </xf>
    <xf numFmtId="165" fontId="5478" fillId="8" borderId="1" xfId="0" applyNumberFormat="1" applyFont="1" applyFill="1" applyBorder="1" applyAlignment="1">
      <alignment horizontal="center" vertical="center"/>
    </xf>
    <xf numFmtId="1" fontId="5479" fillId="8" borderId="1" xfId="0" applyNumberFormat="1" applyFont="1" applyFill="1" applyBorder="1" applyAlignment="1">
      <alignment horizontal="center" vertical="center"/>
    </xf>
    <xf numFmtId="165" fontId="5480" fillId="8" borderId="1" xfId="0" applyNumberFormat="1" applyFont="1" applyFill="1" applyBorder="1" applyAlignment="1">
      <alignment horizontal="center" vertical="center"/>
    </xf>
    <xf numFmtId="1" fontId="5481" fillId="8" borderId="1" xfId="0" applyNumberFormat="1" applyFont="1" applyFill="1" applyBorder="1" applyAlignment="1">
      <alignment horizontal="center" vertical="center"/>
    </xf>
    <xf numFmtId="165" fontId="5482" fillId="8" borderId="1" xfId="0" applyNumberFormat="1" applyFont="1" applyFill="1" applyBorder="1" applyAlignment="1">
      <alignment horizontal="center" vertical="center"/>
    </xf>
    <xf numFmtId="165" fontId="5483" fillId="8" borderId="1" xfId="0" applyNumberFormat="1" applyFont="1" applyFill="1" applyBorder="1" applyAlignment="1">
      <alignment horizontal="center" vertical="center"/>
    </xf>
    <xf numFmtId="1" fontId="5484" fillId="8" borderId="1" xfId="0" applyNumberFormat="1" applyFont="1" applyFill="1" applyBorder="1" applyAlignment="1">
      <alignment horizontal="center" vertical="center"/>
    </xf>
    <xf numFmtId="1" fontId="5485" fillId="8" borderId="1" xfId="0" applyNumberFormat="1" applyFont="1" applyFill="1" applyBorder="1" applyAlignment="1">
      <alignment horizontal="center" vertical="center"/>
    </xf>
    <xf numFmtId="1" fontId="5486" fillId="8" borderId="1" xfId="0" applyNumberFormat="1" applyFont="1" applyFill="1" applyBorder="1" applyAlignment="1">
      <alignment horizontal="center" vertical="center"/>
    </xf>
    <xf numFmtId="165" fontId="5487" fillId="8" borderId="1" xfId="0" applyNumberFormat="1" applyFont="1" applyFill="1" applyBorder="1" applyAlignment="1">
      <alignment horizontal="center" vertical="center"/>
    </xf>
    <xf numFmtId="164" fontId="5488" fillId="8" borderId="1" xfId="0" applyNumberFormat="1" applyFont="1" applyFill="1" applyBorder="1" applyAlignment="1">
      <alignment horizontal="center" vertical="center"/>
    </xf>
    <xf numFmtId="164" fontId="5489" fillId="8" borderId="1" xfId="0" applyNumberFormat="1" applyFont="1" applyFill="1" applyBorder="1" applyAlignment="1">
      <alignment horizontal="center" vertical="center"/>
    </xf>
    <xf numFmtId="1" fontId="5490" fillId="8" borderId="1" xfId="0" applyNumberFormat="1" applyFont="1" applyFill="1" applyBorder="1" applyAlignment="1">
      <alignment horizontal="center" vertical="center"/>
    </xf>
    <xf numFmtId="1" fontId="5491" fillId="8" borderId="1" xfId="0" applyNumberFormat="1" applyFont="1" applyFill="1" applyBorder="1" applyAlignment="1">
      <alignment horizontal="center" vertical="center"/>
    </xf>
    <xf numFmtId="1" fontId="5492" fillId="8" borderId="1" xfId="0" applyNumberFormat="1" applyFont="1" applyFill="1" applyBorder="1" applyAlignment="1">
      <alignment horizontal="center" vertical="center"/>
    </xf>
    <xf numFmtId="165" fontId="5493" fillId="8" borderId="1" xfId="0" applyNumberFormat="1" applyFont="1" applyFill="1" applyBorder="1" applyAlignment="1">
      <alignment horizontal="center" vertical="center"/>
    </xf>
    <xf numFmtId="1" fontId="5494" fillId="8" borderId="1" xfId="0" applyNumberFormat="1" applyFont="1" applyFill="1" applyBorder="1" applyAlignment="1">
      <alignment horizontal="center" vertical="center"/>
    </xf>
    <xf numFmtId="165" fontId="5495" fillId="8" borderId="1" xfId="0" applyNumberFormat="1" applyFont="1" applyFill="1" applyBorder="1" applyAlignment="1">
      <alignment horizontal="center" vertical="center"/>
    </xf>
    <xf numFmtId="1" fontId="5496" fillId="8" borderId="1" xfId="0" applyNumberFormat="1" applyFont="1" applyFill="1" applyBorder="1" applyAlignment="1">
      <alignment horizontal="center" vertical="center"/>
    </xf>
    <xf numFmtId="1" fontId="5497" fillId="8" borderId="1" xfId="0" applyNumberFormat="1" applyFont="1" applyFill="1" applyBorder="1" applyAlignment="1">
      <alignment horizontal="center" vertical="center"/>
    </xf>
    <xf numFmtId="1" fontId="5498" fillId="8" borderId="1" xfId="0" applyNumberFormat="1" applyFont="1" applyFill="1" applyBorder="1" applyAlignment="1">
      <alignment horizontal="center" vertical="center"/>
    </xf>
    <xf numFmtId="1" fontId="5499" fillId="8" borderId="1" xfId="0" applyNumberFormat="1" applyFont="1" applyFill="1" applyBorder="1" applyAlignment="1">
      <alignment horizontal="center" vertical="center"/>
    </xf>
    <xf numFmtId="165" fontId="5500" fillId="8" borderId="1" xfId="0" applyNumberFormat="1" applyFont="1" applyFill="1" applyBorder="1" applyAlignment="1">
      <alignment horizontal="center" vertical="center"/>
    </xf>
    <xf numFmtId="1" fontId="5501" fillId="8" borderId="1" xfId="0" applyNumberFormat="1" applyFont="1" applyFill="1" applyBorder="1" applyAlignment="1">
      <alignment horizontal="center" vertical="center"/>
    </xf>
    <xf numFmtId="165" fontId="5502" fillId="8" borderId="1" xfId="0" applyNumberFormat="1" applyFont="1" applyFill="1" applyBorder="1" applyAlignment="1">
      <alignment horizontal="center" vertical="center"/>
    </xf>
    <xf numFmtId="1" fontId="5503" fillId="8" borderId="1" xfId="0" applyNumberFormat="1" applyFont="1" applyFill="1" applyBorder="1" applyAlignment="1">
      <alignment horizontal="center" vertical="center"/>
    </xf>
    <xf numFmtId="165" fontId="5504" fillId="8" borderId="1" xfId="0" applyNumberFormat="1" applyFont="1" applyFill="1" applyBorder="1" applyAlignment="1">
      <alignment horizontal="center" vertical="center"/>
    </xf>
    <xf numFmtId="2" fontId="5505" fillId="8" borderId="1" xfId="0" applyNumberFormat="1" applyFont="1" applyFill="1" applyBorder="1" applyAlignment="1">
      <alignment horizontal="center" vertical="center"/>
    </xf>
    <xf numFmtId="2" fontId="5506" fillId="8" borderId="1" xfId="0" applyNumberFormat="1" applyFont="1" applyFill="1" applyBorder="1" applyAlignment="1">
      <alignment horizontal="center" vertical="center"/>
    </xf>
    <xf numFmtId="2" fontId="5507" fillId="8" borderId="1" xfId="0" applyNumberFormat="1" applyFont="1" applyFill="1" applyBorder="1" applyAlignment="1">
      <alignment horizontal="center" vertical="center"/>
    </xf>
    <xf numFmtId="2" fontId="5508" fillId="8" borderId="1" xfId="0" applyNumberFormat="1" applyFont="1" applyFill="1" applyBorder="1" applyAlignment="1">
      <alignment horizontal="center" vertical="center"/>
    </xf>
    <xf numFmtId="2" fontId="5509" fillId="8" borderId="1" xfId="0" applyNumberFormat="1" applyFont="1" applyFill="1" applyBorder="1" applyAlignment="1">
      <alignment horizontal="center" vertical="center"/>
    </xf>
    <xf numFmtId="2" fontId="5510" fillId="8" borderId="1" xfId="0" applyNumberFormat="1" applyFont="1" applyFill="1" applyBorder="1" applyAlignment="1">
      <alignment horizontal="center" vertical="center"/>
    </xf>
    <xf numFmtId="2" fontId="5511" fillId="8" borderId="1" xfId="0" applyNumberFormat="1" applyFont="1" applyFill="1" applyBorder="1" applyAlignment="1">
      <alignment horizontal="center" vertical="center"/>
    </xf>
    <xf numFmtId="2" fontId="5512" fillId="8" borderId="1" xfId="0" applyNumberFormat="1" applyFont="1" applyFill="1" applyBorder="1" applyAlignment="1">
      <alignment horizontal="center" vertical="center"/>
    </xf>
    <xf numFmtId="2" fontId="5513" fillId="8" borderId="1" xfId="0" applyNumberFormat="1" applyFont="1" applyFill="1" applyBorder="1" applyAlignment="1">
      <alignment horizontal="center" vertical="center"/>
    </xf>
    <xf numFmtId="2" fontId="5514" fillId="8" borderId="1" xfId="0" applyNumberFormat="1" applyFont="1" applyFill="1" applyBorder="1" applyAlignment="1">
      <alignment horizontal="center" vertical="center"/>
    </xf>
    <xf numFmtId="2" fontId="5515" fillId="8" borderId="1" xfId="0" applyNumberFormat="1" applyFont="1" applyFill="1" applyBorder="1" applyAlignment="1">
      <alignment horizontal="center" vertical="center"/>
    </xf>
    <xf numFmtId="2" fontId="5516" fillId="8" borderId="1" xfId="0" applyNumberFormat="1" applyFont="1" applyFill="1" applyBorder="1" applyAlignment="1">
      <alignment horizontal="center" vertical="center"/>
    </xf>
    <xf numFmtId="2" fontId="5517" fillId="8" borderId="1" xfId="0" applyNumberFormat="1" applyFont="1" applyFill="1" applyBorder="1" applyAlignment="1">
      <alignment horizontal="center" vertical="center"/>
    </xf>
    <xf numFmtId="2" fontId="5518" fillId="8" borderId="1" xfId="0" applyNumberFormat="1" applyFont="1" applyFill="1" applyBorder="1" applyAlignment="1">
      <alignment horizontal="center" vertical="center"/>
    </xf>
    <xf numFmtId="2" fontId="5519" fillId="8" borderId="1" xfId="0" applyNumberFormat="1" applyFont="1" applyFill="1" applyBorder="1" applyAlignment="1">
      <alignment horizontal="center" vertical="center"/>
    </xf>
    <xf numFmtId="2" fontId="5520" fillId="8" borderId="1" xfId="0" applyNumberFormat="1" applyFont="1" applyFill="1" applyBorder="1" applyAlignment="1">
      <alignment horizontal="center" vertical="center"/>
    </xf>
    <xf numFmtId="2" fontId="5521" fillId="8" borderId="1" xfId="0" applyNumberFormat="1" applyFont="1" applyFill="1" applyBorder="1" applyAlignment="1">
      <alignment horizontal="center" vertical="center"/>
    </xf>
    <xf numFmtId="2" fontId="5522" fillId="8" borderId="1" xfId="0" applyNumberFormat="1" applyFont="1" applyFill="1" applyBorder="1" applyAlignment="1">
      <alignment horizontal="center" vertical="center"/>
    </xf>
    <xf numFmtId="2" fontId="5523" fillId="8" borderId="1" xfId="0" applyNumberFormat="1" applyFont="1" applyFill="1" applyBorder="1" applyAlignment="1">
      <alignment horizontal="center" vertical="center"/>
    </xf>
    <xf numFmtId="2" fontId="5524" fillId="8" borderId="1" xfId="0" applyNumberFormat="1" applyFont="1" applyFill="1" applyBorder="1" applyAlignment="1">
      <alignment horizontal="center" vertical="center"/>
    </xf>
    <xf numFmtId="2" fontId="5525" fillId="8" borderId="1" xfId="0" applyNumberFormat="1" applyFont="1" applyFill="1" applyBorder="1" applyAlignment="1">
      <alignment horizontal="center" vertical="center"/>
    </xf>
    <xf numFmtId="2" fontId="5526" fillId="8" borderId="1" xfId="0" applyNumberFormat="1" applyFont="1" applyFill="1" applyBorder="1" applyAlignment="1">
      <alignment horizontal="center" vertical="center"/>
    </xf>
    <xf numFmtId="2" fontId="5527" fillId="8" borderId="1" xfId="0" applyNumberFormat="1" applyFont="1" applyFill="1" applyBorder="1" applyAlignment="1">
      <alignment horizontal="center" vertical="center"/>
    </xf>
    <xf numFmtId="2" fontId="5528" fillId="8" borderId="1" xfId="0" applyNumberFormat="1" applyFont="1" applyFill="1" applyBorder="1" applyAlignment="1">
      <alignment horizontal="center" vertical="center"/>
    </xf>
    <xf numFmtId="2" fontId="5529" fillId="8" borderId="1" xfId="0" applyNumberFormat="1" applyFont="1" applyFill="1" applyBorder="1" applyAlignment="1">
      <alignment horizontal="center" vertical="center"/>
    </xf>
    <xf numFmtId="2" fontId="5530" fillId="8" borderId="1" xfId="0" applyNumberFormat="1" applyFont="1" applyFill="1" applyBorder="1" applyAlignment="1">
      <alignment horizontal="center" vertical="center"/>
    </xf>
    <xf numFmtId="2" fontId="5531" fillId="8" borderId="1" xfId="0" applyNumberFormat="1" applyFont="1" applyFill="1" applyBorder="1" applyAlignment="1">
      <alignment horizontal="center" vertical="center"/>
    </xf>
    <xf numFmtId="2" fontId="5532" fillId="8" borderId="1" xfId="0" applyNumberFormat="1" applyFont="1" applyFill="1" applyBorder="1" applyAlignment="1">
      <alignment horizontal="center" vertical="center"/>
    </xf>
    <xf numFmtId="2" fontId="5533" fillId="8" borderId="1" xfId="0" applyNumberFormat="1" applyFont="1" applyFill="1" applyBorder="1" applyAlignment="1">
      <alignment horizontal="center" vertical="center"/>
    </xf>
    <xf numFmtId="2" fontId="5534" fillId="8" borderId="1" xfId="0" applyNumberFormat="1" applyFont="1" applyFill="1" applyBorder="1" applyAlignment="1">
      <alignment horizontal="center" vertical="center"/>
    </xf>
    <xf numFmtId="2" fontId="5535" fillId="8" borderId="1" xfId="0" applyNumberFormat="1" applyFont="1" applyFill="1" applyBorder="1" applyAlignment="1">
      <alignment horizontal="center" vertical="center"/>
    </xf>
    <xf numFmtId="2" fontId="5536" fillId="8" borderId="1" xfId="0" applyNumberFormat="1" applyFont="1" applyFill="1" applyBorder="1" applyAlignment="1">
      <alignment horizontal="center" vertical="center"/>
    </xf>
    <xf numFmtId="2" fontId="5537" fillId="8" borderId="1" xfId="0" applyNumberFormat="1" applyFont="1" applyFill="1" applyBorder="1" applyAlignment="1">
      <alignment horizontal="center" vertical="center"/>
    </xf>
    <xf numFmtId="2" fontId="5538" fillId="8" borderId="1" xfId="0" applyNumberFormat="1" applyFont="1" applyFill="1" applyBorder="1" applyAlignment="1">
      <alignment horizontal="center" vertical="center"/>
    </xf>
    <xf numFmtId="0" fontId="5539" fillId="7" borderId="1" xfId="0" applyNumberFormat="1" applyFont="1" applyFill="1" applyBorder="1" applyAlignment="1">
      <alignment horizontal="left" vertical="center"/>
    </xf>
    <xf numFmtId="0" fontId="5540" fillId="8" borderId="1" xfId="0" applyNumberFormat="1" applyFont="1" applyFill="1" applyBorder="1" applyAlignment="1">
      <alignment horizontal="center" vertical="center"/>
    </xf>
    <xf numFmtId="164" fontId="5541" fillId="8" borderId="1" xfId="0" applyNumberFormat="1" applyFont="1" applyFill="1" applyBorder="1" applyAlignment="1">
      <alignment horizontal="center" vertical="center"/>
    </xf>
    <xf numFmtId="1" fontId="5542" fillId="8" borderId="1" xfId="0" applyNumberFormat="1" applyFont="1" applyFill="1" applyBorder="1" applyAlignment="1">
      <alignment horizontal="center" vertical="center"/>
    </xf>
    <xf numFmtId="1" fontId="5543" fillId="8" borderId="1" xfId="0" applyNumberFormat="1" applyFont="1" applyFill="1" applyBorder="1" applyAlignment="1">
      <alignment horizontal="center" vertical="center"/>
    </xf>
    <xf numFmtId="1" fontId="5544" fillId="8" borderId="1" xfId="0" applyNumberFormat="1" applyFont="1" applyFill="1" applyBorder="1" applyAlignment="1">
      <alignment horizontal="center" vertical="center"/>
    </xf>
    <xf numFmtId="1" fontId="5545" fillId="8" borderId="1" xfId="0" applyNumberFormat="1" applyFont="1" applyFill="1" applyBorder="1" applyAlignment="1">
      <alignment horizontal="center" vertical="center"/>
    </xf>
    <xf numFmtId="1" fontId="5546" fillId="8" borderId="1" xfId="0" applyNumberFormat="1" applyFont="1" applyFill="1" applyBorder="1" applyAlignment="1">
      <alignment horizontal="center" vertical="center"/>
    </xf>
    <xf numFmtId="1" fontId="5547" fillId="8" borderId="1" xfId="0" applyNumberFormat="1" applyFont="1" applyFill="1" applyBorder="1" applyAlignment="1">
      <alignment horizontal="center" vertical="center"/>
    </xf>
    <xf numFmtId="1" fontId="5548" fillId="8" borderId="1" xfId="0" applyNumberFormat="1" applyFont="1" applyFill="1" applyBorder="1" applyAlignment="1">
      <alignment horizontal="center" vertical="center"/>
    </xf>
    <xf numFmtId="0" fontId="5549" fillId="8" borderId="1" xfId="0" applyNumberFormat="1" applyFont="1" applyFill="1" applyBorder="1" applyAlignment="1">
      <alignment horizontal="center" vertical="center"/>
    </xf>
    <xf numFmtId="0" fontId="5550" fillId="8" borderId="1" xfId="0" applyNumberFormat="1" applyFont="1" applyFill="1" applyBorder="1" applyAlignment="1">
      <alignment horizontal="center" vertical="center"/>
    </xf>
    <xf numFmtId="1" fontId="5551" fillId="8" borderId="1" xfId="0" applyNumberFormat="1" applyFont="1" applyFill="1" applyBorder="1" applyAlignment="1">
      <alignment horizontal="center" vertical="center"/>
    </xf>
    <xf numFmtId="1" fontId="5552" fillId="8" borderId="1" xfId="0" applyNumberFormat="1" applyFont="1" applyFill="1" applyBorder="1" applyAlignment="1">
      <alignment horizontal="center" vertical="center"/>
    </xf>
    <xf numFmtId="1" fontId="5553" fillId="8" borderId="1" xfId="0" applyNumberFormat="1" applyFont="1" applyFill="1" applyBorder="1" applyAlignment="1">
      <alignment horizontal="center" vertical="center"/>
    </xf>
    <xf numFmtId="165" fontId="5554" fillId="8" borderId="1" xfId="0" applyNumberFormat="1" applyFont="1" applyFill="1" applyBorder="1" applyAlignment="1">
      <alignment horizontal="center" vertical="center"/>
    </xf>
    <xf numFmtId="1" fontId="5555" fillId="8" borderId="1" xfId="0" applyNumberFormat="1" applyFont="1" applyFill="1" applyBorder="1" applyAlignment="1">
      <alignment horizontal="center" vertical="center"/>
    </xf>
    <xf numFmtId="165" fontId="5556" fillId="8" borderId="1" xfId="0" applyNumberFormat="1" applyFont="1" applyFill="1" applyBorder="1" applyAlignment="1">
      <alignment horizontal="center" vertical="center"/>
    </xf>
    <xf numFmtId="1" fontId="5557" fillId="8" borderId="1" xfId="0" applyNumberFormat="1" applyFont="1" applyFill="1" applyBorder="1" applyAlignment="1">
      <alignment horizontal="center" vertical="center"/>
    </xf>
    <xf numFmtId="165" fontId="5558" fillId="8" borderId="1" xfId="0" applyNumberFormat="1" applyFont="1" applyFill="1" applyBorder="1" applyAlignment="1">
      <alignment horizontal="center" vertical="center"/>
    </xf>
    <xf numFmtId="1" fontId="5559" fillId="8" borderId="1" xfId="0" applyNumberFormat="1" applyFont="1" applyFill="1" applyBorder="1" applyAlignment="1">
      <alignment horizontal="center" vertical="center"/>
    </xf>
    <xf numFmtId="165" fontId="5560" fillId="8" borderId="1" xfId="0" applyNumberFormat="1" applyFont="1" applyFill="1" applyBorder="1" applyAlignment="1">
      <alignment horizontal="center" vertical="center"/>
    </xf>
    <xf numFmtId="165" fontId="5561" fillId="8" borderId="1" xfId="0" applyNumberFormat="1" applyFont="1" applyFill="1" applyBorder="1" applyAlignment="1">
      <alignment horizontal="center" vertical="center"/>
    </xf>
    <xf numFmtId="1" fontId="5562" fillId="8" borderId="1" xfId="0" applyNumberFormat="1" applyFont="1" applyFill="1" applyBorder="1" applyAlignment="1">
      <alignment horizontal="center" vertical="center"/>
    </xf>
    <xf numFmtId="1" fontId="5563" fillId="8" borderId="1" xfId="0" applyNumberFormat="1" applyFont="1" applyFill="1" applyBorder="1" applyAlignment="1">
      <alignment horizontal="center" vertical="center"/>
    </xf>
    <xf numFmtId="1" fontId="5564" fillId="8" borderId="1" xfId="0" applyNumberFormat="1" applyFont="1" applyFill="1" applyBorder="1" applyAlignment="1">
      <alignment horizontal="center" vertical="center"/>
    </xf>
    <xf numFmtId="165" fontId="5565" fillId="8" borderId="1" xfId="0" applyNumberFormat="1" applyFont="1" applyFill="1" applyBorder="1" applyAlignment="1">
      <alignment horizontal="center" vertical="center"/>
    </xf>
    <xf numFmtId="164" fontId="5566" fillId="8" borderId="1" xfId="0" applyNumberFormat="1" applyFont="1" applyFill="1" applyBorder="1" applyAlignment="1">
      <alignment horizontal="center" vertical="center"/>
    </xf>
    <xf numFmtId="164" fontId="5567" fillId="8" borderId="1" xfId="0" applyNumberFormat="1" applyFont="1" applyFill="1" applyBorder="1" applyAlignment="1">
      <alignment horizontal="center" vertical="center"/>
    </xf>
    <xf numFmtId="1" fontId="5568" fillId="8" borderId="1" xfId="0" applyNumberFormat="1" applyFont="1" applyFill="1" applyBorder="1" applyAlignment="1">
      <alignment horizontal="center" vertical="center"/>
    </xf>
    <xf numFmtId="1" fontId="5569" fillId="8" borderId="1" xfId="0" applyNumberFormat="1" applyFont="1" applyFill="1" applyBorder="1" applyAlignment="1">
      <alignment horizontal="center" vertical="center"/>
    </xf>
    <xf numFmtId="1" fontId="5570" fillId="8" borderId="1" xfId="0" applyNumberFormat="1" applyFont="1" applyFill="1" applyBorder="1" applyAlignment="1">
      <alignment horizontal="center" vertical="center"/>
    </xf>
    <xf numFmtId="165" fontId="5571" fillId="8" borderId="1" xfId="0" applyNumberFormat="1" applyFont="1" applyFill="1" applyBorder="1" applyAlignment="1">
      <alignment horizontal="center" vertical="center"/>
    </xf>
    <xf numFmtId="1" fontId="5572" fillId="8" borderId="1" xfId="0" applyNumberFormat="1" applyFont="1" applyFill="1" applyBorder="1" applyAlignment="1">
      <alignment horizontal="center" vertical="center"/>
    </xf>
    <xf numFmtId="165" fontId="5573" fillId="8" borderId="1" xfId="0" applyNumberFormat="1" applyFont="1" applyFill="1" applyBorder="1" applyAlignment="1">
      <alignment horizontal="center" vertical="center"/>
    </xf>
    <xf numFmtId="1" fontId="5574" fillId="8" borderId="1" xfId="0" applyNumberFormat="1" applyFont="1" applyFill="1" applyBorder="1" applyAlignment="1">
      <alignment horizontal="center" vertical="center"/>
    </xf>
    <xf numFmtId="1" fontId="5575" fillId="8" borderId="1" xfId="0" applyNumberFormat="1" applyFont="1" applyFill="1" applyBorder="1" applyAlignment="1">
      <alignment horizontal="center" vertical="center"/>
    </xf>
    <xf numFmtId="1" fontId="5576" fillId="8" borderId="1" xfId="0" applyNumberFormat="1" applyFont="1" applyFill="1" applyBorder="1" applyAlignment="1">
      <alignment horizontal="center" vertical="center"/>
    </xf>
    <xf numFmtId="1" fontId="5577" fillId="8" borderId="1" xfId="0" applyNumberFormat="1" applyFont="1" applyFill="1" applyBorder="1" applyAlignment="1">
      <alignment horizontal="center" vertical="center"/>
    </xf>
    <xf numFmtId="165" fontId="5578" fillId="8" borderId="1" xfId="0" applyNumberFormat="1" applyFont="1" applyFill="1" applyBorder="1" applyAlignment="1">
      <alignment horizontal="center" vertical="center"/>
    </xf>
    <xf numFmtId="1" fontId="5579" fillId="8" borderId="1" xfId="0" applyNumberFormat="1" applyFont="1" applyFill="1" applyBorder="1" applyAlignment="1">
      <alignment horizontal="center" vertical="center"/>
    </xf>
    <xf numFmtId="165" fontId="5580" fillId="8" borderId="1" xfId="0" applyNumberFormat="1" applyFont="1" applyFill="1" applyBorder="1" applyAlignment="1">
      <alignment horizontal="center" vertical="center"/>
    </xf>
    <xf numFmtId="1" fontId="5581" fillId="8" borderId="1" xfId="0" applyNumberFormat="1" applyFont="1" applyFill="1" applyBorder="1" applyAlignment="1">
      <alignment horizontal="center" vertical="center"/>
    </xf>
    <xf numFmtId="165" fontId="5582" fillId="8" borderId="1" xfId="0" applyNumberFormat="1" applyFont="1" applyFill="1" applyBorder="1" applyAlignment="1">
      <alignment horizontal="center" vertical="center"/>
    </xf>
    <xf numFmtId="2" fontId="5583" fillId="8" borderId="1" xfId="0" applyNumberFormat="1" applyFont="1" applyFill="1" applyBorder="1" applyAlignment="1">
      <alignment horizontal="center" vertical="center"/>
    </xf>
    <xf numFmtId="2" fontId="5584" fillId="8" borderId="1" xfId="0" applyNumberFormat="1" applyFont="1" applyFill="1" applyBorder="1" applyAlignment="1">
      <alignment horizontal="center" vertical="center"/>
    </xf>
    <xf numFmtId="2" fontId="5585" fillId="8" borderId="1" xfId="0" applyNumberFormat="1" applyFont="1" applyFill="1" applyBorder="1" applyAlignment="1">
      <alignment horizontal="center" vertical="center"/>
    </xf>
    <xf numFmtId="2" fontId="5586" fillId="8" borderId="1" xfId="0" applyNumberFormat="1" applyFont="1" applyFill="1" applyBorder="1" applyAlignment="1">
      <alignment horizontal="center" vertical="center"/>
    </xf>
    <xf numFmtId="2" fontId="5587" fillId="8" borderId="1" xfId="0" applyNumberFormat="1" applyFont="1" applyFill="1" applyBorder="1" applyAlignment="1">
      <alignment horizontal="center" vertical="center"/>
    </xf>
    <xf numFmtId="2" fontId="5588" fillId="8" borderId="1" xfId="0" applyNumberFormat="1" applyFont="1" applyFill="1" applyBorder="1" applyAlignment="1">
      <alignment horizontal="center" vertical="center"/>
    </xf>
    <xf numFmtId="2" fontId="5589" fillId="8" borderId="1" xfId="0" applyNumberFormat="1" applyFont="1" applyFill="1" applyBorder="1" applyAlignment="1">
      <alignment horizontal="center" vertical="center"/>
    </xf>
    <xf numFmtId="2" fontId="5590" fillId="8" borderId="1" xfId="0" applyNumberFormat="1" applyFont="1" applyFill="1" applyBorder="1" applyAlignment="1">
      <alignment horizontal="center" vertical="center"/>
    </xf>
    <xf numFmtId="2" fontId="5591" fillId="8" borderId="1" xfId="0" applyNumberFormat="1" applyFont="1" applyFill="1" applyBorder="1" applyAlignment="1">
      <alignment horizontal="center" vertical="center"/>
    </xf>
    <xf numFmtId="2" fontId="5592" fillId="8" borderId="1" xfId="0" applyNumberFormat="1" applyFont="1" applyFill="1" applyBorder="1" applyAlignment="1">
      <alignment horizontal="center" vertical="center"/>
    </xf>
    <xf numFmtId="2" fontId="5593" fillId="8" borderId="1" xfId="0" applyNumberFormat="1" applyFont="1" applyFill="1" applyBorder="1" applyAlignment="1">
      <alignment horizontal="center" vertical="center"/>
    </xf>
    <xf numFmtId="2" fontId="5594" fillId="8" borderId="1" xfId="0" applyNumberFormat="1" applyFont="1" applyFill="1" applyBorder="1" applyAlignment="1">
      <alignment horizontal="center" vertical="center"/>
    </xf>
    <xf numFmtId="2" fontId="5595" fillId="8" borderId="1" xfId="0" applyNumberFormat="1" applyFont="1" applyFill="1" applyBorder="1" applyAlignment="1">
      <alignment horizontal="center" vertical="center"/>
    </xf>
    <xf numFmtId="2" fontId="5596" fillId="8" borderId="1" xfId="0" applyNumberFormat="1" applyFont="1" applyFill="1" applyBorder="1" applyAlignment="1">
      <alignment horizontal="center" vertical="center"/>
    </xf>
    <xf numFmtId="2" fontId="5597" fillId="8" borderId="1" xfId="0" applyNumberFormat="1" applyFont="1" applyFill="1" applyBorder="1" applyAlignment="1">
      <alignment horizontal="center" vertical="center"/>
    </xf>
    <xf numFmtId="2" fontId="5598" fillId="8" borderId="1" xfId="0" applyNumberFormat="1" applyFont="1" applyFill="1" applyBorder="1" applyAlignment="1">
      <alignment horizontal="center" vertical="center"/>
    </xf>
    <xf numFmtId="2" fontId="5599" fillId="8" borderId="1" xfId="0" applyNumberFormat="1" applyFont="1" applyFill="1" applyBorder="1" applyAlignment="1">
      <alignment horizontal="center" vertical="center"/>
    </xf>
    <xf numFmtId="2" fontId="5600" fillId="8" borderId="1" xfId="0" applyNumberFormat="1" applyFont="1" applyFill="1" applyBorder="1" applyAlignment="1">
      <alignment horizontal="center" vertical="center"/>
    </xf>
    <xf numFmtId="2" fontId="5601" fillId="8" borderId="1" xfId="0" applyNumberFormat="1" applyFont="1" applyFill="1" applyBorder="1" applyAlignment="1">
      <alignment horizontal="center" vertical="center"/>
    </xf>
    <xf numFmtId="2" fontId="5602" fillId="8" borderId="1" xfId="0" applyNumberFormat="1" applyFont="1" applyFill="1" applyBorder="1" applyAlignment="1">
      <alignment horizontal="center" vertical="center"/>
    </xf>
    <xf numFmtId="2" fontId="5603" fillId="8" borderId="1" xfId="0" applyNumberFormat="1" applyFont="1" applyFill="1" applyBorder="1" applyAlignment="1">
      <alignment horizontal="center" vertical="center"/>
    </xf>
    <xf numFmtId="2" fontId="5604" fillId="8" borderId="1" xfId="0" applyNumberFormat="1" applyFont="1" applyFill="1" applyBorder="1" applyAlignment="1">
      <alignment horizontal="center" vertical="center"/>
    </xf>
    <xf numFmtId="2" fontId="5605" fillId="8" borderId="1" xfId="0" applyNumberFormat="1" applyFont="1" applyFill="1" applyBorder="1" applyAlignment="1">
      <alignment horizontal="center" vertical="center"/>
    </xf>
    <xf numFmtId="2" fontId="5606" fillId="8" borderId="1" xfId="0" applyNumberFormat="1" applyFont="1" applyFill="1" applyBorder="1" applyAlignment="1">
      <alignment horizontal="center" vertical="center"/>
    </xf>
    <xf numFmtId="2" fontId="5607" fillId="8" borderId="1" xfId="0" applyNumberFormat="1" applyFont="1" applyFill="1" applyBorder="1" applyAlignment="1">
      <alignment horizontal="center" vertical="center"/>
    </xf>
    <xf numFmtId="2" fontId="5608" fillId="8" borderId="1" xfId="0" applyNumberFormat="1" applyFont="1" applyFill="1" applyBorder="1" applyAlignment="1">
      <alignment horizontal="center" vertical="center"/>
    </xf>
    <xf numFmtId="2" fontId="5609" fillId="8" borderId="1" xfId="0" applyNumberFormat="1" applyFont="1" applyFill="1" applyBorder="1" applyAlignment="1">
      <alignment horizontal="center" vertical="center"/>
    </xf>
    <xf numFmtId="2" fontId="5610" fillId="8" borderId="1" xfId="0" applyNumberFormat="1" applyFont="1" applyFill="1" applyBorder="1" applyAlignment="1">
      <alignment horizontal="center" vertical="center"/>
    </xf>
    <xf numFmtId="2" fontId="5611" fillId="8" borderId="1" xfId="0" applyNumberFormat="1" applyFont="1" applyFill="1" applyBorder="1" applyAlignment="1">
      <alignment horizontal="center" vertical="center"/>
    </xf>
    <xf numFmtId="2" fontId="5612" fillId="8" borderId="1" xfId="0" applyNumberFormat="1" applyFont="1" applyFill="1" applyBorder="1" applyAlignment="1">
      <alignment horizontal="center" vertical="center"/>
    </xf>
    <xf numFmtId="2" fontId="5613" fillId="8" borderId="1" xfId="0" applyNumberFormat="1" applyFont="1" applyFill="1" applyBorder="1" applyAlignment="1">
      <alignment horizontal="center" vertical="center"/>
    </xf>
    <xf numFmtId="2" fontId="5614" fillId="8" borderId="1" xfId="0" applyNumberFormat="1" applyFont="1" applyFill="1" applyBorder="1" applyAlignment="1">
      <alignment horizontal="center" vertical="center"/>
    </xf>
    <xf numFmtId="2" fontId="5615" fillId="8" borderId="1" xfId="0" applyNumberFormat="1" applyFont="1" applyFill="1" applyBorder="1" applyAlignment="1">
      <alignment horizontal="center" vertical="center"/>
    </xf>
    <xf numFmtId="2" fontId="5616" fillId="8" borderId="1" xfId="0" applyNumberFormat="1" applyFont="1" applyFill="1" applyBorder="1" applyAlignment="1">
      <alignment horizontal="center" vertical="center"/>
    </xf>
    <xf numFmtId="0" fontId="5617" fillId="7" borderId="1" xfId="0" applyNumberFormat="1" applyFont="1" applyFill="1" applyBorder="1" applyAlignment="1">
      <alignment horizontal="left" vertical="center"/>
    </xf>
    <xf numFmtId="0" fontId="5618" fillId="8" borderId="1" xfId="0" applyNumberFormat="1" applyFont="1" applyFill="1" applyBorder="1" applyAlignment="1">
      <alignment horizontal="center" vertical="center"/>
    </xf>
    <xf numFmtId="164" fontId="5619" fillId="8" borderId="1" xfId="0" applyNumberFormat="1" applyFont="1" applyFill="1" applyBorder="1" applyAlignment="1">
      <alignment horizontal="center" vertical="center"/>
    </xf>
    <xf numFmtId="1" fontId="5620" fillId="8" borderId="1" xfId="0" applyNumberFormat="1" applyFont="1" applyFill="1" applyBorder="1" applyAlignment="1">
      <alignment horizontal="center" vertical="center"/>
    </xf>
    <xf numFmtId="1" fontId="5621" fillId="8" borderId="1" xfId="0" applyNumberFormat="1" applyFont="1" applyFill="1" applyBorder="1" applyAlignment="1">
      <alignment horizontal="center" vertical="center"/>
    </xf>
    <xf numFmtId="1" fontId="5622" fillId="8" borderId="1" xfId="0" applyNumberFormat="1" applyFont="1" applyFill="1" applyBorder="1" applyAlignment="1">
      <alignment horizontal="center" vertical="center"/>
    </xf>
    <xf numFmtId="1" fontId="5623" fillId="8" borderId="1" xfId="0" applyNumberFormat="1" applyFont="1" applyFill="1" applyBorder="1" applyAlignment="1">
      <alignment horizontal="center" vertical="center"/>
    </xf>
    <xf numFmtId="1" fontId="5624" fillId="8" borderId="1" xfId="0" applyNumberFormat="1" applyFont="1" applyFill="1" applyBorder="1" applyAlignment="1">
      <alignment horizontal="center" vertical="center"/>
    </xf>
    <xf numFmtId="1" fontId="5625" fillId="8" borderId="1" xfId="0" applyNumberFormat="1" applyFont="1" applyFill="1" applyBorder="1" applyAlignment="1">
      <alignment horizontal="center" vertical="center"/>
    </xf>
    <xf numFmtId="1" fontId="5626" fillId="8" borderId="1" xfId="0" applyNumberFormat="1" applyFont="1" applyFill="1" applyBorder="1" applyAlignment="1">
      <alignment horizontal="center" vertical="center"/>
    </xf>
    <xf numFmtId="0" fontId="5627" fillId="8" borderId="1" xfId="0" applyNumberFormat="1" applyFont="1" applyFill="1" applyBorder="1" applyAlignment="1">
      <alignment horizontal="center" vertical="center"/>
    </xf>
    <xf numFmtId="0" fontId="5628" fillId="8" borderId="1" xfId="0" applyNumberFormat="1" applyFont="1" applyFill="1" applyBorder="1" applyAlignment="1">
      <alignment horizontal="center" vertical="center"/>
    </xf>
    <xf numFmtId="1" fontId="5629" fillId="8" borderId="1" xfId="0" applyNumberFormat="1" applyFont="1" applyFill="1" applyBorder="1" applyAlignment="1">
      <alignment horizontal="center" vertical="center"/>
    </xf>
    <xf numFmtId="1" fontId="5630" fillId="8" borderId="1" xfId="0" applyNumberFormat="1" applyFont="1" applyFill="1" applyBorder="1" applyAlignment="1">
      <alignment horizontal="center" vertical="center"/>
    </xf>
    <xf numFmtId="1" fontId="5631" fillId="8" borderId="1" xfId="0" applyNumberFormat="1" applyFont="1" applyFill="1" applyBorder="1" applyAlignment="1">
      <alignment horizontal="center" vertical="center"/>
    </xf>
    <xf numFmtId="165" fontId="5632" fillId="8" borderId="1" xfId="0" applyNumberFormat="1" applyFont="1" applyFill="1" applyBorder="1" applyAlignment="1">
      <alignment horizontal="center" vertical="center"/>
    </xf>
    <xf numFmtId="1" fontId="5633" fillId="8" borderId="1" xfId="0" applyNumberFormat="1" applyFont="1" applyFill="1" applyBorder="1" applyAlignment="1">
      <alignment horizontal="center" vertical="center"/>
    </xf>
    <xf numFmtId="165" fontId="5634" fillId="8" borderId="1" xfId="0" applyNumberFormat="1" applyFont="1" applyFill="1" applyBorder="1" applyAlignment="1">
      <alignment horizontal="center" vertical="center"/>
    </xf>
    <xf numFmtId="1" fontId="5635" fillId="8" borderId="1" xfId="0" applyNumberFormat="1" applyFont="1" applyFill="1" applyBorder="1" applyAlignment="1">
      <alignment horizontal="center" vertical="center"/>
    </xf>
    <xf numFmtId="165" fontId="5636" fillId="8" borderId="1" xfId="0" applyNumberFormat="1" applyFont="1" applyFill="1" applyBorder="1" applyAlignment="1">
      <alignment horizontal="center" vertical="center"/>
    </xf>
    <xf numFmtId="1" fontId="5637" fillId="8" borderId="1" xfId="0" applyNumberFormat="1" applyFont="1" applyFill="1" applyBorder="1" applyAlignment="1">
      <alignment horizontal="center" vertical="center"/>
    </xf>
    <xf numFmtId="165" fontId="5638" fillId="8" borderId="1" xfId="0" applyNumberFormat="1" applyFont="1" applyFill="1" applyBorder="1" applyAlignment="1">
      <alignment horizontal="center" vertical="center"/>
    </xf>
    <xf numFmtId="165" fontId="5639" fillId="8" borderId="1" xfId="0" applyNumberFormat="1" applyFont="1" applyFill="1" applyBorder="1" applyAlignment="1">
      <alignment horizontal="center" vertical="center"/>
    </xf>
    <xf numFmtId="1" fontId="5640" fillId="8" borderId="1" xfId="0" applyNumberFormat="1" applyFont="1" applyFill="1" applyBorder="1" applyAlignment="1">
      <alignment horizontal="center" vertical="center"/>
    </xf>
    <xf numFmtId="1" fontId="5641" fillId="8" borderId="1" xfId="0" applyNumberFormat="1" applyFont="1" applyFill="1" applyBorder="1" applyAlignment="1">
      <alignment horizontal="center" vertical="center"/>
    </xf>
    <xf numFmtId="1" fontId="5642" fillId="8" borderId="1" xfId="0" applyNumberFormat="1" applyFont="1" applyFill="1" applyBorder="1" applyAlignment="1">
      <alignment horizontal="center" vertical="center"/>
    </xf>
    <xf numFmtId="165" fontId="5643" fillId="8" borderId="1" xfId="0" applyNumberFormat="1" applyFont="1" applyFill="1" applyBorder="1" applyAlignment="1">
      <alignment horizontal="center" vertical="center"/>
    </xf>
    <xf numFmtId="164" fontId="5644" fillId="8" borderId="1" xfId="0" applyNumberFormat="1" applyFont="1" applyFill="1" applyBorder="1" applyAlignment="1">
      <alignment horizontal="center" vertical="center"/>
    </xf>
    <xf numFmtId="164" fontId="5645" fillId="8" borderId="1" xfId="0" applyNumberFormat="1" applyFont="1" applyFill="1" applyBorder="1" applyAlignment="1">
      <alignment horizontal="center" vertical="center"/>
    </xf>
    <xf numFmtId="1" fontId="5646" fillId="8" borderId="1" xfId="0" applyNumberFormat="1" applyFont="1" applyFill="1" applyBorder="1" applyAlignment="1">
      <alignment horizontal="center" vertical="center"/>
    </xf>
    <xf numFmtId="1" fontId="5647" fillId="8" borderId="1" xfId="0" applyNumberFormat="1" applyFont="1" applyFill="1" applyBorder="1" applyAlignment="1">
      <alignment horizontal="center" vertical="center"/>
    </xf>
    <xf numFmtId="1" fontId="5648" fillId="8" borderId="1" xfId="0" applyNumberFormat="1" applyFont="1" applyFill="1" applyBorder="1" applyAlignment="1">
      <alignment horizontal="center" vertical="center"/>
    </xf>
    <xf numFmtId="165" fontId="5649" fillId="8" borderId="1" xfId="0" applyNumberFormat="1" applyFont="1" applyFill="1" applyBorder="1" applyAlignment="1">
      <alignment horizontal="center" vertical="center"/>
    </xf>
    <xf numFmtId="1" fontId="5650" fillId="8" borderId="1" xfId="0" applyNumberFormat="1" applyFont="1" applyFill="1" applyBorder="1" applyAlignment="1">
      <alignment horizontal="center" vertical="center"/>
    </xf>
    <xf numFmtId="165" fontId="5651" fillId="8" borderId="1" xfId="0" applyNumberFormat="1" applyFont="1" applyFill="1" applyBorder="1" applyAlignment="1">
      <alignment horizontal="center" vertical="center"/>
    </xf>
    <xf numFmtId="1" fontId="5652" fillId="8" borderId="1" xfId="0" applyNumberFormat="1" applyFont="1" applyFill="1" applyBorder="1" applyAlignment="1">
      <alignment horizontal="center" vertical="center"/>
    </xf>
    <xf numFmtId="1" fontId="5653" fillId="8" borderId="1" xfId="0" applyNumberFormat="1" applyFont="1" applyFill="1" applyBorder="1" applyAlignment="1">
      <alignment horizontal="center" vertical="center"/>
    </xf>
    <xf numFmtId="1" fontId="5654" fillId="8" borderId="1" xfId="0" applyNumberFormat="1" applyFont="1" applyFill="1" applyBorder="1" applyAlignment="1">
      <alignment horizontal="center" vertical="center"/>
    </xf>
    <xf numFmtId="1" fontId="5655" fillId="8" borderId="1" xfId="0" applyNumberFormat="1" applyFont="1" applyFill="1" applyBorder="1" applyAlignment="1">
      <alignment horizontal="center" vertical="center"/>
    </xf>
    <xf numFmtId="165" fontId="5656" fillId="8" borderId="1" xfId="0" applyNumberFormat="1" applyFont="1" applyFill="1" applyBorder="1" applyAlignment="1">
      <alignment horizontal="center" vertical="center"/>
    </xf>
    <xf numFmtId="1" fontId="5657" fillId="8" borderId="1" xfId="0" applyNumberFormat="1" applyFont="1" applyFill="1" applyBorder="1" applyAlignment="1">
      <alignment horizontal="center" vertical="center"/>
    </xf>
    <xf numFmtId="165" fontId="5658" fillId="8" borderId="1" xfId="0" applyNumberFormat="1" applyFont="1" applyFill="1" applyBorder="1" applyAlignment="1">
      <alignment horizontal="center" vertical="center"/>
    </xf>
    <xf numFmtId="1" fontId="5659" fillId="8" borderId="1" xfId="0" applyNumberFormat="1" applyFont="1" applyFill="1" applyBorder="1" applyAlignment="1">
      <alignment horizontal="center" vertical="center"/>
    </xf>
    <xf numFmtId="165" fontId="5660" fillId="8" borderId="1" xfId="0" applyNumberFormat="1" applyFont="1" applyFill="1" applyBorder="1" applyAlignment="1">
      <alignment horizontal="center" vertical="center"/>
    </xf>
    <xf numFmtId="2" fontId="5661" fillId="8" borderId="1" xfId="0" applyNumberFormat="1" applyFont="1" applyFill="1" applyBorder="1" applyAlignment="1">
      <alignment horizontal="center" vertical="center"/>
    </xf>
    <xf numFmtId="2" fontId="5662" fillId="8" borderId="1" xfId="0" applyNumberFormat="1" applyFont="1" applyFill="1" applyBorder="1" applyAlignment="1">
      <alignment horizontal="center" vertical="center"/>
    </xf>
    <xf numFmtId="2" fontId="5663" fillId="8" borderId="1" xfId="0" applyNumberFormat="1" applyFont="1" applyFill="1" applyBorder="1" applyAlignment="1">
      <alignment horizontal="center" vertical="center"/>
    </xf>
    <xf numFmtId="2" fontId="5664" fillId="8" borderId="1" xfId="0" applyNumberFormat="1" applyFont="1" applyFill="1" applyBorder="1" applyAlignment="1">
      <alignment horizontal="center" vertical="center"/>
    </xf>
    <xf numFmtId="2" fontId="5665" fillId="8" borderId="1" xfId="0" applyNumberFormat="1" applyFont="1" applyFill="1" applyBorder="1" applyAlignment="1">
      <alignment horizontal="center" vertical="center"/>
    </xf>
    <xf numFmtId="2" fontId="5666" fillId="8" borderId="1" xfId="0" applyNumberFormat="1" applyFont="1" applyFill="1" applyBorder="1" applyAlignment="1">
      <alignment horizontal="center" vertical="center"/>
    </xf>
    <xf numFmtId="2" fontId="5667" fillId="8" borderId="1" xfId="0" applyNumberFormat="1" applyFont="1" applyFill="1" applyBorder="1" applyAlignment="1">
      <alignment horizontal="center" vertical="center"/>
    </xf>
    <xf numFmtId="2" fontId="5668" fillId="8" borderId="1" xfId="0" applyNumberFormat="1" applyFont="1" applyFill="1" applyBorder="1" applyAlignment="1">
      <alignment horizontal="center" vertical="center"/>
    </xf>
    <xf numFmtId="2" fontId="5669" fillId="8" borderId="1" xfId="0" applyNumberFormat="1" applyFont="1" applyFill="1" applyBorder="1" applyAlignment="1">
      <alignment horizontal="center" vertical="center"/>
    </xf>
    <xf numFmtId="2" fontId="5670" fillId="8" borderId="1" xfId="0" applyNumberFormat="1" applyFont="1" applyFill="1" applyBorder="1" applyAlignment="1">
      <alignment horizontal="center" vertical="center"/>
    </xf>
    <xf numFmtId="2" fontId="5671" fillId="8" borderId="1" xfId="0" applyNumberFormat="1" applyFont="1" applyFill="1" applyBorder="1" applyAlignment="1">
      <alignment horizontal="center" vertical="center"/>
    </xf>
    <xf numFmtId="2" fontId="5672" fillId="8" borderId="1" xfId="0" applyNumberFormat="1" applyFont="1" applyFill="1" applyBorder="1" applyAlignment="1">
      <alignment horizontal="center" vertical="center"/>
    </xf>
    <xf numFmtId="2" fontId="5673" fillId="8" borderId="1" xfId="0" applyNumberFormat="1" applyFont="1" applyFill="1" applyBorder="1" applyAlignment="1">
      <alignment horizontal="center" vertical="center"/>
    </xf>
    <xf numFmtId="2" fontId="5674" fillId="8" borderId="1" xfId="0" applyNumberFormat="1" applyFont="1" applyFill="1" applyBorder="1" applyAlignment="1">
      <alignment horizontal="center" vertical="center"/>
    </xf>
    <xf numFmtId="2" fontId="5675" fillId="8" borderId="1" xfId="0" applyNumberFormat="1" applyFont="1" applyFill="1" applyBorder="1" applyAlignment="1">
      <alignment horizontal="center" vertical="center"/>
    </xf>
    <xf numFmtId="2" fontId="5676" fillId="8" borderId="1" xfId="0" applyNumberFormat="1" applyFont="1" applyFill="1" applyBorder="1" applyAlignment="1">
      <alignment horizontal="center" vertical="center"/>
    </xf>
    <xf numFmtId="2" fontId="5677" fillId="8" borderId="1" xfId="0" applyNumberFormat="1" applyFont="1" applyFill="1" applyBorder="1" applyAlignment="1">
      <alignment horizontal="center" vertical="center"/>
    </xf>
    <xf numFmtId="2" fontId="5678" fillId="8" borderId="1" xfId="0" applyNumberFormat="1" applyFont="1" applyFill="1" applyBorder="1" applyAlignment="1">
      <alignment horizontal="center" vertical="center"/>
    </xf>
    <xf numFmtId="2" fontId="5679" fillId="8" borderId="1" xfId="0" applyNumberFormat="1" applyFont="1" applyFill="1" applyBorder="1" applyAlignment="1">
      <alignment horizontal="center" vertical="center"/>
    </xf>
    <xf numFmtId="2" fontId="5680" fillId="8" borderId="1" xfId="0" applyNumberFormat="1" applyFont="1" applyFill="1" applyBorder="1" applyAlignment="1">
      <alignment horizontal="center" vertical="center"/>
    </xf>
    <xf numFmtId="2" fontId="5681" fillId="8" borderId="1" xfId="0" applyNumberFormat="1" applyFont="1" applyFill="1" applyBorder="1" applyAlignment="1">
      <alignment horizontal="center" vertical="center"/>
    </xf>
    <xf numFmtId="2" fontId="5682" fillId="8" borderId="1" xfId="0" applyNumberFormat="1" applyFont="1" applyFill="1" applyBorder="1" applyAlignment="1">
      <alignment horizontal="center" vertical="center"/>
    </xf>
    <xf numFmtId="2" fontId="5683" fillId="8" borderId="1" xfId="0" applyNumberFormat="1" applyFont="1" applyFill="1" applyBorder="1" applyAlignment="1">
      <alignment horizontal="center" vertical="center"/>
    </xf>
    <xf numFmtId="2" fontId="5684" fillId="8" borderId="1" xfId="0" applyNumberFormat="1" applyFont="1" applyFill="1" applyBorder="1" applyAlignment="1">
      <alignment horizontal="center" vertical="center"/>
    </xf>
    <xf numFmtId="2" fontId="5685" fillId="8" borderId="1" xfId="0" applyNumberFormat="1" applyFont="1" applyFill="1" applyBorder="1" applyAlignment="1">
      <alignment horizontal="center" vertical="center"/>
    </xf>
    <xf numFmtId="2" fontId="5686" fillId="8" borderId="1" xfId="0" applyNumberFormat="1" applyFont="1" applyFill="1" applyBorder="1" applyAlignment="1">
      <alignment horizontal="center" vertical="center"/>
    </xf>
    <xf numFmtId="2" fontId="5687" fillId="8" borderId="1" xfId="0" applyNumberFormat="1" applyFont="1" applyFill="1" applyBorder="1" applyAlignment="1">
      <alignment horizontal="center" vertical="center"/>
    </xf>
    <xf numFmtId="2" fontId="5688" fillId="8" borderId="1" xfId="0" applyNumberFormat="1" applyFont="1" applyFill="1" applyBorder="1" applyAlignment="1">
      <alignment horizontal="center" vertical="center"/>
    </xf>
    <xf numFmtId="2" fontId="5689" fillId="8" borderId="1" xfId="0" applyNumberFormat="1" applyFont="1" applyFill="1" applyBorder="1" applyAlignment="1">
      <alignment horizontal="center" vertical="center"/>
    </xf>
    <xf numFmtId="2" fontId="5690" fillId="8" borderId="1" xfId="0" applyNumberFormat="1" applyFont="1" applyFill="1" applyBorder="1" applyAlignment="1">
      <alignment horizontal="center" vertical="center"/>
    </xf>
    <xf numFmtId="2" fontId="5691" fillId="8" borderId="1" xfId="0" applyNumberFormat="1" applyFont="1" applyFill="1" applyBorder="1" applyAlignment="1">
      <alignment horizontal="center" vertical="center"/>
    </xf>
    <xf numFmtId="2" fontId="5692" fillId="8" borderId="1" xfId="0" applyNumberFormat="1" applyFont="1" applyFill="1" applyBorder="1" applyAlignment="1">
      <alignment horizontal="center" vertical="center"/>
    </xf>
    <xf numFmtId="2" fontId="5693" fillId="8" borderId="1" xfId="0" applyNumberFormat="1" applyFont="1" applyFill="1" applyBorder="1" applyAlignment="1">
      <alignment horizontal="center" vertical="center"/>
    </xf>
    <xf numFmtId="2" fontId="5694" fillId="8" borderId="1" xfId="0" applyNumberFormat="1" applyFont="1" applyFill="1" applyBorder="1" applyAlignment="1">
      <alignment horizontal="center" vertical="center"/>
    </xf>
    <xf numFmtId="0" fontId="5695" fillId="7" borderId="1" xfId="0" applyNumberFormat="1" applyFont="1" applyFill="1" applyBorder="1" applyAlignment="1">
      <alignment horizontal="left" vertical="center"/>
    </xf>
    <xf numFmtId="0" fontId="5696" fillId="8" borderId="1" xfId="0" applyNumberFormat="1" applyFont="1" applyFill="1" applyBorder="1" applyAlignment="1">
      <alignment horizontal="center" vertical="center"/>
    </xf>
    <xf numFmtId="164" fontId="5697" fillId="8" borderId="1" xfId="0" applyNumberFormat="1" applyFont="1" applyFill="1" applyBorder="1" applyAlignment="1">
      <alignment horizontal="center" vertical="center"/>
    </xf>
    <xf numFmtId="1" fontId="5698" fillId="8" borderId="1" xfId="0" applyNumberFormat="1" applyFont="1" applyFill="1" applyBorder="1" applyAlignment="1">
      <alignment horizontal="center" vertical="center"/>
    </xf>
    <xf numFmtId="1" fontId="5699" fillId="8" borderId="1" xfId="0" applyNumberFormat="1" applyFont="1" applyFill="1" applyBorder="1" applyAlignment="1">
      <alignment horizontal="center" vertical="center"/>
    </xf>
    <xf numFmtId="1" fontId="5700" fillId="8" borderId="1" xfId="0" applyNumberFormat="1" applyFont="1" applyFill="1" applyBorder="1" applyAlignment="1">
      <alignment horizontal="center" vertical="center"/>
    </xf>
    <xf numFmtId="1" fontId="5701" fillId="8" borderId="1" xfId="0" applyNumberFormat="1" applyFont="1" applyFill="1" applyBorder="1" applyAlignment="1">
      <alignment horizontal="center" vertical="center"/>
    </xf>
    <xf numFmtId="1" fontId="5702" fillId="8" borderId="1" xfId="0" applyNumberFormat="1" applyFont="1" applyFill="1" applyBorder="1" applyAlignment="1">
      <alignment horizontal="center" vertical="center"/>
    </xf>
    <xf numFmtId="1" fontId="5703" fillId="8" borderId="1" xfId="0" applyNumberFormat="1" applyFont="1" applyFill="1" applyBorder="1" applyAlignment="1">
      <alignment horizontal="center" vertical="center"/>
    </xf>
    <xf numFmtId="1" fontId="5704" fillId="8" borderId="1" xfId="0" applyNumberFormat="1" applyFont="1" applyFill="1" applyBorder="1" applyAlignment="1">
      <alignment horizontal="center" vertical="center"/>
    </xf>
    <xf numFmtId="0" fontId="5705" fillId="8" borderId="1" xfId="0" applyNumberFormat="1" applyFont="1" applyFill="1" applyBorder="1" applyAlignment="1">
      <alignment horizontal="center" vertical="center"/>
    </xf>
    <xf numFmtId="0" fontId="5706" fillId="8" borderId="1" xfId="0" applyNumberFormat="1" applyFont="1" applyFill="1" applyBorder="1" applyAlignment="1">
      <alignment horizontal="center" vertical="center"/>
    </xf>
    <xf numFmtId="1" fontId="5707" fillId="8" borderId="1" xfId="0" applyNumberFormat="1" applyFont="1" applyFill="1" applyBorder="1" applyAlignment="1">
      <alignment horizontal="center" vertical="center"/>
    </xf>
    <xf numFmtId="1" fontId="5708" fillId="8" borderId="1" xfId="0" applyNumberFormat="1" applyFont="1" applyFill="1" applyBorder="1" applyAlignment="1">
      <alignment horizontal="center" vertical="center"/>
    </xf>
    <xf numFmtId="1" fontId="5709" fillId="8" borderId="1" xfId="0" applyNumberFormat="1" applyFont="1" applyFill="1" applyBorder="1" applyAlignment="1">
      <alignment horizontal="center" vertical="center"/>
    </xf>
    <xf numFmtId="165" fontId="5710" fillId="8" borderId="1" xfId="0" applyNumberFormat="1" applyFont="1" applyFill="1" applyBorder="1" applyAlignment="1">
      <alignment horizontal="center" vertical="center"/>
    </xf>
    <xf numFmtId="1" fontId="5711" fillId="8" borderId="1" xfId="0" applyNumberFormat="1" applyFont="1" applyFill="1" applyBorder="1" applyAlignment="1">
      <alignment horizontal="center" vertical="center"/>
    </xf>
    <xf numFmtId="165" fontId="5712" fillId="8" borderId="1" xfId="0" applyNumberFormat="1" applyFont="1" applyFill="1" applyBorder="1" applyAlignment="1">
      <alignment horizontal="center" vertical="center"/>
    </xf>
    <xf numFmtId="1" fontId="5713" fillId="8" borderId="1" xfId="0" applyNumberFormat="1" applyFont="1" applyFill="1" applyBorder="1" applyAlignment="1">
      <alignment horizontal="center" vertical="center"/>
    </xf>
    <xf numFmtId="165" fontId="5714" fillId="8" borderId="1" xfId="0" applyNumberFormat="1" applyFont="1" applyFill="1" applyBorder="1" applyAlignment="1">
      <alignment horizontal="center" vertical="center"/>
    </xf>
    <xf numFmtId="1" fontId="5715" fillId="8" borderId="1" xfId="0" applyNumberFormat="1" applyFont="1" applyFill="1" applyBorder="1" applyAlignment="1">
      <alignment horizontal="center" vertical="center"/>
    </xf>
    <xf numFmtId="165" fontId="5716" fillId="8" borderId="1" xfId="0" applyNumberFormat="1" applyFont="1" applyFill="1" applyBorder="1" applyAlignment="1">
      <alignment horizontal="center" vertical="center"/>
    </xf>
    <xf numFmtId="165" fontId="5717" fillId="8" borderId="1" xfId="0" applyNumberFormat="1" applyFont="1" applyFill="1" applyBorder="1" applyAlignment="1">
      <alignment horizontal="center" vertical="center"/>
    </xf>
    <xf numFmtId="1" fontId="5718" fillId="8" borderId="1" xfId="0" applyNumberFormat="1" applyFont="1" applyFill="1" applyBorder="1" applyAlignment="1">
      <alignment horizontal="center" vertical="center"/>
    </xf>
    <xf numFmtId="1" fontId="5719" fillId="8" borderId="1" xfId="0" applyNumberFormat="1" applyFont="1" applyFill="1" applyBorder="1" applyAlignment="1">
      <alignment horizontal="center" vertical="center"/>
    </xf>
    <xf numFmtId="1" fontId="5720" fillId="8" borderId="1" xfId="0" applyNumberFormat="1" applyFont="1" applyFill="1" applyBorder="1" applyAlignment="1">
      <alignment horizontal="center" vertical="center"/>
    </xf>
    <xf numFmtId="165" fontId="5721" fillId="8" borderId="1" xfId="0" applyNumberFormat="1" applyFont="1" applyFill="1" applyBorder="1" applyAlignment="1">
      <alignment horizontal="center" vertical="center"/>
    </xf>
    <xf numFmtId="164" fontId="5722" fillId="8" borderId="1" xfId="0" applyNumberFormat="1" applyFont="1" applyFill="1" applyBorder="1" applyAlignment="1">
      <alignment horizontal="center" vertical="center"/>
    </xf>
    <xf numFmtId="164" fontId="5723" fillId="8" borderId="1" xfId="0" applyNumberFormat="1" applyFont="1" applyFill="1" applyBorder="1" applyAlignment="1">
      <alignment horizontal="center" vertical="center"/>
    </xf>
    <xf numFmtId="1" fontId="5724" fillId="8" borderId="1" xfId="0" applyNumberFormat="1" applyFont="1" applyFill="1" applyBorder="1" applyAlignment="1">
      <alignment horizontal="center" vertical="center"/>
    </xf>
    <xf numFmtId="1" fontId="5725" fillId="8" borderId="1" xfId="0" applyNumberFormat="1" applyFont="1" applyFill="1" applyBorder="1" applyAlignment="1">
      <alignment horizontal="center" vertical="center"/>
    </xf>
    <xf numFmtId="1" fontId="5726" fillId="8" borderId="1" xfId="0" applyNumberFormat="1" applyFont="1" applyFill="1" applyBorder="1" applyAlignment="1">
      <alignment horizontal="center" vertical="center"/>
    </xf>
    <xf numFmtId="165" fontId="5727" fillId="8" borderId="1" xfId="0" applyNumberFormat="1" applyFont="1" applyFill="1" applyBorder="1" applyAlignment="1">
      <alignment horizontal="center" vertical="center"/>
    </xf>
    <xf numFmtId="1" fontId="5728" fillId="8" borderId="1" xfId="0" applyNumberFormat="1" applyFont="1" applyFill="1" applyBorder="1" applyAlignment="1">
      <alignment horizontal="center" vertical="center"/>
    </xf>
    <xf numFmtId="165" fontId="5729" fillId="8" borderId="1" xfId="0" applyNumberFormat="1" applyFont="1" applyFill="1" applyBorder="1" applyAlignment="1">
      <alignment horizontal="center" vertical="center"/>
    </xf>
    <xf numFmtId="1" fontId="5730" fillId="8" borderId="1" xfId="0" applyNumberFormat="1" applyFont="1" applyFill="1" applyBorder="1" applyAlignment="1">
      <alignment horizontal="center" vertical="center"/>
    </xf>
    <xf numFmtId="1" fontId="5731" fillId="8" borderId="1" xfId="0" applyNumberFormat="1" applyFont="1" applyFill="1" applyBorder="1" applyAlignment="1">
      <alignment horizontal="center" vertical="center"/>
    </xf>
    <xf numFmtId="1" fontId="5732" fillId="8" borderId="1" xfId="0" applyNumberFormat="1" applyFont="1" applyFill="1" applyBorder="1" applyAlignment="1">
      <alignment horizontal="center" vertical="center"/>
    </xf>
    <xf numFmtId="1" fontId="5733" fillId="8" borderId="1" xfId="0" applyNumberFormat="1" applyFont="1" applyFill="1" applyBorder="1" applyAlignment="1">
      <alignment horizontal="center" vertical="center"/>
    </xf>
    <xf numFmtId="165" fontId="5734" fillId="8" borderId="1" xfId="0" applyNumberFormat="1" applyFont="1" applyFill="1" applyBorder="1" applyAlignment="1">
      <alignment horizontal="center" vertical="center"/>
    </xf>
    <xf numFmtId="1" fontId="5735" fillId="8" borderId="1" xfId="0" applyNumberFormat="1" applyFont="1" applyFill="1" applyBorder="1" applyAlignment="1">
      <alignment horizontal="center" vertical="center"/>
    </xf>
    <xf numFmtId="165" fontId="5736" fillId="8" borderId="1" xfId="0" applyNumberFormat="1" applyFont="1" applyFill="1" applyBorder="1" applyAlignment="1">
      <alignment horizontal="center" vertical="center"/>
    </xf>
    <xf numFmtId="1" fontId="5737" fillId="8" borderId="1" xfId="0" applyNumberFormat="1" applyFont="1" applyFill="1" applyBorder="1" applyAlignment="1">
      <alignment horizontal="center" vertical="center"/>
    </xf>
    <xf numFmtId="165" fontId="5738" fillId="8" borderId="1" xfId="0" applyNumberFormat="1" applyFont="1" applyFill="1" applyBorder="1" applyAlignment="1">
      <alignment horizontal="center" vertical="center"/>
    </xf>
    <xf numFmtId="2" fontId="5739" fillId="8" borderId="1" xfId="0" applyNumberFormat="1" applyFont="1" applyFill="1" applyBorder="1" applyAlignment="1">
      <alignment horizontal="center" vertical="center"/>
    </xf>
    <xf numFmtId="2" fontId="5740" fillId="8" borderId="1" xfId="0" applyNumberFormat="1" applyFont="1" applyFill="1" applyBorder="1" applyAlignment="1">
      <alignment horizontal="center" vertical="center"/>
    </xf>
    <xf numFmtId="2" fontId="5741" fillId="8" borderId="1" xfId="0" applyNumberFormat="1" applyFont="1" applyFill="1" applyBorder="1" applyAlignment="1">
      <alignment horizontal="center" vertical="center"/>
    </xf>
    <xf numFmtId="2" fontId="5742" fillId="8" borderId="1" xfId="0" applyNumberFormat="1" applyFont="1" applyFill="1" applyBorder="1" applyAlignment="1">
      <alignment horizontal="center" vertical="center"/>
    </xf>
    <xf numFmtId="2" fontId="5743" fillId="8" borderId="1" xfId="0" applyNumberFormat="1" applyFont="1" applyFill="1" applyBorder="1" applyAlignment="1">
      <alignment horizontal="center" vertical="center"/>
    </xf>
    <xf numFmtId="2" fontId="5744" fillId="8" borderId="1" xfId="0" applyNumberFormat="1" applyFont="1" applyFill="1" applyBorder="1" applyAlignment="1">
      <alignment horizontal="center" vertical="center"/>
    </xf>
    <xf numFmtId="2" fontId="5745" fillId="8" borderId="1" xfId="0" applyNumberFormat="1" applyFont="1" applyFill="1" applyBorder="1" applyAlignment="1">
      <alignment horizontal="center" vertical="center"/>
    </xf>
    <xf numFmtId="2" fontId="5746" fillId="8" borderId="1" xfId="0" applyNumberFormat="1" applyFont="1" applyFill="1" applyBorder="1" applyAlignment="1">
      <alignment horizontal="center" vertical="center"/>
    </xf>
    <xf numFmtId="2" fontId="5747" fillId="8" borderId="1" xfId="0" applyNumberFormat="1" applyFont="1" applyFill="1" applyBorder="1" applyAlignment="1">
      <alignment horizontal="center" vertical="center"/>
    </xf>
    <xf numFmtId="2" fontId="5748" fillId="8" borderId="1" xfId="0" applyNumberFormat="1" applyFont="1" applyFill="1" applyBorder="1" applyAlignment="1">
      <alignment horizontal="center" vertical="center"/>
    </xf>
    <xf numFmtId="2" fontId="5749" fillId="8" borderId="1" xfId="0" applyNumberFormat="1" applyFont="1" applyFill="1" applyBorder="1" applyAlignment="1">
      <alignment horizontal="center" vertical="center"/>
    </xf>
    <xf numFmtId="2" fontId="5750" fillId="8" borderId="1" xfId="0" applyNumberFormat="1" applyFont="1" applyFill="1" applyBorder="1" applyAlignment="1">
      <alignment horizontal="center" vertical="center"/>
    </xf>
    <xf numFmtId="2" fontId="5751" fillId="8" borderId="1" xfId="0" applyNumberFormat="1" applyFont="1" applyFill="1" applyBorder="1" applyAlignment="1">
      <alignment horizontal="center" vertical="center"/>
    </xf>
    <xf numFmtId="2" fontId="5752" fillId="8" borderId="1" xfId="0" applyNumberFormat="1" applyFont="1" applyFill="1" applyBorder="1" applyAlignment="1">
      <alignment horizontal="center" vertical="center"/>
    </xf>
    <xf numFmtId="2" fontId="5753" fillId="8" borderId="1" xfId="0" applyNumberFormat="1" applyFont="1" applyFill="1" applyBorder="1" applyAlignment="1">
      <alignment horizontal="center" vertical="center"/>
    </xf>
    <xf numFmtId="2" fontId="5754" fillId="8" borderId="1" xfId="0" applyNumberFormat="1" applyFont="1" applyFill="1" applyBorder="1" applyAlignment="1">
      <alignment horizontal="center" vertical="center"/>
    </xf>
    <xf numFmtId="2" fontId="5755" fillId="8" borderId="1" xfId="0" applyNumberFormat="1" applyFont="1" applyFill="1" applyBorder="1" applyAlignment="1">
      <alignment horizontal="center" vertical="center"/>
    </xf>
    <xf numFmtId="2" fontId="5756" fillId="8" borderId="1" xfId="0" applyNumberFormat="1" applyFont="1" applyFill="1" applyBorder="1" applyAlignment="1">
      <alignment horizontal="center" vertical="center"/>
    </xf>
    <xf numFmtId="2" fontId="5757" fillId="8" borderId="1" xfId="0" applyNumberFormat="1" applyFont="1" applyFill="1" applyBorder="1" applyAlignment="1">
      <alignment horizontal="center" vertical="center"/>
    </xf>
    <xf numFmtId="2" fontId="5758" fillId="8" borderId="1" xfId="0" applyNumberFormat="1" applyFont="1" applyFill="1" applyBorder="1" applyAlignment="1">
      <alignment horizontal="center" vertical="center"/>
    </xf>
    <xf numFmtId="2" fontId="5759" fillId="8" borderId="1" xfId="0" applyNumberFormat="1" applyFont="1" applyFill="1" applyBorder="1" applyAlignment="1">
      <alignment horizontal="center" vertical="center"/>
    </xf>
    <xf numFmtId="2" fontId="5760" fillId="8" borderId="1" xfId="0" applyNumberFormat="1" applyFont="1" applyFill="1" applyBorder="1" applyAlignment="1">
      <alignment horizontal="center" vertical="center"/>
    </xf>
    <xf numFmtId="2" fontId="5761" fillId="8" borderId="1" xfId="0" applyNumberFormat="1" applyFont="1" applyFill="1" applyBorder="1" applyAlignment="1">
      <alignment horizontal="center" vertical="center"/>
    </xf>
    <xf numFmtId="2" fontId="5762" fillId="8" borderId="1" xfId="0" applyNumberFormat="1" applyFont="1" applyFill="1" applyBorder="1" applyAlignment="1">
      <alignment horizontal="center" vertical="center"/>
    </xf>
    <xf numFmtId="2" fontId="5763" fillId="8" borderId="1" xfId="0" applyNumberFormat="1" applyFont="1" applyFill="1" applyBorder="1" applyAlignment="1">
      <alignment horizontal="center" vertical="center"/>
    </xf>
    <xf numFmtId="2" fontId="5764" fillId="8" borderId="1" xfId="0" applyNumberFormat="1" applyFont="1" applyFill="1" applyBorder="1" applyAlignment="1">
      <alignment horizontal="center" vertical="center"/>
    </xf>
    <xf numFmtId="2" fontId="5765" fillId="8" borderId="1" xfId="0" applyNumberFormat="1" applyFont="1" applyFill="1" applyBorder="1" applyAlignment="1">
      <alignment horizontal="center" vertical="center"/>
    </xf>
    <xf numFmtId="2" fontId="5766" fillId="8" borderId="1" xfId="0" applyNumberFormat="1" applyFont="1" applyFill="1" applyBorder="1" applyAlignment="1">
      <alignment horizontal="center" vertical="center"/>
    </xf>
    <xf numFmtId="2" fontId="5767" fillId="8" borderId="1" xfId="0" applyNumberFormat="1" applyFont="1" applyFill="1" applyBorder="1" applyAlignment="1">
      <alignment horizontal="center" vertical="center"/>
    </xf>
    <xf numFmtId="2" fontId="5768" fillId="8" borderId="1" xfId="0" applyNumberFormat="1" applyFont="1" applyFill="1" applyBorder="1" applyAlignment="1">
      <alignment horizontal="center" vertical="center"/>
    </xf>
    <xf numFmtId="2" fontId="5769" fillId="8" borderId="1" xfId="0" applyNumberFormat="1" applyFont="1" applyFill="1" applyBorder="1" applyAlignment="1">
      <alignment horizontal="center" vertical="center"/>
    </xf>
    <xf numFmtId="2" fontId="5770" fillId="8" borderId="1" xfId="0" applyNumberFormat="1" applyFont="1" applyFill="1" applyBorder="1" applyAlignment="1">
      <alignment horizontal="center" vertical="center"/>
    </xf>
    <xf numFmtId="2" fontId="5771" fillId="8" borderId="1" xfId="0" applyNumberFormat="1" applyFont="1" applyFill="1" applyBorder="1" applyAlignment="1">
      <alignment horizontal="center" vertical="center"/>
    </xf>
    <xf numFmtId="2" fontId="5772" fillId="8" borderId="1" xfId="0" applyNumberFormat="1" applyFont="1" applyFill="1" applyBorder="1" applyAlignment="1">
      <alignment horizontal="center" vertical="center"/>
    </xf>
    <xf numFmtId="0" fontId="5773" fillId="7" borderId="1" xfId="0" applyNumberFormat="1" applyFont="1" applyFill="1" applyBorder="1" applyAlignment="1">
      <alignment horizontal="left" vertical="center"/>
    </xf>
    <xf numFmtId="0" fontId="5774" fillId="8" borderId="1" xfId="0" applyNumberFormat="1" applyFont="1" applyFill="1" applyBorder="1" applyAlignment="1">
      <alignment horizontal="center" vertical="center"/>
    </xf>
    <xf numFmtId="164" fontId="5775" fillId="8" borderId="1" xfId="0" applyNumberFormat="1" applyFont="1" applyFill="1" applyBorder="1" applyAlignment="1">
      <alignment horizontal="center" vertical="center"/>
    </xf>
    <xf numFmtId="1" fontId="5776" fillId="8" borderId="1" xfId="0" applyNumberFormat="1" applyFont="1" applyFill="1" applyBorder="1" applyAlignment="1">
      <alignment horizontal="center" vertical="center"/>
    </xf>
    <xf numFmtId="1" fontId="5777" fillId="8" borderId="1" xfId="0" applyNumberFormat="1" applyFont="1" applyFill="1" applyBorder="1" applyAlignment="1">
      <alignment horizontal="center" vertical="center"/>
    </xf>
    <xf numFmtId="1" fontId="5778" fillId="8" borderId="1" xfId="0" applyNumberFormat="1" applyFont="1" applyFill="1" applyBorder="1" applyAlignment="1">
      <alignment horizontal="center" vertical="center"/>
    </xf>
    <xf numFmtId="1" fontId="5779" fillId="8" borderId="1" xfId="0" applyNumberFormat="1" applyFont="1" applyFill="1" applyBorder="1" applyAlignment="1">
      <alignment horizontal="center" vertical="center"/>
    </xf>
    <xf numFmtId="1" fontId="5780" fillId="8" borderId="1" xfId="0" applyNumberFormat="1" applyFont="1" applyFill="1" applyBorder="1" applyAlignment="1">
      <alignment horizontal="center" vertical="center"/>
    </xf>
    <xf numFmtId="1" fontId="5781" fillId="8" borderId="1" xfId="0" applyNumberFormat="1" applyFont="1" applyFill="1" applyBorder="1" applyAlignment="1">
      <alignment horizontal="center" vertical="center"/>
    </xf>
    <xf numFmtId="1" fontId="5782" fillId="8" borderId="1" xfId="0" applyNumberFormat="1" applyFont="1" applyFill="1" applyBorder="1" applyAlignment="1">
      <alignment horizontal="center" vertical="center"/>
    </xf>
    <xf numFmtId="0" fontId="5783" fillId="8" borderId="1" xfId="0" applyNumberFormat="1" applyFont="1" applyFill="1" applyBorder="1" applyAlignment="1">
      <alignment horizontal="center" vertical="center"/>
    </xf>
    <xf numFmtId="0" fontId="5784" fillId="8" borderId="1" xfId="0" applyNumberFormat="1" applyFont="1" applyFill="1" applyBorder="1" applyAlignment="1">
      <alignment horizontal="center" vertical="center"/>
    </xf>
    <xf numFmtId="1" fontId="5785" fillId="8" borderId="1" xfId="0" applyNumberFormat="1" applyFont="1" applyFill="1" applyBorder="1" applyAlignment="1">
      <alignment horizontal="center" vertical="center"/>
    </xf>
    <xf numFmtId="1" fontId="5786" fillId="8" borderId="1" xfId="0" applyNumberFormat="1" applyFont="1" applyFill="1" applyBorder="1" applyAlignment="1">
      <alignment horizontal="center" vertical="center"/>
    </xf>
    <xf numFmtId="1" fontId="5787" fillId="8" borderId="1" xfId="0" applyNumberFormat="1" applyFont="1" applyFill="1" applyBorder="1" applyAlignment="1">
      <alignment horizontal="center" vertical="center"/>
    </xf>
    <xf numFmtId="165" fontId="5788" fillId="8" borderId="1" xfId="0" applyNumberFormat="1" applyFont="1" applyFill="1" applyBorder="1" applyAlignment="1">
      <alignment horizontal="center" vertical="center"/>
    </xf>
    <xf numFmtId="1" fontId="5789" fillId="8" borderId="1" xfId="0" applyNumberFormat="1" applyFont="1" applyFill="1" applyBorder="1" applyAlignment="1">
      <alignment horizontal="center" vertical="center"/>
    </xf>
    <xf numFmtId="165" fontId="5790" fillId="8" borderId="1" xfId="0" applyNumberFormat="1" applyFont="1" applyFill="1" applyBorder="1" applyAlignment="1">
      <alignment horizontal="center" vertical="center"/>
    </xf>
    <xf numFmtId="1" fontId="5791" fillId="8" borderId="1" xfId="0" applyNumberFormat="1" applyFont="1" applyFill="1" applyBorder="1" applyAlignment="1">
      <alignment horizontal="center" vertical="center"/>
    </xf>
    <xf numFmtId="165" fontId="5792" fillId="8" borderId="1" xfId="0" applyNumberFormat="1" applyFont="1" applyFill="1" applyBorder="1" applyAlignment="1">
      <alignment horizontal="center" vertical="center"/>
    </xf>
    <xf numFmtId="1" fontId="5793" fillId="8" borderId="1" xfId="0" applyNumberFormat="1" applyFont="1" applyFill="1" applyBorder="1" applyAlignment="1">
      <alignment horizontal="center" vertical="center"/>
    </xf>
    <xf numFmtId="165" fontId="5794" fillId="8" borderId="1" xfId="0" applyNumberFormat="1" applyFont="1" applyFill="1" applyBorder="1" applyAlignment="1">
      <alignment horizontal="center" vertical="center"/>
    </xf>
    <xf numFmtId="165" fontId="5795" fillId="8" borderId="1" xfId="0" applyNumberFormat="1" applyFont="1" applyFill="1" applyBorder="1" applyAlignment="1">
      <alignment horizontal="center" vertical="center"/>
    </xf>
    <xf numFmtId="1" fontId="5796" fillId="8" borderId="1" xfId="0" applyNumberFormat="1" applyFont="1" applyFill="1" applyBorder="1" applyAlignment="1">
      <alignment horizontal="center" vertical="center"/>
    </xf>
    <xf numFmtId="1" fontId="5797" fillId="8" borderId="1" xfId="0" applyNumberFormat="1" applyFont="1" applyFill="1" applyBorder="1" applyAlignment="1">
      <alignment horizontal="center" vertical="center"/>
    </xf>
    <xf numFmtId="1" fontId="5798" fillId="8" borderId="1" xfId="0" applyNumberFormat="1" applyFont="1" applyFill="1" applyBorder="1" applyAlignment="1">
      <alignment horizontal="center" vertical="center"/>
    </xf>
    <xf numFmtId="165" fontId="5799" fillId="8" borderId="1" xfId="0" applyNumberFormat="1" applyFont="1" applyFill="1" applyBorder="1" applyAlignment="1">
      <alignment horizontal="center" vertical="center"/>
    </xf>
    <xf numFmtId="164" fontId="5800" fillId="8" borderId="1" xfId="0" applyNumberFormat="1" applyFont="1" applyFill="1" applyBorder="1" applyAlignment="1">
      <alignment horizontal="center" vertical="center"/>
    </xf>
    <xf numFmtId="164" fontId="5801" fillId="8" borderId="1" xfId="0" applyNumberFormat="1" applyFont="1" applyFill="1" applyBorder="1" applyAlignment="1">
      <alignment horizontal="center" vertical="center"/>
    </xf>
    <xf numFmtId="1" fontId="5802" fillId="8" borderId="1" xfId="0" applyNumberFormat="1" applyFont="1" applyFill="1" applyBorder="1" applyAlignment="1">
      <alignment horizontal="center" vertical="center"/>
    </xf>
    <xf numFmtId="1" fontId="5803" fillId="8" borderId="1" xfId="0" applyNumberFormat="1" applyFont="1" applyFill="1" applyBorder="1" applyAlignment="1">
      <alignment horizontal="center" vertical="center"/>
    </xf>
    <xf numFmtId="1" fontId="5804" fillId="8" borderId="1" xfId="0" applyNumberFormat="1" applyFont="1" applyFill="1" applyBorder="1" applyAlignment="1">
      <alignment horizontal="center" vertical="center"/>
    </xf>
    <xf numFmtId="165" fontId="5805" fillId="8" borderId="1" xfId="0" applyNumberFormat="1" applyFont="1" applyFill="1" applyBorder="1" applyAlignment="1">
      <alignment horizontal="center" vertical="center"/>
    </xf>
    <xf numFmtId="1" fontId="5806" fillId="8" borderId="1" xfId="0" applyNumberFormat="1" applyFont="1" applyFill="1" applyBorder="1" applyAlignment="1">
      <alignment horizontal="center" vertical="center"/>
    </xf>
    <xf numFmtId="165" fontId="5807" fillId="8" borderId="1" xfId="0" applyNumberFormat="1" applyFont="1" applyFill="1" applyBorder="1" applyAlignment="1">
      <alignment horizontal="center" vertical="center"/>
    </xf>
    <xf numFmtId="1" fontId="5808" fillId="8" borderId="1" xfId="0" applyNumberFormat="1" applyFont="1" applyFill="1" applyBorder="1" applyAlignment="1">
      <alignment horizontal="center" vertical="center"/>
    </xf>
    <xf numFmtId="1" fontId="5809" fillId="8" borderId="1" xfId="0" applyNumberFormat="1" applyFont="1" applyFill="1" applyBorder="1" applyAlignment="1">
      <alignment horizontal="center" vertical="center"/>
    </xf>
    <xf numFmtId="1" fontId="5810" fillId="8" borderId="1" xfId="0" applyNumberFormat="1" applyFont="1" applyFill="1" applyBorder="1" applyAlignment="1">
      <alignment horizontal="center" vertical="center"/>
    </xf>
    <xf numFmtId="1" fontId="5811" fillId="8" borderId="1" xfId="0" applyNumberFormat="1" applyFont="1" applyFill="1" applyBorder="1" applyAlignment="1">
      <alignment horizontal="center" vertical="center"/>
    </xf>
    <xf numFmtId="165" fontId="5812" fillId="8" borderId="1" xfId="0" applyNumberFormat="1" applyFont="1" applyFill="1" applyBorder="1" applyAlignment="1">
      <alignment horizontal="center" vertical="center"/>
    </xf>
    <xf numFmtId="1" fontId="5813" fillId="8" borderId="1" xfId="0" applyNumberFormat="1" applyFont="1" applyFill="1" applyBorder="1" applyAlignment="1">
      <alignment horizontal="center" vertical="center"/>
    </xf>
    <xf numFmtId="165" fontId="5814" fillId="8" borderId="1" xfId="0" applyNumberFormat="1" applyFont="1" applyFill="1" applyBorder="1" applyAlignment="1">
      <alignment horizontal="center" vertical="center"/>
    </xf>
    <xf numFmtId="1" fontId="5815" fillId="8" borderId="1" xfId="0" applyNumberFormat="1" applyFont="1" applyFill="1" applyBorder="1" applyAlignment="1">
      <alignment horizontal="center" vertical="center"/>
    </xf>
    <xf numFmtId="165" fontId="5816" fillId="8" borderId="1" xfId="0" applyNumberFormat="1" applyFont="1" applyFill="1" applyBorder="1" applyAlignment="1">
      <alignment horizontal="center" vertical="center"/>
    </xf>
    <xf numFmtId="2" fontId="5817" fillId="8" borderId="1" xfId="0" applyNumberFormat="1" applyFont="1" applyFill="1" applyBorder="1" applyAlignment="1">
      <alignment horizontal="center" vertical="center"/>
    </xf>
    <xf numFmtId="2" fontId="5818" fillId="8" borderId="1" xfId="0" applyNumberFormat="1" applyFont="1" applyFill="1" applyBorder="1" applyAlignment="1">
      <alignment horizontal="center" vertical="center"/>
    </xf>
    <xf numFmtId="2" fontId="5819" fillId="8" borderId="1" xfId="0" applyNumberFormat="1" applyFont="1" applyFill="1" applyBorder="1" applyAlignment="1">
      <alignment horizontal="center" vertical="center"/>
    </xf>
    <xf numFmtId="2" fontId="5820" fillId="8" borderId="1" xfId="0" applyNumberFormat="1" applyFont="1" applyFill="1" applyBorder="1" applyAlignment="1">
      <alignment horizontal="center" vertical="center"/>
    </xf>
    <xf numFmtId="2" fontId="5821" fillId="8" borderId="1" xfId="0" applyNumberFormat="1" applyFont="1" applyFill="1" applyBorder="1" applyAlignment="1">
      <alignment horizontal="center" vertical="center"/>
    </xf>
    <xf numFmtId="2" fontId="5822" fillId="8" borderId="1" xfId="0" applyNumberFormat="1" applyFont="1" applyFill="1" applyBorder="1" applyAlignment="1">
      <alignment horizontal="center" vertical="center"/>
    </xf>
    <xf numFmtId="2" fontId="5823" fillId="8" borderId="1" xfId="0" applyNumberFormat="1" applyFont="1" applyFill="1" applyBorder="1" applyAlignment="1">
      <alignment horizontal="center" vertical="center"/>
    </xf>
    <xf numFmtId="2" fontId="5824" fillId="8" borderId="1" xfId="0" applyNumberFormat="1" applyFont="1" applyFill="1" applyBorder="1" applyAlignment="1">
      <alignment horizontal="center" vertical="center"/>
    </xf>
    <xf numFmtId="2" fontId="5825" fillId="8" borderId="1" xfId="0" applyNumberFormat="1" applyFont="1" applyFill="1" applyBorder="1" applyAlignment="1">
      <alignment horizontal="center" vertical="center"/>
    </xf>
    <xf numFmtId="2" fontId="5826" fillId="8" borderId="1" xfId="0" applyNumberFormat="1" applyFont="1" applyFill="1" applyBorder="1" applyAlignment="1">
      <alignment horizontal="center" vertical="center"/>
    </xf>
    <xf numFmtId="2" fontId="5827" fillId="8" borderId="1" xfId="0" applyNumberFormat="1" applyFont="1" applyFill="1" applyBorder="1" applyAlignment="1">
      <alignment horizontal="center" vertical="center"/>
    </xf>
    <xf numFmtId="2" fontId="5828" fillId="8" borderId="1" xfId="0" applyNumberFormat="1" applyFont="1" applyFill="1" applyBorder="1" applyAlignment="1">
      <alignment horizontal="center" vertical="center"/>
    </xf>
    <xf numFmtId="2" fontId="5829" fillId="8" borderId="1" xfId="0" applyNumberFormat="1" applyFont="1" applyFill="1" applyBorder="1" applyAlignment="1">
      <alignment horizontal="center" vertical="center"/>
    </xf>
    <xf numFmtId="2" fontId="5830" fillId="8" borderId="1" xfId="0" applyNumberFormat="1" applyFont="1" applyFill="1" applyBorder="1" applyAlignment="1">
      <alignment horizontal="center" vertical="center"/>
    </xf>
    <xf numFmtId="2" fontId="5831" fillId="8" borderId="1" xfId="0" applyNumberFormat="1" applyFont="1" applyFill="1" applyBorder="1" applyAlignment="1">
      <alignment horizontal="center" vertical="center"/>
    </xf>
    <xf numFmtId="2" fontId="5832" fillId="8" borderId="1" xfId="0" applyNumberFormat="1" applyFont="1" applyFill="1" applyBorder="1" applyAlignment="1">
      <alignment horizontal="center" vertical="center"/>
    </xf>
    <xf numFmtId="2" fontId="5833" fillId="8" borderId="1" xfId="0" applyNumberFormat="1" applyFont="1" applyFill="1" applyBorder="1" applyAlignment="1">
      <alignment horizontal="center" vertical="center"/>
    </xf>
    <xf numFmtId="2" fontId="5834" fillId="8" borderId="1" xfId="0" applyNumberFormat="1" applyFont="1" applyFill="1" applyBorder="1" applyAlignment="1">
      <alignment horizontal="center" vertical="center"/>
    </xf>
    <xf numFmtId="2" fontId="5835" fillId="8" borderId="1" xfId="0" applyNumberFormat="1" applyFont="1" applyFill="1" applyBorder="1" applyAlignment="1">
      <alignment horizontal="center" vertical="center"/>
    </xf>
    <xf numFmtId="2" fontId="5836" fillId="8" borderId="1" xfId="0" applyNumberFormat="1" applyFont="1" applyFill="1" applyBorder="1" applyAlignment="1">
      <alignment horizontal="center" vertical="center"/>
    </xf>
    <xf numFmtId="2" fontId="5837" fillId="8" borderId="1" xfId="0" applyNumberFormat="1" applyFont="1" applyFill="1" applyBorder="1" applyAlignment="1">
      <alignment horizontal="center" vertical="center"/>
    </xf>
    <xf numFmtId="2" fontId="5838" fillId="8" borderId="1" xfId="0" applyNumberFormat="1" applyFont="1" applyFill="1" applyBorder="1" applyAlignment="1">
      <alignment horizontal="center" vertical="center"/>
    </xf>
    <xf numFmtId="2" fontId="5839" fillId="8" borderId="1" xfId="0" applyNumberFormat="1" applyFont="1" applyFill="1" applyBorder="1" applyAlignment="1">
      <alignment horizontal="center" vertical="center"/>
    </xf>
    <xf numFmtId="2" fontId="5840" fillId="8" borderId="1" xfId="0" applyNumberFormat="1" applyFont="1" applyFill="1" applyBorder="1" applyAlignment="1">
      <alignment horizontal="center" vertical="center"/>
    </xf>
    <xf numFmtId="2" fontId="5841" fillId="8" borderId="1" xfId="0" applyNumberFormat="1" applyFont="1" applyFill="1" applyBorder="1" applyAlignment="1">
      <alignment horizontal="center" vertical="center"/>
    </xf>
    <xf numFmtId="2" fontId="5842" fillId="8" borderId="1" xfId="0" applyNumberFormat="1" applyFont="1" applyFill="1" applyBorder="1" applyAlignment="1">
      <alignment horizontal="center" vertical="center"/>
    </xf>
    <xf numFmtId="2" fontId="5843" fillId="8" borderId="1" xfId="0" applyNumberFormat="1" applyFont="1" applyFill="1" applyBorder="1" applyAlignment="1">
      <alignment horizontal="center" vertical="center"/>
    </xf>
    <xf numFmtId="2" fontId="5844" fillId="8" borderId="1" xfId="0" applyNumberFormat="1" applyFont="1" applyFill="1" applyBorder="1" applyAlignment="1">
      <alignment horizontal="center" vertical="center"/>
    </xf>
    <xf numFmtId="2" fontId="5845" fillId="8" borderId="1" xfId="0" applyNumberFormat="1" applyFont="1" applyFill="1" applyBorder="1" applyAlignment="1">
      <alignment horizontal="center" vertical="center"/>
    </xf>
    <xf numFmtId="2" fontId="5846" fillId="8" borderId="1" xfId="0" applyNumberFormat="1" applyFont="1" applyFill="1" applyBorder="1" applyAlignment="1">
      <alignment horizontal="center" vertical="center"/>
    </xf>
    <xf numFmtId="2" fontId="5847" fillId="8" borderId="1" xfId="0" applyNumberFormat="1" applyFont="1" applyFill="1" applyBorder="1" applyAlignment="1">
      <alignment horizontal="center" vertical="center"/>
    </xf>
    <xf numFmtId="2" fontId="5848" fillId="8" borderId="1" xfId="0" applyNumberFormat="1" applyFont="1" applyFill="1" applyBorder="1" applyAlignment="1">
      <alignment horizontal="center" vertical="center"/>
    </xf>
    <xf numFmtId="2" fontId="5849" fillId="8" borderId="1" xfId="0" applyNumberFormat="1" applyFont="1" applyFill="1" applyBorder="1" applyAlignment="1">
      <alignment horizontal="center" vertical="center"/>
    </xf>
    <xf numFmtId="2" fontId="5850" fillId="8" borderId="1" xfId="0" applyNumberFormat="1" applyFont="1" applyFill="1" applyBorder="1" applyAlignment="1">
      <alignment horizontal="center" vertical="center"/>
    </xf>
    <xf numFmtId="0" fontId="5851" fillId="7" borderId="1" xfId="0" applyNumberFormat="1" applyFont="1" applyFill="1" applyBorder="1" applyAlignment="1">
      <alignment horizontal="left" vertical="center"/>
    </xf>
    <xf numFmtId="0" fontId="5852" fillId="8" borderId="1" xfId="0" applyNumberFormat="1" applyFont="1" applyFill="1" applyBorder="1" applyAlignment="1">
      <alignment horizontal="center" vertical="center"/>
    </xf>
    <xf numFmtId="164" fontId="5853" fillId="8" borderId="1" xfId="0" applyNumberFormat="1" applyFont="1" applyFill="1" applyBorder="1" applyAlignment="1">
      <alignment horizontal="center" vertical="center"/>
    </xf>
    <xf numFmtId="1" fontId="5854" fillId="8" borderId="1" xfId="0" applyNumberFormat="1" applyFont="1" applyFill="1" applyBorder="1" applyAlignment="1">
      <alignment horizontal="center" vertical="center"/>
    </xf>
    <xf numFmtId="1" fontId="5855" fillId="8" borderId="1" xfId="0" applyNumberFormat="1" applyFont="1" applyFill="1" applyBorder="1" applyAlignment="1">
      <alignment horizontal="center" vertical="center"/>
    </xf>
    <xf numFmtId="1" fontId="5856" fillId="8" borderId="1" xfId="0" applyNumberFormat="1" applyFont="1" applyFill="1" applyBorder="1" applyAlignment="1">
      <alignment horizontal="center" vertical="center"/>
    </xf>
    <xf numFmtId="1" fontId="5857" fillId="8" borderId="1" xfId="0" applyNumberFormat="1" applyFont="1" applyFill="1" applyBorder="1" applyAlignment="1">
      <alignment horizontal="center" vertical="center"/>
    </xf>
    <xf numFmtId="1" fontId="5858" fillId="8" borderId="1" xfId="0" applyNumberFormat="1" applyFont="1" applyFill="1" applyBorder="1" applyAlignment="1">
      <alignment horizontal="center" vertical="center"/>
    </xf>
    <xf numFmtId="1" fontId="5859" fillId="8" borderId="1" xfId="0" applyNumberFormat="1" applyFont="1" applyFill="1" applyBorder="1" applyAlignment="1">
      <alignment horizontal="center" vertical="center"/>
    </xf>
    <xf numFmtId="1" fontId="5860" fillId="8" borderId="1" xfId="0" applyNumberFormat="1" applyFont="1" applyFill="1" applyBorder="1" applyAlignment="1">
      <alignment horizontal="center" vertical="center"/>
    </xf>
    <xf numFmtId="0" fontId="5861" fillId="8" borderId="1" xfId="0" applyNumberFormat="1" applyFont="1" applyFill="1" applyBorder="1" applyAlignment="1">
      <alignment horizontal="center" vertical="center"/>
    </xf>
    <xf numFmtId="0" fontId="5862" fillId="8" borderId="1" xfId="0" applyNumberFormat="1" applyFont="1" applyFill="1" applyBorder="1" applyAlignment="1">
      <alignment horizontal="center" vertical="center"/>
    </xf>
    <xf numFmtId="1" fontId="5863" fillId="8" borderId="1" xfId="0" applyNumberFormat="1" applyFont="1" applyFill="1" applyBorder="1" applyAlignment="1">
      <alignment horizontal="center" vertical="center"/>
    </xf>
    <xf numFmtId="1" fontId="5864" fillId="8" borderId="1" xfId="0" applyNumberFormat="1" applyFont="1" applyFill="1" applyBorder="1" applyAlignment="1">
      <alignment horizontal="center" vertical="center"/>
    </xf>
    <xf numFmtId="1" fontId="5865" fillId="8" borderId="1" xfId="0" applyNumberFormat="1" applyFont="1" applyFill="1" applyBorder="1" applyAlignment="1">
      <alignment horizontal="center" vertical="center"/>
    </xf>
    <xf numFmtId="165" fontId="5866" fillId="8" borderId="1" xfId="0" applyNumberFormat="1" applyFont="1" applyFill="1" applyBorder="1" applyAlignment="1">
      <alignment horizontal="center" vertical="center"/>
    </xf>
    <xf numFmtId="1" fontId="5867" fillId="8" borderId="1" xfId="0" applyNumberFormat="1" applyFont="1" applyFill="1" applyBorder="1" applyAlignment="1">
      <alignment horizontal="center" vertical="center"/>
    </xf>
    <xf numFmtId="165" fontId="5868" fillId="8" borderId="1" xfId="0" applyNumberFormat="1" applyFont="1" applyFill="1" applyBorder="1" applyAlignment="1">
      <alignment horizontal="center" vertical="center"/>
    </xf>
    <xf numFmtId="1" fontId="5869" fillId="8" borderId="1" xfId="0" applyNumberFormat="1" applyFont="1" applyFill="1" applyBorder="1" applyAlignment="1">
      <alignment horizontal="center" vertical="center"/>
    </xf>
    <xf numFmtId="165" fontId="5870" fillId="8" borderId="1" xfId="0" applyNumberFormat="1" applyFont="1" applyFill="1" applyBorder="1" applyAlignment="1">
      <alignment horizontal="center" vertical="center"/>
    </xf>
    <xf numFmtId="1" fontId="5871" fillId="8" borderId="1" xfId="0" applyNumberFormat="1" applyFont="1" applyFill="1" applyBorder="1" applyAlignment="1">
      <alignment horizontal="center" vertical="center"/>
    </xf>
    <xf numFmtId="165" fontId="5872" fillId="8" borderId="1" xfId="0" applyNumberFormat="1" applyFont="1" applyFill="1" applyBorder="1" applyAlignment="1">
      <alignment horizontal="center" vertical="center"/>
    </xf>
    <xf numFmtId="165" fontId="5873" fillId="8" borderId="1" xfId="0" applyNumberFormat="1" applyFont="1" applyFill="1" applyBorder="1" applyAlignment="1">
      <alignment horizontal="center" vertical="center"/>
    </xf>
    <xf numFmtId="1" fontId="5874" fillId="8" borderId="1" xfId="0" applyNumberFormat="1" applyFont="1" applyFill="1" applyBorder="1" applyAlignment="1">
      <alignment horizontal="center" vertical="center"/>
    </xf>
    <xf numFmtId="1" fontId="5875" fillId="8" borderId="1" xfId="0" applyNumberFormat="1" applyFont="1" applyFill="1" applyBorder="1" applyAlignment="1">
      <alignment horizontal="center" vertical="center"/>
    </xf>
    <xf numFmtId="1" fontId="5876" fillId="8" borderId="1" xfId="0" applyNumberFormat="1" applyFont="1" applyFill="1" applyBorder="1" applyAlignment="1">
      <alignment horizontal="center" vertical="center"/>
    </xf>
    <xf numFmtId="165" fontId="5877" fillId="8" borderId="1" xfId="0" applyNumberFormat="1" applyFont="1" applyFill="1" applyBorder="1" applyAlignment="1">
      <alignment horizontal="center" vertical="center"/>
    </xf>
    <xf numFmtId="164" fontId="5878" fillId="8" borderId="1" xfId="0" applyNumberFormat="1" applyFont="1" applyFill="1" applyBorder="1" applyAlignment="1">
      <alignment horizontal="center" vertical="center"/>
    </xf>
    <xf numFmtId="164" fontId="5879" fillId="8" borderId="1" xfId="0" applyNumberFormat="1" applyFont="1" applyFill="1" applyBorder="1" applyAlignment="1">
      <alignment horizontal="center" vertical="center"/>
    </xf>
    <xf numFmtId="1" fontId="5880" fillId="8" borderId="1" xfId="0" applyNumberFormat="1" applyFont="1" applyFill="1" applyBorder="1" applyAlignment="1">
      <alignment horizontal="center" vertical="center"/>
    </xf>
    <xf numFmtId="1" fontId="5881" fillId="8" borderId="1" xfId="0" applyNumberFormat="1" applyFont="1" applyFill="1" applyBorder="1" applyAlignment="1">
      <alignment horizontal="center" vertical="center"/>
    </xf>
    <xf numFmtId="1" fontId="5882" fillId="8" borderId="1" xfId="0" applyNumberFormat="1" applyFont="1" applyFill="1" applyBorder="1" applyAlignment="1">
      <alignment horizontal="center" vertical="center"/>
    </xf>
    <xf numFmtId="165" fontId="5883" fillId="8" borderId="1" xfId="0" applyNumberFormat="1" applyFont="1" applyFill="1" applyBorder="1" applyAlignment="1">
      <alignment horizontal="center" vertical="center"/>
    </xf>
    <xf numFmtId="1" fontId="5884" fillId="8" borderId="1" xfId="0" applyNumberFormat="1" applyFont="1" applyFill="1" applyBorder="1" applyAlignment="1">
      <alignment horizontal="center" vertical="center"/>
    </xf>
    <xf numFmtId="165" fontId="5885" fillId="8" borderId="1" xfId="0" applyNumberFormat="1" applyFont="1" applyFill="1" applyBorder="1" applyAlignment="1">
      <alignment horizontal="center" vertical="center"/>
    </xf>
    <xf numFmtId="1" fontId="5886" fillId="8" borderId="1" xfId="0" applyNumberFormat="1" applyFont="1" applyFill="1" applyBorder="1" applyAlignment="1">
      <alignment horizontal="center" vertical="center"/>
    </xf>
    <xf numFmtId="1" fontId="5887" fillId="8" borderId="1" xfId="0" applyNumberFormat="1" applyFont="1" applyFill="1" applyBorder="1" applyAlignment="1">
      <alignment horizontal="center" vertical="center"/>
    </xf>
    <xf numFmtId="1" fontId="5888" fillId="8" borderId="1" xfId="0" applyNumberFormat="1" applyFont="1" applyFill="1" applyBorder="1" applyAlignment="1">
      <alignment horizontal="center" vertical="center"/>
    </xf>
    <xf numFmtId="1" fontId="5889" fillId="8" borderId="1" xfId="0" applyNumberFormat="1" applyFont="1" applyFill="1" applyBorder="1" applyAlignment="1">
      <alignment horizontal="center" vertical="center"/>
    </xf>
    <xf numFmtId="165" fontId="5890" fillId="8" borderId="1" xfId="0" applyNumberFormat="1" applyFont="1" applyFill="1" applyBorder="1" applyAlignment="1">
      <alignment horizontal="center" vertical="center"/>
    </xf>
    <xf numFmtId="1" fontId="5891" fillId="8" borderId="1" xfId="0" applyNumberFormat="1" applyFont="1" applyFill="1" applyBorder="1" applyAlignment="1">
      <alignment horizontal="center" vertical="center"/>
    </xf>
    <xf numFmtId="165" fontId="5892" fillId="8" borderId="1" xfId="0" applyNumberFormat="1" applyFont="1" applyFill="1" applyBorder="1" applyAlignment="1">
      <alignment horizontal="center" vertical="center"/>
    </xf>
    <xf numFmtId="1" fontId="5893" fillId="8" borderId="1" xfId="0" applyNumberFormat="1" applyFont="1" applyFill="1" applyBorder="1" applyAlignment="1">
      <alignment horizontal="center" vertical="center"/>
    </xf>
    <xf numFmtId="165" fontId="5894" fillId="8" borderId="1" xfId="0" applyNumberFormat="1" applyFont="1" applyFill="1" applyBorder="1" applyAlignment="1">
      <alignment horizontal="center" vertical="center"/>
    </xf>
    <xf numFmtId="2" fontId="5895" fillId="8" borderId="1" xfId="0" applyNumberFormat="1" applyFont="1" applyFill="1" applyBorder="1" applyAlignment="1">
      <alignment horizontal="center" vertical="center"/>
    </xf>
    <xf numFmtId="2" fontId="5896" fillId="8" borderId="1" xfId="0" applyNumberFormat="1" applyFont="1" applyFill="1" applyBorder="1" applyAlignment="1">
      <alignment horizontal="center" vertical="center"/>
    </xf>
    <xf numFmtId="2" fontId="5897" fillId="8" borderId="1" xfId="0" applyNumberFormat="1" applyFont="1" applyFill="1" applyBorder="1" applyAlignment="1">
      <alignment horizontal="center" vertical="center"/>
    </xf>
    <xf numFmtId="2" fontId="5898" fillId="8" borderId="1" xfId="0" applyNumberFormat="1" applyFont="1" applyFill="1" applyBorder="1" applyAlignment="1">
      <alignment horizontal="center" vertical="center"/>
    </xf>
    <xf numFmtId="2" fontId="5899" fillId="8" borderId="1" xfId="0" applyNumberFormat="1" applyFont="1" applyFill="1" applyBorder="1" applyAlignment="1">
      <alignment horizontal="center" vertical="center"/>
    </xf>
    <xf numFmtId="2" fontId="5900" fillId="8" borderId="1" xfId="0" applyNumberFormat="1" applyFont="1" applyFill="1" applyBorder="1" applyAlignment="1">
      <alignment horizontal="center" vertical="center"/>
    </xf>
    <xf numFmtId="2" fontId="5901" fillId="8" borderId="1" xfId="0" applyNumberFormat="1" applyFont="1" applyFill="1" applyBorder="1" applyAlignment="1">
      <alignment horizontal="center" vertical="center"/>
    </xf>
    <xf numFmtId="2" fontId="5902" fillId="8" borderId="1" xfId="0" applyNumberFormat="1" applyFont="1" applyFill="1" applyBorder="1" applyAlignment="1">
      <alignment horizontal="center" vertical="center"/>
    </xf>
    <xf numFmtId="2" fontId="5903" fillId="8" borderId="1" xfId="0" applyNumberFormat="1" applyFont="1" applyFill="1" applyBorder="1" applyAlignment="1">
      <alignment horizontal="center" vertical="center"/>
    </xf>
    <xf numFmtId="2" fontId="5904" fillId="8" borderId="1" xfId="0" applyNumberFormat="1" applyFont="1" applyFill="1" applyBorder="1" applyAlignment="1">
      <alignment horizontal="center" vertical="center"/>
    </xf>
    <xf numFmtId="2" fontId="5905" fillId="8" borderId="1" xfId="0" applyNumberFormat="1" applyFont="1" applyFill="1" applyBorder="1" applyAlignment="1">
      <alignment horizontal="center" vertical="center"/>
    </xf>
    <xf numFmtId="2" fontId="5906" fillId="8" borderId="1" xfId="0" applyNumberFormat="1" applyFont="1" applyFill="1" applyBorder="1" applyAlignment="1">
      <alignment horizontal="center" vertical="center"/>
    </xf>
    <xf numFmtId="2" fontId="5907" fillId="8" borderId="1" xfId="0" applyNumberFormat="1" applyFont="1" applyFill="1" applyBorder="1" applyAlignment="1">
      <alignment horizontal="center" vertical="center"/>
    </xf>
    <xf numFmtId="2" fontId="5908" fillId="8" borderId="1" xfId="0" applyNumberFormat="1" applyFont="1" applyFill="1" applyBorder="1" applyAlignment="1">
      <alignment horizontal="center" vertical="center"/>
    </xf>
    <xf numFmtId="2" fontId="5909" fillId="8" borderId="1" xfId="0" applyNumberFormat="1" applyFont="1" applyFill="1" applyBorder="1" applyAlignment="1">
      <alignment horizontal="center" vertical="center"/>
    </xf>
    <xf numFmtId="2" fontId="5910" fillId="8" borderId="1" xfId="0" applyNumberFormat="1" applyFont="1" applyFill="1" applyBorder="1" applyAlignment="1">
      <alignment horizontal="center" vertical="center"/>
    </xf>
    <xf numFmtId="2" fontId="5911" fillId="8" borderId="1" xfId="0" applyNumberFormat="1" applyFont="1" applyFill="1" applyBorder="1" applyAlignment="1">
      <alignment horizontal="center" vertical="center"/>
    </xf>
    <xf numFmtId="2" fontId="5912" fillId="8" borderId="1" xfId="0" applyNumberFormat="1" applyFont="1" applyFill="1" applyBorder="1" applyAlignment="1">
      <alignment horizontal="center" vertical="center"/>
    </xf>
    <xf numFmtId="2" fontId="5913" fillId="8" borderId="1" xfId="0" applyNumberFormat="1" applyFont="1" applyFill="1" applyBorder="1" applyAlignment="1">
      <alignment horizontal="center" vertical="center"/>
    </xf>
    <xf numFmtId="2" fontId="5914" fillId="8" borderId="1" xfId="0" applyNumberFormat="1" applyFont="1" applyFill="1" applyBorder="1" applyAlignment="1">
      <alignment horizontal="center" vertical="center"/>
    </xf>
    <xf numFmtId="2" fontId="5915" fillId="8" borderId="1" xfId="0" applyNumberFormat="1" applyFont="1" applyFill="1" applyBorder="1" applyAlignment="1">
      <alignment horizontal="center" vertical="center"/>
    </xf>
    <xf numFmtId="2" fontId="5916" fillId="8" borderId="1" xfId="0" applyNumberFormat="1" applyFont="1" applyFill="1" applyBorder="1" applyAlignment="1">
      <alignment horizontal="center" vertical="center"/>
    </xf>
    <xf numFmtId="2" fontId="5917" fillId="8" borderId="1" xfId="0" applyNumberFormat="1" applyFont="1" applyFill="1" applyBorder="1" applyAlignment="1">
      <alignment horizontal="center" vertical="center"/>
    </xf>
    <xf numFmtId="2" fontId="5918" fillId="8" borderId="1" xfId="0" applyNumberFormat="1" applyFont="1" applyFill="1" applyBorder="1" applyAlignment="1">
      <alignment horizontal="center" vertical="center"/>
    </xf>
    <xf numFmtId="2" fontId="5919" fillId="8" borderId="1" xfId="0" applyNumberFormat="1" applyFont="1" applyFill="1" applyBorder="1" applyAlignment="1">
      <alignment horizontal="center" vertical="center"/>
    </xf>
    <xf numFmtId="2" fontId="5920" fillId="8" borderId="1" xfId="0" applyNumberFormat="1" applyFont="1" applyFill="1" applyBorder="1" applyAlignment="1">
      <alignment horizontal="center" vertical="center"/>
    </xf>
    <xf numFmtId="2" fontId="5921" fillId="8" borderId="1" xfId="0" applyNumberFormat="1" applyFont="1" applyFill="1" applyBorder="1" applyAlignment="1">
      <alignment horizontal="center" vertical="center"/>
    </xf>
    <xf numFmtId="2" fontId="5922" fillId="8" borderId="1" xfId="0" applyNumberFormat="1" applyFont="1" applyFill="1" applyBorder="1" applyAlignment="1">
      <alignment horizontal="center" vertical="center"/>
    </xf>
    <xf numFmtId="2" fontId="5923" fillId="8" borderId="1" xfId="0" applyNumberFormat="1" applyFont="1" applyFill="1" applyBorder="1" applyAlignment="1">
      <alignment horizontal="center" vertical="center"/>
    </xf>
    <xf numFmtId="2" fontId="5924" fillId="8" borderId="1" xfId="0" applyNumberFormat="1" applyFont="1" applyFill="1" applyBorder="1" applyAlignment="1">
      <alignment horizontal="center" vertical="center"/>
    </xf>
    <xf numFmtId="2" fontId="5925" fillId="8" borderId="1" xfId="0" applyNumberFormat="1" applyFont="1" applyFill="1" applyBorder="1" applyAlignment="1">
      <alignment horizontal="center" vertical="center"/>
    </xf>
    <xf numFmtId="2" fontId="5926" fillId="8" borderId="1" xfId="0" applyNumberFormat="1" applyFont="1" applyFill="1" applyBorder="1" applyAlignment="1">
      <alignment horizontal="center" vertical="center"/>
    </xf>
    <xf numFmtId="2" fontId="5927" fillId="8" borderId="1" xfId="0" applyNumberFormat="1" applyFont="1" applyFill="1" applyBorder="1" applyAlignment="1">
      <alignment horizontal="center" vertical="center"/>
    </xf>
    <xf numFmtId="2" fontId="5928" fillId="8" borderId="1" xfId="0" applyNumberFormat="1" applyFont="1" applyFill="1" applyBorder="1" applyAlignment="1">
      <alignment horizontal="center" vertical="center"/>
    </xf>
    <xf numFmtId="0" fontId="5929" fillId="7" borderId="1" xfId="0" applyNumberFormat="1" applyFont="1" applyFill="1" applyBorder="1" applyAlignment="1">
      <alignment horizontal="left" vertical="center"/>
    </xf>
    <xf numFmtId="0" fontId="5930" fillId="8" borderId="1" xfId="0" applyNumberFormat="1" applyFont="1" applyFill="1" applyBorder="1" applyAlignment="1">
      <alignment horizontal="center" vertical="center"/>
    </xf>
    <xf numFmtId="164" fontId="5931" fillId="8" borderId="1" xfId="0" applyNumberFormat="1" applyFont="1" applyFill="1" applyBorder="1" applyAlignment="1">
      <alignment horizontal="center" vertical="center"/>
    </xf>
    <xf numFmtId="1" fontId="5932" fillId="8" borderId="1" xfId="0" applyNumberFormat="1" applyFont="1" applyFill="1" applyBorder="1" applyAlignment="1">
      <alignment horizontal="center" vertical="center"/>
    </xf>
    <xf numFmtId="1" fontId="5933" fillId="8" borderId="1" xfId="0" applyNumberFormat="1" applyFont="1" applyFill="1" applyBorder="1" applyAlignment="1">
      <alignment horizontal="center" vertical="center"/>
    </xf>
    <xf numFmtId="1" fontId="5934" fillId="8" borderId="1" xfId="0" applyNumberFormat="1" applyFont="1" applyFill="1" applyBorder="1" applyAlignment="1">
      <alignment horizontal="center" vertical="center"/>
    </xf>
    <xf numFmtId="1" fontId="5935" fillId="8" borderId="1" xfId="0" applyNumberFormat="1" applyFont="1" applyFill="1" applyBorder="1" applyAlignment="1">
      <alignment horizontal="center" vertical="center"/>
    </xf>
    <xf numFmtId="1" fontId="5936" fillId="8" borderId="1" xfId="0" applyNumberFormat="1" applyFont="1" applyFill="1" applyBorder="1" applyAlignment="1">
      <alignment horizontal="center" vertical="center"/>
    </xf>
    <xf numFmtId="1" fontId="5937" fillId="8" borderId="1" xfId="0" applyNumberFormat="1" applyFont="1" applyFill="1" applyBorder="1" applyAlignment="1">
      <alignment horizontal="center" vertical="center"/>
    </xf>
    <xf numFmtId="1" fontId="5938" fillId="8" borderId="1" xfId="0" applyNumberFormat="1" applyFont="1" applyFill="1" applyBorder="1" applyAlignment="1">
      <alignment horizontal="center" vertical="center"/>
    </xf>
    <xf numFmtId="0" fontId="5939" fillId="8" borderId="1" xfId="0" applyNumberFormat="1" applyFont="1" applyFill="1" applyBorder="1" applyAlignment="1">
      <alignment horizontal="center" vertical="center"/>
    </xf>
    <xf numFmtId="0" fontId="5940" fillId="8" borderId="1" xfId="0" applyNumberFormat="1" applyFont="1" applyFill="1" applyBorder="1" applyAlignment="1">
      <alignment horizontal="center" vertical="center"/>
    </xf>
    <xf numFmtId="1" fontId="5941" fillId="8" borderId="1" xfId="0" applyNumberFormat="1" applyFont="1" applyFill="1" applyBorder="1" applyAlignment="1">
      <alignment horizontal="center" vertical="center"/>
    </xf>
    <xf numFmtId="1" fontId="5942" fillId="8" borderId="1" xfId="0" applyNumberFormat="1" applyFont="1" applyFill="1" applyBorder="1" applyAlignment="1">
      <alignment horizontal="center" vertical="center"/>
    </xf>
    <xf numFmtId="1" fontId="5943" fillId="8" borderId="1" xfId="0" applyNumberFormat="1" applyFont="1" applyFill="1" applyBorder="1" applyAlignment="1">
      <alignment horizontal="center" vertical="center"/>
    </xf>
    <xf numFmtId="165" fontId="5944" fillId="8" borderId="1" xfId="0" applyNumberFormat="1" applyFont="1" applyFill="1" applyBorder="1" applyAlignment="1">
      <alignment horizontal="center" vertical="center"/>
    </xf>
    <xf numFmtId="1" fontId="5945" fillId="8" borderId="1" xfId="0" applyNumberFormat="1" applyFont="1" applyFill="1" applyBorder="1" applyAlignment="1">
      <alignment horizontal="center" vertical="center"/>
    </xf>
    <xf numFmtId="165" fontId="5946" fillId="8" borderId="1" xfId="0" applyNumberFormat="1" applyFont="1" applyFill="1" applyBorder="1" applyAlignment="1">
      <alignment horizontal="center" vertical="center"/>
    </xf>
    <xf numFmtId="1" fontId="5947" fillId="8" borderId="1" xfId="0" applyNumberFormat="1" applyFont="1" applyFill="1" applyBorder="1" applyAlignment="1">
      <alignment horizontal="center" vertical="center"/>
    </xf>
    <xf numFmtId="165" fontId="5948" fillId="8" borderId="1" xfId="0" applyNumberFormat="1" applyFont="1" applyFill="1" applyBorder="1" applyAlignment="1">
      <alignment horizontal="center" vertical="center"/>
    </xf>
    <xf numFmtId="1" fontId="5949" fillId="8" borderId="1" xfId="0" applyNumberFormat="1" applyFont="1" applyFill="1" applyBorder="1" applyAlignment="1">
      <alignment horizontal="center" vertical="center"/>
    </xf>
    <xf numFmtId="165" fontId="5950" fillId="8" borderId="1" xfId="0" applyNumberFormat="1" applyFont="1" applyFill="1" applyBorder="1" applyAlignment="1">
      <alignment horizontal="center" vertical="center"/>
    </xf>
    <xf numFmtId="165" fontId="5951" fillId="8" borderId="1" xfId="0" applyNumberFormat="1" applyFont="1" applyFill="1" applyBorder="1" applyAlignment="1">
      <alignment horizontal="center" vertical="center"/>
    </xf>
    <xf numFmtId="1" fontId="5952" fillId="8" borderId="1" xfId="0" applyNumberFormat="1" applyFont="1" applyFill="1" applyBorder="1" applyAlignment="1">
      <alignment horizontal="center" vertical="center"/>
    </xf>
    <xf numFmtId="1" fontId="5953" fillId="8" borderId="1" xfId="0" applyNumberFormat="1" applyFont="1" applyFill="1" applyBorder="1" applyAlignment="1">
      <alignment horizontal="center" vertical="center"/>
    </xf>
    <xf numFmtId="1" fontId="5954" fillId="8" borderId="1" xfId="0" applyNumberFormat="1" applyFont="1" applyFill="1" applyBorder="1" applyAlignment="1">
      <alignment horizontal="center" vertical="center"/>
    </xf>
    <xf numFmtId="165" fontId="5955" fillId="8" borderId="1" xfId="0" applyNumberFormat="1" applyFont="1" applyFill="1" applyBorder="1" applyAlignment="1">
      <alignment horizontal="center" vertical="center"/>
    </xf>
    <xf numFmtId="164" fontId="5956" fillId="8" borderId="1" xfId="0" applyNumberFormat="1" applyFont="1" applyFill="1" applyBorder="1" applyAlignment="1">
      <alignment horizontal="center" vertical="center"/>
    </xf>
    <xf numFmtId="164" fontId="5957" fillId="8" borderId="1" xfId="0" applyNumberFormat="1" applyFont="1" applyFill="1" applyBorder="1" applyAlignment="1">
      <alignment horizontal="center" vertical="center"/>
    </xf>
    <xf numFmtId="1" fontId="5958" fillId="8" borderId="1" xfId="0" applyNumberFormat="1" applyFont="1" applyFill="1" applyBorder="1" applyAlignment="1">
      <alignment horizontal="center" vertical="center"/>
    </xf>
    <xf numFmtId="1" fontId="5959" fillId="8" borderId="1" xfId="0" applyNumberFormat="1" applyFont="1" applyFill="1" applyBorder="1" applyAlignment="1">
      <alignment horizontal="center" vertical="center"/>
    </xf>
    <xf numFmtId="1" fontId="5960" fillId="8" borderId="1" xfId="0" applyNumberFormat="1" applyFont="1" applyFill="1" applyBorder="1" applyAlignment="1">
      <alignment horizontal="center" vertical="center"/>
    </xf>
    <xf numFmtId="165" fontId="5961" fillId="8" borderId="1" xfId="0" applyNumberFormat="1" applyFont="1" applyFill="1" applyBorder="1" applyAlignment="1">
      <alignment horizontal="center" vertical="center"/>
    </xf>
    <xf numFmtId="1" fontId="5962" fillId="8" borderId="1" xfId="0" applyNumberFormat="1" applyFont="1" applyFill="1" applyBorder="1" applyAlignment="1">
      <alignment horizontal="center" vertical="center"/>
    </xf>
    <xf numFmtId="165" fontId="5963" fillId="8" borderId="1" xfId="0" applyNumberFormat="1" applyFont="1" applyFill="1" applyBorder="1" applyAlignment="1">
      <alignment horizontal="center" vertical="center"/>
    </xf>
    <xf numFmtId="1" fontId="5964" fillId="8" borderId="1" xfId="0" applyNumberFormat="1" applyFont="1" applyFill="1" applyBorder="1" applyAlignment="1">
      <alignment horizontal="center" vertical="center"/>
    </xf>
    <xf numFmtId="1" fontId="5965" fillId="8" borderId="1" xfId="0" applyNumberFormat="1" applyFont="1" applyFill="1" applyBorder="1" applyAlignment="1">
      <alignment horizontal="center" vertical="center"/>
    </xf>
    <xf numFmtId="1" fontId="5966" fillId="8" borderId="1" xfId="0" applyNumberFormat="1" applyFont="1" applyFill="1" applyBorder="1" applyAlignment="1">
      <alignment horizontal="center" vertical="center"/>
    </xf>
    <xf numFmtId="1" fontId="5967" fillId="8" borderId="1" xfId="0" applyNumberFormat="1" applyFont="1" applyFill="1" applyBorder="1" applyAlignment="1">
      <alignment horizontal="center" vertical="center"/>
    </xf>
    <xf numFmtId="165" fontId="5968" fillId="8" borderId="1" xfId="0" applyNumberFormat="1" applyFont="1" applyFill="1" applyBorder="1" applyAlignment="1">
      <alignment horizontal="center" vertical="center"/>
    </xf>
    <xf numFmtId="1" fontId="5969" fillId="8" borderId="1" xfId="0" applyNumberFormat="1" applyFont="1" applyFill="1" applyBorder="1" applyAlignment="1">
      <alignment horizontal="center" vertical="center"/>
    </xf>
    <xf numFmtId="165" fontId="5970" fillId="8" borderId="1" xfId="0" applyNumberFormat="1" applyFont="1" applyFill="1" applyBorder="1" applyAlignment="1">
      <alignment horizontal="center" vertical="center"/>
    </xf>
    <xf numFmtId="1" fontId="5971" fillId="8" borderId="1" xfId="0" applyNumberFormat="1" applyFont="1" applyFill="1" applyBorder="1" applyAlignment="1">
      <alignment horizontal="center" vertical="center"/>
    </xf>
    <xf numFmtId="165" fontId="5972" fillId="8" borderId="1" xfId="0" applyNumberFormat="1" applyFont="1" applyFill="1" applyBorder="1" applyAlignment="1">
      <alignment horizontal="center" vertical="center"/>
    </xf>
    <xf numFmtId="2" fontId="5973" fillId="8" borderId="1" xfId="0" applyNumberFormat="1" applyFont="1" applyFill="1" applyBorder="1" applyAlignment="1">
      <alignment horizontal="center" vertical="center"/>
    </xf>
    <xf numFmtId="2" fontId="5974" fillId="8" borderId="1" xfId="0" applyNumberFormat="1" applyFont="1" applyFill="1" applyBorder="1" applyAlignment="1">
      <alignment horizontal="center" vertical="center"/>
    </xf>
    <xf numFmtId="2" fontId="5975" fillId="8" borderId="1" xfId="0" applyNumberFormat="1" applyFont="1" applyFill="1" applyBorder="1" applyAlignment="1">
      <alignment horizontal="center" vertical="center"/>
    </xf>
    <xf numFmtId="2" fontId="5976" fillId="8" borderId="1" xfId="0" applyNumberFormat="1" applyFont="1" applyFill="1" applyBorder="1" applyAlignment="1">
      <alignment horizontal="center" vertical="center"/>
    </xf>
    <xf numFmtId="2" fontId="5977" fillId="8" borderId="1" xfId="0" applyNumberFormat="1" applyFont="1" applyFill="1" applyBorder="1" applyAlignment="1">
      <alignment horizontal="center" vertical="center"/>
    </xf>
    <xf numFmtId="2" fontId="5978" fillId="8" borderId="1" xfId="0" applyNumberFormat="1" applyFont="1" applyFill="1" applyBorder="1" applyAlignment="1">
      <alignment horizontal="center" vertical="center"/>
    </xf>
    <xf numFmtId="2" fontId="5979" fillId="8" borderId="1" xfId="0" applyNumberFormat="1" applyFont="1" applyFill="1" applyBorder="1" applyAlignment="1">
      <alignment horizontal="center" vertical="center"/>
    </xf>
    <xf numFmtId="2" fontId="5980" fillId="8" borderId="1" xfId="0" applyNumberFormat="1" applyFont="1" applyFill="1" applyBorder="1" applyAlignment="1">
      <alignment horizontal="center" vertical="center"/>
    </xf>
    <xf numFmtId="2" fontId="5981" fillId="8" borderId="1" xfId="0" applyNumberFormat="1" applyFont="1" applyFill="1" applyBorder="1" applyAlignment="1">
      <alignment horizontal="center" vertical="center"/>
    </xf>
    <xf numFmtId="2" fontId="5982" fillId="8" borderId="1" xfId="0" applyNumberFormat="1" applyFont="1" applyFill="1" applyBorder="1" applyAlignment="1">
      <alignment horizontal="center" vertical="center"/>
    </xf>
    <xf numFmtId="2" fontId="5983" fillId="8" borderId="1" xfId="0" applyNumberFormat="1" applyFont="1" applyFill="1" applyBorder="1" applyAlignment="1">
      <alignment horizontal="center" vertical="center"/>
    </xf>
    <xf numFmtId="2" fontId="5984" fillId="8" borderId="1" xfId="0" applyNumberFormat="1" applyFont="1" applyFill="1" applyBorder="1" applyAlignment="1">
      <alignment horizontal="center" vertical="center"/>
    </xf>
    <xf numFmtId="2" fontId="5985" fillId="8" borderId="1" xfId="0" applyNumberFormat="1" applyFont="1" applyFill="1" applyBorder="1" applyAlignment="1">
      <alignment horizontal="center" vertical="center"/>
    </xf>
    <xf numFmtId="2" fontId="5986" fillId="8" borderId="1" xfId="0" applyNumberFormat="1" applyFont="1" applyFill="1" applyBorder="1" applyAlignment="1">
      <alignment horizontal="center" vertical="center"/>
    </xf>
    <xf numFmtId="2" fontId="5987" fillId="8" borderId="1" xfId="0" applyNumberFormat="1" applyFont="1" applyFill="1" applyBorder="1" applyAlignment="1">
      <alignment horizontal="center" vertical="center"/>
    </xf>
    <xf numFmtId="2" fontId="5988" fillId="8" borderId="1" xfId="0" applyNumberFormat="1" applyFont="1" applyFill="1" applyBorder="1" applyAlignment="1">
      <alignment horizontal="center" vertical="center"/>
    </xf>
    <xf numFmtId="2" fontId="5989" fillId="8" borderId="1" xfId="0" applyNumberFormat="1" applyFont="1" applyFill="1" applyBorder="1" applyAlignment="1">
      <alignment horizontal="center" vertical="center"/>
    </xf>
    <xf numFmtId="2" fontId="5990" fillId="8" borderId="1" xfId="0" applyNumberFormat="1" applyFont="1" applyFill="1" applyBorder="1" applyAlignment="1">
      <alignment horizontal="center" vertical="center"/>
    </xf>
    <xf numFmtId="2" fontId="5991" fillId="8" borderId="1" xfId="0" applyNumberFormat="1" applyFont="1" applyFill="1" applyBorder="1" applyAlignment="1">
      <alignment horizontal="center" vertical="center"/>
    </xf>
    <xf numFmtId="2" fontId="5992" fillId="8" borderId="1" xfId="0" applyNumberFormat="1" applyFont="1" applyFill="1" applyBorder="1" applyAlignment="1">
      <alignment horizontal="center" vertical="center"/>
    </xf>
    <xf numFmtId="2" fontId="5993" fillId="8" borderId="1" xfId="0" applyNumberFormat="1" applyFont="1" applyFill="1" applyBorder="1" applyAlignment="1">
      <alignment horizontal="center" vertical="center"/>
    </xf>
    <xf numFmtId="2" fontId="5994" fillId="8" borderId="1" xfId="0" applyNumberFormat="1" applyFont="1" applyFill="1" applyBorder="1" applyAlignment="1">
      <alignment horizontal="center" vertical="center"/>
    </xf>
    <xf numFmtId="2" fontId="5995" fillId="8" borderId="1" xfId="0" applyNumberFormat="1" applyFont="1" applyFill="1" applyBorder="1" applyAlignment="1">
      <alignment horizontal="center" vertical="center"/>
    </xf>
    <xf numFmtId="2" fontId="5996" fillId="8" borderId="1" xfId="0" applyNumberFormat="1" applyFont="1" applyFill="1" applyBorder="1" applyAlignment="1">
      <alignment horizontal="center" vertical="center"/>
    </xf>
    <xf numFmtId="2" fontId="5997" fillId="8" borderId="1" xfId="0" applyNumberFormat="1" applyFont="1" applyFill="1" applyBorder="1" applyAlignment="1">
      <alignment horizontal="center" vertical="center"/>
    </xf>
    <xf numFmtId="2" fontId="5998" fillId="8" borderId="1" xfId="0" applyNumberFormat="1" applyFont="1" applyFill="1" applyBorder="1" applyAlignment="1">
      <alignment horizontal="center" vertical="center"/>
    </xf>
    <xf numFmtId="2" fontId="5999" fillId="8" borderId="1" xfId="0" applyNumberFormat="1" applyFont="1" applyFill="1" applyBorder="1" applyAlignment="1">
      <alignment horizontal="center" vertical="center"/>
    </xf>
    <xf numFmtId="2" fontId="6000" fillId="8" borderId="1" xfId="0" applyNumberFormat="1" applyFont="1" applyFill="1" applyBorder="1" applyAlignment="1">
      <alignment horizontal="center" vertical="center"/>
    </xf>
    <xf numFmtId="2" fontId="6001" fillId="8" borderId="1" xfId="0" applyNumberFormat="1" applyFont="1" applyFill="1" applyBorder="1" applyAlignment="1">
      <alignment horizontal="center" vertical="center"/>
    </xf>
    <xf numFmtId="2" fontId="6002" fillId="8" borderId="1" xfId="0" applyNumberFormat="1" applyFont="1" applyFill="1" applyBorder="1" applyAlignment="1">
      <alignment horizontal="center" vertical="center"/>
    </xf>
    <xf numFmtId="2" fontId="6003" fillId="8" borderId="1" xfId="0" applyNumberFormat="1" applyFont="1" applyFill="1" applyBorder="1" applyAlignment="1">
      <alignment horizontal="center" vertical="center"/>
    </xf>
    <xf numFmtId="2" fontId="6004" fillId="8" borderId="1" xfId="0" applyNumberFormat="1" applyFont="1" applyFill="1" applyBorder="1" applyAlignment="1">
      <alignment horizontal="center" vertical="center"/>
    </xf>
    <xf numFmtId="2" fontId="6005" fillId="8" borderId="1" xfId="0" applyNumberFormat="1" applyFont="1" applyFill="1" applyBorder="1" applyAlignment="1">
      <alignment horizontal="center" vertical="center"/>
    </xf>
    <xf numFmtId="2" fontId="6006" fillId="8" borderId="1" xfId="0" applyNumberFormat="1" applyFont="1" applyFill="1" applyBorder="1" applyAlignment="1">
      <alignment horizontal="center" vertical="center"/>
    </xf>
    <xf numFmtId="0" fontId="6007" fillId="7" borderId="1" xfId="0" applyNumberFormat="1" applyFont="1" applyFill="1" applyBorder="1" applyAlignment="1">
      <alignment horizontal="left" vertical="center"/>
    </xf>
    <xf numFmtId="0" fontId="6008" fillId="8" borderId="1" xfId="0" applyNumberFormat="1" applyFont="1" applyFill="1" applyBorder="1" applyAlignment="1">
      <alignment horizontal="center" vertical="center"/>
    </xf>
    <xf numFmtId="164" fontId="6009" fillId="8" borderId="1" xfId="0" applyNumberFormat="1" applyFont="1" applyFill="1" applyBorder="1" applyAlignment="1">
      <alignment horizontal="center" vertical="center"/>
    </xf>
    <xf numFmtId="1" fontId="6010" fillId="8" borderId="1" xfId="0" applyNumberFormat="1" applyFont="1" applyFill="1" applyBorder="1" applyAlignment="1">
      <alignment horizontal="center" vertical="center"/>
    </xf>
    <xf numFmtId="1" fontId="6011" fillId="8" borderId="1" xfId="0" applyNumberFormat="1" applyFont="1" applyFill="1" applyBorder="1" applyAlignment="1">
      <alignment horizontal="center" vertical="center"/>
    </xf>
    <xf numFmtId="1" fontId="6012" fillId="8" borderId="1" xfId="0" applyNumberFormat="1" applyFont="1" applyFill="1" applyBorder="1" applyAlignment="1">
      <alignment horizontal="center" vertical="center"/>
    </xf>
    <xf numFmtId="1" fontId="6013" fillId="8" borderId="1" xfId="0" applyNumberFormat="1" applyFont="1" applyFill="1" applyBorder="1" applyAlignment="1">
      <alignment horizontal="center" vertical="center"/>
    </xf>
    <xf numFmtId="1" fontId="6014" fillId="8" borderId="1" xfId="0" applyNumberFormat="1" applyFont="1" applyFill="1" applyBorder="1" applyAlignment="1">
      <alignment horizontal="center" vertical="center"/>
    </xf>
    <xf numFmtId="1" fontId="6015" fillId="8" borderId="1" xfId="0" applyNumberFormat="1" applyFont="1" applyFill="1" applyBorder="1" applyAlignment="1">
      <alignment horizontal="center" vertical="center"/>
    </xf>
    <xf numFmtId="1" fontId="6016" fillId="8" borderId="1" xfId="0" applyNumberFormat="1" applyFont="1" applyFill="1" applyBorder="1" applyAlignment="1">
      <alignment horizontal="center" vertical="center"/>
    </xf>
    <xf numFmtId="0" fontId="6017" fillId="8" borderId="1" xfId="0" applyNumberFormat="1" applyFont="1" applyFill="1" applyBorder="1" applyAlignment="1">
      <alignment horizontal="center" vertical="center"/>
    </xf>
    <xf numFmtId="0" fontId="6018" fillId="8" borderId="1" xfId="0" applyNumberFormat="1" applyFont="1" applyFill="1" applyBorder="1" applyAlignment="1">
      <alignment horizontal="center" vertical="center"/>
    </xf>
    <xf numFmtId="1" fontId="6019" fillId="8" borderId="1" xfId="0" applyNumberFormat="1" applyFont="1" applyFill="1" applyBorder="1" applyAlignment="1">
      <alignment horizontal="center" vertical="center"/>
    </xf>
    <xf numFmtId="1" fontId="6020" fillId="8" borderId="1" xfId="0" applyNumberFormat="1" applyFont="1" applyFill="1" applyBorder="1" applyAlignment="1">
      <alignment horizontal="center" vertical="center"/>
    </xf>
    <xf numFmtId="1" fontId="6021" fillId="8" borderId="1" xfId="0" applyNumberFormat="1" applyFont="1" applyFill="1" applyBorder="1" applyAlignment="1">
      <alignment horizontal="center" vertical="center"/>
    </xf>
    <xf numFmtId="165" fontId="6022" fillId="8" borderId="1" xfId="0" applyNumberFormat="1" applyFont="1" applyFill="1" applyBorder="1" applyAlignment="1">
      <alignment horizontal="center" vertical="center"/>
    </xf>
    <xf numFmtId="1" fontId="6023" fillId="8" borderId="1" xfId="0" applyNumberFormat="1" applyFont="1" applyFill="1" applyBorder="1" applyAlignment="1">
      <alignment horizontal="center" vertical="center"/>
    </xf>
    <xf numFmtId="165" fontId="6024" fillId="8" borderId="1" xfId="0" applyNumberFormat="1" applyFont="1" applyFill="1" applyBorder="1" applyAlignment="1">
      <alignment horizontal="center" vertical="center"/>
    </xf>
    <xf numFmtId="1" fontId="6025" fillId="8" borderId="1" xfId="0" applyNumberFormat="1" applyFont="1" applyFill="1" applyBorder="1" applyAlignment="1">
      <alignment horizontal="center" vertical="center"/>
    </xf>
    <xf numFmtId="165" fontId="6026" fillId="8" borderId="1" xfId="0" applyNumberFormat="1" applyFont="1" applyFill="1" applyBorder="1" applyAlignment="1">
      <alignment horizontal="center" vertical="center"/>
    </xf>
    <xf numFmtId="1" fontId="6027" fillId="8" borderId="1" xfId="0" applyNumberFormat="1" applyFont="1" applyFill="1" applyBorder="1" applyAlignment="1">
      <alignment horizontal="center" vertical="center"/>
    </xf>
    <xf numFmtId="165" fontId="6028" fillId="8" borderId="1" xfId="0" applyNumberFormat="1" applyFont="1" applyFill="1" applyBorder="1" applyAlignment="1">
      <alignment horizontal="center" vertical="center"/>
    </xf>
    <xf numFmtId="165" fontId="6029" fillId="8" borderId="1" xfId="0" applyNumberFormat="1" applyFont="1" applyFill="1" applyBorder="1" applyAlignment="1">
      <alignment horizontal="center" vertical="center"/>
    </xf>
    <xf numFmtId="1" fontId="6030" fillId="8" borderId="1" xfId="0" applyNumberFormat="1" applyFont="1" applyFill="1" applyBorder="1" applyAlignment="1">
      <alignment horizontal="center" vertical="center"/>
    </xf>
    <xf numFmtId="1" fontId="6031" fillId="8" borderId="1" xfId="0" applyNumberFormat="1" applyFont="1" applyFill="1" applyBorder="1" applyAlignment="1">
      <alignment horizontal="center" vertical="center"/>
    </xf>
    <xf numFmtId="1" fontId="6032" fillId="8" borderId="1" xfId="0" applyNumberFormat="1" applyFont="1" applyFill="1" applyBorder="1" applyAlignment="1">
      <alignment horizontal="center" vertical="center"/>
    </xf>
    <xf numFmtId="165" fontId="6033" fillId="8" borderId="1" xfId="0" applyNumberFormat="1" applyFont="1" applyFill="1" applyBorder="1" applyAlignment="1">
      <alignment horizontal="center" vertical="center"/>
    </xf>
    <xf numFmtId="164" fontId="6034" fillId="8" borderId="1" xfId="0" applyNumberFormat="1" applyFont="1" applyFill="1" applyBorder="1" applyAlignment="1">
      <alignment horizontal="center" vertical="center"/>
    </xf>
    <xf numFmtId="164" fontId="6035" fillId="8" borderId="1" xfId="0" applyNumberFormat="1" applyFont="1" applyFill="1" applyBorder="1" applyAlignment="1">
      <alignment horizontal="center" vertical="center"/>
    </xf>
    <xf numFmtId="1" fontId="6036" fillId="8" borderId="1" xfId="0" applyNumberFormat="1" applyFont="1" applyFill="1" applyBorder="1" applyAlignment="1">
      <alignment horizontal="center" vertical="center"/>
    </xf>
    <xf numFmtId="1" fontId="6037" fillId="8" borderId="1" xfId="0" applyNumberFormat="1" applyFont="1" applyFill="1" applyBorder="1" applyAlignment="1">
      <alignment horizontal="center" vertical="center"/>
    </xf>
    <xf numFmtId="1" fontId="6038" fillId="8" borderId="1" xfId="0" applyNumberFormat="1" applyFont="1" applyFill="1" applyBorder="1" applyAlignment="1">
      <alignment horizontal="center" vertical="center"/>
    </xf>
    <xf numFmtId="165" fontId="6039" fillId="8" borderId="1" xfId="0" applyNumberFormat="1" applyFont="1" applyFill="1" applyBorder="1" applyAlignment="1">
      <alignment horizontal="center" vertical="center"/>
    </xf>
    <xf numFmtId="1" fontId="6040" fillId="8" borderId="1" xfId="0" applyNumberFormat="1" applyFont="1" applyFill="1" applyBorder="1" applyAlignment="1">
      <alignment horizontal="center" vertical="center"/>
    </xf>
    <xf numFmtId="165" fontId="6041" fillId="8" borderId="1" xfId="0" applyNumberFormat="1" applyFont="1" applyFill="1" applyBorder="1" applyAlignment="1">
      <alignment horizontal="center" vertical="center"/>
    </xf>
    <xf numFmtId="1" fontId="6042" fillId="8" borderId="1" xfId="0" applyNumberFormat="1" applyFont="1" applyFill="1" applyBorder="1" applyAlignment="1">
      <alignment horizontal="center" vertical="center"/>
    </xf>
    <xf numFmtId="1" fontId="6043" fillId="8" borderId="1" xfId="0" applyNumberFormat="1" applyFont="1" applyFill="1" applyBorder="1" applyAlignment="1">
      <alignment horizontal="center" vertical="center"/>
    </xf>
    <xf numFmtId="1" fontId="6044" fillId="8" borderId="1" xfId="0" applyNumberFormat="1" applyFont="1" applyFill="1" applyBorder="1" applyAlignment="1">
      <alignment horizontal="center" vertical="center"/>
    </xf>
    <xf numFmtId="1" fontId="6045" fillId="8" borderId="1" xfId="0" applyNumberFormat="1" applyFont="1" applyFill="1" applyBorder="1" applyAlignment="1">
      <alignment horizontal="center" vertical="center"/>
    </xf>
    <xf numFmtId="165" fontId="6046" fillId="8" borderId="1" xfId="0" applyNumberFormat="1" applyFont="1" applyFill="1" applyBorder="1" applyAlignment="1">
      <alignment horizontal="center" vertical="center"/>
    </xf>
    <xf numFmtId="1" fontId="6047" fillId="8" borderId="1" xfId="0" applyNumberFormat="1" applyFont="1" applyFill="1" applyBorder="1" applyAlignment="1">
      <alignment horizontal="center" vertical="center"/>
    </xf>
    <xf numFmtId="165" fontId="6048" fillId="8" borderId="1" xfId="0" applyNumberFormat="1" applyFont="1" applyFill="1" applyBorder="1" applyAlignment="1">
      <alignment horizontal="center" vertical="center"/>
    </xf>
    <xf numFmtId="1" fontId="6049" fillId="8" borderId="1" xfId="0" applyNumberFormat="1" applyFont="1" applyFill="1" applyBorder="1" applyAlignment="1">
      <alignment horizontal="center" vertical="center"/>
    </xf>
    <xf numFmtId="165" fontId="6050" fillId="8" borderId="1" xfId="0" applyNumberFormat="1" applyFont="1" applyFill="1" applyBorder="1" applyAlignment="1">
      <alignment horizontal="center" vertical="center"/>
    </xf>
    <xf numFmtId="2" fontId="6051" fillId="8" borderId="1" xfId="0" applyNumberFormat="1" applyFont="1" applyFill="1" applyBorder="1" applyAlignment="1">
      <alignment horizontal="center" vertical="center"/>
    </xf>
    <xf numFmtId="2" fontId="6052" fillId="8" borderId="1" xfId="0" applyNumberFormat="1" applyFont="1" applyFill="1" applyBorder="1" applyAlignment="1">
      <alignment horizontal="center" vertical="center"/>
    </xf>
    <xf numFmtId="2" fontId="6053" fillId="8" borderId="1" xfId="0" applyNumberFormat="1" applyFont="1" applyFill="1" applyBorder="1" applyAlignment="1">
      <alignment horizontal="center" vertical="center"/>
    </xf>
    <xf numFmtId="2" fontId="6054" fillId="8" borderId="1" xfId="0" applyNumberFormat="1" applyFont="1" applyFill="1" applyBorder="1" applyAlignment="1">
      <alignment horizontal="center" vertical="center"/>
    </xf>
    <xf numFmtId="2" fontId="6055" fillId="8" borderId="1" xfId="0" applyNumberFormat="1" applyFont="1" applyFill="1" applyBorder="1" applyAlignment="1">
      <alignment horizontal="center" vertical="center"/>
    </xf>
    <xf numFmtId="2" fontId="6056" fillId="8" borderId="1" xfId="0" applyNumberFormat="1" applyFont="1" applyFill="1" applyBorder="1" applyAlignment="1">
      <alignment horizontal="center" vertical="center"/>
    </xf>
    <xf numFmtId="2" fontId="6057" fillId="8" borderId="1" xfId="0" applyNumberFormat="1" applyFont="1" applyFill="1" applyBorder="1" applyAlignment="1">
      <alignment horizontal="center" vertical="center"/>
    </xf>
    <xf numFmtId="2" fontId="6058" fillId="8" borderId="1" xfId="0" applyNumberFormat="1" applyFont="1" applyFill="1" applyBorder="1" applyAlignment="1">
      <alignment horizontal="center" vertical="center"/>
    </xf>
    <xf numFmtId="2" fontId="6059" fillId="8" borderId="1" xfId="0" applyNumberFormat="1" applyFont="1" applyFill="1" applyBorder="1" applyAlignment="1">
      <alignment horizontal="center" vertical="center"/>
    </xf>
    <xf numFmtId="2" fontId="6060" fillId="8" borderId="1" xfId="0" applyNumberFormat="1" applyFont="1" applyFill="1" applyBorder="1" applyAlignment="1">
      <alignment horizontal="center" vertical="center"/>
    </xf>
    <xf numFmtId="2" fontId="6061" fillId="8" borderId="1" xfId="0" applyNumberFormat="1" applyFont="1" applyFill="1" applyBorder="1" applyAlignment="1">
      <alignment horizontal="center" vertical="center"/>
    </xf>
    <xf numFmtId="2" fontId="6062" fillId="8" borderId="1" xfId="0" applyNumberFormat="1" applyFont="1" applyFill="1" applyBorder="1" applyAlignment="1">
      <alignment horizontal="center" vertical="center"/>
    </xf>
    <xf numFmtId="2" fontId="6063" fillId="8" borderId="1" xfId="0" applyNumberFormat="1" applyFont="1" applyFill="1" applyBorder="1" applyAlignment="1">
      <alignment horizontal="center" vertical="center"/>
    </xf>
    <xf numFmtId="2" fontId="6064" fillId="8" borderId="1" xfId="0" applyNumberFormat="1" applyFont="1" applyFill="1" applyBorder="1" applyAlignment="1">
      <alignment horizontal="center" vertical="center"/>
    </xf>
    <xf numFmtId="2" fontId="6065" fillId="8" borderId="1" xfId="0" applyNumberFormat="1" applyFont="1" applyFill="1" applyBorder="1" applyAlignment="1">
      <alignment horizontal="center" vertical="center"/>
    </xf>
    <xf numFmtId="2" fontId="6066" fillId="8" borderId="1" xfId="0" applyNumberFormat="1" applyFont="1" applyFill="1" applyBorder="1" applyAlignment="1">
      <alignment horizontal="center" vertical="center"/>
    </xf>
    <xf numFmtId="2" fontId="6067" fillId="8" borderId="1" xfId="0" applyNumberFormat="1" applyFont="1" applyFill="1" applyBorder="1" applyAlignment="1">
      <alignment horizontal="center" vertical="center"/>
    </xf>
    <xf numFmtId="2" fontId="6068" fillId="8" borderId="1" xfId="0" applyNumberFormat="1" applyFont="1" applyFill="1" applyBorder="1" applyAlignment="1">
      <alignment horizontal="center" vertical="center"/>
    </xf>
    <xf numFmtId="2" fontId="6069" fillId="8" borderId="1" xfId="0" applyNumberFormat="1" applyFont="1" applyFill="1" applyBorder="1" applyAlignment="1">
      <alignment horizontal="center" vertical="center"/>
    </xf>
    <xf numFmtId="2" fontId="6070" fillId="8" borderId="1" xfId="0" applyNumberFormat="1" applyFont="1" applyFill="1" applyBorder="1" applyAlignment="1">
      <alignment horizontal="center" vertical="center"/>
    </xf>
    <xf numFmtId="2" fontId="6071" fillId="8" borderId="1" xfId="0" applyNumberFormat="1" applyFont="1" applyFill="1" applyBorder="1" applyAlignment="1">
      <alignment horizontal="center" vertical="center"/>
    </xf>
    <xf numFmtId="2" fontId="6072" fillId="8" borderId="1" xfId="0" applyNumberFormat="1" applyFont="1" applyFill="1" applyBorder="1" applyAlignment="1">
      <alignment horizontal="center" vertical="center"/>
    </xf>
    <xf numFmtId="2" fontId="6073" fillId="8" borderId="1" xfId="0" applyNumberFormat="1" applyFont="1" applyFill="1" applyBorder="1" applyAlignment="1">
      <alignment horizontal="center" vertical="center"/>
    </xf>
    <xf numFmtId="2" fontId="6074" fillId="8" borderId="1" xfId="0" applyNumberFormat="1" applyFont="1" applyFill="1" applyBorder="1" applyAlignment="1">
      <alignment horizontal="center" vertical="center"/>
    </xf>
    <xf numFmtId="2" fontId="6075" fillId="8" borderId="1" xfId="0" applyNumberFormat="1" applyFont="1" applyFill="1" applyBorder="1" applyAlignment="1">
      <alignment horizontal="center" vertical="center"/>
    </xf>
    <xf numFmtId="2" fontId="6076" fillId="8" borderId="1" xfId="0" applyNumberFormat="1" applyFont="1" applyFill="1" applyBorder="1" applyAlignment="1">
      <alignment horizontal="center" vertical="center"/>
    </xf>
    <xf numFmtId="2" fontId="6077" fillId="8" borderId="1" xfId="0" applyNumberFormat="1" applyFont="1" applyFill="1" applyBorder="1" applyAlignment="1">
      <alignment horizontal="center" vertical="center"/>
    </xf>
    <xf numFmtId="2" fontId="6078" fillId="8" borderId="1" xfId="0" applyNumberFormat="1" applyFont="1" applyFill="1" applyBorder="1" applyAlignment="1">
      <alignment horizontal="center" vertical="center"/>
    </xf>
    <xf numFmtId="2" fontId="6079" fillId="8" borderId="1" xfId="0" applyNumberFormat="1" applyFont="1" applyFill="1" applyBorder="1" applyAlignment="1">
      <alignment horizontal="center" vertical="center"/>
    </xf>
    <xf numFmtId="2" fontId="6080" fillId="8" borderId="1" xfId="0" applyNumberFormat="1" applyFont="1" applyFill="1" applyBorder="1" applyAlignment="1">
      <alignment horizontal="center" vertical="center"/>
    </xf>
    <xf numFmtId="2" fontId="6081" fillId="8" borderId="1" xfId="0" applyNumberFormat="1" applyFont="1" applyFill="1" applyBorder="1" applyAlignment="1">
      <alignment horizontal="center" vertical="center"/>
    </xf>
    <xf numFmtId="2" fontId="6082" fillId="8" borderId="1" xfId="0" applyNumberFormat="1" applyFont="1" applyFill="1" applyBorder="1" applyAlignment="1">
      <alignment horizontal="center" vertical="center"/>
    </xf>
    <xf numFmtId="2" fontId="6083" fillId="8" borderId="1" xfId="0" applyNumberFormat="1" applyFont="1" applyFill="1" applyBorder="1" applyAlignment="1">
      <alignment horizontal="center" vertical="center"/>
    </xf>
    <xf numFmtId="2" fontId="6084" fillId="8" borderId="1" xfId="0" applyNumberFormat="1" applyFont="1" applyFill="1" applyBorder="1" applyAlignment="1">
      <alignment horizontal="center" vertical="center"/>
    </xf>
    <xf numFmtId="0" fontId="6085" fillId="7" borderId="1" xfId="0" applyNumberFormat="1" applyFont="1" applyFill="1" applyBorder="1" applyAlignment="1">
      <alignment horizontal="left" vertical="center"/>
    </xf>
    <xf numFmtId="0" fontId="6086" fillId="8" borderId="1" xfId="0" applyNumberFormat="1" applyFont="1" applyFill="1" applyBorder="1" applyAlignment="1">
      <alignment horizontal="center" vertical="center"/>
    </xf>
    <xf numFmtId="164" fontId="6087" fillId="8" borderId="1" xfId="0" applyNumberFormat="1" applyFont="1" applyFill="1" applyBorder="1" applyAlignment="1">
      <alignment horizontal="center" vertical="center"/>
    </xf>
    <xf numFmtId="1" fontId="6088" fillId="8" borderId="1" xfId="0" applyNumberFormat="1" applyFont="1" applyFill="1" applyBorder="1" applyAlignment="1">
      <alignment horizontal="center" vertical="center"/>
    </xf>
    <xf numFmtId="1" fontId="6089" fillId="8" borderId="1" xfId="0" applyNumberFormat="1" applyFont="1" applyFill="1" applyBorder="1" applyAlignment="1">
      <alignment horizontal="center" vertical="center"/>
    </xf>
    <xf numFmtId="1" fontId="6090" fillId="8" borderId="1" xfId="0" applyNumberFormat="1" applyFont="1" applyFill="1" applyBorder="1" applyAlignment="1">
      <alignment horizontal="center" vertical="center"/>
    </xf>
    <xf numFmtId="1" fontId="6091" fillId="8" borderId="1" xfId="0" applyNumberFormat="1" applyFont="1" applyFill="1" applyBorder="1" applyAlignment="1">
      <alignment horizontal="center" vertical="center"/>
    </xf>
    <xf numFmtId="1" fontId="6092" fillId="8" borderId="1" xfId="0" applyNumberFormat="1" applyFont="1" applyFill="1" applyBorder="1" applyAlignment="1">
      <alignment horizontal="center" vertical="center"/>
    </xf>
    <xf numFmtId="1" fontId="6093" fillId="8" borderId="1" xfId="0" applyNumberFormat="1" applyFont="1" applyFill="1" applyBorder="1" applyAlignment="1">
      <alignment horizontal="center" vertical="center"/>
    </xf>
    <xf numFmtId="1" fontId="6094" fillId="8" borderId="1" xfId="0" applyNumberFormat="1" applyFont="1" applyFill="1" applyBorder="1" applyAlignment="1">
      <alignment horizontal="center" vertical="center"/>
    </xf>
    <xf numFmtId="0" fontId="6095" fillId="8" borderId="1" xfId="0" applyNumberFormat="1" applyFont="1" applyFill="1" applyBorder="1" applyAlignment="1">
      <alignment horizontal="center" vertical="center"/>
    </xf>
    <xf numFmtId="0" fontId="6096" fillId="8" borderId="1" xfId="0" applyNumberFormat="1" applyFont="1" applyFill="1" applyBorder="1" applyAlignment="1">
      <alignment horizontal="center" vertical="center"/>
    </xf>
    <xf numFmtId="1" fontId="6097" fillId="8" borderId="1" xfId="0" applyNumberFormat="1" applyFont="1" applyFill="1" applyBorder="1" applyAlignment="1">
      <alignment horizontal="center" vertical="center"/>
    </xf>
    <xf numFmtId="1" fontId="6098" fillId="8" borderId="1" xfId="0" applyNumberFormat="1" applyFont="1" applyFill="1" applyBorder="1" applyAlignment="1">
      <alignment horizontal="center" vertical="center"/>
    </xf>
    <xf numFmtId="1" fontId="6099" fillId="8" borderId="1" xfId="0" applyNumberFormat="1" applyFont="1" applyFill="1" applyBorder="1" applyAlignment="1">
      <alignment horizontal="center" vertical="center"/>
    </xf>
    <xf numFmtId="165" fontId="6100" fillId="8" borderId="1" xfId="0" applyNumberFormat="1" applyFont="1" applyFill="1" applyBorder="1" applyAlignment="1">
      <alignment horizontal="center" vertical="center"/>
    </xf>
    <xf numFmtId="1" fontId="6101" fillId="8" borderId="1" xfId="0" applyNumberFormat="1" applyFont="1" applyFill="1" applyBorder="1" applyAlignment="1">
      <alignment horizontal="center" vertical="center"/>
    </xf>
    <xf numFmtId="165" fontId="6102" fillId="8" borderId="1" xfId="0" applyNumberFormat="1" applyFont="1" applyFill="1" applyBorder="1" applyAlignment="1">
      <alignment horizontal="center" vertical="center"/>
    </xf>
    <xf numFmtId="1" fontId="6103" fillId="8" borderId="1" xfId="0" applyNumberFormat="1" applyFont="1" applyFill="1" applyBorder="1" applyAlignment="1">
      <alignment horizontal="center" vertical="center"/>
    </xf>
    <xf numFmtId="165" fontId="6104" fillId="8" borderId="1" xfId="0" applyNumberFormat="1" applyFont="1" applyFill="1" applyBorder="1" applyAlignment="1">
      <alignment horizontal="center" vertical="center"/>
    </xf>
    <xf numFmtId="1" fontId="6105" fillId="8" borderId="1" xfId="0" applyNumberFormat="1" applyFont="1" applyFill="1" applyBorder="1" applyAlignment="1">
      <alignment horizontal="center" vertical="center"/>
    </xf>
    <xf numFmtId="165" fontId="6106" fillId="8" borderId="1" xfId="0" applyNumberFormat="1" applyFont="1" applyFill="1" applyBorder="1" applyAlignment="1">
      <alignment horizontal="center" vertical="center"/>
    </xf>
    <xf numFmtId="165" fontId="6107" fillId="8" borderId="1" xfId="0" applyNumberFormat="1" applyFont="1" applyFill="1" applyBorder="1" applyAlignment="1">
      <alignment horizontal="center" vertical="center"/>
    </xf>
    <xf numFmtId="1" fontId="6108" fillId="8" borderId="1" xfId="0" applyNumberFormat="1" applyFont="1" applyFill="1" applyBorder="1" applyAlignment="1">
      <alignment horizontal="center" vertical="center"/>
    </xf>
    <xf numFmtId="1" fontId="6109" fillId="8" borderId="1" xfId="0" applyNumberFormat="1" applyFont="1" applyFill="1" applyBorder="1" applyAlignment="1">
      <alignment horizontal="center" vertical="center"/>
    </xf>
    <xf numFmtId="1" fontId="6110" fillId="8" borderId="1" xfId="0" applyNumberFormat="1" applyFont="1" applyFill="1" applyBorder="1" applyAlignment="1">
      <alignment horizontal="center" vertical="center"/>
    </xf>
    <xf numFmtId="165" fontId="6111" fillId="8" borderId="1" xfId="0" applyNumberFormat="1" applyFont="1" applyFill="1" applyBorder="1" applyAlignment="1">
      <alignment horizontal="center" vertical="center"/>
    </xf>
    <xf numFmtId="164" fontId="6112" fillId="8" borderId="1" xfId="0" applyNumberFormat="1" applyFont="1" applyFill="1" applyBorder="1" applyAlignment="1">
      <alignment horizontal="center" vertical="center"/>
    </xf>
    <xf numFmtId="164" fontId="6113" fillId="8" borderId="1" xfId="0" applyNumberFormat="1" applyFont="1" applyFill="1" applyBorder="1" applyAlignment="1">
      <alignment horizontal="center" vertical="center"/>
    </xf>
    <xf numFmtId="1" fontId="6114" fillId="8" borderId="1" xfId="0" applyNumberFormat="1" applyFont="1" applyFill="1" applyBorder="1" applyAlignment="1">
      <alignment horizontal="center" vertical="center"/>
    </xf>
    <xf numFmtId="1" fontId="6115" fillId="8" borderId="1" xfId="0" applyNumberFormat="1" applyFont="1" applyFill="1" applyBorder="1" applyAlignment="1">
      <alignment horizontal="center" vertical="center"/>
    </xf>
    <xf numFmtId="1" fontId="6116" fillId="8" borderId="1" xfId="0" applyNumberFormat="1" applyFont="1" applyFill="1" applyBorder="1" applyAlignment="1">
      <alignment horizontal="center" vertical="center"/>
    </xf>
    <xf numFmtId="165" fontId="6117" fillId="8" borderId="1" xfId="0" applyNumberFormat="1" applyFont="1" applyFill="1" applyBorder="1" applyAlignment="1">
      <alignment horizontal="center" vertical="center"/>
    </xf>
    <xf numFmtId="1" fontId="6118" fillId="8" borderId="1" xfId="0" applyNumberFormat="1" applyFont="1" applyFill="1" applyBorder="1" applyAlignment="1">
      <alignment horizontal="center" vertical="center"/>
    </xf>
    <xf numFmtId="165" fontId="6119" fillId="8" borderId="1" xfId="0" applyNumberFormat="1" applyFont="1" applyFill="1" applyBorder="1" applyAlignment="1">
      <alignment horizontal="center" vertical="center"/>
    </xf>
    <xf numFmtId="1" fontId="6120" fillId="8" borderId="1" xfId="0" applyNumberFormat="1" applyFont="1" applyFill="1" applyBorder="1" applyAlignment="1">
      <alignment horizontal="center" vertical="center"/>
    </xf>
    <xf numFmtId="1" fontId="6121" fillId="8" borderId="1" xfId="0" applyNumberFormat="1" applyFont="1" applyFill="1" applyBorder="1" applyAlignment="1">
      <alignment horizontal="center" vertical="center"/>
    </xf>
    <xf numFmtId="1" fontId="6122" fillId="8" borderId="1" xfId="0" applyNumberFormat="1" applyFont="1" applyFill="1" applyBorder="1" applyAlignment="1">
      <alignment horizontal="center" vertical="center"/>
    </xf>
    <xf numFmtId="1" fontId="6123" fillId="8" borderId="1" xfId="0" applyNumberFormat="1" applyFont="1" applyFill="1" applyBorder="1" applyAlignment="1">
      <alignment horizontal="center" vertical="center"/>
    </xf>
    <xf numFmtId="165" fontId="6124" fillId="8" borderId="1" xfId="0" applyNumberFormat="1" applyFont="1" applyFill="1" applyBorder="1" applyAlignment="1">
      <alignment horizontal="center" vertical="center"/>
    </xf>
    <xf numFmtId="1" fontId="6125" fillId="8" borderId="1" xfId="0" applyNumberFormat="1" applyFont="1" applyFill="1" applyBorder="1" applyAlignment="1">
      <alignment horizontal="center" vertical="center"/>
    </xf>
    <xf numFmtId="165" fontId="6126" fillId="8" borderId="1" xfId="0" applyNumberFormat="1" applyFont="1" applyFill="1" applyBorder="1" applyAlignment="1">
      <alignment horizontal="center" vertical="center"/>
    </xf>
    <xf numFmtId="1" fontId="6127" fillId="8" borderId="1" xfId="0" applyNumberFormat="1" applyFont="1" applyFill="1" applyBorder="1" applyAlignment="1">
      <alignment horizontal="center" vertical="center"/>
    </xf>
    <xf numFmtId="165" fontId="6128" fillId="8" borderId="1" xfId="0" applyNumberFormat="1" applyFont="1" applyFill="1" applyBorder="1" applyAlignment="1">
      <alignment horizontal="center" vertical="center"/>
    </xf>
    <xf numFmtId="2" fontId="6129" fillId="8" borderId="1" xfId="0" applyNumberFormat="1" applyFont="1" applyFill="1" applyBorder="1" applyAlignment="1">
      <alignment horizontal="center" vertical="center"/>
    </xf>
    <xf numFmtId="2" fontId="6130" fillId="8" borderId="1" xfId="0" applyNumberFormat="1" applyFont="1" applyFill="1" applyBorder="1" applyAlignment="1">
      <alignment horizontal="center" vertical="center"/>
    </xf>
    <xf numFmtId="2" fontId="6131" fillId="8" borderId="1" xfId="0" applyNumberFormat="1" applyFont="1" applyFill="1" applyBorder="1" applyAlignment="1">
      <alignment horizontal="center" vertical="center"/>
    </xf>
    <xf numFmtId="2" fontId="6132" fillId="8" borderId="1" xfId="0" applyNumberFormat="1" applyFont="1" applyFill="1" applyBorder="1" applyAlignment="1">
      <alignment horizontal="center" vertical="center"/>
    </xf>
    <xf numFmtId="2" fontId="6133" fillId="8" borderId="1" xfId="0" applyNumberFormat="1" applyFont="1" applyFill="1" applyBorder="1" applyAlignment="1">
      <alignment horizontal="center" vertical="center"/>
    </xf>
    <xf numFmtId="2" fontId="6134" fillId="8" borderId="1" xfId="0" applyNumberFormat="1" applyFont="1" applyFill="1" applyBorder="1" applyAlignment="1">
      <alignment horizontal="center" vertical="center"/>
    </xf>
    <xf numFmtId="2" fontId="6135" fillId="8" borderId="1" xfId="0" applyNumberFormat="1" applyFont="1" applyFill="1" applyBorder="1" applyAlignment="1">
      <alignment horizontal="center" vertical="center"/>
    </xf>
    <xf numFmtId="2" fontId="6136" fillId="8" borderId="1" xfId="0" applyNumberFormat="1" applyFont="1" applyFill="1" applyBorder="1" applyAlignment="1">
      <alignment horizontal="center" vertical="center"/>
    </xf>
    <xf numFmtId="2" fontId="6137" fillId="8" borderId="1" xfId="0" applyNumberFormat="1" applyFont="1" applyFill="1" applyBorder="1" applyAlignment="1">
      <alignment horizontal="center" vertical="center"/>
    </xf>
    <xf numFmtId="2" fontId="6138" fillId="8" borderId="1" xfId="0" applyNumberFormat="1" applyFont="1" applyFill="1" applyBorder="1" applyAlignment="1">
      <alignment horizontal="center" vertical="center"/>
    </xf>
    <xf numFmtId="2" fontId="6139" fillId="8" borderId="1" xfId="0" applyNumberFormat="1" applyFont="1" applyFill="1" applyBorder="1" applyAlignment="1">
      <alignment horizontal="center" vertical="center"/>
    </xf>
    <xf numFmtId="2" fontId="6140" fillId="8" borderId="1" xfId="0" applyNumberFormat="1" applyFont="1" applyFill="1" applyBorder="1" applyAlignment="1">
      <alignment horizontal="center" vertical="center"/>
    </xf>
    <xf numFmtId="2" fontId="6141" fillId="8" borderId="1" xfId="0" applyNumberFormat="1" applyFont="1" applyFill="1" applyBorder="1" applyAlignment="1">
      <alignment horizontal="center" vertical="center"/>
    </xf>
    <xf numFmtId="2" fontId="6142" fillId="8" borderId="1" xfId="0" applyNumberFormat="1" applyFont="1" applyFill="1" applyBorder="1" applyAlignment="1">
      <alignment horizontal="center" vertical="center"/>
    </xf>
    <xf numFmtId="2" fontId="6143" fillId="8" borderId="1" xfId="0" applyNumberFormat="1" applyFont="1" applyFill="1" applyBorder="1" applyAlignment="1">
      <alignment horizontal="center" vertical="center"/>
    </xf>
    <xf numFmtId="2" fontId="6144" fillId="8" borderId="1" xfId="0" applyNumberFormat="1" applyFont="1" applyFill="1" applyBorder="1" applyAlignment="1">
      <alignment horizontal="center" vertical="center"/>
    </xf>
    <xf numFmtId="2" fontId="6145" fillId="8" borderId="1" xfId="0" applyNumberFormat="1" applyFont="1" applyFill="1" applyBorder="1" applyAlignment="1">
      <alignment horizontal="center" vertical="center"/>
    </xf>
    <xf numFmtId="2" fontId="6146" fillId="8" borderId="1" xfId="0" applyNumberFormat="1" applyFont="1" applyFill="1" applyBorder="1" applyAlignment="1">
      <alignment horizontal="center" vertical="center"/>
    </xf>
    <xf numFmtId="2" fontId="6147" fillId="8" borderId="1" xfId="0" applyNumberFormat="1" applyFont="1" applyFill="1" applyBorder="1" applyAlignment="1">
      <alignment horizontal="center" vertical="center"/>
    </xf>
    <xf numFmtId="2" fontId="6148" fillId="8" borderId="1" xfId="0" applyNumberFormat="1" applyFont="1" applyFill="1" applyBorder="1" applyAlignment="1">
      <alignment horizontal="center" vertical="center"/>
    </xf>
    <xf numFmtId="2" fontId="6149" fillId="8" borderId="1" xfId="0" applyNumberFormat="1" applyFont="1" applyFill="1" applyBorder="1" applyAlignment="1">
      <alignment horizontal="center" vertical="center"/>
    </xf>
    <xf numFmtId="2" fontId="6150" fillId="8" borderId="1" xfId="0" applyNumberFormat="1" applyFont="1" applyFill="1" applyBorder="1" applyAlignment="1">
      <alignment horizontal="center" vertical="center"/>
    </xf>
    <xf numFmtId="2" fontId="6151" fillId="8" borderId="1" xfId="0" applyNumberFormat="1" applyFont="1" applyFill="1" applyBorder="1" applyAlignment="1">
      <alignment horizontal="center" vertical="center"/>
    </xf>
    <xf numFmtId="2" fontId="6152" fillId="8" borderId="1" xfId="0" applyNumberFormat="1" applyFont="1" applyFill="1" applyBorder="1" applyAlignment="1">
      <alignment horizontal="center" vertical="center"/>
    </xf>
    <xf numFmtId="2" fontId="6153" fillId="8" borderId="1" xfId="0" applyNumberFormat="1" applyFont="1" applyFill="1" applyBorder="1" applyAlignment="1">
      <alignment horizontal="center" vertical="center"/>
    </xf>
    <xf numFmtId="2" fontId="6154" fillId="8" borderId="1" xfId="0" applyNumberFormat="1" applyFont="1" applyFill="1" applyBorder="1" applyAlignment="1">
      <alignment horizontal="center" vertical="center"/>
    </xf>
    <xf numFmtId="2" fontId="6155" fillId="8" borderId="1" xfId="0" applyNumberFormat="1" applyFont="1" applyFill="1" applyBorder="1" applyAlignment="1">
      <alignment horizontal="center" vertical="center"/>
    </xf>
    <xf numFmtId="2" fontId="6156" fillId="8" borderId="1" xfId="0" applyNumberFormat="1" applyFont="1" applyFill="1" applyBorder="1" applyAlignment="1">
      <alignment horizontal="center" vertical="center"/>
    </xf>
    <xf numFmtId="2" fontId="6157" fillId="8" borderId="1" xfId="0" applyNumberFormat="1" applyFont="1" applyFill="1" applyBorder="1" applyAlignment="1">
      <alignment horizontal="center" vertical="center"/>
    </xf>
    <xf numFmtId="2" fontId="6158" fillId="8" borderId="1" xfId="0" applyNumberFormat="1" applyFont="1" applyFill="1" applyBorder="1" applyAlignment="1">
      <alignment horizontal="center" vertical="center"/>
    </xf>
    <xf numFmtId="2" fontId="6159" fillId="8" borderId="1" xfId="0" applyNumberFormat="1" applyFont="1" applyFill="1" applyBorder="1" applyAlignment="1">
      <alignment horizontal="center" vertical="center"/>
    </xf>
    <xf numFmtId="2" fontId="6160" fillId="8" borderId="1" xfId="0" applyNumberFormat="1" applyFont="1" applyFill="1" applyBorder="1" applyAlignment="1">
      <alignment horizontal="center" vertical="center"/>
    </xf>
    <xf numFmtId="2" fontId="6161" fillId="8" borderId="1" xfId="0" applyNumberFormat="1" applyFont="1" applyFill="1" applyBorder="1" applyAlignment="1">
      <alignment horizontal="center" vertical="center"/>
    </xf>
    <xf numFmtId="2" fontId="6162" fillId="8" borderId="1" xfId="0" applyNumberFormat="1" applyFont="1" applyFill="1" applyBorder="1" applyAlignment="1">
      <alignment horizontal="center" vertical="center"/>
    </xf>
    <xf numFmtId="0" fontId="6163" fillId="7" borderId="1" xfId="0" applyNumberFormat="1" applyFont="1" applyFill="1" applyBorder="1" applyAlignment="1">
      <alignment horizontal="left" vertical="center"/>
    </xf>
    <xf numFmtId="0" fontId="6164" fillId="8" borderId="1" xfId="0" applyNumberFormat="1" applyFont="1" applyFill="1" applyBorder="1" applyAlignment="1">
      <alignment horizontal="center" vertical="center"/>
    </xf>
    <xf numFmtId="164" fontId="6165" fillId="8" borderId="1" xfId="0" applyNumberFormat="1" applyFont="1" applyFill="1" applyBorder="1" applyAlignment="1">
      <alignment horizontal="center" vertical="center"/>
    </xf>
    <xf numFmtId="1" fontId="6166" fillId="8" borderId="1" xfId="0" applyNumberFormat="1" applyFont="1" applyFill="1" applyBorder="1" applyAlignment="1">
      <alignment horizontal="center" vertical="center"/>
    </xf>
    <xf numFmtId="1" fontId="6167" fillId="8" borderId="1" xfId="0" applyNumberFormat="1" applyFont="1" applyFill="1" applyBorder="1" applyAlignment="1">
      <alignment horizontal="center" vertical="center"/>
    </xf>
    <xf numFmtId="1" fontId="6168" fillId="8" borderId="1" xfId="0" applyNumberFormat="1" applyFont="1" applyFill="1" applyBorder="1" applyAlignment="1">
      <alignment horizontal="center" vertical="center"/>
    </xf>
    <xf numFmtId="1" fontId="6169" fillId="8" borderId="1" xfId="0" applyNumberFormat="1" applyFont="1" applyFill="1" applyBorder="1" applyAlignment="1">
      <alignment horizontal="center" vertical="center"/>
    </xf>
    <xf numFmtId="1" fontId="6170" fillId="8" borderId="1" xfId="0" applyNumberFormat="1" applyFont="1" applyFill="1" applyBorder="1" applyAlignment="1">
      <alignment horizontal="center" vertical="center"/>
    </xf>
    <xf numFmtId="1" fontId="6171" fillId="8" borderId="1" xfId="0" applyNumberFormat="1" applyFont="1" applyFill="1" applyBorder="1" applyAlignment="1">
      <alignment horizontal="center" vertical="center"/>
    </xf>
    <xf numFmtId="1" fontId="6172" fillId="8" borderId="1" xfId="0" applyNumberFormat="1" applyFont="1" applyFill="1" applyBorder="1" applyAlignment="1">
      <alignment horizontal="center" vertical="center"/>
    </xf>
    <xf numFmtId="0" fontId="6173" fillId="8" borderId="1" xfId="0" applyNumberFormat="1" applyFont="1" applyFill="1" applyBorder="1" applyAlignment="1">
      <alignment horizontal="center" vertical="center"/>
    </xf>
    <xf numFmtId="0" fontId="6174" fillId="8" borderId="1" xfId="0" applyNumberFormat="1" applyFont="1" applyFill="1" applyBorder="1" applyAlignment="1">
      <alignment horizontal="center" vertical="center"/>
    </xf>
    <xf numFmtId="1" fontId="6175" fillId="8" borderId="1" xfId="0" applyNumberFormat="1" applyFont="1" applyFill="1" applyBorder="1" applyAlignment="1">
      <alignment horizontal="center" vertical="center"/>
    </xf>
    <xf numFmtId="1" fontId="6176" fillId="8" borderId="1" xfId="0" applyNumberFormat="1" applyFont="1" applyFill="1" applyBorder="1" applyAlignment="1">
      <alignment horizontal="center" vertical="center"/>
    </xf>
    <xf numFmtId="1" fontId="6177" fillId="8" borderId="1" xfId="0" applyNumberFormat="1" applyFont="1" applyFill="1" applyBorder="1" applyAlignment="1">
      <alignment horizontal="center" vertical="center"/>
    </xf>
    <xf numFmtId="165" fontId="6178" fillId="8" borderId="1" xfId="0" applyNumberFormat="1" applyFont="1" applyFill="1" applyBorder="1" applyAlignment="1">
      <alignment horizontal="center" vertical="center"/>
    </xf>
    <xf numFmtId="1" fontId="6179" fillId="8" borderId="1" xfId="0" applyNumberFormat="1" applyFont="1" applyFill="1" applyBorder="1" applyAlignment="1">
      <alignment horizontal="center" vertical="center"/>
    </xf>
    <xf numFmtId="165" fontId="6180" fillId="8" borderId="1" xfId="0" applyNumberFormat="1" applyFont="1" applyFill="1" applyBorder="1" applyAlignment="1">
      <alignment horizontal="center" vertical="center"/>
    </xf>
    <xf numFmtId="1" fontId="6181" fillId="8" borderId="1" xfId="0" applyNumberFormat="1" applyFont="1" applyFill="1" applyBorder="1" applyAlignment="1">
      <alignment horizontal="center" vertical="center"/>
    </xf>
    <xf numFmtId="165" fontId="6182" fillId="8" borderId="1" xfId="0" applyNumberFormat="1" applyFont="1" applyFill="1" applyBorder="1" applyAlignment="1">
      <alignment horizontal="center" vertical="center"/>
    </xf>
    <xf numFmtId="1" fontId="6183" fillId="8" borderId="1" xfId="0" applyNumberFormat="1" applyFont="1" applyFill="1" applyBorder="1" applyAlignment="1">
      <alignment horizontal="center" vertical="center"/>
    </xf>
    <xf numFmtId="165" fontId="6184" fillId="8" borderId="1" xfId="0" applyNumberFormat="1" applyFont="1" applyFill="1" applyBorder="1" applyAlignment="1">
      <alignment horizontal="center" vertical="center"/>
    </xf>
    <xf numFmtId="165" fontId="6185" fillId="8" borderId="1" xfId="0" applyNumberFormat="1" applyFont="1" applyFill="1" applyBorder="1" applyAlignment="1">
      <alignment horizontal="center" vertical="center"/>
    </xf>
    <xf numFmtId="1" fontId="6186" fillId="8" borderId="1" xfId="0" applyNumberFormat="1" applyFont="1" applyFill="1" applyBorder="1" applyAlignment="1">
      <alignment horizontal="center" vertical="center"/>
    </xf>
    <xf numFmtId="1" fontId="6187" fillId="8" borderId="1" xfId="0" applyNumberFormat="1" applyFont="1" applyFill="1" applyBorder="1" applyAlignment="1">
      <alignment horizontal="center" vertical="center"/>
    </xf>
    <xf numFmtId="1" fontId="6188" fillId="8" borderId="1" xfId="0" applyNumberFormat="1" applyFont="1" applyFill="1" applyBorder="1" applyAlignment="1">
      <alignment horizontal="center" vertical="center"/>
    </xf>
    <xf numFmtId="165" fontId="6189" fillId="8" borderId="1" xfId="0" applyNumberFormat="1" applyFont="1" applyFill="1" applyBorder="1" applyAlignment="1">
      <alignment horizontal="center" vertical="center"/>
    </xf>
    <xf numFmtId="164" fontId="6190" fillId="8" borderId="1" xfId="0" applyNumberFormat="1" applyFont="1" applyFill="1" applyBorder="1" applyAlignment="1">
      <alignment horizontal="center" vertical="center"/>
    </xf>
    <xf numFmtId="164" fontId="6191" fillId="8" borderId="1" xfId="0" applyNumberFormat="1" applyFont="1" applyFill="1" applyBorder="1" applyAlignment="1">
      <alignment horizontal="center" vertical="center"/>
    </xf>
    <xf numFmtId="1" fontId="6192" fillId="8" borderId="1" xfId="0" applyNumberFormat="1" applyFont="1" applyFill="1" applyBorder="1" applyAlignment="1">
      <alignment horizontal="center" vertical="center"/>
    </xf>
    <xf numFmtId="1" fontId="6193" fillId="8" borderId="1" xfId="0" applyNumberFormat="1" applyFont="1" applyFill="1" applyBorder="1" applyAlignment="1">
      <alignment horizontal="center" vertical="center"/>
    </xf>
    <xf numFmtId="1" fontId="6194" fillId="8" borderId="1" xfId="0" applyNumberFormat="1" applyFont="1" applyFill="1" applyBorder="1" applyAlignment="1">
      <alignment horizontal="center" vertical="center"/>
    </xf>
    <xf numFmtId="165" fontId="6195" fillId="8" borderId="1" xfId="0" applyNumberFormat="1" applyFont="1" applyFill="1" applyBorder="1" applyAlignment="1">
      <alignment horizontal="center" vertical="center"/>
    </xf>
    <xf numFmtId="1" fontId="6196" fillId="8" borderId="1" xfId="0" applyNumberFormat="1" applyFont="1" applyFill="1" applyBorder="1" applyAlignment="1">
      <alignment horizontal="center" vertical="center"/>
    </xf>
    <xf numFmtId="165" fontId="6197" fillId="8" borderId="1" xfId="0" applyNumberFormat="1" applyFont="1" applyFill="1" applyBorder="1" applyAlignment="1">
      <alignment horizontal="center" vertical="center"/>
    </xf>
    <xf numFmtId="1" fontId="6198" fillId="8" borderId="1" xfId="0" applyNumberFormat="1" applyFont="1" applyFill="1" applyBorder="1" applyAlignment="1">
      <alignment horizontal="center" vertical="center"/>
    </xf>
    <xf numFmtId="1" fontId="6199" fillId="8" borderId="1" xfId="0" applyNumberFormat="1" applyFont="1" applyFill="1" applyBorder="1" applyAlignment="1">
      <alignment horizontal="center" vertical="center"/>
    </xf>
    <xf numFmtId="1" fontId="6200" fillId="8" borderId="1" xfId="0" applyNumberFormat="1" applyFont="1" applyFill="1" applyBorder="1" applyAlignment="1">
      <alignment horizontal="center" vertical="center"/>
    </xf>
    <xf numFmtId="1" fontId="6201" fillId="8" borderId="1" xfId="0" applyNumberFormat="1" applyFont="1" applyFill="1" applyBorder="1" applyAlignment="1">
      <alignment horizontal="center" vertical="center"/>
    </xf>
    <xf numFmtId="165" fontId="6202" fillId="8" borderId="1" xfId="0" applyNumberFormat="1" applyFont="1" applyFill="1" applyBorder="1" applyAlignment="1">
      <alignment horizontal="center" vertical="center"/>
    </xf>
    <xf numFmtId="1" fontId="6203" fillId="8" borderId="1" xfId="0" applyNumberFormat="1" applyFont="1" applyFill="1" applyBorder="1" applyAlignment="1">
      <alignment horizontal="center" vertical="center"/>
    </xf>
    <xf numFmtId="165" fontId="6204" fillId="8" borderId="1" xfId="0" applyNumberFormat="1" applyFont="1" applyFill="1" applyBorder="1" applyAlignment="1">
      <alignment horizontal="center" vertical="center"/>
    </xf>
    <xf numFmtId="1" fontId="6205" fillId="8" borderId="1" xfId="0" applyNumberFormat="1" applyFont="1" applyFill="1" applyBorder="1" applyAlignment="1">
      <alignment horizontal="center" vertical="center"/>
    </xf>
    <xf numFmtId="165" fontId="6206" fillId="8" borderId="1" xfId="0" applyNumberFormat="1" applyFont="1" applyFill="1" applyBorder="1" applyAlignment="1">
      <alignment horizontal="center" vertical="center"/>
    </xf>
    <xf numFmtId="2" fontId="6207" fillId="8" borderId="1" xfId="0" applyNumberFormat="1" applyFont="1" applyFill="1" applyBorder="1" applyAlignment="1">
      <alignment horizontal="center" vertical="center"/>
    </xf>
    <xf numFmtId="2" fontId="6208" fillId="8" borderId="1" xfId="0" applyNumberFormat="1" applyFont="1" applyFill="1" applyBorder="1" applyAlignment="1">
      <alignment horizontal="center" vertical="center"/>
    </xf>
    <xf numFmtId="2" fontId="6209" fillId="8" borderId="1" xfId="0" applyNumberFormat="1" applyFont="1" applyFill="1" applyBorder="1" applyAlignment="1">
      <alignment horizontal="center" vertical="center"/>
    </xf>
    <xf numFmtId="2" fontId="6210" fillId="8" borderId="1" xfId="0" applyNumberFormat="1" applyFont="1" applyFill="1" applyBorder="1" applyAlignment="1">
      <alignment horizontal="center" vertical="center"/>
    </xf>
    <xf numFmtId="2" fontId="6211" fillId="8" borderId="1" xfId="0" applyNumberFormat="1" applyFont="1" applyFill="1" applyBorder="1" applyAlignment="1">
      <alignment horizontal="center" vertical="center"/>
    </xf>
    <xf numFmtId="2" fontId="6212" fillId="8" borderId="1" xfId="0" applyNumberFormat="1" applyFont="1" applyFill="1" applyBorder="1" applyAlignment="1">
      <alignment horizontal="center" vertical="center"/>
    </xf>
    <xf numFmtId="2" fontId="6213" fillId="8" borderId="1" xfId="0" applyNumberFormat="1" applyFont="1" applyFill="1" applyBorder="1" applyAlignment="1">
      <alignment horizontal="center" vertical="center"/>
    </xf>
    <xf numFmtId="2" fontId="6214" fillId="8" borderId="1" xfId="0" applyNumberFormat="1" applyFont="1" applyFill="1" applyBorder="1" applyAlignment="1">
      <alignment horizontal="center" vertical="center"/>
    </xf>
    <xf numFmtId="2" fontId="6215" fillId="8" borderId="1" xfId="0" applyNumberFormat="1" applyFont="1" applyFill="1" applyBorder="1" applyAlignment="1">
      <alignment horizontal="center" vertical="center"/>
    </xf>
    <xf numFmtId="2" fontId="6216" fillId="8" borderId="1" xfId="0" applyNumberFormat="1" applyFont="1" applyFill="1" applyBorder="1" applyAlignment="1">
      <alignment horizontal="center" vertical="center"/>
    </xf>
    <xf numFmtId="2" fontId="6217" fillId="8" borderId="1" xfId="0" applyNumberFormat="1" applyFont="1" applyFill="1" applyBorder="1" applyAlignment="1">
      <alignment horizontal="center" vertical="center"/>
    </xf>
    <xf numFmtId="2" fontId="6218" fillId="8" borderId="1" xfId="0" applyNumberFormat="1" applyFont="1" applyFill="1" applyBorder="1" applyAlignment="1">
      <alignment horizontal="center" vertical="center"/>
    </xf>
    <xf numFmtId="2" fontId="6219" fillId="8" borderId="1" xfId="0" applyNumberFormat="1" applyFont="1" applyFill="1" applyBorder="1" applyAlignment="1">
      <alignment horizontal="center" vertical="center"/>
    </xf>
    <xf numFmtId="2" fontId="6220" fillId="8" borderId="1" xfId="0" applyNumberFormat="1" applyFont="1" applyFill="1" applyBorder="1" applyAlignment="1">
      <alignment horizontal="center" vertical="center"/>
    </xf>
    <xf numFmtId="2" fontId="6221" fillId="8" borderId="1" xfId="0" applyNumberFormat="1" applyFont="1" applyFill="1" applyBorder="1" applyAlignment="1">
      <alignment horizontal="center" vertical="center"/>
    </xf>
    <xf numFmtId="2" fontId="6222" fillId="8" borderId="1" xfId="0" applyNumberFormat="1" applyFont="1" applyFill="1" applyBorder="1" applyAlignment="1">
      <alignment horizontal="center" vertical="center"/>
    </xf>
    <xf numFmtId="2" fontId="6223" fillId="8" borderId="1" xfId="0" applyNumberFormat="1" applyFont="1" applyFill="1" applyBorder="1" applyAlignment="1">
      <alignment horizontal="center" vertical="center"/>
    </xf>
    <xf numFmtId="2" fontId="6224" fillId="8" borderId="1" xfId="0" applyNumberFormat="1" applyFont="1" applyFill="1" applyBorder="1" applyAlignment="1">
      <alignment horizontal="center" vertical="center"/>
    </xf>
    <xf numFmtId="2" fontId="6225" fillId="8" borderId="1" xfId="0" applyNumberFormat="1" applyFont="1" applyFill="1" applyBorder="1" applyAlignment="1">
      <alignment horizontal="center" vertical="center"/>
    </xf>
    <xf numFmtId="2" fontId="6226" fillId="8" borderId="1" xfId="0" applyNumberFormat="1" applyFont="1" applyFill="1" applyBorder="1" applyAlignment="1">
      <alignment horizontal="center" vertical="center"/>
    </xf>
    <xf numFmtId="2" fontId="6227" fillId="8" borderId="1" xfId="0" applyNumberFormat="1" applyFont="1" applyFill="1" applyBorder="1" applyAlignment="1">
      <alignment horizontal="center" vertical="center"/>
    </xf>
    <xf numFmtId="2" fontId="6228" fillId="8" borderId="1" xfId="0" applyNumberFormat="1" applyFont="1" applyFill="1" applyBorder="1" applyAlignment="1">
      <alignment horizontal="center" vertical="center"/>
    </xf>
    <xf numFmtId="2" fontId="6229" fillId="8" borderId="1" xfId="0" applyNumberFormat="1" applyFont="1" applyFill="1" applyBorder="1" applyAlignment="1">
      <alignment horizontal="center" vertical="center"/>
    </xf>
    <xf numFmtId="2" fontId="6230" fillId="8" borderId="1" xfId="0" applyNumberFormat="1" applyFont="1" applyFill="1" applyBorder="1" applyAlignment="1">
      <alignment horizontal="center" vertical="center"/>
    </xf>
    <xf numFmtId="2" fontId="6231" fillId="8" borderId="1" xfId="0" applyNumberFormat="1" applyFont="1" applyFill="1" applyBorder="1" applyAlignment="1">
      <alignment horizontal="center" vertical="center"/>
    </xf>
    <xf numFmtId="2" fontId="6232" fillId="8" borderId="1" xfId="0" applyNumberFormat="1" applyFont="1" applyFill="1" applyBorder="1" applyAlignment="1">
      <alignment horizontal="center" vertical="center"/>
    </xf>
    <xf numFmtId="2" fontId="6233" fillId="8" borderId="1" xfId="0" applyNumberFormat="1" applyFont="1" applyFill="1" applyBorder="1" applyAlignment="1">
      <alignment horizontal="center" vertical="center"/>
    </xf>
    <xf numFmtId="2" fontId="6234" fillId="8" borderId="1" xfId="0" applyNumberFormat="1" applyFont="1" applyFill="1" applyBorder="1" applyAlignment="1">
      <alignment horizontal="center" vertical="center"/>
    </xf>
    <xf numFmtId="2" fontId="6235" fillId="8" borderId="1" xfId="0" applyNumberFormat="1" applyFont="1" applyFill="1" applyBorder="1" applyAlignment="1">
      <alignment horizontal="center" vertical="center"/>
    </xf>
    <xf numFmtId="2" fontId="6236" fillId="8" borderId="1" xfId="0" applyNumberFormat="1" applyFont="1" applyFill="1" applyBorder="1" applyAlignment="1">
      <alignment horizontal="center" vertical="center"/>
    </xf>
    <xf numFmtId="2" fontId="6237" fillId="8" borderId="1" xfId="0" applyNumberFormat="1" applyFont="1" applyFill="1" applyBorder="1" applyAlignment="1">
      <alignment horizontal="center" vertical="center"/>
    </xf>
    <xf numFmtId="2" fontId="6238" fillId="8" borderId="1" xfId="0" applyNumberFormat="1" applyFont="1" applyFill="1" applyBorder="1" applyAlignment="1">
      <alignment horizontal="center" vertical="center"/>
    </xf>
    <xf numFmtId="2" fontId="6239" fillId="8" borderId="1" xfId="0" applyNumberFormat="1" applyFont="1" applyFill="1" applyBorder="1" applyAlignment="1">
      <alignment horizontal="center" vertical="center"/>
    </xf>
    <xf numFmtId="2" fontId="6240" fillId="8" borderId="1" xfId="0" applyNumberFormat="1" applyFont="1" applyFill="1" applyBorder="1" applyAlignment="1">
      <alignment horizontal="center" vertical="center"/>
    </xf>
    <xf numFmtId="0" fontId="6241" fillId="7" borderId="1" xfId="0" applyNumberFormat="1" applyFont="1" applyFill="1" applyBorder="1" applyAlignment="1">
      <alignment horizontal="left" vertical="center"/>
    </xf>
    <xf numFmtId="0" fontId="6242" fillId="8" borderId="1" xfId="0" applyNumberFormat="1" applyFont="1" applyFill="1" applyBorder="1" applyAlignment="1">
      <alignment horizontal="center" vertical="center"/>
    </xf>
    <xf numFmtId="164" fontId="6243" fillId="8" borderId="1" xfId="0" applyNumberFormat="1" applyFont="1" applyFill="1" applyBorder="1" applyAlignment="1">
      <alignment horizontal="center" vertical="center"/>
    </xf>
    <xf numFmtId="1" fontId="6244" fillId="8" borderId="1" xfId="0" applyNumberFormat="1" applyFont="1" applyFill="1" applyBorder="1" applyAlignment="1">
      <alignment horizontal="center" vertical="center"/>
    </xf>
    <xf numFmtId="1" fontId="6245" fillId="8" borderId="1" xfId="0" applyNumberFormat="1" applyFont="1" applyFill="1" applyBorder="1" applyAlignment="1">
      <alignment horizontal="center" vertical="center"/>
    </xf>
    <xf numFmtId="1" fontId="6246" fillId="8" borderId="1" xfId="0" applyNumberFormat="1" applyFont="1" applyFill="1" applyBorder="1" applyAlignment="1">
      <alignment horizontal="center" vertical="center"/>
    </xf>
    <xf numFmtId="1" fontId="6247" fillId="8" borderId="1" xfId="0" applyNumberFormat="1" applyFont="1" applyFill="1" applyBorder="1" applyAlignment="1">
      <alignment horizontal="center" vertical="center"/>
    </xf>
    <xf numFmtId="1" fontId="6248" fillId="8" borderId="1" xfId="0" applyNumberFormat="1" applyFont="1" applyFill="1" applyBorder="1" applyAlignment="1">
      <alignment horizontal="center" vertical="center"/>
    </xf>
    <xf numFmtId="1" fontId="6249" fillId="8" borderId="1" xfId="0" applyNumberFormat="1" applyFont="1" applyFill="1" applyBorder="1" applyAlignment="1">
      <alignment horizontal="center" vertical="center"/>
    </xf>
    <xf numFmtId="1" fontId="6250" fillId="8" borderId="1" xfId="0" applyNumberFormat="1" applyFont="1" applyFill="1" applyBorder="1" applyAlignment="1">
      <alignment horizontal="center" vertical="center"/>
    </xf>
    <xf numFmtId="0" fontId="6251" fillId="8" borderId="1" xfId="0" applyNumberFormat="1" applyFont="1" applyFill="1" applyBorder="1" applyAlignment="1">
      <alignment horizontal="center" vertical="center"/>
    </xf>
    <xf numFmtId="0" fontId="6252" fillId="8" borderId="1" xfId="0" applyNumberFormat="1" applyFont="1" applyFill="1" applyBorder="1" applyAlignment="1">
      <alignment horizontal="center" vertical="center"/>
    </xf>
    <xf numFmtId="1" fontId="6253" fillId="8" borderId="1" xfId="0" applyNumberFormat="1" applyFont="1" applyFill="1" applyBorder="1" applyAlignment="1">
      <alignment horizontal="center" vertical="center"/>
    </xf>
    <xf numFmtId="1" fontId="6254" fillId="8" borderId="1" xfId="0" applyNumberFormat="1" applyFont="1" applyFill="1" applyBorder="1" applyAlignment="1">
      <alignment horizontal="center" vertical="center"/>
    </xf>
    <xf numFmtId="1" fontId="6255" fillId="8" borderId="1" xfId="0" applyNumberFormat="1" applyFont="1" applyFill="1" applyBorder="1" applyAlignment="1">
      <alignment horizontal="center" vertical="center"/>
    </xf>
    <xf numFmtId="165" fontId="6256" fillId="8" borderId="1" xfId="0" applyNumberFormat="1" applyFont="1" applyFill="1" applyBorder="1" applyAlignment="1">
      <alignment horizontal="center" vertical="center"/>
    </xf>
    <xf numFmtId="1" fontId="6257" fillId="8" borderId="1" xfId="0" applyNumberFormat="1" applyFont="1" applyFill="1" applyBorder="1" applyAlignment="1">
      <alignment horizontal="center" vertical="center"/>
    </xf>
    <xf numFmtId="165" fontId="6258" fillId="8" borderId="1" xfId="0" applyNumberFormat="1" applyFont="1" applyFill="1" applyBorder="1" applyAlignment="1">
      <alignment horizontal="center" vertical="center"/>
    </xf>
    <xf numFmtId="1" fontId="6259" fillId="8" borderId="1" xfId="0" applyNumberFormat="1" applyFont="1" applyFill="1" applyBorder="1" applyAlignment="1">
      <alignment horizontal="center" vertical="center"/>
    </xf>
    <xf numFmtId="165" fontId="6260" fillId="8" borderId="1" xfId="0" applyNumberFormat="1" applyFont="1" applyFill="1" applyBorder="1" applyAlignment="1">
      <alignment horizontal="center" vertical="center"/>
    </xf>
    <xf numFmtId="1" fontId="6261" fillId="8" borderId="1" xfId="0" applyNumberFormat="1" applyFont="1" applyFill="1" applyBorder="1" applyAlignment="1">
      <alignment horizontal="center" vertical="center"/>
    </xf>
    <xf numFmtId="165" fontId="6262" fillId="8" borderId="1" xfId="0" applyNumberFormat="1" applyFont="1" applyFill="1" applyBorder="1" applyAlignment="1">
      <alignment horizontal="center" vertical="center"/>
    </xf>
    <xf numFmtId="165" fontId="6263" fillId="8" borderId="1" xfId="0" applyNumberFormat="1" applyFont="1" applyFill="1" applyBorder="1" applyAlignment="1">
      <alignment horizontal="center" vertical="center"/>
    </xf>
    <xf numFmtId="1" fontId="6264" fillId="8" borderId="1" xfId="0" applyNumberFormat="1" applyFont="1" applyFill="1" applyBorder="1" applyAlignment="1">
      <alignment horizontal="center" vertical="center"/>
    </xf>
    <xf numFmtId="1" fontId="6265" fillId="8" borderId="1" xfId="0" applyNumberFormat="1" applyFont="1" applyFill="1" applyBorder="1" applyAlignment="1">
      <alignment horizontal="center" vertical="center"/>
    </xf>
    <xf numFmtId="1" fontId="6266" fillId="8" borderId="1" xfId="0" applyNumberFormat="1" applyFont="1" applyFill="1" applyBorder="1" applyAlignment="1">
      <alignment horizontal="center" vertical="center"/>
    </xf>
    <xf numFmtId="165" fontId="6267" fillId="8" borderId="1" xfId="0" applyNumberFormat="1" applyFont="1" applyFill="1" applyBorder="1" applyAlignment="1">
      <alignment horizontal="center" vertical="center"/>
    </xf>
    <xf numFmtId="164" fontId="6268" fillId="8" borderId="1" xfId="0" applyNumberFormat="1" applyFont="1" applyFill="1" applyBorder="1" applyAlignment="1">
      <alignment horizontal="center" vertical="center"/>
    </xf>
    <xf numFmtId="164" fontId="6269" fillId="8" borderId="1" xfId="0" applyNumberFormat="1" applyFont="1" applyFill="1" applyBorder="1" applyAlignment="1">
      <alignment horizontal="center" vertical="center"/>
    </xf>
    <xf numFmtId="1" fontId="6270" fillId="8" borderId="1" xfId="0" applyNumberFormat="1" applyFont="1" applyFill="1" applyBorder="1" applyAlignment="1">
      <alignment horizontal="center" vertical="center"/>
    </xf>
    <xf numFmtId="1" fontId="6271" fillId="8" borderId="1" xfId="0" applyNumberFormat="1" applyFont="1" applyFill="1" applyBorder="1" applyAlignment="1">
      <alignment horizontal="center" vertical="center"/>
    </xf>
    <xf numFmtId="1" fontId="6272" fillId="8" borderId="1" xfId="0" applyNumberFormat="1" applyFont="1" applyFill="1" applyBorder="1" applyAlignment="1">
      <alignment horizontal="center" vertical="center"/>
    </xf>
    <xf numFmtId="165" fontId="6273" fillId="8" borderId="1" xfId="0" applyNumberFormat="1" applyFont="1" applyFill="1" applyBorder="1" applyAlignment="1">
      <alignment horizontal="center" vertical="center"/>
    </xf>
    <xf numFmtId="1" fontId="6274" fillId="8" borderId="1" xfId="0" applyNumberFormat="1" applyFont="1" applyFill="1" applyBorder="1" applyAlignment="1">
      <alignment horizontal="center" vertical="center"/>
    </xf>
    <xf numFmtId="165" fontId="6275" fillId="8" borderId="1" xfId="0" applyNumberFormat="1" applyFont="1" applyFill="1" applyBorder="1" applyAlignment="1">
      <alignment horizontal="center" vertical="center"/>
    </xf>
    <xf numFmtId="1" fontId="6276" fillId="8" borderId="1" xfId="0" applyNumberFormat="1" applyFont="1" applyFill="1" applyBorder="1" applyAlignment="1">
      <alignment horizontal="center" vertical="center"/>
    </xf>
    <xf numFmtId="1" fontId="6277" fillId="8" borderId="1" xfId="0" applyNumberFormat="1" applyFont="1" applyFill="1" applyBorder="1" applyAlignment="1">
      <alignment horizontal="center" vertical="center"/>
    </xf>
    <xf numFmtId="1" fontId="6278" fillId="8" borderId="1" xfId="0" applyNumberFormat="1" applyFont="1" applyFill="1" applyBorder="1" applyAlignment="1">
      <alignment horizontal="center" vertical="center"/>
    </xf>
    <xf numFmtId="1" fontId="6279" fillId="8" borderId="1" xfId="0" applyNumberFormat="1" applyFont="1" applyFill="1" applyBorder="1" applyAlignment="1">
      <alignment horizontal="center" vertical="center"/>
    </xf>
    <xf numFmtId="165" fontId="6280" fillId="8" borderId="1" xfId="0" applyNumberFormat="1" applyFont="1" applyFill="1" applyBorder="1" applyAlignment="1">
      <alignment horizontal="center" vertical="center"/>
    </xf>
    <xf numFmtId="1" fontId="6281" fillId="8" borderId="1" xfId="0" applyNumberFormat="1" applyFont="1" applyFill="1" applyBorder="1" applyAlignment="1">
      <alignment horizontal="center" vertical="center"/>
    </xf>
    <xf numFmtId="165" fontId="6282" fillId="8" borderId="1" xfId="0" applyNumberFormat="1" applyFont="1" applyFill="1" applyBorder="1" applyAlignment="1">
      <alignment horizontal="center" vertical="center"/>
    </xf>
    <xf numFmtId="1" fontId="6283" fillId="8" borderId="1" xfId="0" applyNumberFormat="1" applyFont="1" applyFill="1" applyBorder="1" applyAlignment="1">
      <alignment horizontal="center" vertical="center"/>
    </xf>
    <xf numFmtId="165" fontId="6284" fillId="8" borderId="1" xfId="0" applyNumberFormat="1" applyFont="1" applyFill="1" applyBorder="1" applyAlignment="1">
      <alignment horizontal="center" vertical="center"/>
    </xf>
    <xf numFmtId="2" fontId="6285" fillId="8" borderId="1" xfId="0" applyNumberFormat="1" applyFont="1" applyFill="1" applyBorder="1" applyAlignment="1">
      <alignment horizontal="center" vertical="center"/>
    </xf>
    <xf numFmtId="2" fontId="6286" fillId="8" borderId="1" xfId="0" applyNumberFormat="1" applyFont="1" applyFill="1" applyBorder="1" applyAlignment="1">
      <alignment horizontal="center" vertical="center"/>
    </xf>
    <xf numFmtId="2" fontId="6287" fillId="8" borderId="1" xfId="0" applyNumberFormat="1" applyFont="1" applyFill="1" applyBorder="1" applyAlignment="1">
      <alignment horizontal="center" vertical="center"/>
    </xf>
    <xf numFmtId="2" fontId="6288" fillId="8" borderId="1" xfId="0" applyNumberFormat="1" applyFont="1" applyFill="1" applyBorder="1" applyAlignment="1">
      <alignment horizontal="center" vertical="center"/>
    </xf>
    <xf numFmtId="2" fontId="6289" fillId="8" borderId="1" xfId="0" applyNumberFormat="1" applyFont="1" applyFill="1" applyBorder="1" applyAlignment="1">
      <alignment horizontal="center" vertical="center"/>
    </xf>
    <xf numFmtId="2" fontId="6290" fillId="8" borderId="1" xfId="0" applyNumberFormat="1" applyFont="1" applyFill="1" applyBorder="1" applyAlignment="1">
      <alignment horizontal="center" vertical="center"/>
    </xf>
    <xf numFmtId="2" fontId="6291" fillId="8" borderId="1" xfId="0" applyNumberFormat="1" applyFont="1" applyFill="1" applyBorder="1" applyAlignment="1">
      <alignment horizontal="center" vertical="center"/>
    </xf>
    <xf numFmtId="2" fontId="6292" fillId="8" borderId="1" xfId="0" applyNumberFormat="1" applyFont="1" applyFill="1" applyBorder="1" applyAlignment="1">
      <alignment horizontal="center" vertical="center"/>
    </xf>
    <xf numFmtId="2" fontId="6293" fillId="8" borderId="1" xfId="0" applyNumberFormat="1" applyFont="1" applyFill="1" applyBorder="1" applyAlignment="1">
      <alignment horizontal="center" vertical="center"/>
    </xf>
    <xf numFmtId="2" fontId="6294" fillId="8" borderId="1" xfId="0" applyNumberFormat="1" applyFont="1" applyFill="1" applyBorder="1" applyAlignment="1">
      <alignment horizontal="center" vertical="center"/>
    </xf>
    <xf numFmtId="2" fontId="6295" fillId="8" borderId="1" xfId="0" applyNumberFormat="1" applyFont="1" applyFill="1" applyBorder="1" applyAlignment="1">
      <alignment horizontal="center" vertical="center"/>
    </xf>
    <xf numFmtId="2" fontId="6296" fillId="8" borderId="1" xfId="0" applyNumberFormat="1" applyFont="1" applyFill="1" applyBorder="1" applyAlignment="1">
      <alignment horizontal="center" vertical="center"/>
    </xf>
    <xf numFmtId="2" fontId="6297" fillId="8" borderId="1" xfId="0" applyNumberFormat="1" applyFont="1" applyFill="1" applyBorder="1" applyAlignment="1">
      <alignment horizontal="center" vertical="center"/>
    </xf>
    <xf numFmtId="2" fontId="6298" fillId="8" borderId="1" xfId="0" applyNumberFormat="1" applyFont="1" applyFill="1" applyBorder="1" applyAlignment="1">
      <alignment horizontal="center" vertical="center"/>
    </xf>
    <xf numFmtId="2" fontId="6299" fillId="8" borderId="1" xfId="0" applyNumberFormat="1" applyFont="1" applyFill="1" applyBorder="1" applyAlignment="1">
      <alignment horizontal="center" vertical="center"/>
    </xf>
    <xf numFmtId="2" fontId="6300" fillId="8" borderId="1" xfId="0" applyNumberFormat="1" applyFont="1" applyFill="1" applyBorder="1" applyAlignment="1">
      <alignment horizontal="center" vertical="center"/>
    </xf>
    <xf numFmtId="2" fontId="6301" fillId="8" borderId="1" xfId="0" applyNumberFormat="1" applyFont="1" applyFill="1" applyBorder="1" applyAlignment="1">
      <alignment horizontal="center" vertical="center"/>
    </xf>
    <xf numFmtId="2" fontId="6302" fillId="8" borderId="1" xfId="0" applyNumberFormat="1" applyFont="1" applyFill="1" applyBorder="1" applyAlignment="1">
      <alignment horizontal="center" vertical="center"/>
    </xf>
    <xf numFmtId="2" fontId="6303" fillId="8" borderId="1" xfId="0" applyNumberFormat="1" applyFont="1" applyFill="1" applyBorder="1" applyAlignment="1">
      <alignment horizontal="center" vertical="center"/>
    </xf>
    <xf numFmtId="2" fontId="6304" fillId="8" borderId="1" xfId="0" applyNumberFormat="1" applyFont="1" applyFill="1" applyBorder="1" applyAlignment="1">
      <alignment horizontal="center" vertical="center"/>
    </xf>
    <xf numFmtId="2" fontId="6305" fillId="8" borderId="1" xfId="0" applyNumberFormat="1" applyFont="1" applyFill="1" applyBorder="1" applyAlignment="1">
      <alignment horizontal="center" vertical="center"/>
    </xf>
    <xf numFmtId="2" fontId="6306" fillId="8" borderId="1" xfId="0" applyNumberFormat="1" applyFont="1" applyFill="1" applyBorder="1" applyAlignment="1">
      <alignment horizontal="center" vertical="center"/>
    </xf>
    <xf numFmtId="2" fontId="6307" fillId="8" borderId="1" xfId="0" applyNumberFormat="1" applyFont="1" applyFill="1" applyBorder="1" applyAlignment="1">
      <alignment horizontal="center" vertical="center"/>
    </xf>
    <xf numFmtId="2" fontId="6308" fillId="8" borderId="1" xfId="0" applyNumberFormat="1" applyFont="1" applyFill="1" applyBorder="1" applyAlignment="1">
      <alignment horizontal="center" vertical="center"/>
    </xf>
    <xf numFmtId="2" fontId="6309" fillId="8" borderId="1" xfId="0" applyNumberFormat="1" applyFont="1" applyFill="1" applyBorder="1" applyAlignment="1">
      <alignment horizontal="center" vertical="center"/>
    </xf>
    <xf numFmtId="2" fontId="6310" fillId="8" borderId="1" xfId="0" applyNumberFormat="1" applyFont="1" applyFill="1" applyBorder="1" applyAlignment="1">
      <alignment horizontal="center" vertical="center"/>
    </xf>
    <xf numFmtId="2" fontId="6311" fillId="8" borderId="1" xfId="0" applyNumberFormat="1" applyFont="1" applyFill="1" applyBorder="1" applyAlignment="1">
      <alignment horizontal="center" vertical="center"/>
    </xf>
    <xf numFmtId="2" fontId="6312" fillId="8" borderId="1" xfId="0" applyNumberFormat="1" applyFont="1" applyFill="1" applyBorder="1" applyAlignment="1">
      <alignment horizontal="center" vertical="center"/>
    </xf>
    <xf numFmtId="2" fontId="6313" fillId="8" borderId="1" xfId="0" applyNumberFormat="1" applyFont="1" applyFill="1" applyBorder="1" applyAlignment="1">
      <alignment horizontal="center" vertical="center"/>
    </xf>
    <xf numFmtId="2" fontId="6314" fillId="8" borderId="1" xfId="0" applyNumberFormat="1" applyFont="1" applyFill="1" applyBorder="1" applyAlignment="1">
      <alignment horizontal="center" vertical="center"/>
    </xf>
    <xf numFmtId="2" fontId="6315" fillId="8" borderId="1" xfId="0" applyNumberFormat="1" applyFont="1" applyFill="1" applyBorder="1" applyAlignment="1">
      <alignment horizontal="center" vertical="center"/>
    </xf>
    <xf numFmtId="2" fontId="6316" fillId="8" borderId="1" xfId="0" applyNumberFormat="1" applyFont="1" applyFill="1" applyBorder="1" applyAlignment="1">
      <alignment horizontal="center" vertical="center"/>
    </xf>
    <xf numFmtId="2" fontId="6317" fillId="8" borderId="1" xfId="0" applyNumberFormat="1" applyFont="1" applyFill="1" applyBorder="1" applyAlignment="1">
      <alignment horizontal="center" vertical="center"/>
    </xf>
    <xf numFmtId="2" fontId="6318" fillId="8" borderId="1" xfId="0" applyNumberFormat="1" applyFont="1" applyFill="1" applyBorder="1" applyAlignment="1">
      <alignment horizontal="center" vertical="center"/>
    </xf>
    <xf numFmtId="0" fontId="6319" fillId="7" borderId="1" xfId="0" applyNumberFormat="1" applyFont="1" applyFill="1" applyBorder="1" applyAlignment="1">
      <alignment horizontal="left" vertical="center"/>
    </xf>
    <xf numFmtId="0" fontId="6320" fillId="8" borderId="1" xfId="0" applyNumberFormat="1" applyFont="1" applyFill="1" applyBorder="1" applyAlignment="1">
      <alignment horizontal="center" vertical="center"/>
    </xf>
    <xf numFmtId="164" fontId="6321" fillId="8" borderId="1" xfId="0" applyNumberFormat="1" applyFont="1" applyFill="1" applyBorder="1" applyAlignment="1">
      <alignment horizontal="center" vertical="center"/>
    </xf>
    <xf numFmtId="1" fontId="6322" fillId="8" borderId="1" xfId="0" applyNumberFormat="1" applyFont="1" applyFill="1" applyBorder="1" applyAlignment="1">
      <alignment horizontal="center" vertical="center"/>
    </xf>
    <xf numFmtId="1" fontId="6323" fillId="8" borderId="1" xfId="0" applyNumberFormat="1" applyFont="1" applyFill="1" applyBorder="1" applyAlignment="1">
      <alignment horizontal="center" vertical="center"/>
    </xf>
    <xf numFmtId="1" fontId="6324" fillId="8" borderId="1" xfId="0" applyNumberFormat="1" applyFont="1" applyFill="1" applyBorder="1" applyAlignment="1">
      <alignment horizontal="center" vertical="center"/>
    </xf>
    <xf numFmtId="1" fontId="6325" fillId="8" borderId="1" xfId="0" applyNumberFormat="1" applyFont="1" applyFill="1" applyBorder="1" applyAlignment="1">
      <alignment horizontal="center" vertical="center"/>
    </xf>
    <xf numFmtId="1" fontId="6326" fillId="8" borderId="1" xfId="0" applyNumberFormat="1" applyFont="1" applyFill="1" applyBorder="1" applyAlignment="1">
      <alignment horizontal="center" vertical="center"/>
    </xf>
    <xf numFmtId="1" fontId="6327" fillId="8" borderId="1" xfId="0" applyNumberFormat="1" applyFont="1" applyFill="1" applyBorder="1" applyAlignment="1">
      <alignment horizontal="center" vertical="center"/>
    </xf>
    <xf numFmtId="1" fontId="6328" fillId="8" borderId="1" xfId="0" applyNumberFormat="1" applyFont="1" applyFill="1" applyBorder="1" applyAlignment="1">
      <alignment horizontal="center" vertical="center"/>
    </xf>
    <xf numFmtId="0" fontId="6329" fillId="8" borderId="1" xfId="0" applyNumberFormat="1" applyFont="1" applyFill="1" applyBorder="1" applyAlignment="1">
      <alignment horizontal="center" vertical="center"/>
    </xf>
    <xf numFmtId="0" fontId="6330" fillId="8" borderId="1" xfId="0" applyNumberFormat="1" applyFont="1" applyFill="1" applyBorder="1" applyAlignment="1">
      <alignment horizontal="center" vertical="center"/>
    </xf>
    <xf numFmtId="1" fontId="6331" fillId="8" borderId="1" xfId="0" applyNumberFormat="1" applyFont="1" applyFill="1" applyBorder="1" applyAlignment="1">
      <alignment horizontal="center" vertical="center"/>
    </xf>
    <xf numFmtId="1" fontId="6332" fillId="8" borderId="1" xfId="0" applyNumberFormat="1" applyFont="1" applyFill="1" applyBorder="1" applyAlignment="1">
      <alignment horizontal="center" vertical="center"/>
    </xf>
    <xf numFmtId="1" fontId="6333" fillId="8" borderId="1" xfId="0" applyNumberFormat="1" applyFont="1" applyFill="1" applyBorder="1" applyAlignment="1">
      <alignment horizontal="center" vertical="center"/>
    </xf>
    <xf numFmtId="165" fontId="6334" fillId="8" borderId="1" xfId="0" applyNumberFormat="1" applyFont="1" applyFill="1" applyBorder="1" applyAlignment="1">
      <alignment horizontal="center" vertical="center"/>
    </xf>
    <xf numFmtId="1" fontId="6335" fillId="8" borderId="1" xfId="0" applyNumberFormat="1" applyFont="1" applyFill="1" applyBorder="1" applyAlignment="1">
      <alignment horizontal="center" vertical="center"/>
    </xf>
    <xf numFmtId="165" fontId="6336" fillId="8" borderId="1" xfId="0" applyNumberFormat="1" applyFont="1" applyFill="1" applyBorder="1" applyAlignment="1">
      <alignment horizontal="center" vertical="center"/>
    </xf>
    <xf numFmtId="1" fontId="6337" fillId="8" borderId="1" xfId="0" applyNumberFormat="1" applyFont="1" applyFill="1" applyBorder="1" applyAlignment="1">
      <alignment horizontal="center" vertical="center"/>
    </xf>
    <xf numFmtId="165" fontId="6338" fillId="8" borderId="1" xfId="0" applyNumberFormat="1" applyFont="1" applyFill="1" applyBorder="1" applyAlignment="1">
      <alignment horizontal="center" vertical="center"/>
    </xf>
    <xf numFmtId="1" fontId="6339" fillId="8" borderId="1" xfId="0" applyNumberFormat="1" applyFont="1" applyFill="1" applyBorder="1" applyAlignment="1">
      <alignment horizontal="center" vertical="center"/>
    </xf>
    <xf numFmtId="165" fontId="6340" fillId="8" borderId="1" xfId="0" applyNumberFormat="1" applyFont="1" applyFill="1" applyBorder="1" applyAlignment="1">
      <alignment horizontal="center" vertical="center"/>
    </xf>
    <xf numFmtId="165" fontId="6341" fillId="8" borderId="1" xfId="0" applyNumberFormat="1" applyFont="1" applyFill="1" applyBorder="1" applyAlignment="1">
      <alignment horizontal="center" vertical="center"/>
    </xf>
    <xf numFmtId="1" fontId="6342" fillId="8" borderId="1" xfId="0" applyNumberFormat="1" applyFont="1" applyFill="1" applyBorder="1" applyAlignment="1">
      <alignment horizontal="center" vertical="center"/>
    </xf>
    <xf numFmtId="1" fontId="6343" fillId="8" borderId="1" xfId="0" applyNumberFormat="1" applyFont="1" applyFill="1" applyBorder="1" applyAlignment="1">
      <alignment horizontal="center" vertical="center"/>
    </xf>
    <xf numFmtId="1" fontId="6344" fillId="8" borderId="1" xfId="0" applyNumberFormat="1" applyFont="1" applyFill="1" applyBorder="1" applyAlignment="1">
      <alignment horizontal="center" vertical="center"/>
    </xf>
    <xf numFmtId="165" fontId="6345" fillId="8" borderId="1" xfId="0" applyNumberFormat="1" applyFont="1" applyFill="1" applyBorder="1" applyAlignment="1">
      <alignment horizontal="center" vertical="center"/>
    </xf>
    <xf numFmtId="164" fontId="6346" fillId="8" borderId="1" xfId="0" applyNumberFormat="1" applyFont="1" applyFill="1" applyBorder="1" applyAlignment="1">
      <alignment horizontal="center" vertical="center"/>
    </xf>
    <xf numFmtId="164" fontId="6347" fillId="8" borderId="1" xfId="0" applyNumberFormat="1" applyFont="1" applyFill="1" applyBorder="1" applyAlignment="1">
      <alignment horizontal="center" vertical="center"/>
    </xf>
    <xf numFmtId="1" fontId="6348" fillId="8" borderId="1" xfId="0" applyNumberFormat="1" applyFont="1" applyFill="1" applyBorder="1" applyAlignment="1">
      <alignment horizontal="center" vertical="center"/>
    </xf>
    <xf numFmtId="1" fontId="6349" fillId="8" borderId="1" xfId="0" applyNumberFormat="1" applyFont="1" applyFill="1" applyBorder="1" applyAlignment="1">
      <alignment horizontal="center" vertical="center"/>
    </xf>
    <xf numFmtId="1" fontId="6350" fillId="8" borderId="1" xfId="0" applyNumberFormat="1" applyFont="1" applyFill="1" applyBorder="1" applyAlignment="1">
      <alignment horizontal="center" vertical="center"/>
    </xf>
    <xf numFmtId="165" fontId="6351" fillId="8" borderId="1" xfId="0" applyNumberFormat="1" applyFont="1" applyFill="1" applyBorder="1" applyAlignment="1">
      <alignment horizontal="center" vertical="center"/>
    </xf>
    <xf numFmtId="1" fontId="6352" fillId="8" borderId="1" xfId="0" applyNumberFormat="1" applyFont="1" applyFill="1" applyBorder="1" applyAlignment="1">
      <alignment horizontal="center" vertical="center"/>
    </xf>
    <xf numFmtId="165" fontId="6353" fillId="8" borderId="1" xfId="0" applyNumberFormat="1" applyFont="1" applyFill="1" applyBorder="1" applyAlignment="1">
      <alignment horizontal="center" vertical="center"/>
    </xf>
    <xf numFmtId="1" fontId="6354" fillId="8" borderId="1" xfId="0" applyNumberFormat="1" applyFont="1" applyFill="1" applyBorder="1" applyAlignment="1">
      <alignment horizontal="center" vertical="center"/>
    </xf>
    <xf numFmtId="1" fontId="6355" fillId="8" borderId="1" xfId="0" applyNumberFormat="1" applyFont="1" applyFill="1" applyBorder="1" applyAlignment="1">
      <alignment horizontal="center" vertical="center"/>
    </xf>
    <xf numFmtId="1" fontId="6356" fillId="8" borderId="1" xfId="0" applyNumberFormat="1" applyFont="1" applyFill="1" applyBorder="1" applyAlignment="1">
      <alignment horizontal="center" vertical="center"/>
    </xf>
    <xf numFmtId="1" fontId="6357" fillId="8" borderId="1" xfId="0" applyNumberFormat="1" applyFont="1" applyFill="1" applyBorder="1" applyAlignment="1">
      <alignment horizontal="center" vertical="center"/>
    </xf>
    <xf numFmtId="165" fontId="6358" fillId="8" borderId="1" xfId="0" applyNumberFormat="1" applyFont="1" applyFill="1" applyBorder="1" applyAlignment="1">
      <alignment horizontal="center" vertical="center"/>
    </xf>
    <xf numFmtId="1" fontId="6359" fillId="8" borderId="1" xfId="0" applyNumberFormat="1" applyFont="1" applyFill="1" applyBorder="1" applyAlignment="1">
      <alignment horizontal="center" vertical="center"/>
    </xf>
    <xf numFmtId="165" fontId="6360" fillId="8" borderId="1" xfId="0" applyNumberFormat="1" applyFont="1" applyFill="1" applyBorder="1" applyAlignment="1">
      <alignment horizontal="center" vertical="center"/>
    </xf>
    <xf numFmtId="1" fontId="6361" fillId="8" borderId="1" xfId="0" applyNumberFormat="1" applyFont="1" applyFill="1" applyBorder="1" applyAlignment="1">
      <alignment horizontal="center" vertical="center"/>
    </xf>
    <xf numFmtId="165" fontId="6362" fillId="8" borderId="1" xfId="0" applyNumberFormat="1" applyFont="1" applyFill="1" applyBorder="1" applyAlignment="1">
      <alignment horizontal="center" vertical="center"/>
    </xf>
    <xf numFmtId="2" fontId="6363" fillId="8" borderId="1" xfId="0" applyNumberFormat="1" applyFont="1" applyFill="1" applyBorder="1" applyAlignment="1">
      <alignment horizontal="center" vertical="center"/>
    </xf>
    <xf numFmtId="2" fontId="6364" fillId="8" borderId="1" xfId="0" applyNumberFormat="1" applyFont="1" applyFill="1" applyBorder="1" applyAlignment="1">
      <alignment horizontal="center" vertical="center"/>
    </xf>
    <xf numFmtId="2" fontId="6365" fillId="8" borderId="1" xfId="0" applyNumberFormat="1" applyFont="1" applyFill="1" applyBorder="1" applyAlignment="1">
      <alignment horizontal="center" vertical="center"/>
    </xf>
    <xf numFmtId="2" fontId="6366" fillId="8" borderId="1" xfId="0" applyNumberFormat="1" applyFont="1" applyFill="1" applyBorder="1" applyAlignment="1">
      <alignment horizontal="center" vertical="center"/>
    </xf>
    <xf numFmtId="2" fontId="6367" fillId="8" borderId="1" xfId="0" applyNumberFormat="1" applyFont="1" applyFill="1" applyBorder="1" applyAlignment="1">
      <alignment horizontal="center" vertical="center"/>
    </xf>
    <xf numFmtId="2" fontId="6368" fillId="8" borderId="1" xfId="0" applyNumberFormat="1" applyFont="1" applyFill="1" applyBorder="1" applyAlignment="1">
      <alignment horizontal="center" vertical="center"/>
    </xf>
    <xf numFmtId="2" fontId="6369" fillId="8" borderId="1" xfId="0" applyNumberFormat="1" applyFont="1" applyFill="1" applyBorder="1" applyAlignment="1">
      <alignment horizontal="center" vertical="center"/>
    </xf>
    <xf numFmtId="2" fontId="6370" fillId="8" borderId="1" xfId="0" applyNumberFormat="1" applyFont="1" applyFill="1" applyBorder="1" applyAlignment="1">
      <alignment horizontal="center" vertical="center"/>
    </xf>
    <xf numFmtId="2" fontId="6371" fillId="8" borderId="1" xfId="0" applyNumberFormat="1" applyFont="1" applyFill="1" applyBorder="1" applyAlignment="1">
      <alignment horizontal="center" vertical="center"/>
    </xf>
    <xf numFmtId="2" fontId="6372" fillId="8" borderId="1" xfId="0" applyNumberFormat="1" applyFont="1" applyFill="1" applyBorder="1" applyAlignment="1">
      <alignment horizontal="center" vertical="center"/>
    </xf>
    <xf numFmtId="2" fontId="6373" fillId="8" borderId="1" xfId="0" applyNumberFormat="1" applyFont="1" applyFill="1" applyBorder="1" applyAlignment="1">
      <alignment horizontal="center" vertical="center"/>
    </xf>
    <xf numFmtId="2" fontId="6374" fillId="8" borderId="1" xfId="0" applyNumberFormat="1" applyFont="1" applyFill="1" applyBorder="1" applyAlignment="1">
      <alignment horizontal="center" vertical="center"/>
    </xf>
    <xf numFmtId="2" fontId="6375" fillId="8" borderId="1" xfId="0" applyNumberFormat="1" applyFont="1" applyFill="1" applyBorder="1" applyAlignment="1">
      <alignment horizontal="center" vertical="center"/>
    </xf>
    <xf numFmtId="2" fontId="6376" fillId="8" borderId="1" xfId="0" applyNumberFormat="1" applyFont="1" applyFill="1" applyBorder="1" applyAlignment="1">
      <alignment horizontal="center" vertical="center"/>
    </xf>
    <xf numFmtId="2" fontId="6377" fillId="8" borderId="1" xfId="0" applyNumberFormat="1" applyFont="1" applyFill="1" applyBorder="1" applyAlignment="1">
      <alignment horizontal="center" vertical="center"/>
    </xf>
    <xf numFmtId="2" fontId="6378" fillId="8" borderId="1" xfId="0" applyNumberFormat="1" applyFont="1" applyFill="1" applyBorder="1" applyAlignment="1">
      <alignment horizontal="center" vertical="center"/>
    </xf>
    <xf numFmtId="2" fontId="6379" fillId="8" borderId="1" xfId="0" applyNumberFormat="1" applyFont="1" applyFill="1" applyBorder="1" applyAlignment="1">
      <alignment horizontal="center" vertical="center"/>
    </xf>
    <xf numFmtId="2" fontId="6380" fillId="8" borderId="1" xfId="0" applyNumberFormat="1" applyFont="1" applyFill="1" applyBorder="1" applyAlignment="1">
      <alignment horizontal="center" vertical="center"/>
    </xf>
    <xf numFmtId="2" fontId="6381" fillId="8" borderId="1" xfId="0" applyNumberFormat="1" applyFont="1" applyFill="1" applyBorder="1" applyAlignment="1">
      <alignment horizontal="center" vertical="center"/>
    </xf>
    <xf numFmtId="2" fontId="6382" fillId="8" borderId="1" xfId="0" applyNumberFormat="1" applyFont="1" applyFill="1" applyBorder="1" applyAlignment="1">
      <alignment horizontal="center" vertical="center"/>
    </xf>
    <xf numFmtId="2" fontId="6383" fillId="8" borderId="1" xfId="0" applyNumberFormat="1" applyFont="1" applyFill="1" applyBorder="1" applyAlignment="1">
      <alignment horizontal="center" vertical="center"/>
    </xf>
    <xf numFmtId="2" fontId="6384" fillId="8" borderId="1" xfId="0" applyNumberFormat="1" applyFont="1" applyFill="1" applyBorder="1" applyAlignment="1">
      <alignment horizontal="center" vertical="center"/>
    </xf>
    <xf numFmtId="2" fontId="6385" fillId="8" borderId="1" xfId="0" applyNumberFormat="1" applyFont="1" applyFill="1" applyBorder="1" applyAlignment="1">
      <alignment horizontal="center" vertical="center"/>
    </xf>
    <xf numFmtId="2" fontId="6386" fillId="8" borderId="1" xfId="0" applyNumberFormat="1" applyFont="1" applyFill="1" applyBorder="1" applyAlignment="1">
      <alignment horizontal="center" vertical="center"/>
    </xf>
    <xf numFmtId="2" fontId="6387" fillId="8" borderId="1" xfId="0" applyNumberFormat="1" applyFont="1" applyFill="1" applyBorder="1" applyAlignment="1">
      <alignment horizontal="center" vertical="center"/>
    </xf>
    <xf numFmtId="2" fontId="6388" fillId="8" borderId="1" xfId="0" applyNumberFormat="1" applyFont="1" applyFill="1" applyBorder="1" applyAlignment="1">
      <alignment horizontal="center" vertical="center"/>
    </xf>
    <xf numFmtId="2" fontId="6389" fillId="8" borderId="1" xfId="0" applyNumberFormat="1" applyFont="1" applyFill="1" applyBorder="1" applyAlignment="1">
      <alignment horizontal="center" vertical="center"/>
    </xf>
    <xf numFmtId="2" fontId="6390" fillId="8" borderId="1" xfId="0" applyNumberFormat="1" applyFont="1" applyFill="1" applyBorder="1" applyAlignment="1">
      <alignment horizontal="center" vertical="center"/>
    </xf>
    <xf numFmtId="2" fontId="6391" fillId="8" borderId="1" xfId="0" applyNumberFormat="1" applyFont="1" applyFill="1" applyBorder="1" applyAlignment="1">
      <alignment horizontal="center" vertical="center"/>
    </xf>
    <xf numFmtId="2" fontId="6392" fillId="8" borderId="1" xfId="0" applyNumberFormat="1" applyFont="1" applyFill="1" applyBorder="1" applyAlignment="1">
      <alignment horizontal="center" vertical="center"/>
    </xf>
    <xf numFmtId="2" fontId="6393" fillId="8" borderId="1" xfId="0" applyNumberFormat="1" applyFont="1" applyFill="1" applyBorder="1" applyAlignment="1">
      <alignment horizontal="center" vertical="center"/>
    </xf>
    <xf numFmtId="2" fontId="6394" fillId="8" borderId="1" xfId="0" applyNumberFormat="1" applyFont="1" applyFill="1" applyBorder="1" applyAlignment="1">
      <alignment horizontal="center" vertical="center"/>
    </xf>
    <xf numFmtId="2" fontId="6395" fillId="8" borderId="1" xfId="0" applyNumberFormat="1" applyFont="1" applyFill="1" applyBorder="1" applyAlignment="1">
      <alignment horizontal="center" vertical="center"/>
    </xf>
    <xf numFmtId="2" fontId="6396" fillId="8" borderId="1" xfId="0" applyNumberFormat="1" applyFont="1" applyFill="1" applyBorder="1" applyAlignment="1">
      <alignment horizontal="center" vertical="center"/>
    </xf>
    <xf numFmtId="0" fontId="6397" fillId="7" borderId="1" xfId="0" applyNumberFormat="1" applyFont="1" applyFill="1" applyBorder="1" applyAlignment="1">
      <alignment horizontal="left" vertical="center"/>
    </xf>
    <xf numFmtId="0" fontId="6398" fillId="8" borderId="1" xfId="0" applyNumberFormat="1" applyFont="1" applyFill="1" applyBorder="1" applyAlignment="1">
      <alignment horizontal="center" vertical="center"/>
    </xf>
    <xf numFmtId="164" fontId="6399" fillId="8" borderId="1" xfId="0" applyNumberFormat="1" applyFont="1" applyFill="1" applyBorder="1" applyAlignment="1">
      <alignment horizontal="center" vertical="center"/>
    </xf>
    <xf numFmtId="1" fontId="6400" fillId="8" borderId="1" xfId="0" applyNumberFormat="1" applyFont="1" applyFill="1" applyBorder="1" applyAlignment="1">
      <alignment horizontal="center" vertical="center"/>
    </xf>
    <xf numFmtId="1" fontId="6401" fillId="8" borderId="1" xfId="0" applyNumberFormat="1" applyFont="1" applyFill="1" applyBorder="1" applyAlignment="1">
      <alignment horizontal="center" vertical="center"/>
    </xf>
    <xf numFmtId="1" fontId="6402" fillId="8" borderId="1" xfId="0" applyNumberFormat="1" applyFont="1" applyFill="1" applyBorder="1" applyAlignment="1">
      <alignment horizontal="center" vertical="center"/>
    </xf>
    <xf numFmtId="1" fontId="6403" fillId="8" borderId="1" xfId="0" applyNumberFormat="1" applyFont="1" applyFill="1" applyBorder="1" applyAlignment="1">
      <alignment horizontal="center" vertical="center"/>
    </xf>
    <xf numFmtId="1" fontId="6404" fillId="8" borderId="1" xfId="0" applyNumberFormat="1" applyFont="1" applyFill="1" applyBorder="1" applyAlignment="1">
      <alignment horizontal="center" vertical="center"/>
    </xf>
    <xf numFmtId="1" fontId="6405" fillId="8" borderId="1" xfId="0" applyNumberFormat="1" applyFont="1" applyFill="1" applyBorder="1" applyAlignment="1">
      <alignment horizontal="center" vertical="center"/>
    </xf>
    <xf numFmtId="1" fontId="6406" fillId="8" borderId="1" xfId="0" applyNumberFormat="1" applyFont="1" applyFill="1" applyBorder="1" applyAlignment="1">
      <alignment horizontal="center" vertical="center"/>
    </xf>
    <xf numFmtId="0" fontId="6407" fillId="8" borderId="1" xfId="0" applyNumberFormat="1" applyFont="1" applyFill="1" applyBorder="1" applyAlignment="1">
      <alignment horizontal="center" vertical="center"/>
    </xf>
    <xf numFmtId="0" fontId="6408" fillId="8" borderId="1" xfId="0" applyNumberFormat="1" applyFont="1" applyFill="1" applyBorder="1" applyAlignment="1">
      <alignment horizontal="center" vertical="center"/>
    </xf>
    <xf numFmtId="1" fontId="6409" fillId="8" borderId="1" xfId="0" applyNumberFormat="1" applyFont="1" applyFill="1" applyBorder="1" applyAlignment="1">
      <alignment horizontal="center" vertical="center"/>
    </xf>
    <xf numFmtId="1" fontId="6410" fillId="8" borderId="1" xfId="0" applyNumberFormat="1" applyFont="1" applyFill="1" applyBorder="1" applyAlignment="1">
      <alignment horizontal="center" vertical="center"/>
    </xf>
    <xf numFmtId="1" fontId="6411" fillId="8" borderId="1" xfId="0" applyNumberFormat="1" applyFont="1" applyFill="1" applyBorder="1" applyAlignment="1">
      <alignment horizontal="center" vertical="center"/>
    </xf>
    <xf numFmtId="165" fontId="6412" fillId="8" borderId="1" xfId="0" applyNumberFormat="1" applyFont="1" applyFill="1" applyBorder="1" applyAlignment="1">
      <alignment horizontal="center" vertical="center"/>
    </xf>
    <xf numFmtId="1" fontId="6413" fillId="8" borderId="1" xfId="0" applyNumberFormat="1" applyFont="1" applyFill="1" applyBorder="1" applyAlignment="1">
      <alignment horizontal="center" vertical="center"/>
    </xf>
    <xf numFmtId="165" fontId="6414" fillId="8" borderId="1" xfId="0" applyNumberFormat="1" applyFont="1" applyFill="1" applyBorder="1" applyAlignment="1">
      <alignment horizontal="center" vertical="center"/>
    </xf>
    <xf numFmtId="1" fontId="6415" fillId="8" borderId="1" xfId="0" applyNumberFormat="1" applyFont="1" applyFill="1" applyBorder="1" applyAlignment="1">
      <alignment horizontal="center" vertical="center"/>
    </xf>
    <xf numFmtId="165" fontId="6416" fillId="8" borderId="1" xfId="0" applyNumberFormat="1" applyFont="1" applyFill="1" applyBorder="1" applyAlignment="1">
      <alignment horizontal="center" vertical="center"/>
    </xf>
    <xf numFmtId="1" fontId="6417" fillId="8" borderId="1" xfId="0" applyNumberFormat="1" applyFont="1" applyFill="1" applyBorder="1" applyAlignment="1">
      <alignment horizontal="center" vertical="center"/>
    </xf>
    <xf numFmtId="165" fontId="6418" fillId="8" borderId="1" xfId="0" applyNumberFormat="1" applyFont="1" applyFill="1" applyBorder="1" applyAlignment="1">
      <alignment horizontal="center" vertical="center"/>
    </xf>
    <xf numFmtId="165" fontId="6419" fillId="8" borderId="1" xfId="0" applyNumberFormat="1" applyFont="1" applyFill="1" applyBorder="1" applyAlignment="1">
      <alignment horizontal="center" vertical="center"/>
    </xf>
    <xf numFmtId="1" fontId="6420" fillId="8" borderId="1" xfId="0" applyNumberFormat="1" applyFont="1" applyFill="1" applyBorder="1" applyAlignment="1">
      <alignment horizontal="center" vertical="center"/>
    </xf>
    <xf numFmtId="1" fontId="6421" fillId="8" borderId="1" xfId="0" applyNumberFormat="1" applyFont="1" applyFill="1" applyBorder="1" applyAlignment="1">
      <alignment horizontal="center" vertical="center"/>
    </xf>
    <xf numFmtId="1" fontId="6422" fillId="8" borderId="1" xfId="0" applyNumberFormat="1" applyFont="1" applyFill="1" applyBorder="1" applyAlignment="1">
      <alignment horizontal="center" vertical="center"/>
    </xf>
    <xf numFmtId="165" fontId="6423" fillId="8" borderId="1" xfId="0" applyNumberFormat="1" applyFont="1" applyFill="1" applyBorder="1" applyAlignment="1">
      <alignment horizontal="center" vertical="center"/>
    </xf>
    <xf numFmtId="164" fontId="6424" fillId="8" borderId="1" xfId="0" applyNumberFormat="1" applyFont="1" applyFill="1" applyBorder="1" applyAlignment="1">
      <alignment horizontal="center" vertical="center"/>
    </xf>
    <xf numFmtId="164" fontId="6425" fillId="8" borderId="1" xfId="0" applyNumberFormat="1" applyFont="1" applyFill="1" applyBorder="1" applyAlignment="1">
      <alignment horizontal="center" vertical="center"/>
    </xf>
    <xf numFmtId="1" fontId="6426" fillId="8" borderId="1" xfId="0" applyNumberFormat="1" applyFont="1" applyFill="1" applyBorder="1" applyAlignment="1">
      <alignment horizontal="center" vertical="center"/>
    </xf>
    <xf numFmtId="1" fontId="6427" fillId="8" borderId="1" xfId="0" applyNumberFormat="1" applyFont="1" applyFill="1" applyBorder="1" applyAlignment="1">
      <alignment horizontal="center" vertical="center"/>
    </xf>
    <xf numFmtId="1" fontId="6428" fillId="8" borderId="1" xfId="0" applyNumberFormat="1" applyFont="1" applyFill="1" applyBorder="1" applyAlignment="1">
      <alignment horizontal="center" vertical="center"/>
    </xf>
    <xf numFmtId="165" fontId="6429" fillId="8" borderId="1" xfId="0" applyNumberFormat="1" applyFont="1" applyFill="1" applyBorder="1" applyAlignment="1">
      <alignment horizontal="center" vertical="center"/>
    </xf>
    <xf numFmtId="1" fontId="6430" fillId="8" borderId="1" xfId="0" applyNumberFormat="1" applyFont="1" applyFill="1" applyBorder="1" applyAlignment="1">
      <alignment horizontal="center" vertical="center"/>
    </xf>
    <xf numFmtId="165" fontId="6431" fillId="8" borderId="1" xfId="0" applyNumberFormat="1" applyFont="1" applyFill="1" applyBorder="1" applyAlignment="1">
      <alignment horizontal="center" vertical="center"/>
    </xf>
    <xf numFmtId="1" fontId="6432" fillId="8" borderId="1" xfId="0" applyNumberFormat="1" applyFont="1" applyFill="1" applyBorder="1" applyAlignment="1">
      <alignment horizontal="center" vertical="center"/>
    </xf>
    <xf numFmtId="1" fontId="6433" fillId="8" borderId="1" xfId="0" applyNumberFormat="1" applyFont="1" applyFill="1" applyBorder="1" applyAlignment="1">
      <alignment horizontal="center" vertical="center"/>
    </xf>
    <xf numFmtId="1" fontId="6434" fillId="8" borderId="1" xfId="0" applyNumberFormat="1" applyFont="1" applyFill="1" applyBorder="1" applyAlignment="1">
      <alignment horizontal="center" vertical="center"/>
    </xf>
    <xf numFmtId="1" fontId="6435" fillId="8" borderId="1" xfId="0" applyNumberFormat="1" applyFont="1" applyFill="1" applyBorder="1" applyAlignment="1">
      <alignment horizontal="center" vertical="center"/>
    </xf>
    <xf numFmtId="165" fontId="6436" fillId="8" borderId="1" xfId="0" applyNumberFormat="1" applyFont="1" applyFill="1" applyBorder="1" applyAlignment="1">
      <alignment horizontal="center" vertical="center"/>
    </xf>
    <xf numFmtId="1" fontId="6437" fillId="8" borderId="1" xfId="0" applyNumberFormat="1" applyFont="1" applyFill="1" applyBorder="1" applyAlignment="1">
      <alignment horizontal="center" vertical="center"/>
    </xf>
    <xf numFmtId="165" fontId="6438" fillId="8" borderId="1" xfId="0" applyNumberFormat="1" applyFont="1" applyFill="1" applyBorder="1" applyAlignment="1">
      <alignment horizontal="center" vertical="center"/>
    </xf>
    <xf numFmtId="1" fontId="6439" fillId="8" borderId="1" xfId="0" applyNumberFormat="1" applyFont="1" applyFill="1" applyBorder="1" applyAlignment="1">
      <alignment horizontal="center" vertical="center"/>
    </xf>
    <xf numFmtId="165" fontId="6440" fillId="8" borderId="1" xfId="0" applyNumberFormat="1" applyFont="1" applyFill="1" applyBorder="1" applyAlignment="1">
      <alignment horizontal="center" vertical="center"/>
    </xf>
    <xf numFmtId="2" fontId="6441" fillId="8" borderId="1" xfId="0" applyNumberFormat="1" applyFont="1" applyFill="1" applyBorder="1" applyAlignment="1">
      <alignment horizontal="center" vertical="center"/>
    </xf>
    <xf numFmtId="2" fontId="6442" fillId="8" borderId="1" xfId="0" applyNumberFormat="1" applyFont="1" applyFill="1" applyBorder="1" applyAlignment="1">
      <alignment horizontal="center" vertical="center"/>
    </xf>
    <xf numFmtId="2" fontId="6443" fillId="8" borderId="1" xfId="0" applyNumberFormat="1" applyFont="1" applyFill="1" applyBorder="1" applyAlignment="1">
      <alignment horizontal="center" vertical="center"/>
    </xf>
    <xf numFmtId="2" fontId="6444" fillId="8" borderId="1" xfId="0" applyNumberFormat="1" applyFont="1" applyFill="1" applyBorder="1" applyAlignment="1">
      <alignment horizontal="center" vertical="center"/>
    </xf>
    <xf numFmtId="2" fontId="6445" fillId="8" borderId="1" xfId="0" applyNumberFormat="1" applyFont="1" applyFill="1" applyBorder="1" applyAlignment="1">
      <alignment horizontal="center" vertical="center"/>
    </xf>
    <xf numFmtId="2" fontId="6446" fillId="8" borderId="1" xfId="0" applyNumberFormat="1" applyFont="1" applyFill="1" applyBorder="1" applyAlignment="1">
      <alignment horizontal="center" vertical="center"/>
    </xf>
    <xf numFmtId="2" fontId="6447" fillId="8" borderId="1" xfId="0" applyNumberFormat="1" applyFont="1" applyFill="1" applyBorder="1" applyAlignment="1">
      <alignment horizontal="center" vertical="center"/>
    </xf>
    <xf numFmtId="2" fontId="6448" fillId="8" borderId="1" xfId="0" applyNumberFormat="1" applyFont="1" applyFill="1" applyBorder="1" applyAlignment="1">
      <alignment horizontal="center" vertical="center"/>
    </xf>
    <xf numFmtId="2" fontId="6449" fillId="8" borderId="1" xfId="0" applyNumberFormat="1" applyFont="1" applyFill="1" applyBorder="1" applyAlignment="1">
      <alignment horizontal="center" vertical="center"/>
    </xf>
    <xf numFmtId="2" fontId="6450" fillId="8" borderId="1" xfId="0" applyNumberFormat="1" applyFont="1" applyFill="1" applyBorder="1" applyAlignment="1">
      <alignment horizontal="center" vertical="center"/>
    </xf>
    <xf numFmtId="2" fontId="6451" fillId="8" borderId="1" xfId="0" applyNumberFormat="1" applyFont="1" applyFill="1" applyBorder="1" applyAlignment="1">
      <alignment horizontal="center" vertical="center"/>
    </xf>
    <xf numFmtId="2" fontId="6452" fillId="8" borderId="1" xfId="0" applyNumberFormat="1" applyFont="1" applyFill="1" applyBorder="1" applyAlignment="1">
      <alignment horizontal="center" vertical="center"/>
    </xf>
    <xf numFmtId="2" fontId="6453" fillId="8" borderId="1" xfId="0" applyNumberFormat="1" applyFont="1" applyFill="1" applyBorder="1" applyAlignment="1">
      <alignment horizontal="center" vertical="center"/>
    </xf>
    <xf numFmtId="2" fontId="6454" fillId="8" borderId="1" xfId="0" applyNumberFormat="1" applyFont="1" applyFill="1" applyBorder="1" applyAlignment="1">
      <alignment horizontal="center" vertical="center"/>
    </xf>
    <xf numFmtId="2" fontId="6455" fillId="8" borderId="1" xfId="0" applyNumberFormat="1" applyFont="1" applyFill="1" applyBorder="1" applyAlignment="1">
      <alignment horizontal="center" vertical="center"/>
    </xf>
    <xf numFmtId="2" fontId="6456" fillId="8" borderId="1" xfId="0" applyNumberFormat="1" applyFont="1" applyFill="1" applyBorder="1" applyAlignment="1">
      <alignment horizontal="center" vertical="center"/>
    </xf>
    <xf numFmtId="2" fontId="6457" fillId="8" borderId="1" xfId="0" applyNumberFormat="1" applyFont="1" applyFill="1" applyBorder="1" applyAlignment="1">
      <alignment horizontal="center" vertical="center"/>
    </xf>
    <xf numFmtId="2" fontId="6458" fillId="8" borderId="1" xfId="0" applyNumberFormat="1" applyFont="1" applyFill="1" applyBorder="1" applyAlignment="1">
      <alignment horizontal="center" vertical="center"/>
    </xf>
    <xf numFmtId="2" fontId="6459" fillId="8" borderId="1" xfId="0" applyNumberFormat="1" applyFont="1" applyFill="1" applyBorder="1" applyAlignment="1">
      <alignment horizontal="center" vertical="center"/>
    </xf>
    <xf numFmtId="2" fontId="6460" fillId="8" borderId="1" xfId="0" applyNumberFormat="1" applyFont="1" applyFill="1" applyBorder="1" applyAlignment="1">
      <alignment horizontal="center" vertical="center"/>
    </xf>
    <xf numFmtId="2" fontId="6461" fillId="8" borderId="1" xfId="0" applyNumberFormat="1" applyFont="1" applyFill="1" applyBorder="1" applyAlignment="1">
      <alignment horizontal="center" vertical="center"/>
    </xf>
    <xf numFmtId="2" fontId="6462" fillId="8" borderId="1" xfId="0" applyNumberFormat="1" applyFont="1" applyFill="1" applyBorder="1" applyAlignment="1">
      <alignment horizontal="center" vertical="center"/>
    </xf>
    <xf numFmtId="2" fontId="6463" fillId="8" borderId="1" xfId="0" applyNumberFormat="1" applyFont="1" applyFill="1" applyBorder="1" applyAlignment="1">
      <alignment horizontal="center" vertical="center"/>
    </xf>
    <xf numFmtId="2" fontId="6464" fillId="8" borderId="1" xfId="0" applyNumberFormat="1" applyFont="1" applyFill="1" applyBorder="1" applyAlignment="1">
      <alignment horizontal="center" vertical="center"/>
    </xf>
    <xf numFmtId="2" fontId="6465" fillId="8" borderId="1" xfId="0" applyNumberFormat="1" applyFont="1" applyFill="1" applyBorder="1" applyAlignment="1">
      <alignment horizontal="center" vertical="center"/>
    </xf>
    <xf numFmtId="2" fontId="6466" fillId="8" borderId="1" xfId="0" applyNumberFormat="1" applyFont="1" applyFill="1" applyBorder="1" applyAlignment="1">
      <alignment horizontal="center" vertical="center"/>
    </xf>
    <xf numFmtId="2" fontId="6467" fillId="8" borderId="1" xfId="0" applyNumberFormat="1" applyFont="1" applyFill="1" applyBorder="1" applyAlignment="1">
      <alignment horizontal="center" vertical="center"/>
    </xf>
    <xf numFmtId="2" fontId="6468" fillId="8" borderId="1" xfId="0" applyNumberFormat="1" applyFont="1" applyFill="1" applyBorder="1" applyAlignment="1">
      <alignment horizontal="center" vertical="center"/>
    </xf>
    <xf numFmtId="2" fontId="6469" fillId="8" borderId="1" xfId="0" applyNumberFormat="1" applyFont="1" applyFill="1" applyBorder="1" applyAlignment="1">
      <alignment horizontal="center" vertical="center"/>
    </xf>
    <xf numFmtId="2" fontId="6470" fillId="8" borderId="1" xfId="0" applyNumberFormat="1" applyFont="1" applyFill="1" applyBorder="1" applyAlignment="1">
      <alignment horizontal="center" vertical="center"/>
    </xf>
    <xf numFmtId="2" fontId="6471" fillId="8" borderId="1" xfId="0" applyNumberFormat="1" applyFont="1" applyFill="1" applyBorder="1" applyAlignment="1">
      <alignment horizontal="center" vertical="center"/>
    </xf>
    <xf numFmtId="2" fontId="6472" fillId="8" borderId="1" xfId="0" applyNumberFormat="1" applyFont="1" applyFill="1" applyBorder="1" applyAlignment="1">
      <alignment horizontal="center" vertical="center"/>
    </xf>
    <xf numFmtId="2" fontId="6473" fillId="8" borderId="1" xfId="0" applyNumberFormat="1" applyFont="1" applyFill="1" applyBorder="1" applyAlignment="1">
      <alignment horizontal="center" vertical="center"/>
    </xf>
    <xf numFmtId="2" fontId="6474" fillId="8" borderId="1" xfId="0" applyNumberFormat="1" applyFont="1" applyFill="1" applyBorder="1" applyAlignment="1">
      <alignment horizontal="center" vertical="center"/>
    </xf>
    <xf numFmtId="0" fontId="6475" fillId="7" borderId="1" xfId="0" applyNumberFormat="1" applyFont="1" applyFill="1" applyBorder="1" applyAlignment="1">
      <alignment horizontal="left" vertical="center"/>
    </xf>
    <xf numFmtId="0" fontId="6476" fillId="8" borderId="1" xfId="0" applyNumberFormat="1" applyFont="1" applyFill="1" applyBorder="1" applyAlignment="1">
      <alignment horizontal="center" vertical="center"/>
    </xf>
    <xf numFmtId="164" fontId="6477" fillId="8" borderId="1" xfId="0" applyNumberFormat="1" applyFont="1" applyFill="1" applyBorder="1" applyAlignment="1">
      <alignment horizontal="center" vertical="center"/>
    </xf>
    <xf numFmtId="1" fontId="6478" fillId="8" borderId="1" xfId="0" applyNumberFormat="1" applyFont="1" applyFill="1" applyBorder="1" applyAlignment="1">
      <alignment horizontal="center" vertical="center"/>
    </xf>
    <xf numFmtId="1" fontId="6479" fillId="8" borderId="1" xfId="0" applyNumberFormat="1" applyFont="1" applyFill="1" applyBorder="1" applyAlignment="1">
      <alignment horizontal="center" vertical="center"/>
    </xf>
    <xf numFmtId="1" fontId="6480" fillId="8" borderId="1" xfId="0" applyNumberFormat="1" applyFont="1" applyFill="1" applyBorder="1" applyAlignment="1">
      <alignment horizontal="center" vertical="center"/>
    </xf>
    <xf numFmtId="1" fontId="6481" fillId="8" borderId="1" xfId="0" applyNumberFormat="1" applyFont="1" applyFill="1" applyBorder="1" applyAlignment="1">
      <alignment horizontal="center" vertical="center"/>
    </xf>
    <xf numFmtId="1" fontId="6482" fillId="8" borderId="1" xfId="0" applyNumberFormat="1" applyFont="1" applyFill="1" applyBorder="1" applyAlignment="1">
      <alignment horizontal="center" vertical="center"/>
    </xf>
    <xf numFmtId="1" fontId="6483" fillId="8" borderId="1" xfId="0" applyNumberFormat="1" applyFont="1" applyFill="1" applyBorder="1" applyAlignment="1">
      <alignment horizontal="center" vertical="center"/>
    </xf>
    <xf numFmtId="1" fontId="6484" fillId="8" borderId="1" xfId="0" applyNumberFormat="1" applyFont="1" applyFill="1" applyBorder="1" applyAlignment="1">
      <alignment horizontal="center" vertical="center"/>
    </xf>
    <xf numFmtId="0" fontId="6485" fillId="8" borderId="1" xfId="0" applyNumberFormat="1" applyFont="1" applyFill="1" applyBorder="1" applyAlignment="1">
      <alignment horizontal="center" vertical="center"/>
    </xf>
    <xf numFmtId="0" fontId="6486" fillId="8" borderId="1" xfId="0" applyNumberFormat="1" applyFont="1" applyFill="1" applyBorder="1" applyAlignment="1">
      <alignment horizontal="center" vertical="center"/>
    </xf>
    <xf numFmtId="1" fontId="6487" fillId="8" borderId="1" xfId="0" applyNumberFormat="1" applyFont="1" applyFill="1" applyBorder="1" applyAlignment="1">
      <alignment horizontal="center" vertical="center"/>
    </xf>
    <xf numFmtId="1" fontId="6488" fillId="8" borderId="1" xfId="0" applyNumberFormat="1" applyFont="1" applyFill="1" applyBorder="1" applyAlignment="1">
      <alignment horizontal="center" vertical="center"/>
    </xf>
    <xf numFmtId="1" fontId="6489" fillId="8" borderId="1" xfId="0" applyNumberFormat="1" applyFont="1" applyFill="1" applyBorder="1" applyAlignment="1">
      <alignment horizontal="center" vertical="center"/>
    </xf>
    <xf numFmtId="165" fontId="6490" fillId="8" borderId="1" xfId="0" applyNumberFormat="1" applyFont="1" applyFill="1" applyBorder="1" applyAlignment="1">
      <alignment horizontal="center" vertical="center"/>
    </xf>
    <xf numFmtId="1" fontId="6491" fillId="8" borderId="1" xfId="0" applyNumberFormat="1" applyFont="1" applyFill="1" applyBorder="1" applyAlignment="1">
      <alignment horizontal="center" vertical="center"/>
    </xf>
    <xf numFmtId="165" fontId="6492" fillId="8" borderId="1" xfId="0" applyNumberFormat="1" applyFont="1" applyFill="1" applyBorder="1" applyAlignment="1">
      <alignment horizontal="center" vertical="center"/>
    </xf>
    <xf numFmtId="1" fontId="6493" fillId="8" borderId="1" xfId="0" applyNumberFormat="1" applyFont="1" applyFill="1" applyBorder="1" applyAlignment="1">
      <alignment horizontal="center" vertical="center"/>
    </xf>
    <xf numFmtId="165" fontId="6494" fillId="8" borderId="1" xfId="0" applyNumberFormat="1" applyFont="1" applyFill="1" applyBorder="1" applyAlignment="1">
      <alignment horizontal="center" vertical="center"/>
    </xf>
    <xf numFmtId="1" fontId="6495" fillId="8" borderId="1" xfId="0" applyNumberFormat="1" applyFont="1" applyFill="1" applyBorder="1" applyAlignment="1">
      <alignment horizontal="center" vertical="center"/>
    </xf>
    <xf numFmtId="165" fontId="6496" fillId="8" borderId="1" xfId="0" applyNumberFormat="1" applyFont="1" applyFill="1" applyBorder="1" applyAlignment="1">
      <alignment horizontal="center" vertical="center"/>
    </xf>
    <xf numFmtId="165" fontId="6497" fillId="8" borderId="1" xfId="0" applyNumberFormat="1" applyFont="1" applyFill="1" applyBorder="1" applyAlignment="1">
      <alignment horizontal="center" vertical="center"/>
    </xf>
    <xf numFmtId="1" fontId="6498" fillId="8" borderId="1" xfId="0" applyNumberFormat="1" applyFont="1" applyFill="1" applyBorder="1" applyAlignment="1">
      <alignment horizontal="center" vertical="center"/>
    </xf>
    <xf numFmtId="1" fontId="6499" fillId="8" borderId="1" xfId="0" applyNumberFormat="1" applyFont="1" applyFill="1" applyBorder="1" applyAlignment="1">
      <alignment horizontal="center" vertical="center"/>
    </xf>
    <xf numFmtId="1" fontId="6500" fillId="8" borderId="1" xfId="0" applyNumberFormat="1" applyFont="1" applyFill="1" applyBorder="1" applyAlignment="1">
      <alignment horizontal="center" vertical="center"/>
    </xf>
    <xf numFmtId="165" fontId="6501" fillId="8" borderId="1" xfId="0" applyNumberFormat="1" applyFont="1" applyFill="1" applyBorder="1" applyAlignment="1">
      <alignment horizontal="center" vertical="center"/>
    </xf>
    <xf numFmtId="164" fontId="6502" fillId="8" borderId="1" xfId="0" applyNumberFormat="1" applyFont="1" applyFill="1" applyBorder="1" applyAlignment="1">
      <alignment horizontal="center" vertical="center"/>
    </xf>
    <xf numFmtId="164" fontId="6503" fillId="8" borderId="1" xfId="0" applyNumberFormat="1" applyFont="1" applyFill="1" applyBorder="1" applyAlignment="1">
      <alignment horizontal="center" vertical="center"/>
    </xf>
    <xf numFmtId="1" fontId="6504" fillId="8" borderId="1" xfId="0" applyNumberFormat="1" applyFont="1" applyFill="1" applyBorder="1" applyAlignment="1">
      <alignment horizontal="center" vertical="center"/>
    </xf>
    <xf numFmtId="1" fontId="6505" fillId="8" borderId="1" xfId="0" applyNumberFormat="1" applyFont="1" applyFill="1" applyBorder="1" applyAlignment="1">
      <alignment horizontal="center" vertical="center"/>
    </xf>
    <xf numFmtId="1" fontId="6506" fillId="8" borderId="1" xfId="0" applyNumberFormat="1" applyFont="1" applyFill="1" applyBorder="1" applyAlignment="1">
      <alignment horizontal="center" vertical="center"/>
    </xf>
    <xf numFmtId="165" fontId="6507" fillId="8" borderId="1" xfId="0" applyNumberFormat="1" applyFont="1" applyFill="1" applyBorder="1" applyAlignment="1">
      <alignment horizontal="center" vertical="center"/>
    </xf>
    <xf numFmtId="1" fontId="6508" fillId="8" borderId="1" xfId="0" applyNumberFormat="1" applyFont="1" applyFill="1" applyBorder="1" applyAlignment="1">
      <alignment horizontal="center" vertical="center"/>
    </xf>
    <xf numFmtId="165" fontId="6509" fillId="8" borderId="1" xfId="0" applyNumberFormat="1" applyFont="1" applyFill="1" applyBorder="1" applyAlignment="1">
      <alignment horizontal="center" vertical="center"/>
    </xf>
    <xf numFmtId="1" fontId="6510" fillId="8" borderId="1" xfId="0" applyNumberFormat="1" applyFont="1" applyFill="1" applyBorder="1" applyAlignment="1">
      <alignment horizontal="center" vertical="center"/>
    </xf>
    <xf numFmtId="1" fontId="6511" fillId="8" borderId="1" xfId="0" applyNumberFormat="1" applyFont="1" applyFill="1" applyBorder="1" applyAlignment="1">
      <alignment horizontal="center" vertical="center"/>
    </xf>
    <xf numFmtId="1" fontId="6512" fillId="8" borderId="1" xfId="0" applyNumberFormat="1" applyFont="1" applyFill="1" applyBorder="1" applyAlignment="1">
      <alignment horizontal="center" vertical="center"/>
    </xf>
    <xf numFmtId="1" fontId="6513" fillId="8" borderId="1" xfId="0" applyNumberFormat="1" applyFont="1" applyFill="1" applyBorder="1" applyAlignment="1">
      <alignment horizontal="center" vertical="center"/>
    </xf>
    <xf numFmtId="165" fontId="6514" fillId="8" borderId="1" xfId="0" applyNumberFormat="1" applyFont="1" applyFill="1" applyBorder="1" applyAlignment="1">
      <alignment horizontal="center" vertical="center"/>
    </xf>
    <xf numFmtId="1" fontId="6515" fillId="8" borderId="1" xfId="0" applyNumberFormat="1" applyFont="1" applyFill="1" applyBorder="1" applyAlignment="1">
      <alignment horizontal="center" vertical="center"/>
    </xf>
    <xf numFmtId="165" fontId="6516" fillId="8" borderId="1" xfId="0" applyNumberFormat="1" applyFont="1" applyFill="1" applyBorder="1" applyAlignment="1">
      <alignment horizontal="center" vertical="center"/>
    </xf>
    <xf numFmtId="1" fontId="6517" fillId="8" borderId="1" xfId="0" applyNumberFormat="1" applyFont="1" applyFill="1" applyBorder="1" applyAlignment="1">
      <alignment horizontal="center" vertical="center"/>
    </xf>
    <xf numFmtId="165" fontId="6518" fillId="8" borderId="1" xfId="0" applyNumberFormat="1" applyFont="1" applyFill="1" applyBorder="1" applyAlignment="1">
      <alignment horizontal="center" vertical="center"/>
    </xf>
    <xf numFmtId="2" fontId="6519" fillId="8" borderId="1" xfId="0" applyNumberFormat="1" applyFont="1" applyFill="1" applyBorder="1" applyAlignment="1">
      <alignment horizontal="center" vertical="center"/>
    </xf>
    <xf numFmtId="2" fontId="6520" fillId="8" borderId="1" xfId="0" applyNumberFormat="1" applyFont="1" applyFill="1" applyBorder="1" applyAlignment="1">
      <alignment horizontal="center" vertical="center"/>
    </xf>
    <xf numFmtId="2" fontId="6521" fillId="8" borderId="1" xfId="0" applyNumberFormat="1" applyFont="1" applyFill="1" applyBorder="1" applyAlignment="1">
      <alignment horizontal="center" vertical="center"/>
    </xf>
    <xf numFmtId="2" fontId="6522" fillId="8" borderId="1" xfId="0" applyNumberFormat="1" applyFont="1" applyFill="1" applyBorder="1" applyAlignment="1">
      <alignment horizontal="center" vertical="center"/>
    </xf>
    <xf numFmtId="2" fontId="6523" fillId="8" borderId="1" xfId="0" applyNumberFormat="1" applyFont="1" applyFill="1" applyBorder="1" applyAlignment="1">
      <alignment horizontal="center" vertical="center"/>
    </xf>
    <xf numFmtId="2" fontId="6524" fillId="8" borderId="1" xfId="0" applyNumberFormat="1" applyFont="1" applyFill="1" applyBorder="1" applyAlignment="1">
      <alignment horizontal="center" vertical="center"/>
    </xf>
    <xf numFmtId="2" fontId="6525" fillId="8" borderId="1" xfId="0" applyNumberFormat="1" applyFont="1" applyFill="1" applyBorder="1" applyAlignment="1">
      <alignment horizontal="center" vertical="center"/>
    </xf>
    <xf numFmtId="2" fontId="6526" fillId="8" borderId="1" xfId="0" applyNumberFormat="1" applyFont="1" applyFill="1" applyBorder="1" applyAlignment="1">
      <alignment horizontal="center" vertical="center"/>
    </xf>
    <xf numFmtId="2" fontId="6527" fillId="8" borderId="1" xfId="0" applyNumberFormat="1" applyFont="1" applyFill="1" applyBorder="1" applyAlignment="1">
      <alignment horizontal="center" vertical="center"/>
    </xf>
    <xf numFmtId="2" fontId="6528" fillId="8" borderId="1" xfId="0" applyNumberFormat="1" applyFont="1" applyFill="1" applyBorder="1" applyAlignment="1">
      <alignment horizontal="center" vertical="center"/>
    </xf>
    <xf numFmtId="2" fontId="6529" fillId="8" borderId="1" xfId="0" applyNumberFormat="1" applyFont="1" applyFill="1" applyBorder="1" applyAlignment="1">
      <alignment horizontal="center" vertical="center"/>
    </xf>
    <xf numFmtId="2" fontId="6530" fillId="8" borderId="1" xfId="0" applyNumberFormat="1" applyFont="1" applyFill="1" applyBorder="1" applyAlignment="1">
      <alignment horizontal="center" vertical="center"/>
    </xf>
    <xf numFmtId="2" fontId="6531" fillId="8" borderId="1" xfId="0" applyNumberFormat="1" applyFont="1" applyFill="1" applyBorder="1" applyAlignment="1">
      <alignment horizontal="center" vertical="center"/>
    </xf>
    <xf numFmtId="2" fontId="6532" fillId="8" borderId="1" xfId="0" applyNumberFormat="1" applyFont="1" applyFill="1" applyBorder="1" applyAlignment="1">
      <alignment horizontal="center" vertical="center"/>
    </xf>
    <xf numFmtId="2" fontId="6533" fillId="8" borderId="1" xfId="0" applyNumberFormat="1" applyFont="1" applyFill="1" applyBorder="1" applyAlignment="1">
      <alignment horizontal="center" vertical="center"/>
    </xf>
    <xf numFmtId="2" fontId="6534" fillId="8" borderId="1" xfId="0" applyNumberFormat="1" applyFont="1" applyFill="1" applyBorder="1" applyAlignment="1">
      <alignment horizontal="center" vertical="center"/>
    </xf>
    <xf numFmtId="2" fontId="6535" fillId="8" borderId="1" xfId="0" applyNumberFormat="1" applyFont="1" applyFill="1" applyBorder="1" applyAlignment="1">
      <alignment horizontal="center" vertical="center"/>
    </xf>
    <xf numFmtId="2" fontId="6536" fillId="8" borderId="1" xfId="0" applyNumberFormat="1" applyFont="1" applyFill="1" applyBorder="1" applyAlignment="1">
      <alignment horizontal="center" vertical="center"/>
    </xf>
    <xf numFmtId="2" fontId="6537" fillId="8" borderId="1" xfId="0" applyNumberFormat="1" applyFont="1" applyFill="1" applyBorder="1" applyAlignment="1">
      <alignment horizontal="center" vertical="center"/>
    </xf>
    <xf numFmtId="2" fontId="6538" fillId="8" borderId="1" xfId="0" applyNumberFormat="1" applyFont="1" applyFill="1" applyBorder="1" applyAlignment="1">
      <alignment horizontal="center" vertical="center"/>
    </xf>
    <xf numFmtId="2" fontId="6539" fillId="8" borderId="1" xfId="0" applyNumberFormat="1" applyFont="1" applyFill="1" applyBorder="1" applyAlignment="1">
      <alignment horizontal="center" vertical="center"/>
    </xf>
    <xf numFmtId="2" fontId="6540" fillId="8" borderId="1" xfId="0" applyNumberFormat="1" applyFont="1" applyFill="1" applyBorder="1" applyAlignment="1">
      <alignment horizontal="center" vertical="center"/>
    </xf>
    <xf numFmtId="2" fontId="6541" fillId="8" borderId="1" xfId="0" applyNumberFormat="1" applyFont="1" applyFill="1" applyBorder="1" applyAlignment="1">
      <alignment horizontal="center" vertical="center"/>
    </xf>
    <xf numFmtId="2" fontId="6542" fillId="8" borderId="1" xfId="0" applyNumberFormat="1" applyFont="1" applyFill="1" applyBorder="1" applyAlignment="1">
      <alignment horizontal="center" vertical="center"/>
    </xf>
    <xf numFmtId="2" fontId="6543" fillId="8" borderId="1" xfId="0" applyNumberFormat="1" applyFont="1" applyFill="1" applyBorder="1" applyAlignment="1">
      <alignment horizontal="center" vertical="center"/>
    </xf>
    <xf numFmtId="2" fontId="6544" fillId="8" borderId="1" xfId="0" applyNumberFormat="1" applyFont="1" applyFill="1" applyBorder="1" applyAlignment="1">
      <alignment horizontal="center" vertical="center"/>
    </xf>
    <xf numFmtId="2" fontId="6545" fillId="8" borderId="1" xfId="0" applyNumberFormat="1" applyFont="1" applyFill="1" applyBorder="1" applyAlignment="1">
      <alignment horizontal="center" vertical="center"/>
    </xf>
    <xf numFmtId="2" fontId="6546" fillId="8" borderId="1" xfId="0" applyNumberFormat="1" applyFont="1" applyFill="1" applyBorder="1" applyAlignment="1">
      <alignment horizontal="center" vertical="center"/>
    </xf>
    <xf numFmtId="2" fontId="6547" fillId="8" borderId="1" xfId="0" applyNumberFormat="1" applyFont="1" applyFill="1" applyBorder="1" applyAlignment="1">
      <alignment horizontal="center" vertical="center"/>
    </xf>
    <xf numFmtId="2" fontId="6548" fillId="8" borderId="1" xfId="0" applyNumberFormat="1" applyFont="1" applyFill="1" applyBorder="1" applyAlignment="1">
      <alignment horizontal="center" vertical="center"/>
    </xf>
    <xf numFmtId="2" fontId="6549" fillId="8" borderId="1" xfId="0" applyNumberFormat="1" applyFont="1" applyFill="1" applyBorder="1" applyAlignment="1">
      <alignment horizontal="center" vertical="center"/>
    </xf>
    <xf numFmtId="2" fontId="6550" fillId="8" borderId="1" xfId="0" applyNumberFormat="1" applyFont="1" applyFill="1" applyBorder="1" applyAlignment="1">
      <alignment horizontal="center" vertical="center"/>
    </xf>
    <xf numFmtId="2" fontId="6551" fillId="8" borderId="1" xfId="0" applyNumberFormat="1" applyFont="1" applyFill="1" applyBorder="1" applyAlignment="1">
      <alignment horizontal="center" vertical="center"/>
    </xf>
    <xf numFmtId="2" fontId="6552" fillId="8" borderId="1" xfId="0" applyNumberFormat="1" applyFont="1" applyFill="1" applyBorder="1" applyAlignment="1">
      <alignment horizontal="center" vertical="center"/>
    </xf>
    <xf numFmtId="0" fontId="6553" fillId="7" borderId="1" xfId="0" applyNumberFormat="1" applyFont="1" applyFill="1" applyBorder="1" applyAlignment="1">
      <alignment horizontal="left" vertical="center"/>
    </xf>
    <xf numFmtId="0" fontId="6554" fillId="8" borderId="1" xfId="0" applyNumberFormat="1" applyFont="1" applyFill="1" applyBorder="1" applyAlignment="1">
      <alignment horizontal="center" vertical="center"/>
    </xf>
    <xf numFmtId="164" fontId="6555" fillId="8" borderId="1" xfId="0" applyNumberFormat="1" applyFont="1" applyFill="1" applyBorder="1" applyAlignment="1">
      <alignment horizontal="center" vertical="center"/>
    </xf>
    <xf numFmtId="1" fontId="6556" fillId="8" borderId="1" xfId="0" applyNumberFormat="1" applyFont="1" applyFill="1" applyBorder="1" applyAlignment="1">
      <alignment horizontal="center" vertical="center"/>
    </xf>
    <xf numFmtId="1" fontId="6557" fillId="8" borderId="1" xfId="0" applyNumberFormat="1" applyFont="1" applyFill="1" applyBorder="1" applyAlignment="1">
      <alignment horizontal="center" vertical="center"/>
    </xf>
    <xf numFmtId="1" fontId="6558" fillId="8" borderId="1" xfId="0" applyNumberFormat="1" applyFont="1" applyFill="1" applyBorder="1" applyAlignment="1">
      <alignment horizontal="center" vertical="center"/>
    </xf>
    <xf numFmtId="1" fontId="6559" fillId="8" borderId="1" xfId="0" applyNumberFormat="1" applyFont="1" applyFill="1" applyBorder="1" applyAlignment="1">
      <alignment horizontal="center" vertical="center"/>
    </xf>
    <xf numFmtId="1" fontId="6560" fillId="8" borderId="1" xfId="0" applyNumberFormat="1" applyFont="1" applyFill="1" applyBorder="1" applyAlignment="1">
      <alignment horizontal="center" vertical="center"/>
    </xf>
    <xf numFmtId="1" fontId="6561" fillId="8" borderId="1" xfId="0" applyNumberFormat="1" applyFont="1" applyFill="1" applyBorder="1" applyAlignment="1">
      <alignment horizontal="center" vertical="center"/>
    </xf>
    <xf numFmtId="1" fontId="6562" fillId="8" borderId="1" xfId="0" applyNumberFormat="1" applyFont="1" applyFill="1" applyBorder="1" applyAlignment="1">
      <alignment horizontal="center" vertical="center"/>
    </xf>
    <xf numFmtId="0" fontId="6563" fillId="8" borderId="1" xfId="0" applyNumberFormat="1" applyFont="1" applyFill="1" applyBorder="1" applyAlignment="1">
      <alignment horizontal="center" vertical="center"/>
    </xf>
    <xf numFmtId="0" fontId="6564" fillId="8" borderId="1" xfId="0" applyNumberFormat="1" applyFont="1" applyFill="1" applyBorder="1" applyAlignment="1">
      <alignment horizontal="center" vertical="center"/>
    </xf>
    <xf numFmtId="1" fontId="6565" fillId="8" borderId="1" xfId="0" applyNumberFormat="1" applyFont="1" applyFill="1" applyBorder="1" applyAlignment="1">
      <alignment horizontal="center" vertical="center"/>
    </xf>
    <xf numFmtId="1" fontId="6566" fillId="8" borderId="1" xfId="0" applyNumberFormat="1" applyFont="1" applyFill="1" applyBorder="1" applyAlignment="1">
      <alignment horizontal="center" vertical="center"/>
    </xf>
    <xf numFmtId="1" fontId="6567" fillId="8" borderId="1" xfId="0" applyNumberFormat="1" applyFont="1" applyFill="1" applyBorder="1" applyAlignment="1">
      <alignment horizontal="center" vertical="center"/>
    </xf>
    <xf numFmtId="165" fontId="6568" fillId="8" borderId="1" xfId="0" applyNumberFormat="1" applyFont="1" applyFill="1" applyBorder="1" applyAlignment="1">
      <alignment horizontal="center" vertical="center"/>
    </xf>
    <xf numFmtId="1" fontId="6569" fillId="8" borderId="1" xfId="0" applyNumberFormat="1" applyFont="1" applyFill="1" applyBorder="1" applyAlignment="1">
      <alignment horizontal="center" vertical="center"/>
    </xf>
    <xf numFmtId="165" fontId="6570" fillId="8" borderId="1" xfId="0" applyNumberFormat="1" applyFont="1" applyFill="1" applyBorder="1" applyAlignment="1">
      <alignment horizontal="center" vertical="center"/>
    </xf>
    <xf numFmtId="1" fontId="6571" fillId="8" borderId="1" xfId="0" applyNumberFormat="1" applyFont="1" applyFill="1" applyBorder="1" applyAlignment="1">
      <alignment horizontal="center" vertical="center"/>
    </xf>
    <xf numFmtId="165" fontId="6572" fillId="8" borderId="1" xfId="0" applyNumberFormat="1" applyFont="1" applyFill="1" applyBorder="1" applyAlignment="1">
      <alignment horizontal="center" vertical="center"/>
    </xf>
    <xf numFmtId="1" fontId="6573" fillId="8" borderId="1" xfId="0" applyNumberFormat="1" applyFont="1" applyFill="1" applyBorder="1" applyAlignment="1">
      <alignment horizontal="center" vertical="center"/>
    </xf>
    <xf numFmtId="165" fontId="6574" fillId="8" borderId="1" xfId="0" applyNumberFormat="1" applyFont="1" applyFill="1" applyBorder="1" applyAlignment="1">
      <alignment horizontal="center" vertical="center"/>
    </xf>
    <xf numFmtId="165" fontId="6575" fillId="8" borderId="1" xfId="0" applyNumberFormat="1" applyFont="1" applyFill="1" applyBorder="1" applyAlignment="1">
      <alignment horizontal="center" vertical="center"/>
    </xf>
    <xf numFmtId="1" fontId="6576" fillId="8" borderId="1" xfId="0" applyNumberFormat="1" applyFont="1" applyFill="1" applyBorder="1" applyAlignment="1">
      <alignment horizontal="center" vertical="center"/>
    </xf>
    <xf numFmtId="1" fontId="6577" fillId="8" borderId="1" xfId="0" applyNumberFormat="1" applyFont="1" applyFill="1" applyBorder="1" applyAlignment="1">
      <alignment horizontal="center" vertical="center"/>
    </xf>
    <xf numFmtId="1" fontId="6578" fillId="8" borderId="1" xfId="0" applyNumberFormat="1" applyFont="1" applyFill="1" applyBorder="1" applyAlignment="1">
      <alignment horizontal="center" vertical="center"/>
    </xf>
    <xf numFmtId="165" fontId="6579" fillId="8" borderId="1" xfId="0" applyNumberFormat="1" applyFont="1" applyFill="1" applyBorder="1" applyAlignment="1">
      <alignment horizontal="center" vertical="center"/>
    </xf>
    <xf numFmtId="164" fontId="6580" fillId="8" borderId="1" xfId="0" applyNumberFormat="1" applyFont="1" applyFill="1" applyBorder="1" applyAlignment="1">
      <alignment horizontal="center" vertical="center"/>
    </xf>
    <xf numFmtId="164" fontId="6581" fillId="8" borderId="1" xfId="0" applyNumberFormat="1" applyFont="1" applyFill="1" applyBorder="1" applyAlignment="1">
      <alignment horizontal="center" vertical="center"/>
    </xf>
    <xf numFmtId="1" fontId="6582" fillId="8" borderId="1" xfId="0" applyNumberFormat="1" applyFont="1" applyFill="1" applyBorder="1" applyAlignment="1">
      <alignment horizontal="center" vertical="center"/>
    </xf>
    <xf numFmtId="1" fontId="6583" fillId="8" borderId="1" xfId="0" applyNumberFormat="1" applyFont="1" applyFill="1" applyBorder="1" applyAlignment="1">
      <alignment horizontal="center" vertical="center"/>
    </xf>
    <xf numFmtId="1" fontId="6584" fillId="8" borderId="1" xfId="0" applyNumberFormat="1" applyFont="1" applyFill="1" applyBorder="1" applyAlignment="1">
      <alignment horizontal="center" vertical="center"/>
    </xf>
    <xf numFmtId="165" fontId="6585" fillId="8" borderId="1" xfId="0" applyNumberFormat="1" applyFont="1" applyFill="1" applyBorder="1" applyAlignment="1">
      <alignment horizontal="center" vertical="center"/>
    </xf>
    <xf numFmtId="1" fontId="6586" fillId="8" borderId="1" xfId="0" applyNumberFormat="1" applyFont="1" applyFill="1" applyBorder="1" applyAlignment="1">
      <alignment horizontal="center" vertical="center"/>
    </xf>
    <xf numFmtId="165" fontId="6587" fillId="8" borderId="1" xfId="0" applyNumberFormat="1" applyFont="1" applyFill="1" applyBorder="1" applyAlignment="1">
      <alignment horizontal="center" vertical="center"/>
    </xf>
    <xf numFmtId="1" fontId="6588" fillId="8" borderId="1" xfId="0" applyNumberFormat="1" applyFont="1" applyFill="1" applyBorder="1" applyAlignment="1">
      <alignment horizontal="center" vertical="center"/>
    </xf>
    <xf numFmtId="1" fontId="6589" fillId="8" borderId="1" xfId="0" applyNumberFormat="1" applyFont="1" applyFill="1" applyBorder="1" applyAlignment="1">
      <alignment horizontal="center" vertical="center"/>
    </xf>
    <xf numFmtId="1" fontId="6590" fillId="8" borderId="1" xfId="0" applyNumberFormat="1" applyFont="1" applyFill="1" applyBorder="1" applyAlignment="1">
      <alignment horizontal="center" vertical="center"/>
    </xf>
    <xf numFmtId="1" fontId="6591" fillId="8" borderId="1" xfId="0" applyNumberFormat="1" applyFont="1" applyFill="1" applyBorder="1" applyAlignment="1">
      <alignment horizontal="center" vertical="center"/>
    </xf>
    <xf numFmtId="165" fontId="6592" fillId="8" borderId="1" xfId="0" applyNumberFormat="1" applyFont="1" applyFill="1" applyBorder="1" applyAlignment="1">
      <alignment horizontal="center" vertical="center"/>
    </xf>
    <xf numFmtId="1" fontId="6593" fillId="8" borderId="1" xfId="0" applyNumberFormat="1" applyFont="1" applyFill="1" applyBorder="1" applyAlignment="1">
      <alignment horizontal="center" vertical="center"/>
    </xf>
    <xf numFmtId="165" fontId="6594" fillId="8" borderId="1" xfId="0" applyNumberFormat="1" applyFont="1" applyFill="1" applyBorder="1" applyAlignment="1">
      <alignment horizontal="center" vertical="center"/>
    </xf>
    <xf numFmtId="1" fontId="6595" fillId="8" borderId="1" xfId="0" applyNumberFormat="1" applyFont="1" applyFill="1" applyBorder="1" applyAlignment="1">
      <alignment horizontal="center" vertical="center"/>
    </xf>
    <xf numFmtId="165" fontId="6596" fillId="8" borderId="1" xfId="0" applyNumberFormat="1" applyFont="1" applyFill="1" applyBorder="1" applyAlignment="1">
      <alignment horizontal="center" vertical="center"/>
    </xf>
    <xf numFmtId="2" fontId="6597" fillId="8" borderId="1" xfId="0" applyNumberFormat="1" applyFont="1" applyFill="1" applyBorder="1" applyAlignment="1">
      <alignment horizontal="center" vertical="center"/>
    </xf>
    <xf numFmtId="2" fontId="6598" fillId="8" borderId="1" xfId="0" applyNumberFormat="1" applyFont="1" applyFill="1" applyBorder="1" applyAlignment="1">
      <alignment horizontal="center" vertical="center"/>
    </xf>
    <xf numFmtId="2" fontId="6599" fillId="8" borderId="1" xfId="0" applyNumberFormat="1" applyFont="1" applyFill="1" applyBorder="1" applyAlignment="1">
      <alignment horizontal="center" vertical="center"/>
    </xf>
    <xf numFmtId="2" fontId="6600" fillId="8" borderId="1" xfId="0" applyNumberFormat="1" applyFont="1" applyFill="1" applyBorder="1" applyAlignment="1">
      <alignment horizontal="center" vertical="center"/>
    </xf>
    <xf numFmtId="2" fontId="6601" fillId="8" borderId="1" xfId="0" applyNumberFormat="1" applyFont="1" applyFill="1" applyBorder="1" applyAlignment="1">
      <alignment horizontal="center" vertical="center"/>
    </xf>
    <xf numFmtId="2" fontId="6602" fillId="8" borderId="1" xfId="0" applyNumberFormat="1" applyFont="1" applyFill="1" applyBorder="1" applyAlignment="1">
      <alignment horizontal="center" vertical="center"/>
    </xf>
    <xf numFmtId="2" fontId="6603" fillId="8" borderId="1" xfId="0" applyNumberFormat="1" applyFont="1" applyFill="1" applyBorder="1" applyAlignment="1">
      <alignment horizontal="center" vertical="center"/>
    </xf>
    <xf numFmtId="2" fontId="6604" fillId="8" borderId="1" xfId="0" applyNumberFormat="1" applyFont="1" applyFill="1" applyBorder="1" applyAlignment="1">
      <alignment horizontal="center" vertical="center"/>
    </xf>
    <xf numFmtId="2" fontId="6605" fillId="8" borderId="1" xfId="0" applyNumberFormat="1" applyFont="1" applyFill="1" applyBorder="1" applyAlignment="1">
      <alignment horizontal="center" vertical="center"/>
    </xf>
    <xf numFmtId="2" fontId="6606" fillId="8" borderId="1" xfId="0" applyNumberFormat="1" applyFont="1" applyFill="1" applyBorder="1" applyAlignment="1">
      <alignment horizontal="center" vertical="center"/>
    </xf>
    <xf numFmtId="2" fontId="6607" fillId="8" borderId="1" xfId="0" applyNumberFormat="1" applyFont="1" applyFill="1" applyBorder="1" applyAlignment="1">
      <alignment horizontal="center" vertical="center"/>
    </xf>
    <xf numFmtId="2" fontId="6608" fillId="8" borderId="1" xfId="0" applyNumberFormat="1" applyFont="1" applyFill="1" applyBorder="1" applyAlignment="1">
      <alignment horizontal="center" vertical="center"/>
    </xf>
    <xf numFmtId="2" fontId="6609" fillId="8" borderId="1" xfId="0" applyNumberFormat="1" applyFont="1" applyFill="1" applyBorder="1" applyAlignment="1">
      <alignment horizontal="center" vertical="center"/>
    </xf>
    <xf numFmtId="2" fontId="6610" fillId="8" borderId="1" xfId="0" applyNumberFormat="1" applyFont="1" applyFill="1" applyBorder="1" applyAlignment="1">
      <alignment horizontal="center" vertical="center"/>
    </xf>
    <xf numFmtId="2" fontId="6611" fillId="8" borderId="1" xfId="0" applyNumberFormat="1" applyFont="1" applyFill="1" applyBorder="1" applyAlignment="1">
      <alignment horizontal="center" vertical="center"/>
    </xf>
    <xf numFmtId="2" fontId="6612" fillId="8" borderId="1" xfId="0" applyNumberFormat="1" applyFont="1" applyFill="1" applyBorder="1" applyAlignment="1">
      <alignment horizontal="center" vertical="center"/>
    </xf>
    <xf numFmtId="2" fontId="6613" fillId="8" borderId="1" xfId="0" applyNumberFormat="1" applyFont="1" applyFill="1" applyBorder="1" applyAlignment="1">
      <alignment horizontal="center" vertical="center"/>
    </xf>
    <xf numFmtId="2" fontId="6614" fillId="8" borderId="1" xfId="0" applyNumberFormat="1" applyFont="1" applyFill="1" applyBorder="1" applyAlignment="1">
      <alignment horizontal="center" vertical="center"/>
    </xf>
    <xf numFmtId="2" fontId="6615" fillId="8" borderId="1" xfId="0" applyNumberFormat="1" applyFont="1" applyFill="1" applyBorder="1" applyAlignment="1">
      <alignment horizontal="center" vertical="center"/>
    </xf>
    <xf numFmtId="2" fontId="6616" fillId="8" borderId="1" xfId="0" applyNumberFormat="1" applyFont="1" applyFill="1" applyBorder="1" applyAlignment="1">
      <alignment horizontal="center" vertical="center"/>
    </xf>
    <xf numFmtId="2" fontId="6617" fillId="8" borderId="1" xfId="0" applyNumberFormat="1" applyFont="1" applyFill="1" applyBorder="1" applyAlignment="1">
      <alignment horizontal="center" vertical="center"/>
    </xf>
    <xf numFmtId="2" fontId="6618" fillId="8" borderId="1" xfId="0" applyNumberFormat="1" applyFont="1" applyFill="1" applyBorder="1" applyAlignment="1">
      <alignment horizontal="center" vertical="center"/>
    </xf>
    <xf numFmtId="2" fontId="6619" fillId="8" borderId="1" xfId="0" applyNumberFormat="1" applyFont="1" applyFill="1" applyBorder="1" applyAlignment="1">
      <alignment horizontal="center" vertical="center"/>
    </xf>
    <xf numFmtId="2" fontId="6620" fillId="8" borderId="1" xfId="0" applyNumberFormat="1" applyFont="1" applyFill="1" applyBorder="1" applyAlignment="1">
      <alignment horizontal="center" vertical="center"/>
    </xf>
    <xf numFmtId="2" fontId="6621" fillId="8" borderId="1" xfId="0" applyNumberFormat="1" applyFont="1" applyFill="1" applyBorder="1" applyAlignment="1">
      <alignment horizontal="center" vertical="center"/>
    </xf>
    <xf numFmtId="2" fontId="6622" fillId="8" borderId="1" xfId="0" applyNumberFormat="1" applyFont="1" applyFill="1" applyBorder="1" applyAlignment="1">
      <alignment horizontal="center" vertical="center"/>
    </xf>
    <xf numFmtId="2" fontId="6623" fillId="8" borderId="1" xfId="0" applyNumberFormat="1" applyFont="1" applyFill="1" applyBorder="1" applyAlignment="1">
      <alignment horizontal="center" vertical="center"/>
    </xf>
    <xf numFmtId="2" fontId="6624" fillId="8" borderId="1" xfId="0" applyNumberFormat="1" applyFont="1" applyFill="1" applyBorder="1" applyAlignment="1">
      <alignment horizontal="center" vertical="center"/>
    </xf>
    <xf numFmtId="2" fontId="6625" fillId="8" borderId="1" xfId="0" applyNumberFormat="1" applyFont="1" applyFill="1" applyBorder="1" applyAlignment="1">
      <alignment horizontal="center" vertical="center"/>
    </xf>
    <xf numFmtId="2" fontId="6626" fillId="8" borderId="1" xfId="0" applyNumberFormat="1" applyFont="1" applyFill="1" applyBorder="1" applyAlignment="1">
      <alignment horizontal="center" vertical="center"/>
    </xf>
    <xf numFmtId="2" fontId="6627" fillId="8" borderId="1" xfId="0" applyNumberFormat="1" applyFont="1" applyFill="1" applyBorder="1" applyAlignment="1">
      <alignment horizontal="center" vertical="center"/>
    </xf>
    <xf numFmtId="2" fontId="6628" fillId="8" borderId="1" xfId="0" applyNumberFormat="1" applyFont="1" applyFill="1" applyBorder="1" applyAlignment="1">
      <alignment horizontal="center" vertical="center"/>
    </xf>
    <xf numFmtId="2" fontId="6629" fillId="8" borderId="1" xfId="0" applyNumberFormat="1" applyFont="1" applyFill="1" applyBorder="1" applyAlignment="1">
      <alignment horizontal="center" vertical="center"/>
    </xf>
    <xf numFmtId="2" fontId="6630" fillId="8" borderId="1" xfId="0" applyNumberFormat="1" applyFont="1" applyFill="1" applyBorder="1" applyAlignment="1">
      <alignment horizontal="center" vertical="center"/>
    </xf>
    <xf numFmtId="0" fontId="6631" fillId="7" borderId="1" xfId="0" applyNumberFormat="1" applyFont="1" applyFill="1" applyBorder="1" applyAlignment="1">
      <alignment horizontal="left" vertical="center"/>
    </xf>
    <xf numFmtId="0" fontId="6632" fillId="8" borderId="1" xfId="0" applyNumberFormat="1" applyFont="1" applyFill="1" applyBorder="1" applyAlignment="1">
      <alignment horizontal="center" vertical="center"/>
    </xf>
    <xf numFmtId="164" fontId="6633" fillId="8" borderId="1" xfId="0" applyNumberFormat="1" applyFont="1" applyFill="1" applyBorder="1" applyAlignment="1">
      <alignment horizontal="center" vertical="center"/>
    </xf>
    <xf numFmtId="1" fontId="6634" fillId="8" borderId="1" xfId="0" applyNumberFormat="1" applyFont="1" applyFill="1" applyBorder="1" applyAlignment="1">
      <alignment horizontal="center" vertical="center"/>
    </xf>
    <xf numFmtId="1" fontId="6635" fillId="8" borderId="1" xfId="0" applyNumberFormat="1" applyFont="1" applyFill="1" applyBorder="1" applyAlignment="1">
      <alignment horizontal="center" vertical="center"/>
    </xf>
    <xf numFmtId="1" fontId="6636" fillId="8" borderId="1" xfId="0" applyNumberFormat="1" applyFont="1" applyFill="1" applyBorder="1" applyAlignment="1">
      <alignment horizontal="center" vertical="center"/>
    </xf>
    <xf numFmtId="1" fontId="6637" fillId="8" borderId="1" xfId="0" applyNumberFormat="1" applyFont="1" applyFill="1" applyBorder="1" applyAlignment="1">
      <alignment horizontal="center" vertical="center"/>
    </xf>
    <xf numFmtId="1" fontId="6638" fillId="8" borderId="1" xfId="0" applyNumberFormat="1" applyFont="1" applyFill="1" applyBorder="1" applyAlignment="1">
      <alignment horizontal="center" vertical="center"/>
    </xf>
    <xf numFmtId="1" fontId="6639" fillId="8" borderId="1" xfId="0" applyNumberFormat="1" applyFont="1" applyFill="1" applyBorder="1" applyAlignment="1">
      <alignment horizontal="center" vertical="center"/>
    </xf>
    <xf numFmtId="1" fontId="6640" fillId="8" borderId="1" xfId="0" applyNumberFormat="1" applyFont="1" applyFill="1" applyBorder="1" applyAlignment="1">
      <alignment horizontal="center" vertical="center"/>
    </xf>
    <xf numFmtId="0" fontId="6641" fillId="8" borderId="1" xfId="0" applyNumberFormat="1" applyFont="1" applyFill="1" applyBorder="1" applyAlignment="1">
      <alignment horizontal="center" vertical="center"/>
    </xf>
    <xf numFmtId="0" fontId="6642" fillId="8" borderId="1" xfId="0" applyNumberFormat="1" applyFont="1" applyFill="1" applyBorder="1" applyAlignment="1">
      <alignment horizontal="center" vertical="center"/>
    </xf>
    <xf numFmtId="1" fontId="6643" fillId="8" borderId="1" xfId="0" applyNumberFormat="1" applyFont="1" applyFill="1" applyBorder="1" applyAlignment="1">
      <alignment horizontal="center" vertical="center"/>
    </xf>
    <xf numFmtId="1" fontId="6644" fillId="8" borderId="1" xfId="0" applyNumberFormat="1" applyFont="1" applyFill="1" applyBorder="1" applyAlignment="1">
      <alignment horizontal="center" vertical="center"/>
    </xf>
    <xf numFmtId="1" fontId="6645" fillId="8" borderId="1" xfId="0" applyNumberFormat="1" applyFont="1" applyFill="1" applyBorder="1" applyAlignment="1">
      <alignment horizontal="center" vertical="center"/>
    </xf>
    <xf numFmtId="165" fontId="6646" fillId="8" borderId="1" xfId="0" applyNumberFormat="1" applyFont="1" applyFill="1" applyBorder="1" applyAlignment="1">
      <alignment horizontal="center" vertical="center"/>
    </xf>
    <xf numFmtId="1" fontId="6647" fillId="8" borderId="1" xfId="0" applyNumberFormat="1" applyFont="1" applyFill="1" applyBorder="1" applyAlignment="1">
      <alignment horizontal="center" vertical="center"/>
    </xf>
    <xf numFmtId="165" fontId="6648" fillId="8" borderId="1" xfId="0" applyNumberFormat="1" applyFont="1" applyFill="1" applyBorder="1" applyAlignment="1">
      <alignment horizontal="center" vertical="center"/>
    </xf>
    <xf numFmtId="1" fontId="6649" fillId="8" borderId="1" xfId="0" applyNumberFormat="1" applyFont="1" applyFill="1" applyBorder="1" applyAlignment="1">
      <alignment horizontal="center" vertical="center"/>
    </xf>
    <xf numFmtId="165" fontId="6650" fillId="8" borderId="1" xfId="0" applyNumberFormat="1" applyFont="1" applyFill="1" applyBorder="1" applyAlignment="1">
      <alignment horizontal="center" vertical="center"/>
    </xf>
    <xf numFmtId="1" fontId="6651" fillId="8" borderId="1" xfId="0" applyNumberFormat="1" applyFont="1" applyFill="1" applyBorder="1" applyAlignment="1">
      <alignment horizontal="center" vertical="center"/>
    </xf>
    <xf numFmtId="165" fontId="6652" fillId="8" borderId="1" xfId="0" applyNumberFormat="1" applyFont="1" applyFill="1" applyBorder="1" applyAlignment="1">
      <alignment horizontal="center" vertical="center"/>
    </xf>
    <xf numFmtId="165" fontId="6653" fillId="8" borderId="1" xfId="0" applyNumberFormat="1" applyFont="1" applyFill="1" applyBorder="1" applyAlignment="1">
      <alignment horizontal="center" vertical="center"/>
    </xf>
    <xf numFmtId="1" fontId="6654" fillId="8" borderId="1" xfId="0" applyNumberFormat="1" applyFont="1" applyFill="1" applyBorder="1" applyAlignment="1">
      <alignment horizontal="center" vertical="center"/>
    </xf>
    <xf numFmtId="1" fontId="6655" fillId="8" borderId="1" xfId="0" applyNumberFormat="1" applyFont="1" applyFill="1" applyBorder="1" applyAlignment="1">
      <alignment horizontal="center" vertical="center"/>
    </xf>
    <xf numFmtId="1" fontId="6656" fillId="8" borderId="1" xfId="0" applyNumberFormat="1" applyFont="1" applyFill="1" applyBorder="1" applyAlignment="1">
      <alignment horizontal="center" vertical="center"/>
    </xf>
    <xf numFmtId="165" fontId="6657" fillId="8" borderId="1" xfId="0" applyNumberFormat="1" applyFont="1" applyFill="1" applyBorder="1" applyAlignment="1">
      <alignment horizontal="center" vertical="center"/>
    </xf>
    <xf numFmtId="164" fontId="6658" fillId="8" borderId="1" xfId="0" applyNumberFormat="1" applyFont="1" applyFill="1" applyBorder="1" applyAlignment="1">
      <alignment horizontal="center" vertical="center"/>
    </xf>
    <xf numFmtId="164" fontId="6659" fillId="8" borderId="1" xfId="0" applyNumberFormat="1" applyFont="1" applyFill="1" applyBorder="1" applyAlignment="1">
      <alignment horizontal="center" vertical="center"/>
    </xf>
    <xf numFmtId="1" fontId="6660" fillId="8" borderId="1" xfId="0" applyNumberFormat="1" applyFont="1" applyFill="1" applyBorder="1" applyAlignment="1">
      <alignment horizontal="center" vertical="center"/>
    </xf>
    <xf numFmtId="1" fontId="6661" fillId="8" borderId="1" xfId="0" applyNumberFormat="1" applyFont="1" applyFill="1" applyBorder="1" applyAlignment="1">
      <alignment horizontal="center" vertical="center"/>
    </xf>
    <xf numFmtId="1" fontId="6662" fillId="8" borderId="1" xfId="0" applyNumberFormat="1" applyFont="1" applyFill="1" applyBorder="1" applyAlignment="1">
      <alignment horizontal="center" vertical="center"/>
    </xf>
    <xf numFmtId="165" fontId="6663" fillId="8" borderId="1" xfId="0" applyNumberFormat="1" applyFont="1" applyFill="1" applyBorder="1" applyAlignment="1">
      <alignment horizontal="center" vertical="center"/>
    </xf>
    <xf numFmtId="1" fontId="6664" fillId="8" borderId="1" xfId="0" applyNumberFormat="1" applyFont="1" applyFill="1" applyBorder="1" applyAlignment="1">
      <alignment horizontal="center" vertical="center"/>
    </xf>
    <xf numFmtId="165" fontId="6665" fillId="8" borderId="1" xfId="0" applyNumberFormat="1" applyFont="1" applyFill="1" applyBorder="1" applyAlignment="1">
      <alignment horizontal="center" vertical="center"/>
    </xf>
    <xf numFmtId="1" fontId="6666" fillId="8" borderId="1" xfId="0" applyNumberFormat="1" applyFont="1" applyFill="1" applyBorder="1" applyAlignment="1">
      <alignment horizontal="center" vertical="center"/>
    </xf>
    <xf numFmtId="1" fontId="6667" fillId="8" borderId="1" xfId="0" applyNumberFormat="1" applyFont="1" applyFill="1" applyBorder="1" applyAlignment="1">
      <alignment horizontal="center" vertical="center"/>
    </xf>
    <xf numFmtId="1" fontId="6668" fillId="8" borderId="1" xfId="0" applyNumberFormat="1" applyFont="1" applyFill="1" applyBorder="1" applyAlignment="1">
      <alignment horizontal="center" vertical="center"/>
    </xf>
    <xf numFmtId="1" fontId="6669" fillId="8" borderId="1" xfId="0" applyNumberFormat="1" applyFont="1" applyFill="1" applyBorder="1" applyAlignment="1">
      <alignment horizontal="center" vertical="center"/>
    </xf>
    <xf numFmtId="165" fontId="6670" fillId="8" borderId="1" xfId="0" applyNumberFormat="1" applyFont="1" applyFill="1" applyBorder="1" applyAlignment="1">
      <alignment horizontal="center" vertical="center"/>
    </xf>
    <xf numFmtId="1" fontId="6671" fillId="8" borderId="1" xfId="0" applyNumberFormat="1" applyFont="1" applyFill="1" applyBorder="1" applyAlignment="1">
      <alignment horizontal="center" vertical="center"/>
    </xf>
    <xf numFmtId="165" fontId="6672" fillId="8" borderId="1" xfId="0" applyNumberFormat="1" applyFont="1" applyFill="1" applyBorder="1" applyAlignment="1">
      <alignment horizontal="center" vertical="center"/>
    </xf>
    <xf numFmtId="1" fontId="6673" fillId="8" borderId="1" xfId="0" applyNumberFormat="1" applyFont="1" applyFill="1" applyBorder="1" applyAlignment="1">
      <alignment horizontal="center" vertical="center"/>
    </xf>
    <xf numFmtId="165" fontId="6674" fillId="8" borderId="1" xfId="0" applyNumberFormat="1" applyFont="1" applyFill="1" applyBorder="1" applyAlignment="1">
      <alignment horizontal="center" vertical="center"/>
    </xf>
    <xf numFmtId="2" fontId="6675" fillId="8" borderId="1" xfId="0" applyNumberFormat="1" applyFont="1" applyFill="1" applyBorder="1" applyAlignment="1">
      <alignment horizontal="center" vertical="center"/>
    </xf>
    <xf numFmtId="2" fontId="6676" fillId="8" borderId="1" xfId="0" applyNumberFormat="1" applyFont="1" applyFill="1" applyBorder="1" applyAlignment="1">
      <alignment horizontal="center" vertical="center"/>
    </xf>
    <xf numFmtId="2" fontId="6677" fillId="8" borderId="1" xfId="0" applyNumberFormat="1" applyFont="1" applyFill="1" applyBorder="1" applyAlignment="1">
      <alignment horizontal="center" vertical="center"/>
    </xf>
    <xf numFmtId="2" fontId="6678" fillId="8" borderId="1" xfId="0" applyNumberFormat="1" applyFont="1" applyFill="1" applyBorder="1" applyAlignment="1">
      <alignment horizontal="center" vertical="center"/>
    </xf>
    <xf numFmtId="2" fontId="6679" fillId="8" borderId="1" xfId="0" applyNumberFormat="1" applyFont="1" applyFill="1" applyBorder="1" applyAlignment="1">
      <alignment horizontal="center" vertical="center"/>
    </xf>
    <xf numFmtId="2" fontId="6680" fillId="8" borderId="1" xfId="0" applyNumberFormat="1" applyFont="1" applyFill="1" applyBorder="1" applyAlignment="1">
      <alignment horizontal="center" vertical="center"/>
    </xf>
    <xf numFmtId="2" fontId="6681" fillId="8" borderId="1" xfId="0" applyNumberFormat="1" applyFont="1" applyFill="1" applyBorder="1" applyAlignment="1">
      <alignment horizontal="center" vertical="center"/>
    </xf>
    <xf numFmtId="2" fontId="6682" fillId="8" borderId="1" xfId="0" applyNumberFormat="1" applyFont="1" applyFill="1" applyBorder="1" applyAlignment="1">
      <alignment horizontal="center" vertical="center"/>
    </xf>
    <xf numFmtId="2" fontId="6683" fillId="8" borderId="1" xfId="0" applyNumberFormat="1" applyFont="1" applyFill="1" applyBorder="1" applyAlignment="1">
      <alignment horizontal="center" vertical="center"/>
    </xf>
    <xf numFmtId="2" fontId="6684" fillId="8" borderId="1" xfId="0" applyNumberFormat="1" applyFont="1" applyFill="1" applyBorder="1" applyAlignment="1">
      <alignment horizontal="center" vertical="center"/>
    </xf>
    <xf numFmtId="2" fontId="6685" fillId="8" borderId="1" xfId="0" applyNumberFormat="1" applyFont="1" applyFill="1" applyBorder="1" applyAlignment="1">
      <alignment horizontal="center" vertical="center"/>
    </xf>
    <xf numFmtId="2" fontId="6686" fillId="8" borderId="1" xfId="0" applyNumberFormat="1" applyFont="1" applyFill="1" applyBorder="1" applyAlignment="1">
      <alignment horizontal="center" vertical="center"/>
    </xf>
    <xf numFmtId="2" fontId="6687" fillId="8" borderId="1" xfId="0" applyNumberFormat="1" applyFont="1" applyFill="1" applyBorder="1" applyAlignment="1">
      <alignment horizontal="center" vertical="center"/>
    </xf>
    <xf numFmtId="2" fontId="6688" fillId="8" borderId="1" xfId="0" applyNumberFormat="1" applyFont="1" applyFill="1" applyBorder="1" applyAlignment="1">
      <alignment horizontal="center" vertical="center"/>
    </xf>
    <xf numFmtId="2" fontId="6689" fillId="8" borderId="1" xfId="0" applyNumberFormat="1" applyFont="1" applyFill="1" applyBorder="1" applyAlignment="1">
      <alignment horizontal="center" vertical="center"/>
    </xf>
    <xf numFmtId="2" fontId="6690" fillId="8" borderId="1" xfId="0" applyNumberFormat="1" applyFont="1" applyFill="1" applyBorder="1" applyAlignment="1">
      <alignment horizontal="center" vertical="center"/>
    </xf>
    <xf numFmtId="2" fontId="6691" fillId="8" borderId="1" xfId="0" applyNumberFormat="1" applyFont="1" applyFill="1" applyBorder="1" applyAlignment="1">
      <alignment horizontal="center" vertical="center"/>
    </xf>
    <xf numFmtId="2" fontId="6692" fillId="8" borderId="1" xfId="0" applyNumberFormat="1" applyFont="1" applyFill="1" applyBorder="1" applyAlignment="1">
      <alignment horizontal="center" vertical="center"/>
    </xf>
    <xf numFmtId="2" fontId="6693" fillId="8" borderId="1" xfId="0" applyNumberFormat="1" applyFont="1" applyFill="1" applyBorder="1" applyAlignment="1">
      <alignment horizontal="center" vertical="center"/>
    </xf>
    <xf numFmtId="2" fontId="6694" fillId="8" borderId="1" xfId="0" applyNumberFormat="1" applyFont="1" applyFill="1" applyBorder="1" applyAlignment="1">
      <alignment horizontal="center" vertical="center"/>
    </xf>
    <xf numFmtId="2" fontId="6695" fillId="8" borderId="1" xfId="0" applyNumberFormat="1" applyFont="1" applyFill="1" applyBorder="1" applyAlignment="1">
      <alignment horizontal="center" vertical="center"/>
    </xf>
    <xf numFmtId="2" fontId="6696" fillId="8" borderId="1" xfId="0" applyNumberFormat="1" applyFont="1" applyFill="1" applyBorder="1" applyAlignment="1">
      <alignment horizontal="center" vertical="center"/>
    </xf>
    <xf numFmtId="2" fontId="6697" fillId="8" borderId="1" xfId="0" applyNumberFormat="1" applyFont="1" applyFill="1" applyBorder="1" applyAlignment="1">
      <alignment horizontal="center" vertical="center"/>
    </xf>
    <xf numFmtId="2" fontId="6698" fillId="8" borderId="1" xfId="0" applyNumberFormat="1" applyFont="1" applyFill="1" applyBorder="1" applyAlignment="1">
      <alignment horizontal="center" vertical="center"/>
    </xf>
    <xf numFmtId="2" fontId="6699" fillId="8" borderId="1" xfId="0" applyNumberFormat="1" applyFont="1" applyFill="1" applyBorder="1" applyAlignment="1">
      <alignment horizontal="center" vertical="center"/>
    </xf>
    <xf numFmtId="2" fontId="6700" fillId="8" borderId="1" xfId="0" applyNumberFormat="1" applyFont="1" applyFill="1" applyBorder="1" applyAlignment="1">
      <alignment horizontal="center" vertical="center"/>
    </xf>
    <xf numFmtId="2" fontId="6701" fillId="8" borderId="1" xfId="0" applyNumberFormat="1" applyFont="1" applyFill="1" applyBorder="1" applyAlignment="1">
      <alignment horizontal="center" vertical="center"/>
    </xf>
    <xf numFmtId="2" fontId="6702" fillId="8" borderId="1" xfId="0" applyNumberFormat="1" applyFont="1" applyFill="1" applyBorder="1" applyAlignment="1">
      <alignment horizontal="center" vertical="center"/>
    </xf>
    <xf numFmtId="2" fontId="6703" fillId="8" borderId="1" xfId="0" applyNumberFormat="1" applyFont="1" applyFill="1" applyBorder="1" applyAlignment="1">
      <alignment horizontal="center" vertical="center"/>
    </xf>
    <xf numFmtId="2" fontId="6704" fillId="8" borderId="1" xfId="0" applyNumberFormat="1" applyFont="1" applyFill="1" applyBorder="1" applyAlignment="1">
      <alignment horizontal="center" vertical="center"/>
    </xf>
    <xf numFmtId="2" fontId="6705" fillId="8" borderId="1" xfId="0" applyNumberFormat="1" applyFont="1" applyFill="1" applyBorder="1" applyAlignment="1">
      <alignment horizontal="center" vertical="center"/>
    </xf>
    <xf numFmtId="2" fontId="6706" fillId="8" borderId="1" xfId="0" applyNumberFormat="1" applyFont="1" applyFill="1" applyBorder="1" applyAlignment="1">
      <alignment horizontal="center" vertical="center"/>
    </xf>
    <xf numFmtId="2" fontId="6707" fillId="8" borderId="1" xfId="0" applyNumberFormat="1" applyFont="1" applyFill="1" applyBorder="1" applyAlignment="1">
      <alignment horizontal="center" vertical="center"/>
    </xf>
    <xf numFmtId="2" fontId="6708" fillId="8" borderId="1" xfId="0" applyNumberFormat="1" applyFont="1" applyFill="1" applyBorder="1" applyAlignment="1">
      <alignment horizontal="center" vertical="center"/>
    </xf>
    <xf numFmtId="0" fontId="6709" fillId="7" borderId="1" xfId="0" applyNumberFormat="1" applyFont="1" applyFill="1" applyBorder="1" applyAlignment="1">
      <alignment horizontal="left" vertical="center"/>
    </xf>
    <xf numFmtId="0" fontId="6710" fillId="8" borderId="1" xfId="0" applyNumberFormat="1" applyFont="1" applyFill="1" applyBorder="1" applyAlignment="1">
      <alignment horizontal="center" vertical="center"/>
    </xf>
    <xf numFmtId="164" fontId="6711" fillId="8" borderId="1" xfId="0" applyNumberFormat="1" applyFont="1" applyFill="1" applyBorder="1" applyAlignment="1">
      <alignment horizontal="center" vertical="center"/>
    </xf>
    <xf numFmtId="1" fontId="6712" fillId="8" borderId="1" xfId="0" applyNumberFormat="1" applyFont="1" applyFill="1" applyBorder="1" applyAlignment="1">
      <alignment horizontal="center" vertical="center"/>
    </xf>
    <xf numFmtId="1" fontId="6713" fillId="8" borderId="1" xfId="0" applyNumberFormat="1" applyFont="1" applyFill="1" applyBorder="1" applyAlignment="1">
      <alignment horizontal="center" vertical="center"/>
    </xf>
    <xf numFmtId="1" fontId="6714" fillId="8" borderId="1" xfId="0" applyNumberFormat="1" applyFont="1" applyFill="1" applyBorder="1" applyAlignment="1">
      <alignment horizontal="center" vertical="center"/>
    </xf>
    <xf numFmtId="1" fontId="6715" fillId="8" borderId="1" xfId="0" applyNumberFormat="1" applyFont="1" applyFill="1" applyBorder="1" applyAlignment="1">
      <alignment horizontal="center" vertical="center"/>
    </xf>
    <xf numFmtId="1" fontId="6716" fillId="8" borderId="1" xfId="0" applyNumberFormat="1" applyFont="1" applyFill="1" applyBorder="1" applyAlignment="1">
      <alignment horizontal="center" vertical="center"/>
    </xf>
    <xf numFmtId="1" fontId="6717" fillId="8" borderId="1" xfId="0" applyNumberFormat="1" applyFont="1" applyFill="1" applyBorder="1" applyAlignment="1">
      <alignment horizontal="center" vertical="center"/>
    </xf>
    <xf numFmtId="1" fontId="6718" fillId="8" borderId="1" xfId="0" applyNumberFormat="1" applyFont="1" applyFill="1" applyBorder="1" applyAlignment="1">
      <alignment horizontal="center" vertical="center"/>
    </xf>
    <xf numFmtId="0" fontId="6719" fillId="8" borderId="1" xfId="0" applyNumberFormat="1" applyFont="1" applyFill="1" applyBorder="1" applyAlignment="1">
      <alignment horizontal="center" vertical="center"/>
    </xf>
    <xf numFmtId="0" fontId="6720" fillId="8" borderId="1" xfId="0" applyNumberFormat="1" applyFont="1" applyFill="1" applyBorder="1" applyAlignment="1">
      <alignment horizontal="center" vertical="center"/>
    </xf>
    <xf numFmtId="1" fontId="6721" fillId="8" borderId="1" xfId="0" applyNumberFormat="1" applyFont="1" applyFill="1" applyBorder="1" applyAlignment="1">
      <alignment horizontal="center" vertical="center"/>
    </xf>
    <xf numFmtId="1" fontId="6722" fillId="8" borderId="1" xfId="0" applyNumberFormat="1" applyFont="1" applyFill="1" applyBorder="1" applyAlignment="1">
      <alignment horizontal="center" vertical="center"/>
    </xf>
    <xf numFmtId="1" fontId="6723" fillId="8" borderId="1" xfId="0" applyNumberFormat="1" applyFont="1" applyFill="1" applyBorder="1" applyAlignment="1">
      <alignment horizontal="center" vertical="center"/>
    </xf>
    <xf numFmtId="165" fontId="6724" fillId="8" borderId="1" xfId="0" applyNumberFormat="1" applyFont="1" applyFill="1" applyBorder="1" applyAlignment="1">
      <alignment horizontal="center" vertical="center"/>
    </xf>
    <xf numFmtId="1" fontId="6725" fillId="8" borderId="1" xfId="0" applyNumberFormat="1" applyFont="1" applyFill="1" applyBorder="1" applyAlignment="1">
      <alignment horizontal="center" vertical="center"/>
    </xf>
    <xf numFmtId="165" fontId="6726" fillId="8" borderId="1" xfId="0" applyNumberFormat="1" applyFont="1" applyFill="1" applyBorder="1" applyAlignment="1">
      <alignment horizontal="center" vertical="center"/>
    </xf>
    <xf numFmtId="1" fontId="6727" fillId="8" borderId="1" xfId="0" applyNumberFormat="1" applyFont="1" applyFill="1" applyBorder="1" applyAlignment="1">
      <alignment horizontal="center" vertical="center"/>
    </xf>
    <xf numFmtId="165" fontId="6728" fillId="8" borderId="1" xfId="0" applyNumberFormat="1" applyFont="1" applyFill="1" applyBorder="1" applyAlignment="1">
      <alignment horizontal="center" vertical="center"/>
    </xf>
    <xf numFmtId="1" fontId="6729" fillId="8" borderId="1" xfId="0" applyNumberFormat="1" applyFont="1" applyFill="1" applyBorder="1" applyAlignment="1">
      <alignment horizontal="center" vertical="center"/>
    </xf>
    <xf numFmtId="165" fontId="6730" fillId="8" borderId="1" xfId="0" applyNumberFormat="1" applyFont="1" applyFill="1" applyBorder="1" applyAlignment="1">
      <alignment horizontal="center" vertical="center"/>
    </xf>
    <xf numFmtId="165" fontId="6731" fillId="8" borderId="1" xfId="0" applyNumberFormat="1" applyFont="1" applyFill="1" applyBorder="1" applyAlignment="1">
      <alignment horizontal="center" vertical="center"/>
    </xf>
    <xf numFmtId="1" fontId="6732" fillId="8" borderId="1" xfId="0" applyNumberFormat="1" applyFont="1" applyFill="1" applyBorder="1" applyAlignment="1">
      <alignment horizontal="center" vertical="center"/>
    </xf>
    <xf numFmtId="1" fontId="6733" fillId="8" borderId="1" xfId="0" applyNumberFormat="1" applyFont="1" applyFill="1" applyBorder="1" applyAlignment="1">
      <alignment horizontal="center" vertical="center"/>
    </xf>
    <xf numFmtId="1" fontId="6734" fillId="8" borderId="1" xfId="0" applyNumberFormat="1" applyFont="1" applyFill="1" applyBorder="1" applyAlignment="1">
      <alignment horizontal="center" vertical="center"/>
    </xf>
    <xf numFmtId="165" fontId="6735" fillId="8" borderId="1" xfId="0" applyNumberFormat="1" applyFont="1" applyFill="1" applyBorder="1" applyAlignment="1">
      <alignment horizontal="center" vertical="center"/>
    </xf>
    <xf numFmtId="164" fontId="6736" fillId="8" borderId="1" xfId="0" applyNumberFormat="1" applyFont="1" applyFill="1" applyBorder="1" applyAlignment="1">
      <alignment horizontal="center" vertical="center"/>
    </xf>
    <xf numFmtId="164" fontId="6737" fillId="8" borderId="1" xfId="0" applyNumberFormat="1" applyFont="1" applyFill="1" applyBorder="1" applyAlignment="1">
      <alignment horizontal="center" vertical="center"/>
    </xf>
    <xf numFmtId="1" fontId="6738" fillId="8" borderId="1" xfId="0" applyNumberFormat="1" applyFont="1" applyFill="1" applyBorder="1" applyAlignment="1">
      <alignment horizontal="center" vertical="center"/>
    </xf>
    <xf numFmtId="1" fontId="6739" fillId="8" borderId="1" xfId="0" applyNumberFormat="1" applyFont="1" applyFill="1" applyBorder="1" applyAlignment="1">
      <alignment horizontal="center" vertical="center"/>
    </xf>
    <xf numFmtId="1" fontId="6740" fillId="8" borderId="1" xfId="0" applyNumberFormat="1" applyFont="1" applyFill="1" applyBorder="1" applyAlignment="1">
      <alignment horizontal="center" vertical="center"/>
    </xf>
    <xf numFmtId="165" fontId="6741" fillId="8" borderId="1" xfId="0" applyNumberFormat="1" applyFont="1" applyFill="1" applyBorder="1" applyAlignment="1">
      <alignment horizontal="center" vertical="center"/>
    </xf>
    <xf numFmtId="1" fontId="6742" fillId="8" borderId="1" xfId="0" applyNumberFormat="1" applyFont="1" applyFill="1" applyBorder="1" applyAlignment="1">
      <alignment horizontal="center" vertical="center"/>
    </xf>
    <xf numFmtId="165" fontId="6743" fillId="8" borderId="1" xfId="0" applyNumberFormat="1" applyFont="1" applyFill="1" applyBorder="1" applyAlignment="1">
      <alignment horizontal="center" vertical="center"/>
    </xf>
    <xf numFmtId="1" fontId="6744" fillId="8" borderId="1" xfId="0" applyNumberFormat="1" applyFont="1" applyFill="1" applyBorder="1" applyAlignment="1">
      <alignment horizontal="center" vertical="center"/>
    </xf>
    <xf numFmtId="1" fontId="6745" fillId="8" borderId="1" xfId="0" applyNumberFormat="1" applyFont="1" applyFill="1" applyBorder="1" applyAlignment="1">
      <alignment horizontal="center" vertical="center"/>
    </xf>
    <xf numFmtId="1" fontId="6746" fillId="8" borderId="1" xfId="0" applyNumberFormat="1" applyFont="1" applyFill="1" applyBorder="1" applyAlignment="1">
      <alignment horizontal="center" vertical="center"/>
    </xf>
    <xf numFmtId="1" fontId="6747" fillId="8" borderId="1" xfId="0" applyNumberFormat="1" applyFont="1" applyFill="1" applyBorder="1" applyAlignment="1">
      <alignment horizontal="center" vertical="center"/>
    </xf>
    <xf numFmtId="165" fontId="6748" fillId="8" borderId="1" xfId="0" applyNumberFormat="1" applyFont="1" applyFill="1" applyBorder="1" applyAlignment="1">
      <alignment horizontal="center" vertical="center"/>
    </xf>
    <xf numFmtId="1" fontId="6749" fillId="8" borderId="1" xfId="0" applyNumberFormat="1" applyFont="1" applyFill="1" applyBorder="1" applyAlignment="1">
      <alignment horizontal="center" vertical="center"/>
    </xf>
    <xf numFmtId="165" fontId="6750" fillId="8" borderId="1" xfId="0" applyNumberFormat="1" applyFont="1" applyFill="1" applyBorder="1" applyAlignment="1">
      <alignment horizontal="center" vertical="center"/>
    </xf>
    <xf numFmtId="1" fontId="6751" fillId="8" borderId="1" xfId="0" applyNumberFormat="1" applyFont="1" applyFill="1" applyBorder="1" applyAlignment="1">
      <alignment horizontal="center" vertical="center"/>
    </xf>
    <xf numFmtId="165" fontId="6752" fillId="8" borderId="1" xfId="0" applyNumberFormat="1" applyFont="1" applyFill="1" applyBorder="1" applyAlignment="1">
      <alignment horizontal="center" vertical="center"/>
    </xf>
    <xf numFmtId="2" fontId="6753" fillId="8" borderId="1" xfId="0" applyNumberFormat="1" applyFont="1" applyFill="1" applyBorder="1" applyAlignment="1">
      <alignment horizontal="center" vertical="center"/>
    </xf>
    <xf numFmtId="2" fontId="6754" fillId="8" borderId="1" xfId="0" applyNumberFormat="1" applyFont="1" applyFill="1" applyBorder="1" applyAlignment="1">
      <alignment horizontal="center" vertical="center"/>
    </xf>
    <xf numFmtId="2" fontId="6755" fillId="8" borderId="1" xfId="0" applyNumberFormat="1" applyFont="1" applyFill="1" applyBorder="1" applyAlignment="1">
      <alignment horizontal="center" vertical="center"/>
    </xf>
    <xf numFmtId="2" fontId="6756" fillId="8" borderId="1" xfId="0" applyNumberFormat="1" applyFont="1" applyFill="1" applyBorder="1" applyAlignment="1">
      <alignment horizontal="center" vertical="center"/>
    </xf>
    <xf numFmtId="2" fontId="6757" fillId="8" borderId="1" xfId="0" applyNumberFormat="1" applyFont="1" applyFill="1" applyBorder="1" applyAlignment="1">
      <alignment horizontal="center" vertical="center"/>
    </xf>
    <xf numFmtId="2" fontId="6758" fillId="8" borderId="1" xfId="0" applyNumberFormat="1" applyFont="1" applyFill="1" applyBorder="1" applyAlignment="1">
      <alignment horizontal="center" vertical="center"/>
    </xf>
    <xf numFmtId="2" fontId="6759" fillId="8" borderId="1" xfId="0" applyNumberFormat="1" applyFont="1" applyFill="1" applyBorder="1" applyAlignment="1">
      <alignment horizontal="center" vertical="center"/>
    </xf>
    <xf numFmtId="2" fontId="6760" fillId="8" borderId="1" xfId="0" applyNumberFormat="1" applyFont="1" applyFill="1" applyBorder="1" applyAlignment="1">
      <alignment horizontal="center" vertical="center"/>
    </xf>
    <xf numFmtId="2" fontId="6761" fillId="8" borderId="1" xfId="0" applyNumberFormat="1" applyFont="1" applyFill="1" applyBorder="1" applyAlignment="1">
      <alignment horizontal="center" vertical="center"/>
    </xf>
    <xf numFmtId="2" fontId="6762" fillId="8" borderId="1" xfId="0" applyNumberFormat="1" applyFont="1" applyFill="1" applyBorder="1" applyAlignment="1">
      <alignment horizontal="center" vertical="center"/>
    </xf>
    <xf numFmtId="2" fontId="6763" fillId="8" borderId="1" xfId="0" applyNumberFormat="1" applyFont="1" applyFill="1" applyBorder="1" applyAlignment="1">
      <alignment horizontal="center" vertical="center"/>
    </xf>
    <xf numFmtId="2" fontId="6764" fillId="8" borderId="1" xfId="0" applyNumberFormat="1" applyFont="1" applyFill="1" applyBorder="1" applyAlignment="1">
      <alignment horizontal="center" vertical="center"/>
    </xf>
    <xf numFmtId="2" fontId="6765" fillId="8" borderId="1" xfId="0" applyNumberFormat="1" applyFont="1" applyFill="1" applyBorder="1" applyAlignment="1">
      <alignment horizontal="center" vertical="center"/>
    </xf>
    <xf numFmtId="2" fontId="6766" fillId="8" borderId="1" xfId="0" applyNumberFormat="1" applyFont="1" applyFill="1" applyBorder="1" applyAlignment="1">
      <alignment horizontal="center" vertical="center"/>
    </xf>
    <xf numFmtId="2" fontId="6767" fillId="8" borderId="1" xfId="0" applyNumberFormat="1" applyFont="1" applyFill="1" applyBorder="1" applyAlignment="1">
      <alignment horizontal="center" vertical="center"/>
    </xf>
    <xf numFmtId="2" fontId="6768" fillId="8" borderId="1" xfId="0" applyNumberFormat="1" applyFont="1" applyFill="1" applyBorder="1" applyAlignment="1">
      <alignment horizontal="center" vertical="center"/>
    </xf>
    <xf numFmtId="2" fontId="6769" fillId="8" borderId="1" xfId="0" applyNumberFormat="1" applyFont="1" applyFill="1" applyBorder="1" applyAlignment="1">
      <alignment horizontal="center" vertical="center"/>
    </xf>
    <xf numFmtId="2" fontId="6770" fillId="8" borderId="1" xfId="0" applyNumberFormat="1" applyFont="1" applyFill="1" applyBorder="1" applyAlignment="1">
      <alignment horizontal="center" vertical="center"/>
    </xf>
    <xf numFmtId="2" fontId="6771" fillId="8" borderId="1" xfId="0" applyNumberFormat="1" applyFont="1" applyFill="1" applyBorder="1" applyAlignment="1">
      <alignment horizontal="center" vertical="center"/>
    </xf>
    <xf numFmtId="2" fontId="6772" fillId="8" borderId="1" xfId="0" applyNumberFormat="1" applyFont="1" applyFill="1" applyBorder="1" applyAlignment="1">
      <alignment horizontal="center" vertical="center"/>
    </xf>
    <xf numFmtId="2" fontId="6773" fillId="8" borderId="1" xfId="0" applyNumberFormat="1" applyFont="1" applyFill="1" applyBorder="1" applyAlignment="1">
      <alignment horizontal="center" vertical="center"/>
    </xf>
    <xf numFmtId="2" fontId="6774" fillId="8" borderId="1" xfId="0" applyNumberFormat="1" applyFont="1" applyFill="1" applyBorder="1" applyAlignment="1">
      <alignment horizontal="center" vertical="center"/>
    </xf>
    <xf numFmtId="2" fontId="6775" fillId="8" borderId="1" xfId="0" applyNumberFormat="1" applyFont="1" applyFill="1" applyBorder="1" applyAlignment="1">
      <alignment horizontal="center" vertical="center"/>
    </xf>
    <xf numFmtId="2" fontId="6776" fillId="8" borderId="1" xfId="0" applyNumberFormat="1" applyFont="1" applyFill="1" applyBorder="1" applyAlignment="1">
      <alignment horizontal="center" vertical="center"/>
    </xf>
    <xf numFmtId="2" fontId="6777" fillId="8" borderId="1" xfId="0" applyNumberFormat="1" applyFont="1" applyFill="1" applyBorder="1" applyAlignment="1">
      <alignment horizontal="center" vertical="center"/>
    </xf>
    <xf numFmtId="2" fontId="6778" fillId="8" borderId="1" xfId="0" applyNumberFormat="1" applyFont="1" applyFill="1" applyBorder="1" applyAlignment="1">
      <alignment horizontal="center" vertical="center"/>
    </xf>
    <xf numFmtId="2" fontId="6779" fillId="8" borderId="1" xfId="0" applyNumberFormat="1" applyFont="1" applyFill="1" applyBorder="1" applyAlignment="1">
      <alignment horizontal="center" vertical="center"/>
    </xf>
    <xf numFmtId="2" fontId="6780" fillId="8" borderId="1" xfId="0" applyNumberFormat="1" applyFont="1" applyFill="1" applyBorder="1" applyAlignment="1">
      <alignment horizontal="center" vertical="center"/>
    </xf>
    <xf numFmtId="2" fontId="6781" fillId="8" borderId="1" xfId="0" applyNumberFormat="1" applyFont="1" applyFill="1" applyBorder="1" applyAlignment="1">
      <alignment horizontal="center" vertical="center"/>
    </xf>
    <xf numFmtId="2" fontId="6782" fillId="8" borderId="1" xfId="0" applyNumberFormat="1" applyFont="1" applyFill="1" applyBorder="1" applyAlignment="1">
      <alignment horizontal="center" vertical="center"/>
    </xf>
    <xf numFmtId="2" fontId="6783" fillId="8" borderId="1" xfId="0" applyNumberFormat="1" applyFont="1" applyFill="1" applyBorder="1" applyAlignment="1">
      <alignment horizontal="center" vertical="center"/>
    </xf>
    <xf numFmtId="2" fontId="6784" fillId="8" borderId="1" xfId="0" applyNumberFormat="1" applyFont="1" applyFill="1" applyBorder="1" applyAlignment="1">
      <alignment horizontal="center" vertical="center"/>
    </xf>
    <xf numFmtId="2" fontId="6785" fillId="8" borderId="1" xfId="0" applyNumberFormat="1" applyFont="1" applyFill="1" applyBorder="1" applyAlignment="1">
      <alignment horizontal="center" vertical="center"/>
    </xf>
    <xf numFmtId="2" fontId="6786" fillId="8" borderId="1" xfId="0" applyNumberFormat="1" applyFont="1" applyFill="1" applyBorder="1" applyAlignment="1">
      <alignment horizontal="center" vertical="center"/>
    </xf>
    <xf numFmtId="0" fontId="6787" fillId="7" borderId="1" xfId="0" applyNumberFormat="1" applyFont="1" applyFill="1" applyBorder="1" applyAlignment="1">
      <alignment horizontal="left" vertical="center"/>
    </xf>
    <xf numFmtId="0" fontId="6788" fillId="8" borderId="1" xfId="0" applyNumberFormat="1" applyFont="1" applyFill="1" applyBorder="1" applyAlignment="1">
      <alignment horizontal="center" vertical="center"/>
    </xf>
    <xf numFmtId="164" fontId="6789" fillId="8" borderId="1" xfId="0" applyNumberFormat="1" applyFont="1" applyFill="1" applyBorder="1" applyAlignment="1">
      <alignment horizontal="center" vertical="center"/>
    </xf>
    <xf numFmtId="1" fontId="6790" fillId="8" borderId="1" xfId="0" applyNumberFormat="1" applyFont="1" applyFill="1" applyBorder="1" applyAlignment="1">
      <alignment horizontal="center" vertical="center"/>
    </xf>
    <xf numFmtId="1" fontId="6791" fillId="8" borderId="1" xfId="0" applyNumberFormat="1" applyFont="1" applyFill="1" applyBorder="1" applyAlignment="1">
      <alignment horizontal="center" vertical="center"/>
    </xf>
    <xf numFmtId="1" fontId="6792" fillId="8" borderId="1" xfId="0" applyNumberFormat="1" applyFont="1" applyFill="1" applyBorder="1" applyAlignment="1">
      <alignment horizontal="center" vertical="center"/>
    </xf>
    <xf numFmtId="1" fontId="6793" fillId="8" borderId="1" xfId="0" applyNumberFormat="1" applyFont="1" applyFill="1" applyBorder="1" applyAlignment="1">
      <alignment horizontal="center" vertical="center"/>
    </xf>
    <xf numFmtId="1" fontId="6794" fillId="8" borderId="1" xfId="0" applyNumberFormat="1" applyFont="1" applyFill="1" applyBorder="1" applyAlignment="1">
      <alignment horizontal="center" vertical="center"/>
    </xf>
    <xf numFmtId="1" fontId="6795" fillId="8" borderId="1" xfId="0" applyNumberFormat="1" applyFont="1" applyFill="1" applyBorder="1" applyAlignment="1">
      <alignment horizontal="center" vertical="center"/>
    </xf>
    <xf numFmtId="1" fontId="6796" fillId="8" borderId="1" xfId="0" applyNumberFormat="1" applyFont="1" applyFill="1" applyBorder="1" applyAlignment="1">
      <alignment horizontal="center" vertical="center"/>
    </xf>
    <xf numFmtId="0" fontId="6797" fillId="8" borderId="1" xfId="0" applyNumberFormat="1" applyFont="1" applyFill="1" applyBorder="1" applyAlignment="1">
      <alignment horizontal="center" vertical="center"/>
    </xf>
    <xf numFmtId="0" fontId="6798" fillId="8" borderId="1" xfId="0" applyNumberFormat="1" applyFont="1" applyFill="1" applyBorder="1" applyAlignment="1">
      <alignment horizontal="center" vertical="center"/>
    </xf>
    <xf numFmtId="1" fontId="6799" fillId="8" borderId="1" xfId="0" applyNumberFormat="1" applyFont="1" applyFill="1" applyBorder="1" applyAlignment="1">
      <alignment horizontal="center" vertical="center"/>
    </xf>
    <xf numFmtId="1" fontId="6800" fillId="8" borderId="1" xfId="0" applyNumberFormat="1" applyFont="1" applyFill="1" applyBorder="1" applyAlignment="1">
      <alignment horizontal="center" vertical="center"/>
    </xf>
    <xf numFmtId="1" fontId="6801" fillId="8" borderId="1" xfId="0" applyNumberFormat="1" applyFont="1" applyFill="1" applyBorder="1" applyAlignment="1">
      <alignment horizontal="center" vertical="center"/>
    </xf>
    <xf numFmtId="165" fontId="6802" fillId="8" borderId="1" xfId="0" applyNumberFormat="1" applyFont="1" applyFill="1" applyBorder="1" applyAlignment="1">
      <alignment horizontal="center" vertical="center"/>
    </xf>
    <xf numFmtId="1" fontId="6803" fillId="8" borderId="1" xfId="0" applyNumberFormat="1" applyFont="1" applyFill="1" applyBorder="1" applyAlignment="1">
      <alignment horizontal="center" vertical="center"/>
    </xf>
    <xf numFmtId="165" fontId="6804" fillId="8" borderId="1" xfId="0" applyNumberFormat="1" applyFont="1" applyFill="1" applyBorder="1" applyAlignment="1">
      <alignment horizontal="center" vertical="center"/>
    </xf>
    <xf numFmtId="1" fontId="6805" fillId="8" borderId="1" xfId="0" applyNumberFormat="1" applyFont="1" applyFill="1" applyBorder="1" applyAlignment="1">
      <alignment horizontal="center" vertical="center"/>
    </xf>
    <xf numFmtId="165" fontId="6806" fillId="8" borderId="1" xfId="0" applyNumberFormat="1" applyFont="1" applyFill="1" applyBorder="1" applyAlignment="1">
      <alignment horizontal="center" vertical="center"/>
    </xf>
    <xf numFmtId="1" fontId="6807" fillId="8" borderId="1" xfId="0" applyNumberFormat="1" applyFont="1" applyFill="1" applyBorder="1" applyAlignment="1">
      <alignment horizontal="center" vertical="center"/>
    </xf>
    <xf numFmtId="165" fontId="6808" fillId="8" borderId="1" xfId="0" applyNumberFormat="1" applyFont="1" applyFill="1" applyBorder="1" applyAlignment="1">
      <alignment horizontal="center" vertical="center"/>
    </xf>
    <xf numFmtId="165" fontId="6809" fillId="8" borderId="1" xfId="0" applyNumberFormat="1" applyFont="1" applyFill="1" applyBorder="1" applyAlignment="1">
      <alignment horizontal="center" vertical="center"/>
    </xf>
    <xf numFmtId="1" fontId="6810" fillId="8" borderId="1" xfId="0" applyNumberFormat="1" applyFont="1" applyFill="1" applyBorder="1" applyAlignment="1">
      <alignment horizontal="center" vertical="center"/>
    </xf>
    <xf numFmtId="1" fontId="6811" fillId="8" borderId="1" xfId="0" applyNumberFormat="1" applyFont="1" applyFill="1" applyBorder="1" applyAlignment="1">
      <alignment horizontal="center" vertical="center"/>
    </xf>
    <xf numFmtId="1" fontId="6812" fillId="8" borderId="1" xfId="0" applyNumberFormat="1" applyFont="1" applyFill="1" applyBorder="1" applyAlignment="1">
      <alignment horizontal="center" vertical="center"/>
    </xf>
    <xf numFmtId="165" fontId="6813" fillId="8" borderId="1" xfId="0" applyNumberFormat="1" applyFont="1" applyFill="1" applyBorder="1" applyAlignment="1">
      <alignment horizontal="center" vertical="center"/>
    </xf>
    <xf numFmtId="164" fontId="6814" fillId="8" borderId="1" xfId="0" applyNumberFormat="1" applyFont="1" applyFill="1" applyBorder="1" applyAlignment="1">
      <alignment horizontal="center" vertical="center"/>
    </xf>
    <xf numFmtId="164" fontId="6815" fillId="8" borderId="1" xfId="0" applyNumberFormat="1" applyFont="1" applyFill="1" applyBorder="1" applyAlignment="1">
      <alignment horizontal="center" vertical="center"/>
    </xf>
    <xf numFmtId="1" fontId="6816" fillId="8" borderId="1" xfId="0" applyNumberFormat="1" applyFont="1" applyFill="1" applyBorder="1" applyAlignment="1">
      <alignment horizontal="center" vertical="center"/>
    </xf>
    <xf numFmtId="1" fontId="6817" fillId="8" borderId="1" xfId="0" applyNumberFormat="1" applyFont="1" applyFill="1" applyBorder="1" applyAlignment="1">
      <alignment horizontal="center" vertical="center"/>
    </xf>
    <xf numFmtId="1" fontId="6818" fillId="8" borderId="1" xfId="0" applyNumberFormat="1" applyFont="1" applyFill="1" applyBorder="1" applyAlignment="1">
      <alignment horizontal="center" vertical="center"/>
    </xf>
    <xf numFmtId="165" fontId="6819" fillId="8" borderId="1" xfId="0" applyNumberFormat="1" applyFont="1" applyFill="1" applyBorder="1" applyAlignment="1">
      <alignment horizontal="center" vertical="center"/>
    </xf>
    <xf numFmtId="1" fontId="6820" fillId="8" borderId="1" xfId="0" applyNumberFormat="1" applyFont="1" applyFill="1" applyBorder="1" applyAlignment="1">
      <alignment horizontal="center" vertical="center"/>
    </xf>
    <xf numFmtId="165" fontId="6821" fillId="8" borderId="1" xfId="0" applyNumberFormat="1" applyFont="1" applyFill="1" applyBorder="1" applyAlignment="1">
      <alignment horizontal="center" vertical="center"/>
    </xf>
    <xf numFmtId="1" fontId="6822" fillId="8" borderId="1" xfId="0" applyNumberFormat="1" applyFont="1" applyFill="1" applyBorder="1" applyAlignment="1">
      <alignment horizontal="center" vertical="center"/>
    </xf>
    <xf numFmtId="1" fontId="6823" fillId="8" borderId="1" xfId="0" applyNumberFormat="1" applyFont="1" applyFill="1" applyBorder="1" applyAlignment="1">
      <alignment horizontal="center" vertical="center"/>
    </xf>
    <xf numFmtId="1" fontId="6824" fillId="8" borderId="1" xfId="0" applyNumberFormat="1" applyFont="1" applyFill="1" applyBorder="1" applyAlignment="1">
      <alignment horizontal="center" vertical="center"/>
    </xf>
    <xf numFmtId="1" fontId="6825" fillId="8" borderId="1" xfId="0" applyNumberFormat="1" applyFont="1" applyFill="1" applyBorder="1" applyAlignment="1">
      <alignment horizontal="center" vertical="center"/>
    </xf>
    <xf numFmtId="165" fontId="6826" fillId="8" borderId="1" xfId="0" applyNumberFormat="1" applyFont="1" applyFill="1" applyBorder="1" applyAlignment="1">
      <alignment horizontal="center" vertical="center"/>
    </xf>
    <xf numFmtId="1" fontId="6827" fillId="8" borderId="1" xfId="0" applyNumberFormat="1" applyFont="1" applyFill="1" applyBorder="1" applyAlignment="1">
      <alignment horizontal="center" vertical="center"/>
    </xf>
    <xf numFmtId="165" fontId="6828" fillId="8" borderId="1" xfId="0" applyNumberFormat="1" applyFont="1" applyFill="1" applyBorder="1" applyAlignment="1">
      <alignment horizontal="center" vertical="center"/>
    </xf>
    <xf numFmtId="1" fontId="6829" fillId="8" borderId="1" xfId="0" applyNumberFormat="1" applyFont="1" applyFill="1" applyBorder="1" applyAlignment="1">
      <alignment horizontal="center" vertical="center"/>
    </xf>
    <xf numFmtId="165" fontId="6830" fillId="8" borderId="1" xfId="0" applyNumberFormat="1" applyFont="1" applyFill="1" applyBorder="1" applyAlignment="1">
      <alignment horizontal="center" vertical="center"/>
    </xf>
    <xf numFmtId="2" fontId="6831" fillId="8" borderId="1" xfId="0" applyNumberFormat="1" applyFont="1" applyFill="1" applyBorder="1" applyAlignment="1">
      <alignment horizontal="center" vertical="center"/>
    </xf>
    <xf numFmtId="2" fontId="6832" fillId="8" borderId="1" xfId="0" applyNumberFormat="1" applyFont="1" applyFill="1" applyBorder="1" applyAlignment="1">
      <alignment horizontal="center" vertical="center"/>
    </xf>
    <xf numFmtId="2" fontId="6833" fillId="8" borderId="1" xfId="0" applyNumberFormat="1" applyFont="1" applyFill="1" applyBorder="1" applyAlignment="1">
      <alignment horizontal="center" vertical="center"/>
    </xf>
    <xf numFmtId="2" fontId="6834" fillId="8" borderId="1" xfId="0" applyNumberFormat="1" applyFont="1" applyFill="1" applyBorder="1" applyAlignment="1">
      <alignment horizontal="center" vertical="center"/>
    </xf>
    <xf numFmtId="2" fontId="6835" fillId="8" borderId="1" xfId="0" applyNumberFormat="1" applyFont="1" applyFill="1" applyBorder="1" applyAlignment="1">
      <alignment horizontal="center" vertical="center"/>
    </xf>
    <xf numFmtId="2" fontId="6836" fillId="8" borderId="1" xfId="0" applyNumberFormat="1" applyFont="1" applyFill="1" applyBorder="1" applyAlignment="1">
      <alignment horizontal="center" vertical="center"/>
    </xf>
    <xf numFmtId="2" fontId="6837" fillId="8" borderId="1" xfId="0" applyNumberFormat="1" applyFont="1" applyFill="1" applyBorder="1" applyAlignment="1">
      <alignment horizontal="center" vertical="center"/>
    </xf>
    <xf numFmtId="2" fontId="6838" fillId="8" borderId="1" xfId="0" applyNumberFormat="1" applyFont="1" applyFill="1" applyBorder="1" applyAlignment="1">
      <alignment horizontal="center" vertical="center"/>
    </xf>
    <xf numFmtId="2" fontId="6839" fillId="8" borderId="1" xfId="0" applyNumberFormat="1" applyFont="1" applyFill="1" applyBorder="1" applyAlignment="1">
      <alignment horizontal="center" vertical="center"/>
    </xf>
    <xf numFmtId="2" fontId="6840" fillId="8" borderId="1" xfId="0" applyNumberFormat="1" applyFont="1" applyFill="1" applyBorder="1" applyAlignment="1">
      <alignment horizontal="center" vertical="center"/>
    </xf>
    <xf numFmtId="2" fontId="6841" fillId="8" borderId="1" xfId="0" applyNumberFormat="1" applyFont="1" applyFill="1" applyBorder="1" applyAlignment="1">
      <alignment horizontal="center" vertical="center"/>
    </xf>
    <xf numFmtId="2" fontId="6842" fillId="8" borderId="1" xfId="0" applyNumberFormat="1" applyFont="1" applyFill="1" applyBorder="1" applyAlignment="1">
      <alignment horizontal="center" vertical="center"/>
    </xf>
    <xf numFmtId="2" fontId="6843" fillId="8" borderId="1" xfId="0" applyNumberFormat="1" applyFont="1" applyFill="1" applyBorder="1" applyAlignment="1">
      <alignment horizontal="center" vertical="center"/>
    </xf>
    <xf numFmtId="2" fontId="6844" fillId="8" borderId="1" xfId="0" applyNumberFormat="1" applyFont="1" applyFill="1" applyBorder="1" applyAlignment="1">
      <alignment horizontal="center" vertical="center"/>
    </xf>
    <xf numFmtId="2" fontId="6845" fillId="8" borderId="1" xfId="0" applyNumberFormat="1" applyFont="1" applyFill="1" applyBorder="1" applyAlignment="1">
      <alignment horizontal="center" vertical="center"/>
    </xf>
    <xf numFmtId="2" fontId="6846" fillId="8" borderId="1" xfId="0" applyNumberFormat="1" applyFont="1" applyFill="1" applyBorder="1" applyAlignment="1">
      <alignment horizontal="center" vertical="center"/>
    </xf>
    <xf numFmtId="2" fontId="6847" fillId="8" borderId="1" xfId="0" applyNumberFormat="1" applyFont="1" applyFill="1" applyBorder="1" applyAlignment="1">
      <alignment horizontal="center" vertical="center"/>
    </xf>
    <xf numFmtId="2" fontId="6848" fillId="8" borderId="1" xfId="0" applyNumberFormat="1" applyFont="1" applyFill="1" applyBorder="1" applyAlignment="1">
      <alignment horizontal="center" vertical="center"/>
    </xf>
    <xf numFmtId="2" fontId="6849" fillId="8" borderId="1" xfId="0" applyNumberFormat="1" applyFont="1" applyFill="1" applyBorder="1" applyAlignment="1">
      <alignment horizontal="center" vertical="center"/>
    </xf>
    <xf numFmtId="2" fontId="6850" fillId="8" borderId="1" xfId="0" applyNumberFormat="1" applyFont="1" applyFill="1" applyBorder="1" applyAlignment="1">
      <alignment horizontal="center" vertical="center"/>
    </xf>
    <xf numFmtId="2" fontId="6851" fillId="8" borderId="1" xfId="0" applyNumberFormat="1" applyFont="1" applyFill="1" applyBorder="1" applyAlignment="1">
      <alignment horizontal="center" vertical="center"/>
    </xf>
    <xf numFmtId="2" fontId="6852" fillId="8" borderId="1" xfId="0" applyNumberFormat="1" applyFont="1" applyFill="1" applyBorder="1" applyAlignment="1">
      <alignment horizontal="center" vertical="center"/>
    </xf>
    <xf numFmtId="2" fontId="6853" fillId="8" borderId="1" xfId="0" applyNumberFormat="1" applyFont="1" applyFill="1" applyBorder="1" applyAlignment="1">
      <alignment horizontal="center" vertical="center"/>
    </xf>
    <xf numFmtId="2" fontId="6854" fillId="8" borderId="1" xfId="0" applyNumberFormat="1" applyFont="1" applyFill="1" applyBorder="1" applyAlignment="1">
      <alignment horizontal="center" vertical="center"/>
    </xf>
    <xf numFmtId="2" fontId="6855" fillId="8" borderId="1" xfId="0" applyNumberFormat="1" applyFont="1" applyFill="1" applyBorder="1" applyAlignment="1">
      <alignment horizontal="center" vertical="center"/>
    </xf>
    <xf numFmtId="2" fontId="6856" fillId="8" borderId="1" xfId="0" applyNumberFormat="1" applyFont="1" applyFill="1" applyBorder="1" applyAlignment="1">
      <alignment horizontal="center" vertical="center"/>
    </xf>
    <xf numFmtId="2" fontId="6857" fillId="8" borderId="1" xfId="0" applyNumberFormat="1" applyFont="1" applyFill="1" applyBorder="1" applyAlignment="1">
      <alignment horizontal="center" vertical="center"/>
    </xf>
    <xf numFmtId="2" fontId="6858" fillId="8" borderId="1" xfId="0" applyNumberFormat="1" applyFont="1" applyFill="1" applyBorder="1" applyAlignment="1">
      <alignment horizontal="center" vertical="center"/>
    </xf>
    <xf numFmtId="2" fontId="6859" fillId="8" borderId="1" xfId="0" applyNumberFormat="1" applyFont="1" applyFill="1" applyBorder="1" applyAlignment="1">
      <alignment horizontal="center" vertical="center"/>
    </xf>
    <xf numFmtId="2" fontId="6860" fillId="8" borderId="1" xfId="0" applyNumberFormat="1" applyFont="1" applyFill="1" applyBorder="1" applyAlignment="1">
      <alignment horizontal="center" vertical="center"/>
    </xf>
    <xf numFmtId="2" fontId="6861" fillId="8" borderId="1" xfId="0" applyNumberFormat="1" applyFont="1" applyFill="1" applyBorder="1" applyAlignment="1">
      <alignment horizontal="center" vertical="center"/>
    </xf>
    <xf numFmtId="2" fontId="6862" fillId="8" borderId="1" xfId="0" applyNumberFormat="1" applyFont="1" applyFill="1" applyBorder="1" applyAlignment="1">
      <alignment horizontal="center" vertical="center"/>
    </xf>
    <xf numFmtId="2" fontId="6863" fillId="8" borderId="1" xfId="0" applyNumberFormat="1" applyFont="1" applyFill="1" applyBorder="1" applyAlignment="1">
      <alignment horizontal="center" vertical="center"/>
    </xf>
    <xf numFmtId="2" fontId="6864" fillId="8" borderId="1" xfId="0" applyNumberFormat="1" applyFont="1" applyFill="1" applyBorder="1" applyAlignment="1">
      <alignment horizontal="center" vertical="center"/>
    </xf>
    <xf numFmtId="0" fontId="6865" fillId="7" borderId="1" xfId="0" applyNumberFormat="1" applyFont="1" applyFill="1" applyBorder="1" applyAlignment="1">
      <alignment horizontal="left" vertical="center"/>
    </xf>
    <xf numFmtId="0" fontId="6866" fillId="8" borderId="1" xfId="0" applyNumberFormat="1" applyFont="1" applyFill="1" applyBorder="1" applyAlignment="1">
      <alignment horizontal="center" vertical="center"/>
    </xf>
    <xf numFmtId="164" fontId="6867" fillId="8" borderId="1" xfId="0" applyNumberFormat="1" applyFont="1" applyFill="1" applyBorder="1" applyAlignment="1">
      <alignment horizontal="center" vertical="center"/>
    </xf>
    <xf numFmtId="1" fontId="6868" fillId="8" borderId="1" xfId="0" applyNumberFormat="1" applyFont="1" applyFill="1" applyBorder="1" applyAlignment="1">
      <alignment horizontal="center" vertical="center"/>
    </xf>
    <xf numFmtId="1" fontId="6869" fillId="8" borderId="1" xfId="0" applyNumberFormat="1" applyFont="1" applyFill="1" applyBorder="1" applyAlignment="1">
      <alignment horizontal="center" vertical="center"/>
    </xf>
    <xf numFmtId="1" fontId="6870" fillId="8" borderId="1" xfId="0" applyNumberFormat="1" applyFont="1" applyFill="1" applyBorder="1" applyAlignment="1">
      <alignment horizontal="center" vertical="center"/>
    </xf>
    <xf numFmtId="1" fontId="6871" fillId="8" borderId="1" xfId="0" applyNumberFormat="1" applyFont="1" applyFill="1" applyBorder="1" applyAlignment="1">
      <alignment horizontal="center" vertical="center"/>
    </xf>
    <xf numFmtId="1" fontId="6872" fillId="8" borderId="1" xfId="0" applyNumberFormat="1" applyFont="1" applyFill="1" applyBorder="1" applyAlignment="1">
      <alignment horizontal="center" vertical="center"/>
    </xf>
    <xf numFmtId="1" fontId="6873" fillId="8" borderId="1" xfId="0" applyNumberFormat="1" applyFont="1" applyFill="1" applyBorder="1" applyAlignment="1">
      <alignment horizontal="center" vertical="center"/>
    </xf>
    <xf numFmtId="1" fontId="6874" fillId="8" borderId="1" xfId="0" applyNumberFormat="1" applyFont="1" applyFill="1" applyBorder="1" applyAlignment="1">
      <alignment horizontal="center" vertical="center"/>
    </xf>
    <xf numFmtId="0" fontId="6875" fillId="8" borderId="1" xfId="0" applyNumberFormat="1" applyFont="1" applyFill="1" applyBorder="1" applyAlignment="1">
      <alignment horizontal="center" vertical="center"/>
    </xf>
    <xf numFmtId="0" fontId="6876" fillId="8" borderId="1" xfId="0" applyNumberFormat="1" applyFont="1" applyFill="1" applyBorder="1" applyAlignment="1">
      <alignment horizontal="center" vertical="center"/>
    </xf>
    <xf numFmtId="1" fontId="6877" fillId="8" borderId="1" xfId="0" applyNumberFormat="1" applyFont="1" applyFill="1" applyBorder="1" applyAlignment="1">
      <alignment horizontal="center" vertical="center"/>
    </xf>
    <xf numFmtId="1" fontId="6878" fillId="8" borderId="1" xfId="0" applyNumberFormat="1" applyFont="1" applyFill="1" applyBorder="1" applyAlignment="1">
      <alignment horizontal="center" vertical="center"/>
    </xf>
    <xf numFmtId="1" fontId="6879" fillId="8" borderId="1" xfId="0" applyNumberFormat="1" applyFont="1" applyFill="1" applyBorder="1" applyAlignment="1">
      <alignment horizontal="center" vertical="center"/>
    </xf>
    <xf numFmtId="165" fontId="6880" fillId="8" borderId="1" xfId="0" applyNumberFormat="1" applyFont="1" applyFill="1" applyBorder="1" applyAlignment="1">
      <alignment horizontal="center" vertical="center"/>
    </xf>
    <xf numFmtId="1" fontId="6881" fillId="8" borderId="1" xfId="0" applyNumberFormat="1" applyFont="1" applyFill="1" applyBorder="1" applyAlignment="1">
      <alignment horizontal="center" vertical="center"/>
    </xf>
    <xf numFmtId="165" fontId="6882" fillId="8" borderId="1" xfId="0" applyNumberFormat="1" applyFont="1" applyFill="1" applyBorder="1" applyAlignment="1">
      <alignment horizontal="center" vertical="center"/>
    </xf>
    <xf numFmtId="1" fontId="6883" fillId="8" borderId="1" xfId="0" applyNumberFormat="1" applyFont="1" applyFill="1" applyBorder="1" applyAlignment="1">
      <alignment horizontal="center" vertical="center"/>
    </xf>
    <xf numFmtId="165" fontId="6884" fillId="8" borderId="1" xfId="0" applyNumberFormat="1" applyFont="1" applyFill="1" applyBorder="1" applyAlignment="1">
      <alignment horizontal="center" vertical="center"/>
    </xf>
    <xf numFmtId="1" fontId="6885" fillId="8" borderId="1" xfId="0" applyNumberFormat="1" applyFont="1" applyFill="1" applyBorder="1" applyAlignment="1">
      <alignment horizontal="center" vertical="center"/>
    </xf>
    <xf numFmtId="165" fontId="6886" fillId="8" borderId="1" xfId="0" applyNumberFormat="1" applyFont="1" applyFill="1" applyBorder="1" applyAlignment="1">
      <alignment horizontal="center" vertical="center"/>
    </xf>
    <xf numFmtId="165" fontId="6887" fillId="8" borderId="1" xfId="0" applyNumberFormat="1" applyFont="1" applyFill="1" applyBorder="1" applyAlignment="1">
      <alignment horizontal="center" vertical="center"/>
    </xf>
    <xf numFmtId="1" fontId="6888" fillId="8" borderId="1" xfId="0" applyNumberFormat="1" applyFont="1" applyFill="1" applyBorder="1" applyAlignment="1">
      <alignment horizontal="center" vertical="center"/>
    </xf>
    <xf numFmtId="1" fontId="6889" fillId="8" borderId="1" xfId="0" applyNumberFormat="1" applyFont="1" applyFill="1" applyBorder="1" applyAlignment="1">
      <alignment horizontal="center" vertical="center"/>
    </xf>
    <xf numFmtId="1" fontId="6890" fillId="8" borderId="1" xfId="0" applyNumberFormat="1" applyFont="1" applyFill="1" applyBorder="1" applyAlignment="1">
      <alignment horizontal="center" vertical="center"/>
    </xf>
    <xf numFmtId="165" fontId="6891" fillId="8" borderId="1" xfId="0" applyNumberFormat="1" applyFont="1" applyFill="1" applyBorder="1" applyAlignment="1">
      <alignment horizontal="center" vertical="center"/>
    </xf>
    <xf numFmtId="164" fontId="6892" fillId="8" borderId="1" xfId="0" applyNumberFormat="1" applyFont="1" applyFill="1" applyBorder="1" applyAlignment="1">
      <alignment horizontal="center" vertical="center"/>
    </xf>
    <xf numFmtId="164" fontId="6893" fillId="8" borderId="1" xfId="0" applyNumberFormat="1" applyFont="1" applyFill="1" applyBorder="1" applyAlignment="1">
      <alignment horizontal="center" vertical="center"/>
    </xf>
    <xf numFmtId="1" fontId="6894" fillId="8" borderId="1" xfId="0" applyNumberFormat="1" applyFont="1" applyFill="1" applyBorder="1" applyAlignment="1">
      <alignment horizontal="center" vertical="center"/>
    </xf>
    <xf numFmtId="1" fontId="6895" fillId="8" borderId="1" xfId="0" applyNumberFormat="1" applyFont="1" applyFill="1" applyBorder="1" applyAlignment="1">
      <alignment horizontal="center" vertical="center"/>
    </xf>
    <xf numFmtId="1" fontId="6896" fillId="8" borderId="1" xfId="0" applyNumberFormat="1" applyFont="1" applyFill="1" applyBorder="1" applyAlignment="1">
      <alignment horizontal="center" vertical="center"/>
    </xf>
    <xf numFmtId="165" fontId="6897" fillId="8" borderId="1" xfId="0" applyNumberFormat="1" applyFont="1" applyFill="1" applyBorder="1" applyAlignment="1">
      <alignment horizontal="center" vertical="center"/>
    </xf>
    <xf numFmtId="1" fontId="6898" fillId="8" borderId="1" xfId="0" applyNumberFormat="1" applyFont="1" applyFill="1" applyBorder="1" applyAlignment="1">
      <alignment horizontal="center" vertical="center"/>
    </xf>
    <xf numFmtId="165" fontId="6899" fillId="8" borderId="1" xfId="0" applyNumberFormat="1" applyFont="1" applyFill="1" applyBorder="1" applyAlignment="1">
      <alignment horizontal="center" vertical="center"/>
    </xf>
    <xf numFmtId="1" fontId="6900" fillId="8" borderId="1" xfId="0" applyNumberFormat="1" applyFont="1" applyFill="1" applyBorder="1" applyAlignment="1">
      <alignment horizontal="center" vertical="center"/>
    </xf>
    <xf numFmtId="1" fontId="6901" fillId="8" borderId="1" xfId="0" applyNumberFormat="1" applyFont="1" applyFill="1" applyBorder="1" applyAlignment="1">
      <alignment horizontal="center" vertical="center"/>
    </xf>
    <xf numFmtId="1" fontId="6902" fillId="8" borderId="1" xfId="0" applyNumberFormat="1" applyFont="1" applyFill="1" applyBorder="1" applyAlignment="1">
      <alignment horizontal="center" vertical="center"/>
    </xf>
    <xf numFmtId="1" fontId="6903" fillId="8" borderId="1" xfId="0" applyNumberFormat="1" applyFont="1" applyFill="1" applyBorder="1" applyAlignment="1">
      <alignment horizontal="center" vertical="center"/>
    </xf>
    <xf numFmtId="165" fontId="6904" fillId="8" borderId="1" xfId="0" applyNumberFormat="1" applyFont="1" applyFill="1" applyBorder="1" applyAlignment="1">
      <alignment horizontal="center" vertical="center"/>
    </xf>
    <xf numFmtId="1" fontId="6905" fillId="8" borderId="1" xfId="0" applyNumberFormat="1" applyFont="1" applyFill="1" applyBorder="1" applyAlignment="1">
      <alignment horizontal="center" vertical="center"/>
    </xf>
    <xf numFmtId="165" fontId="6906" fillId="8" borderId="1" xfId="0" applyNumberFormat="1" applyFont="1" applyFill="1" applyBorder="1" applyAlignment="1">
      <alignment horizontal="center" vertical="center"/>
    </xf>
    <xf numFmtId="1" fontId="6907" fillId="8" borderId="1" xfId="0" applyNumberFormat="1" applyFont="1" applyFill="1" applyBorder="1" applyAlignment="1">
      <alignment horizontal="center" vertical="center"/>
    </xf>
    <xf numFmtId="165" fontId="6908" fillId="8" borderId="1" xfId="0" applyNumberFormat="1" applyFont="1" applyFill="1" applyBorder="1" applyAlignment="1">
      <alignment horizontal="center" vertical="center"/>
    </xf>
    <xf numFmtId="2" fontId="6909" fillId="8" borderId="1" xfId="0" applyNumberFormat="1" applyFont="1" applyFill="1" applyBorder="1" applyAlignment="1">
      <alignment horizontal="center" vertical="center"/>
    </xf>
    <xf numFmtId="2" fontId="6910" fillId="8" borderId="1" xfId="0" applyNumberFormat="1" applyFont="1" applyFill="1" applyBorder="1" applyAlignment="1">
      <alignment horizontal="center" vertical="center"/>
    </xf>
    <xf numFmtId="2" fontId="6911" fillId="8" borderId="1" xfId="0" applyNumberFormat="1" applyFont="1" applyFill="1" applyBorder="1" applyAlignment="1">
      <alignment horizontal="center" vertical="center"/>
    </xf>
    <xf numFmtId="2" fontId="6912" fillId="8" borderId="1" xfId="0" applyNumberFormat="1" applyFont="1" applyFill="1" applyBorder="1" applyAlignment="1">
      <alignment horizontal="center" vertical="center"/>
    </xf>
    <xf numFmtId="2" fontId="6913" fillId="8" borderId="1" xfId="0" applyNumberFormat="1" applyFont="1" applyFill="1" applyBorder="1" applyAlignment="1">
      <alignment horizontal="center" vertical="center"/>
    </xf>
    <xf numFmtId="2" fontId="6914" fillId="8" borderId="1" xfId="0" applyNumberFormat="1" applyFont="1" applyFill="1" applyBorder="1" applyAlignment="1">
      <alignment horizontal="center" vertical="center"/>
    </xf>
    <xf numFmtId="2" fontId="6915" fillId="8" borderId="1" xfId="0" applyNumberFormat="1" applyFont="1" applyFill="1" applyBorder="1" applyAlignment="1">
      <alignment horizontal="center" vertical="center"/>
    </xf>
    <xf numFmtId="2" fontId="6916" fillId="8" borderId="1" xfId="0" applyNumberFormat="1" applyFont="1" applyFill="1" applyBorder="1" applyAlignment="1">
      <alignment horizontal="center" vertical="center"/>
    </xf>
    <xf numFmtId="2" fontId="6917" fillId="8" borderId="1" xfId="0" applyNumberFormat="1" applyFont="1" applyFill="1" applyBorder="1" applyAlignment="1">
      <alignment horizontal="center" vertical="center"/>
    </xf>
    <xf numFmtId="2" fontId="6918" fillId="8" borderId="1" xfId="0" applyNumberFormat="1" applyFont="1" applyFill="1" applyBorder="1" applyAlignment="1">
      <alignment horizontal="center" vertical="center"/>
    </xf>
    <xf numFmtId="2" fontId="6919" fillId="8" borderId="1" xfId="0" applyNumberFormat="1" applyFont="1" applyFill="1" applyBorder="1" applyAlignment="1">
      <alignment horizontal="center" vertical="center"/>
    </xf>
    <xf numFmtId="2" fontId="6920" fillId="8" borderId="1" xfId="0" applyNumberFormat="1" applyFont="1" applyFill="1" applyBorder="1" applyAlignment="1">
      <alignment horizontal="center" vertical="center"/>
    </xf>
    <xf numFmtId="2" fontId="6921" fillId="8" borderId="1" xfId="0" applyNumberFormat="1" applyFont="1" applyFill="1" applyBorder="1" applyAlignment="1">
      <alignment horizontal="center" vertical="center"/>
    </xf>
    <xf numFmtId="2" fontId="6922" fillId="8" borderId="1" xfId="0" applyNumberFormat="1" applyFont="1" applyFill="1" applyBorder="1" applyAlignment="1">
      <alignment horizontal="center" vertical="center"/>
    </xf>
    <xf numFmtId="2" fontId="6923" fillId="8" borderId="1" xfId="0" applyNumberFormat="1" applyFont="1" applyFill="1" applyBorder="1" applyAlignment="1">
      <alignment horizontal="center" vertical="center"/>
    </xf>
    <xf numFmtId="2" fontId="6924" fillId="8" borderId="1" xfId="0" applyNumberFormat="1" applyFont="1" applyFill="1" applyBorder="1" applyAlignment="1">
      <alignment horizontal="center" vertical="center"/>
    </xf>
    <xf numFmtId="2" fontId="6925" fillId="8" borderId="1" xfId="0" applyNumberFormat="1" applyFont="1" applyFill="1" applyBorder="1" applyAlignment="1">
      <alignment horizontal="center" vertical="center"/>
    </xf>
    <xf numFmtId="2" fontId="6926" fillId="8" borderId="1" xfId="0" applyNumberFormat="1" applyFont="1" applyFill="1" applyBorder="1" applyAlignment="1">
      <alignment horizontal="center" vertical="center"/>
    </xf>
    <xf numFmtId="2" fontId="6927" fillId="8" borderId="1" xfId="0" applyNumberFormat="1" applyFont="1" applyFill="1" applyBorder="1" applyAlignment="1">
      <alignment horizontal="center" vertical="center"/>
    </xf>
    <xf numFmtId="2" fontId="6928" fillId="8" borderId="1" xfId="0" applyNumberFormat="1" applyFont="1" applyFill="1" applyBorder="1" applyAlignment="1">
      <alignment horizontal="center" vertical="center"/>
    </xf>
    <xf numFmtId="2" fontId="6929" fillId="8" borderId="1" xfId="0" applyNumberFormat="1" applyFont="1" applyFill="1" applyBorder="1" applyAlignment="1">
      <alignment horizontal="center" vertical="center"/>
    </xf>
    <xf numFmtId="2" fontId="6930" fillId="8" borderId="1" xfId="0" applyNumberFormat="1" applyFont="1" applyFill="1" applyBorder="1" applyAlignment="1">
      <alignment horizontal="center" vertical="center"/>
    </xf>
    <xf numFmtId="2" fontId="6931" fillId="8" borderId="1" xfId="0" applyNumberFormat="1" applyFont="1" applyFill="1" applyBorder="1" applyAlignment="1">
      <alignment horizontal="center" vertical="center"/>
    </xf>
    <xf numFmtId="2" fontId="6932" fillId="8" borderId="1" xfId="0" applyNumberFormat="1" applyFont="1" applyFill="1" applyBorder="1" applyAlignment="1">
      <alignment horizontal="center" vertical="center"/>
    </xf>
    <xf numFmtId="2" fontId="6933" fillId="8" borderId="1" xfId="0" applyNumberFormat="1" applyFont="1" applyFill="1" applyBorder="1" applyAlignment="1">
      <alignment horizontal="center" vertical="center"/>
    </xf>
    <xf numFmtId="2" fontId="6934" fillId="8" borderId="1" xfId="0" applyNumberFormat="1" applyFont="1" applyFill="1" applyBorder="1" applyAlignment="1">
      <alignment horizontal="center" vertical="center"/>
    </xf>
    <xf numFmtId="2" fontId="6935" fillId="8" borderId="1" xfId="0" applyNumberFormat="1" applyFont="1" applyFill="1" applyBorder="1" applyAlignment="1">
      <alignment horizontal="center" vertical="center"/>
    </xf>
    <xf numFmtId="2" fontId="6936" fillId="8" borderId="1" xfId="0" applyNumberFormat="1" applyFont="1" applyFill="1" applyBorder="1" applyAlignment="1">
      <alignment horizontal="center" vertical="center"/>
    </xf>
    <xf numFmtId="2" fontId="6937" fillId="8" borderId="1" xfId="0" applyNumberFormat="1" applyFont="1" applyFill="1" applyBorder="1" applyAlignment="1">
      <alignment horizontal="center" vertical="center"/>
    </xf>
    <xf numFmtId="2" fontId="6938" fillId="8" borderId="1" xfId="0" applyNumberFormat="1" applyFont="1" applyFill="1" applyBorder="1" applyAlignment="1">
      <alignment horizontal="center" vertical="center"/>
    </xf>
    <xf numFmtId="2" fontId="6939" fillId="8" borderId="1" xfId="0" applyNumberFormat="1" applyFont="1" applyFill="1" applyBorder="1" applyAlignment="1">
      <alignment horizontal="center" vertical="center"/>
    </xf>
    <xf numFmtId="2" fontId="6940" fillId="8" borderId="1" xfId="0" applyNumberFormat="1" applyFont="1" applyFill="1" applyBorder="1" applyAlignment="1">
      <alignment horizontal="center" vertical="center"/>
    </xf>
    <xf numFmtId="2" fontId="6941" fillId="8" borderId="1" xfId="0" applyNumberFormat="1" applyFont="1" applyFill="1" applyBorder="1" applyAlignment="1">
      <alignment horizontal="center" vertical="center"/>
    </xf>
    <xf numFmtId="2" fontId="6942" fillId="8" borderId="1" xfId="0" applyNumberFormat="1" applyFont="1" applyFill="1" applyBorder="1" applyAlignment="1">
      <alignment horizontal="center" vertical="center"/>
    </xf>
    <xf numFmtId="0" fontId="6943" fillId="7" borderId="1" xfId="0" applyNumberFormat="1" applyFont="1" applyFill="1" applyBorder="1" applyAlignment="1">
      <alignment horizontal="left" vertical="center"/>
    </xf>
    <xf numFmtId="0" fontId="6944" fillId="8" borderId="1" xfId="0" applyNumberFormat="1" applyFont="1" applyFill="1" applyBorder="1" applyAlignment="1">
      <alignment horizontal="center" vertical="center"/>
    </xf>
    <xf numFmtId="164" fontId="6945" fillId="8" borderId="1" xfId="0" applyNumberFormat="1" applyFont="1" applyFill="1" applyBorder="1" applyAlignment="1">
      <alignment horizontal="center" vertical="center"/>
    </xf>
    <xf numFmtId="1" fontId="6946" fillId="8" borderId="1" xfId="0" applyNumberFormat="1" applyFont="1" applyFill="1" applyBorder="1" applyAlignment="1">
      <alignment horizontal="center" vertical="center"/>
    </xf>
    <xf numFmtId="1" fontId="6947" fillId="8" borderId="1" xfId="0" applyNumberFormat="1" applyFont="1" applyFill="1" applyBorder="1" applyAlignment="1">
      <alignment horizontal="center" vertical="center"/>
    </xf>
    <xf numFmtId="1" fontId="6948" fillId="8" borderId="1" xfId="0" applyNumberFormat="1" applyFont="1" applyFill="1" applyBorder="1" applyAlignment="1">
      <alignment horizontal="center" vertical="center"/>
    </xf>
    <xf numFmtId="1" fontId="6949" fillId="8" borderId="1" xfId="0" applyNumberFormat="1" applyFont="1" applyFill="1" applyBorder="1" applyAlignment="1">
      <alignment horizontal="center" vertical="center"/>
    </xf>
    <xf numFmtId="1" fontId="6950" fillId="8" borderId="1" xfId="0" applyNumberFormat="1" applyFont="1" applyFill="1" applyBorder="1" applyAlignment="1">
      <alignment horizontal="center" vertical="center"/>
    </xf>
    <xf numFmtId="1" fontId="6951" fillId="8" borderId="1" xfId="0" applyNumberFormat="1" applyFont="1" applyFill="1" applyBorder="1" applyAlignment="1">
      <alignment horizontal="center" vertical="center"/>
    </xf>
    <xf numFmtId="1" fontId="6952" fillId="8" borderId="1" xfId="0" applyNumberFormat="1" applyFont="1" applyFill="1" applyBorder="1" applyAlignment="1">
      <alignment horizontal="center" vertical="center"/>
    </xf>
    <xf numFmtId="0" fontId="6953" fillId="8" borderId="1" xfId="0" applyNumberFormat="1" applyFont="1" applyFill="1" applyBorder="1" applyAlignment="1">
      <alignment horizontal="center" vertical="center"/>
    </xf>
    <xf numFmtId="0" fontId="6954" fillId="8" borderId="1" xfId="0" applyNumberFormat="1" applyFont="1" applyFill="1" applyBorder="1" applyAlignment="1">
      <alignment horizontal="center" vertical="center"/>
    </xf>
    <xf numFmtId="1" fontId="6955" fillId="8" borderId="1" xfId="0" applyNumberFormat="1" applyFont="1" applyFill="1" applyBorder="1" applyAlignment="1">
      <alignment horizontal="center" vertical="center"/>
    </xf>
    <xf numFmtId="1" fontId="6956" fillId="8" borderId="1" xfId="0" applyNumberFormat="1" applyFont="1" applyFill="1" applyBorder="1" applyAlignment="1">
      <alignment horizontal="center" vertical="center"/>
    </xf>
    <xf numFmtId="1" fontId="6957" fillId="8" borderId="1" xfId="0" applyNumberFormat="1" applyFont="1" applyFill="1" applyBorder="1" applyAlignment="1">
      <alignment horizontal="center" vertical="center"/>
    </xf>
    <xf numFmtId="165" fontId="6958" fillId="8" borderId="1" xfId="0" applyNumberFormat="1" applyFont="1" applyFill="1" applyBorder="1" applyAlignment="1">
      <alignment horizontal="center" vertical="center"/>
    </xf>
    <xf numFmtId="1" fontId="6959" fillId="8" borderId="1" xfId="0" applyNumberFormat="1" applyFont="1" applyFill="1" applyBorder="1" applyAlignment="1">
      <alignment horizontal="center" vertical="center"/>
    </xf>
    <xf numFmtId="165" fontId="6960" fillId="8" borderId="1" xfId="0" applyNumberFormat="1" applyFont="1" applyFill="1" applyBorder="1" applyAlignment="1">
      <alignment horizontal="center" vertical="center"/>
    </xf>
    <xf numFmtId="1" fontId="6961" fillId="8" borderId="1" xfId="0" applyNumberFormat="1" applyFont="1" applyFill="1" applyBorder="1" applyAlignment="1">
      <alignment horizontal="center" vertical="center"/>
    </xf>
    <xf numFmtId="165" fontId="6962" fillId="8" borderId="1" xfId="0" applyNumberFormat="1" applyFont="1" applyFill="1" applyBorder="1" applyAlignment="1">
      <alignment horizontal="center" vertical="center"/>
    </xf>
    <xf numFmtId="1" fontId="6963" fillId="8" borderId="1" xfId="0" applyNumberFormat="1" applyFont="1" applyFill="1" applyBorder="1" applyAlignment="1">
      <alignment horizontal="center" vertical="center"/>
    </xf>
    <xf numFmtId="165" fontId="6964" fillId="8" borderId="1" xfId="0" applyNumberFormat="1" applyFont="1" applyFill="1" applyBorder="1" applyAlignment="1">
      <alignment horizontal="center" vertical="center"/>
    </xf>
    <xf numFmtId="165" fontId="6965" fillId="8" borderId="1" xfId="0" applyNumberFormat="1" applyFont="1" applyFill="1" applyBorder="1" applyAlignment="1">
      <alignment horizontal="center" vertical="center"/>
    </xf>
    <xf numFmtId="1" fontId="6966" fillId="8" borderId="1" xfId="0" applyNumberFormat="1" applyFont="1" applyFill="1" applyBorder="1" applyAlignment="1">
      <alignment horizontal="center" vertical="center"/>
    </xf>
    <xf numFmtId="1" fontId="6967" fillId="8" borderId="1" xfId="0" applyNumberFormat="1" applyFont="1" applyFill="1" applyBorder="1" applyAlignment="1">
      <alignment horizontal="center" vertical="center"/>
    </xf>
    <xf numFmtId="1" fontId="6968" fillId="8" borderId="1" xfId="0" applyNumberFormat="1" applyFont="1" applyFill="1" applyBorder="1" applyAlignment="1">
      <alignment horizontal="center" vertical="center"/>
    </xf>
    <xf numFmtId="165" fontId="6969" fillId="8" borderId="1" xfId="0" applyNumberFormat="1" applyFont="1" applyFill="1" applyBorder="1" applyAlignment="1">
      <alignment horizontal="center" vertical="center"/>
    </xf>
    <xf numFmtId="164" fontId="6970" fillId="8" borderId="1" xfId="0" applyNumberFormat="1" applyFont="1" applyFill="1" applyBorder="1" applyAlignment="1">
      <alignment horizontal="center" vertical="center"/>
    </xf>
    <xf numFmtId="164" fontId="6971" fillId="8" borderId="1" xfId="0" applyNumberFormat="1" applyFont="1" applyFill="1" applyBorder="1" applyAlignment="1">
      <alignment horizontal="center" vertical="center"/>
    </xf>
    <xf numFmtId="1" fontId="6972" fillId="8" borderId="1" xfId="0" applyNumberFormat="1" applyFont="1" applyFill="1" applyBorder="1" applyAlignment="1">
      <alignment horizontal="center" vertical="center"/>
    </xf>
    <xf numFmtId="1" fontId="6973" fillId="8" borderId="1" xfId="0" applyNumberFormat="1" applyFont="1" applyFill="1" applyBorder="1" applyAlignment="1">
      <alignment horizontal="center" vertical="center"/>
    </xf>
    <xf numFmtId="1" fontId="6974" fillId="8" borderId="1" xfId="0" applyNumberFormat="1" applyFont="1" applyFill="1" applyBorder="1" applyAlignment="1">
      <alignment horizontal="center" vertical="center"/>
    </xf>
    <xf numFmtId="165" fontId="6975" fillId="8" borderId="1" xfId="0" applyNumberFormat="1" applyFont="1" applyFill="1" applyBorder="1" applyAlignment="1">
      <alignment horizontal="center" vertical="center"/>
    </xf>
    <xf numFmtId="1" fontId="6976" fillId="8" borderId="1" xfId="0" applyNumberFormat="1" applyFont="1" applyFill="1" applyBorder="1" applyAlignment="1">
      <alignment horizontal="center" vertical="center"/>
    </xf>
    <xf numFmtId="165" fontId="6977" fillId="8" borderId="1" xfId="0" applyNumberFormat="1" applyFont="1" applyFill="1" applyBorder="1" applyAlignment="1">
      <alignment horizontal="center" vertical="center"/>
    </xf>
    <xf numFmtId="1" fontId="6978" fillId="8" borderId="1" xfId="0" applyNumberFormat="1" applyFont="1" applyFill="1" applyBorder="1" applyAlignment="1">
      <alignment horizontal="center" vertical="center"/>
    </xf>
    <xf numFmtId="1" fontId="6979" fillId="8" borderId="1" xfId="0" applyNumberFormat="1" applyFont="1" applyFill="1" applyBorder="1" applyAlignment="1">
      <alignment horizontal="center" vertical="center"/>
    </xf>
    <xf numFmtId="1" fontId="6980" fillId="8" borderId="1" xfId="0" applyNumberFormat="1" applyFont="1" applyFill="1" applyBorder="1" applyAlignment="1">
      <alignment horizontal="center" vertical="center"/>
    </xf>
    <xf numFmtId="1" fontId="6981" fillId="8" borderId="1" xfId="0" applyNumberFormat="1" applyFont="1" applyFill="1" applyBorder="1" applyAlignment="1">
      <alignment horizontal="center" vertical="center"/>
    </xf>
    <xf numFmtId="165" fontId="6982" fillId="8" borderId="1" xfId="0" applyNumberFormat="1" applyFont="1" applyFill="1" applyBorder="1" applyAlignment="1">
      <alignment horizontal="center" vertical="center"/>
    </xf>
    <xf numFmtId="1" fontId="6983" fillId="8" borderId="1" xfId="0" applyNumberFormat="1" applyFont="1" applyFill="1" applyBorder="1" applyAlignment="1">
      <alignment horizontal="center" vertical="center"/>
    </xf>
    <xf numFmtId="165" fontId="6984" fillId="8" borderId="1" xfId="0" applyNumberFormat="1" applyFont="1" applyFill="1" applyBorder="1" applyAlignment="1">
      <alignment horizontal="center" vertical="center"/>
    </xf>
    <xf numFmtId="1" fontId="6985" fillId="8" borderId="1" xfId="0" applyNumberFormat="1" applyFont="1" applyFill="1" applyBorder="1" applyAlignment="1">
      <alignment horizontal="center" vertical="center"/>
    </xf>
    <xf numFmtId="165" fontId="6986" fillId="8" borderId="1" xfId="0" applyNumberFormat="1" applyFont="1" applyFill="1" applyBorder="1" applyAlignment="1">
      <alignment horizontal="center" vertical="center"/>
    </xf>
    <xf numFmtId="2" fontId="6987" fillId="8" borderId="1" xfId="0" applyNumberFormat="1" applyFont="1" applyFill="1" applyBorder="1" applyAlignment="1">
      <alignment horizontal="center" vertical="center"/>
    </xf>
    <xf numFmtId="2" fontId="6988" fillId="8" borderId="1" xfId="0" applyNumberFormat="1" applyFont="1" applyFill="1" applyBorder="1" applyAlignment="1">
      <alignment horizontal="center" vertical="center"/>
    </xf>
    <xf numFmtId="2" fontId="6989" fillId="8" borderId="1" xfId="0" applyNumberFormat="1" applyFont="1" applyFill="1" applyBorder="1" applyAlignment="1">
      <alignment horizontal="center" vertical="center"/>
    </xf>
    <xf numFmtId="2" fontId="6990" fillId="8" borderId="1" xfId="0" applyNumberFormat="1" applyFont="1" applyFill="1" applyBorder="1" applyAlignment="1">
      <alignment horizontal="center" vertical="center"/>
    </xf>
    <xf numFmtId="2" fontId="6991" fillId="8" borderId="1" xfId="0" applyNumberFormat="1" applyFont="1" applyFill="1" applyBorder="1" applyAlignment="1">
      <alignment horizontal="center" vertical="center"/>
    </xf>
    <xf numFmtId="2" fontId="6992" fillId="8" borderId="1" xfId="0" applyNumberFormat="1" applyFont="1" applyFill="1" applyBorder="1" applyAlignment="1">
      <alignment horizontal="center" vertical="center"/>
    </xf>
    <xf numFmtId="2" fontId="6993" fillId="8" borderId="1" xfId="0" applyNumberFormat="1" applyFont="1" applyFill="1" applyBorder="1" applyAlignment="1">
      <alignment horizontal="center" vertical="center"/>
    </xf>
    <xf numFmtId="2" fontId="6994" fillId="8" borderId="1" xfId="0" applyNumberFormat="1" applyFont="1" applyFill="1" applyBorder="1" applyAlignment="1">
      <alignment horizontal="center" vertical="center"/>
    </xf>
    <xf numFmtId="2" fontId="6995" fillId="8" borderId="1" xfId="0" applyNumberFormat="1" applyFont="1" applyFill="1" applyBorder="1" applyAlignment="1">
      <alignment horizontal="center" vertical="center"/>
    </xf>
    <xf numFmtId="2" fontId="6996" fillId="8" borderId="1" xfId="0" applyNumberFormat="1" applyFont="1" applyFill="1" applyBorder="1" applyAlignment="1">
      <alignment horizontal="center" vertical="center"/>
    </xf>
    <xf numFmtId="2" fontId="6997" fillId="8" borderId="1" xfId="0" applyNumberFormat="1" applyFont="1" applyFill="1" applyBorder="1" applyAlignment="1">
      <alignment horizontal="center" vertical="center"/>
    </xf>
    <xf numFmtId="2" fontId="6998" fillId="8" borderId="1" xfId="0" applyNumberFormat="1" applyFont="1" applyFill="1" applyBorder="1" applyAlignment="1">
      <alignment horizontal="center" vertical="center"/>
    </xf>
    <xf numFmtId="2" fontId="6999" fillId="8" borderId="1" xfId="0" applyNumberFormat="1" applyFont="1" applyFill="1" applyBorder="1" applyAlignment="1">
      <alignment horizontal="center" vertical="center"/>
    </xf>
    <xf numFmtId="2" fontId="7000" fillId="8" borderId="1" xfId="0" applyNumberFormat="1" applyFont="1" applyFill="1" applyBorder="1" applyAlignment="1">
      <alignment horizontal="center" vertical="center"/>
    </xf>
    <xf numFmtId="2" fontId="7001" fillId="8" borderId="1" xfId="0" applyNumberFormat="1" applyFont="1" applyFill="1" applyBorder="1" applyAlignment="1">
      <alignment horizontal="center" vertical="center"/>
    </xf>
    <xf numFmtId="2" fontId="7002" fillId="8" borderId="1" xfId="0" applyNumberFormat="1" applyFont="1" applyFill="1" applyBorder="1" applyAlignment="1">
      <alignment horizontal="center" vertical="center"/>
    </xf>
    <xf numFmtId="2" fontId="7003" fillId="8" borderId="1" xfId="0" applyNumberFormat="1" applyFont="1" applyFill="1" applyBorder="1" applyAlignment="1">
      <alignment horizontal="center" vertical="center"/>
    </xf>
    <xf numFmtId="2" fontId="7004" fillId="8" borderId="1" xfId="0" applyNumberFormat="1" applyFont="1" applyFill="1" applyBorder="1" applyAlignment="1">
      <alignment horizontal="center" vertical="center"/>
    </xf>
    <xf numFmtId="2" fontId="7005" fillId="8" borderId="1" xfId="0" applyNumberFormat="1" applyFont="1" applyFill="1" applyBorder="1" applyAlignment="1">
      <alignment horizontal="center" vertical="center"/>
    </xf>
    <xf numFmtId="2" fontId="7006" fillId="8" borderId="1" xfId="0" applyNumberFormat="1" applyFont="1" applyFill="1" applyBorder="1" applyAlignment="1">
      <alignment horizontal="center" vertical="center"/>
    </xf>
    <xf numFmtId="2" fontId="7007" fillId="8" borderId="1" xfId="0" applyNumberFormat="1" applyFont="1" applyFill="1" applyBorder="1" applyAlignment="1">
      <alignment horizontal="center" vertical="center"/>
    </xf>
    <xf numFmtId="2" fontId="7008" fillId="8" borderId="1" xfId="0" applyNumberFormat="1" applyFont="1" applyFill="1" applyBorder="1" applyAlignment="1">
      <alignment horizontal="center" vertical="center"/>
    </xf>
    <xf numFmtId="2" fontId="7009" fillId="8" borderId="1" xfId="0" applyNumberFormat="1" applyFont="1" applyFill="1" applyBorder="1" applyAlignment="1">
      <alignment horizontal="center" vertical="center"/>
    </xf>
    <xf numFmtId="2" fontId="7010" fillId="8" borderId="1" xfId="0" applyNumberFormat="1" applyFont="1" applyFill="1" applyBorder="1" applyAlignment="1">
      <alignment horizontal="center" vertical="center"/>
    </xf>
    <xf numFmtId="2" fontId="7011" fillId="8" borderId="1" xfId="0" applyNumberFormat="1" applyFont="1" applyFill="1" applyBorder="1" applyAlignment="1">
      <alignment horizontal="center" vertical="center"/>
    </xf>
    <xf numFmtId="2" fontId="7012" fillId="8" borderId="1" xfId="0" applyNumberFormat="1" applyFont="1" applyFill="1" applyBorder="1" applyAlignment="1">
      <alignment horizontal="center" vertical="center"/>
    </xf>
    <xf numFmtId="2" fontId="7013" fillId="8" borderId="1" xfId="0" applyNumberFormat="1" applyFont="1" applyFill="1" applyBorder="1" applyAlignment="1">
      <alignment horizontal="center" vertical="center"/>
    </xf>
    <xf numFmtId="2" fontId="7014" fillId="8" borderId="1" xfId="0" applyNumberFormat="1" applyFont="1" applyFill="1" applyBorder="1" applyAlignment="1">
      <alignment horizontal="center" vertical="center"/>
    </xf>
    <xf numFmtId="2" fontId="7015" fillId="8" borderId="1" xfId="0" applyNumberFormat="1" applyFont="1" applyFill="1" applyBorder="1" applyAlignment="1">
      <alignment horizontal="center" vertical="center"/>
    </xf>
    <xf numFmtId="2" fontId="7016" fillId="8" borderId="1" xfId="0" applyNumberFormat="1" applyFont="1" applyFill="1" applyBorder="1" applyAlignment="1">
      <alignment horizontal="center" vertical="center"/>
    </xf>
    <xf numFmtId="2" fontId="7017" fillId="8" borderId="1" xfId="0" applyNumberFormat="1" applyFont="1" applyFill="1" applyBorder="1" applyAlignment="1">
      <alignment horizontal="center" vertical="center"/>
    </xf>
    <xf numFmtId="2" fontId="7018" fillId="8" borderId="1" xfId="0" applyNumberFormat="1" applyFont="1" applyFill="1" applyBorder="1" applyAlignment="1">
      <alignment horizontal="center" vertical="center"/>
    </xf>
    <xf numFmtId="2" fontId="7019" fillId="8" borderId="1" xfId="0" applyNumberFormat="1" applyFont="1" applyFill="1" applyBorder="1" applyAlignment="1">
      <alignment horizontal="center" vertical="center"/>
    </xf>
    <xf numFmtId="2" fontId="7020" fillId="8" borderId="1" xfId="0" applyNumberFormat="1" applyFont="1" applyFill="1" applyBorder="1" applyAlignment="1">
      <alignment horizontal="center" vertical="center"/>
    </xf>
    <xf numFmtId="0" fontId="7021" fillId="7" borderId="1" xfId="0" applyNumberFormat="1" applyFont="1" applyFill="1" applyBorder="1" applyAlignment="1">
      <alignment horizontal="left" vertical="center"/>
    </xf>
    <xf numFmtId="0" fontId="7022" fillId="8" borderId="1" xfId="0" applyNumberFormat="1" applyFont="1" applyFill="1" applyBorder="1" applyAlignment="1">
      <alignment horizontal="center" vertical="center"/>
    </xf>
    <xf numFmtId="164" fontId="7023" fillId="8" borderId="1" xfId="0" applyNumberFormat="1" applyFont="1" applyFill="1" applyBorder="1" applyAlignment="1">
      <alignment horizontal="center" vertical="center"/>
    </xf>
    <xf numFmtId="1" fontId="7024" fillId="8" borderId="1" xfId="0" applyNumberFormat="1" applyFont="1" applyFill="1" applyBorder="1" applyAlignment="1">
      <alignment horizontal="center" vertical="center"/>
    </xf>
    <xf numFmtId="1" fontId="7025" fillId="8" borderId="1" xfId="0" applyNumberFormat="1" applyFont="1" applyFill="1" applyBorder="1" applyAlignment="1">
      <alignment horizontal="center" vertical="center"/>
    </xf>
    <xf numFmtId="1" fontId="7026" fillId="8" borderId="1" xfId="0" applyNumberFormat="1" applyFont="1" applyFill="1" applyBorder="1" applyAlignment="1">
      <alignment horizontal="center" vertical="center"/>
    </xf>
    <xf numFmtId="1" fontId="7027" fillId="8" borderId="1" xfId="0" applyNumberFormat="1" applyFont="1" applyFill="1" applyBorder="1" applyAlignment="1">
      <alignment horizontal="center" vertical="center"/>
    </xf>
    <xf numFmtId="1" fontId="7028" fillId="8" borderId="1" xfId="0" applyNumberFormat="1" applyFont="1" applyFill="1" applyBorder="1" applyAlignment="1">
      <alignment horizontal="center" vertical="center"/>
    </xf>
    <xf numFmtId="1" fontId="7029" fillId="8" borderId="1" xfId="0" applyNumberFormat="1" applyFont="1" applyFill="1" applyBorder="1" applyAlignment="1">
      <alignment horizontal="center" vertical="center"/>
    </xf>
    <xf numFmtId="1" fontId="7030" fillId="8" borderId="1" xfId="0" applyNumberFormat="1" applyFont="1" applyFill="1" applyBorder="1" applyAlignment="1">
      <alignment horizontal="center" vertical="center"/>
    </xf>
    <xf numFmtId="0" fontId="7031" fillId="8" borderId="1" xfId="0" applyNumberFormat="1" applyFont="1" applyFill="1" applyBorder="1" applyAlignment="1">
      <alignment horizontal="center" vertical="center"/>
    </xf>
    <xf numFmtId="0" fontId="7032" fillId="8" borderId="1" xfId="0" applyNumberFormat="1" applyFont="1" applyFill="1" applyBorder="1" applyAlignment="1">
      <alignment horizontal="center" vertical="center"/>
    </xf>
    <xf numFmtId="1" fontId="7033" fillId="8" borderId="1" xfId="0" applyNumberFormat="1" applyFont="1" applyFill="1" applyBorder="1" applyAlignment="1">
      <alignment horizontal="center" vertical="center"/>
    </xf>
    <xf numFmtId="1" fontId="7034" fillId="8" borderId="1" xfId="0" applyNumberFormat="1" applyFont="1" applyFill="1" applyBorder="1" applyAlignment="1">
      <alignment horizontal="center" vertical="center"/>
    </xf>
    <xf numFmtId="1" fontId="7035" fillId="8" borderId="1" xfId="0" applyNumberFormat="1" applyFont="1" applyFill="1" applyBorder="1" applyAlignment="1">
      <alignment horizontal="center" vertical="center"/>
    </xf>
    <xf numFmtId="165" fontId="7036" fillId="8" borderId="1" xfId="0" applyNumberFormat="1" applyFont="1" applyFill="1" applyBorder="1" applyAlignment="1">
      <alignment horizontal="center" vertical="center"/>
    </xf>
    <xf numFmtId="1" fontId="7037" fillId="8" borderId="1" xfId="0" applyNumberFormat="1" applyFont="1" applyFill="1" applyBorder="1" applyAlignment="1">
      <alignment horizontal="center" vertical="center"/>
    </xf>
    <xf numFmtId="165" fontId="7038" fillId="8" borderId="1" xfId="0" applyNumberFormat="1" applyFont="1" applyFill="1" applyBorder="1" applyAlignment="1">
      <alignment horizontal="center" vertical="center"/>
    </xf>
    <xf numFmtId="1" fontId="7039" fillId="8" borderId="1" xfId="0" applyNumberFormat="1" applyFont="1" applyFill="1" applyBorder="1" applyAlignment="1">
      <alignment horizontal="center" vertical="center"/>
    </xf>
    <xf numFmtId="165" fontId="7040" fillId="8" borderId="1" xfId="0" applyNumberFormat="1" applyFont="1" applyFill="1" applyBorder="1" applyAlignment="1">
      <alignment horizontal="center" vertical="center"/>
    </xf>
    <xf numFmtId="1" fontId="7041" fillId="8" borderId="1" xfId="0" applyNumberFormat="1" applyFont="1" applyFill="1" applyBorder="1" applyAlignment="1">
      <alignment horizontal="center" vertical="center"/>
    </xf>
    <xf numFmtId="165" fontId="7042" fillId="8" borderId="1" xfId="0" applyNumberFormat="1" applyFont="1" applyFill="1" applyBorder="1" applyAlignment="1">
      <alignment horizontal="center" vertical="center"/>
    </xf>
    <xf numFmtId="165" fontId="7043" fillId="8" borderId="1" xfId="0" applyNumberFormat="1" applyFont="1" applyFill="1" applyBorder="1" applyAlignment="1">
      <alignment horizontal="center" vertical="center"/>
    </xf>
    <xf numFmtId="1" fontId="7044" fillId="8" borderId="1" xfId="0" applyNumberFormat="1" applyFont="1" applyFill="1" applyBorder="1" applyAlignment="1">
      <alignment horizontal="center" vertical="center"/>
    </xf>
    <xf numFmtId="1" fontId="7045" fillId="8" borderId="1" xfId="0" applyNumberFormat="1" applyFont="1" applyFill="1" applyBorder="1" applyAlignment="1">
      <alignment horizontal="center" vertical="center"/>
    </xf>
    <xf numFmtId="1" fontId="7046" fillId="8" borderId="1" xfId="0" applyNumberFormat="1" applyFont="1" applyFill="1" applyBorder="1" applyAlignment="1">
      <alignment horizontal="center" vertical="center"/>
    </xf>
    <xf numFmtId="165" fontId="7047" fillId="8" borderId="1" xfId="0" applyNumberFormat="1" applyFont="1" applyFill="1" applyBorder="1" applyAlignment="1">
      <alignment horizontal="center" vertical="center"/>
    </xf>
    <xf numFmtId="164" fontId="7048" fillId="8" borderId="1" xfId="0" applyNumberFormat="1" applyFont="1" applyFill="1" applyBorder="1" applyAlignment="1">
      <alignment horizontal="center" vertical="center"/>
    </xf>
    <xf numFmtId="164" fontId="7049" fillId="8" borderId="1" xfId="0" applyNumberFormat="1" applyFont="1" applyFill="1" applyBorder="1" applyAlignment="1">
      <alignment horizontal="center" vertical="center"/>
    </xf>
    <xf numFmtId="1" fontId="7050" fillId="8" borderId="1" xfId="0" applyNumberFormat="1" applyFont="1" applyFill="1" applyBorder="1" applyAlignment="1">
      <alignment horizontal="center" vertical="center"/>
    </xf>
    <xf numFmtId="1" fontId="7051" fillId="8" borderId="1" xfId="0" applyNumberFormat="1" applyFont="1" applyFill="1" applyBorder="1" applyAlignment="1">
      <alignment horizontal="center" vertical="center"/>
    </xf>
    <xf numFmtId="1" fontId="7052" fillId="8" borderId="1" xfId="0" applyNumberFormat="1" applyFont="1" applyFill="1" applyBorder="1" applyAlignment="1">
      <alignment horizontal="center" vertical="center"/>
    </xf>
    <xf numFmtId="165" fontId="7053" fillId="8" borderId="1" xfId="0" applyNumberFormat="1" applyFont="1" applyFill="1" applyBorder="1" applyAlignment="1">
      <alignment horizontal="center" vertical="center"/>
    </xf>
    <xf numFmtId="1" fontId="7054" fillId="8" borderId="1" xfId="0" applyNumberFormat="1" applyFont="1" applyFill="1" applyBorder="1" applyAlignment="1">
      <alignment horizontal="center" vertical="center"/>
    </xf>
    <xf numFmtId="165" fontId="7055" fillId="8" borderId="1" xfId="0" applyNumberFormat="1" applyFont="1" applyFill="1" applyBorder="1" applyAlignment="1">
      <alignment horizontal="center" vertical="center"/>
    </xf>
    <xf numFmtId="1" fontId="7056" fillId="8" borderId="1" xfId="0" applyNumberFormat="1" applyFont="1" applyFill="1" applyBorder="1" applyAlignment="1">
      <alignment horizontal="center" vertical="center"/>
    </xf>
    <xf numFmtId="1" fontId="7057" fillId="8" borderId="1" xfId="0" applyNumberFormat="1" applyFont="1" applyFill="1" applyBorder="1" applyAlignment="1">
      <alignment horizontal="center" vertical="center"/>
    </xf>
    <xf numFmtId="1" fontId="7058" fillId="8" borderId="1" xfId="0" applyNumberFormat="1" applyFont="1" applyFill="1" applyBorder="1" applyAlignment="1">
      <alignment horizontal="center" vertical="center"/>
    </xf>
    <xf numFmtId="1" fontId="7059" fillId="8" borderId="1" xfId="0" applyNumberFormat="1" applyFont="1" applyFill="1" applyBorder="1" applyAlignment="1">
      <alignment horizontal="center" vertical="center"/>
    </xf>
    <xf numFmtId="165" fontId="7060" fillId="8" borderId="1" xfId="0" applyNumberFormat="1" applyFont="1" applyFill="1" applyBorder="1" applyAlignment="1">
      <alignment horizontal="center" vertical="center"/>
    </xf>
    <xf numFmtId="1" fontId="7061" fillId="8" borderId="1" xfId="0" applyNumberFormat="1" applyFont="1" applyFill="1" applyBorder="1" applyAlignment="1">
      <alignment horizontal="center" vertical="center"/>
    </xf>
    <xf numFmtId="165" fontId="7062" fillId="8" borderId="1" xfId="0" applyNumberFormat="1" applyFont="1" applyFill="1" applyBorder="1" applyAlignment="1">
      <alignment horizontal="center" vertical="center"/>
    </xf>
    <xf numFmtId="1" fontId="7063" fillId="8" borderId="1" xfId="0" applyNumberFormat="1" applyFont="1" applyFill="1" applyBorder="1" applyAlignment="1">
      <alignment horizontal="center" vertical="center"/>
    </xf>
    <xf numFmtId="165" fontId="7064" fillId="8" borderId="1" xfId="0" applyNumberFormat="1" applyFont="1" applyFill="1" applyBorder="1" applyAlignment="1">
      <alignment horizontal="center" vertical="center"/>
    </xf>
    <xf numFmtId="2" fontId="7065" fillId="8" borderId="1" xfId="0" applyNumberFormat="1" applyFont="1" applyFill="1" applyBorder="1" applyAlignment="1">
      <alignment horizontal="center" vertical="center"/>
    </xf>
    <xf numFmtId="2" fontId="7066" fillId="8" borderId="1" xfId="0" applyNumberFormat="1" applyFont="1" applyFill="1" applyBorder="1" applyAlignment="1">
      <alignment horizontal="center" vertical="center"/>
    </xf>
    <xf numFmtId="2" fontId="7067" fillId="8" borderId="1" xfId="0" applyNumberFormat="1" applyFont="1" applyFill="1" applyBorder="1" applyAlignment="1">
      <alignment horizontal="center" vertical="center"/>
    </xf>
    <xf numFmtId="2" fontId="7068" fillId="8" borderId="1" xfId="0" applyNumberFormat="1" applyFont="1" applyFill="1" applyBorder="1" applyAlignment="1">
      <alignment horizontal="center" vertical="center"/>
    </xf>
    <xf numFmtId="2" fontId="7069" fillId="8" borderId="1" xfId="0" applyNumberFormat="1" applyFont="1" applyFill="1" applyBorder="1" applyAlignment="1">
      <alignment horizontal="center" vertical="center"/>
    </xf>
    <xf numFmtId="2" fontId="7070" fillId="8" borderId="1" xfId="0" applyNumberFormat="1" applyFont="1" applyFill="1" applyBorder="1" applyAlignment="1">
      <alignment horizontal="center" vertical="center"/>
    </xf>
    <xf numFmtId="2" fontId="7071" fillId="8" borderId="1" xfId="0" applyNumberFormat="1" applyFont="1" applyFill="1" applyBorder="1" applyAlignment="1">
      <alignment horizontal="center" vertical="center"/>
    </xf>
    <xf numFmtId="2" fontId="7072" fillId="8" borderId="1" xfId="0" applyNumberFormat="1" applyFont="1" applyFill="1" applyBorder="1" applyAlignment="1">
      <alignment horizontal="center" vertical="center"/>
    </xf>
    <xf numFmtId="2" fontId="7073" fillId="8" borderId="1" xfId="0" applyNumberFormat="1" applyFont="1" applyFill="1" applyBorder="1" applyAlignment="1">
      <alignment horizontal="center" vertical="center"/>
    </xf>
    <xf numFmtId="2" fontId="7074" fillId="8" borderId="1" xfId="0" applyNumberFormat="1" applyFont="1" applyFill="1" applyBorder="1" applyAlignment="1">
      <alignment horizontal="center" vertical="center"/>
    </xf>
    <xf numFmtId="2" fontId="7075" fillId="8" borderId="1" xfId="0" applyNumberFormat="1" applyFont="1" applyFill="1" applyBorder="1" applyAlignment="1">
      <alignment horizontal="center" vertical="center"/>
    </xf>
    <xf numFmtId="2" fontId="7076" fillId="8" borderId="1" xfId="0" applyNumberFormat="1" applyFont="1" applyFill="1" applyBorder="1" applyAlignment="1">
      <alignment horizontal="center" vertical="center"/>
    </xf>
    <xf numFmtId="2" fontId="7077" fillId="8" borderId="1" xfId="0" applyNumberFormat="1" applyFont="1" applyFill="1" applyBorder="1" applyAlignment="1">
      <alignment horizontal="center" vertical="center"/>
    </xf>
    <xf numFmtId="2" fontId="7078" fillId="8" borderId="1" xfId="0" applyNumberFormat="1" applyFont="1" applyFill="1" applyBorder="1" applyAlignment="1">
      <alignment horizontal="center" vertical="center"/>
    </xf>
    <xf numFmtId="2" fontId="7079" fillId="8" borderId="1" xfId="0" applyNumberFormat="1" applyFont="1" applyFill="1" applyBorder="1" applyAlignment="1">
      <alignment horizontal="center" vertical="center"/>
    </xf>
    <xf numFmtId="2" fontId="7080" fillId="8" borderId="1" xfId="0" applyNumberFormat="1" applyFont="1" applyFill="1" applyBorder="1" applyAlignment="1">
      <alignment horizontal="center" vertical="center"/>
    </xf>
    <xf numFmtId="2" fontId="7081" fillId="8" borderId="1" xfId="0" applyNumberFormat="1" applyFont="1" applyFill="1" applyBorder="1" applyAlignment="1">
      <alignment horizontal="center" vertical="center"/>
    </xf>
    <xf numFmtId="2" fontId="7082" fillId="8" borderId="1" xfId="0" applyNumberFormat="1" applyFont="1" applyFill="1" applyBorder="1" applyAlignment="1">
      <alignment horizontal="center" vertical="center"/>
    </xf>
    <xf numFmtId="2" fontId="7083" fillId="8" borderId="1" xfId="0" applyNumberFormat="1" applyFont="1" applyFill="1" applyBorder="1" applyAlignment="1">
      <alignment horizontal="center" vertical="center"/>
    </xf>
    <xf numFmtId="2" fontId="7084" fillId="8" borderId="1" xfId="0" applyNumberFormat="1" applyFont="1" applyFill="1" applyBorder="1" applyAlignment="1">
      <alignment horizontal="center" vertical="center"/>
    </xf>
    <xf numFmtId="2" fontId="7085" fillId="8" borderId="1" xfId="0" applyNumberFormat="1" applyFont="1" applyFill="1" applyBorder="1" applyAlignment="1">
      <alignment horizontal="center" vertical="center"/>
    </xf>
    <xf numFmtId="2" fontId="7086" fillId="8" borderId="1" xfId="0" applyNumberFormat="1" applyFont="1" applyFill="1" applyBorder="1" applyAlignment="1">
      <alignment horizontal="center" vertical="center"/>
    </xf>
    <xf numFmtId="2" fontId="7087" fillId="8" borderId="1" xfId="0" applyNumberFormat="1" applyFont="1" applyFill="1" applyBorder="1" applyAlignment="1">
      <alignment horizontal="center" vertical="center"/>
    </xf>
    <xf numFmtId="2" fontId="7088" fillId="8" borderId="1" xfId="0" applyNumberFormat="1" applyFont="1" applyFill="1" applyBorder="1" applyAlignment="1">
      <alignment horizontal="center" vertical="center"/>
    </xf>
    <xf numFmtId="2" fontId="7089" fillId="8" borderId="1" xfId="0" applyNumberFormat="1" applyFont="1" applyFill="1" applyBorder="1" applyAlignment="1">
      <alignment horizontal="center" vertical="center"/>
    </xf>
    <xf numFmtId="2" fontId="7090" fillId="8" borderId="1" xfId="0" applyNumberFormat="1" applyFont="1" applyFill="1" applyBorder="1" applyAlignment="1">
      <alignment horizontal="center" vertical="center"/>
    </xf>
    <xf numFmtId="2" fontId="7091" fillId="8" borderId="1" xfId="0" applyNumberFormat="1" applyFont="1" applyFill="1" applyBorder="1" applyAlignment="1">
      <alignment horizontal="center" vertical="center"/>
    </xf>
    <xf numFmtId="2" fontId="7092" fillId="8" borderId="1" xfId="0" applyNumberFormat="1" applyFont="1" applyFill="1" applyBorder="1" applyAlignment="1">
      <alignment horizontal="center" vertical="center"/>
    </xf>
    <xf numFmtId="2" fontId="7093" fillId="8" borderId="1" xfId="0" applyNumberFormat="1" applyFont="1" applyFill="1" applyBorder="1" applyAlignment="1">
      <alignment horizontal="center" vertical="center"/>
    </xf>
    <xf numFmtId="2" fontId="7094" fillId="8" borderId="1" xfId="0" applyNumberFormat="1" applyFont="1" applyFill="1" applyBorder="1" applyAlignment="1">
      <alignment horizontal="center" vertical="center"/>
    </xf>
    <xf numFmtId="2" fontId="7095" fillId="8" borderId="1" xfId="0" applyNumberFormat="1" applyFont="1" applyFill="1" applyBorder="1" applyAlignment="1">
      <alignment horizontal="center" vertical="center"/>
    </xf>
    <xf numFmtId="2" fontId="7096" fillId="8" borderId="1" xfId="0" applyNumberFormat="1" applyFont="1" applyFill="1" applyBorder="1" applyAlignment="1">
      <alignment horizontal="center" vertical="center"/>
    </xf>
    <xf numFmtId="2" fontId="7097" fillId="8" borderId="1" xfId="0" applyNumberFormat="1" applyFont="1" applyFill="1" applyBorder="1" applyAlignment="1">
      <alignment horizontal="center" vertical="center"/>
    </xf>
    <xf numFmtId="2" fontId="7098" fillId="8" borderId="1" xfId="0" applyNumberFormat="1" applyFont="1" applyFill="1" applyBorder="1" applyAlignment="1">
      <alignment horizontal="center" vertical="center"/>
    </xf>
    <xf numFmtId="0" fontId="7099" fillId="7" borderId="1" xfId="0" applyNumberFormat="1" applyFont="1" applyFill="1" applyBorder="1" applyAlignment="1">
      <alignment horizontal="left" vertical="center"/>
    </xf>
    <xf numFmtId="0" fontId="7100" fillId="8" borderId="1" xfId="0" applyNumberFormat="1" applyFont="1" applyFill="1" applyBorder="1" applyAlignment="1">
      <alignment horizontal="center" vertical="center"/>
    </xf>
    <xf numFmtId="164" fontId="7101" fillId="8" borderId="1" xfId="0" applyNumberFormat="1" applyFont="1" applyFill="1" applyBorder="1" applyAlignment="1">
      <alignment horizontal="center" vertical="center"/>
    </xf>
    <xf numFmtId="1" fontId="7102" fillId="8" borderId="1" xfId="0" applyNumberFormat="1" applyFont="1" applyFill="1" applyBorder="1" applyAlignment="1">
      <alignment horizontal="center" vertical="center"/>
    </xf>
    <xf numFmtId="1" fontId="7103" fillId="8" borderId="1" xfId="0" applyNumberFormat="1" applyFont="1" applyFill="1" applyBorder="1" applyAlignment="1">
      <alignment horizontal="center" vertical="center"/>
    </xf>
    <xf numFmtId="1" fontId="7104" fillId="8" borderId="1" xfId="0" applyNumberFormat="1" applyFont="1" applyFill="1" applyBorder="1" applyAlignment="1">
      <alignment horizontal="center" vertical="center"/>
    </xf>
    <xf numFmtId="1" fontId="7105" fillId="8" borderId="1" xfId="0" applyNumberFormat="1" applyFont="1" applyFill="1" applyBorder="1" applyAlignment="1">
      <alignment horizontal="center" vertical="center"/>
    </xf>
    <xf numFmtId="1" fontId="7106" fillId="8" borderId="1" xfId="0" applyNumberFormat="1" applyFont="1" applyFill="1" applyBorder="1" applyAlignment="1">
      <alignment horizontal="center" vertical="center"/>
    </xf>
    <xf numFmtId="1" fontId="7107" fillId="8" borderId="1" xfId="0" applyNumberFormat="1" applyFont="1" applyFill="1" applyBorder="1" applyAlignment="1">
      <alignment horizontal="center" vertical="center"/>
    </xf>
    <xf numFmtId="1" fontId="7108" fillId="8" borderId="1" xfId="0" applyNumberFormat="1" applyFont="1" applyFill="1" applyBorder="1" applyAlignment="1">
      <alignment horizontal="center" vertical="center"/>
    </xf>
    <xf numFmtId="0" fontId="7109" fillId="8" borderId="1" xfId="0" applyNumberFormat="1" applyFont="1" applyFill="1" applyBorder="1" applyAlignment="1">
      <alignment horizontal="center" vertical="center"/>
    </xf>
    <xf numFmtId="0" fontId="7110" fillId="8" borderId="1" xfId="0" applyNumberFormat="1" applyFont="1" applyFill="1" applyBorder="1" applyAlignment="1">
      <alignment horizontal="center" vertical="center"/>
    </xf>
    <xf numFmtId="1" fontId="7111" fillId="8" borderId="1" xfId="0" applyNumberFormat="1" applyFont="1" applyFill="1" applyBorder="1" applyAlignment="1">
      <alignment horizontal="center" vertical="center"/>
    </xf>
    <xf numFmtId="1" fontId="7112" fillId="8" borderId="1" xfId="0" applyNumberFormat="1" applyFont="1" applyFill="1" applyBorder="1" applyAlignment="1">
      <alignment horizontal="center" vertical="center"/>
    </xf>
    <xf numFmtId="1" fontId="7113" fillId="8" borderId="1" xfId="0" applyNumberFormat="1" applyFont="1" applyFill="1" applyBorder="1" applyAlignment="1">
      <alignment horizontal="center" vertical="center"/>
    </xf>
    <xf numFmtId="165" fontId="7114" fillId="8" borderId="1" xfId="0" applyNumberFormat="1" applyFont="1" applyFill="1" applyBorder="1" applyAlignment="1">
      <alignment horizontal="center" vertical="center"/>
    </xf>
    <xf numFmtId="1" fontId="7115" fillId="8" borderId="1" xfId="0" applyNumberFormat="1" applyFont="1" applyFill="1" applyBorder="1" applyAlignment="1">
      <alignment horizontal="center" vertical="center"/>
    </xf>
    <xf numFmtId="165" fontId="7116" fillId="8" borderId="1" xfId="0" applyNumberFormat="1" applyFont="1" applyFill="1" applyBorder="1" applyAlignment="1">
      <alignment horizontal="center" vertical="center"/>
    </xf>
    <xf numFmtId="1" fontId="7117" fillId="8" borderId="1" xfId="0" applyNumberFormat="1" applyFont="1" applyFill="1" applyBorder="1" applyAlignment="1">
      <alignment horizontal="center" vertical="center"/>
    </xf>
    <xf numFmtId="165" fontId="7118" fillId="8" borderId="1" xfId="0" applyNumberFormat="1" applyFont="1" applyFill="1" applyBorder="1" applyAlignment="1">
      <alignment horizontal="center" vertical="center"/>
    </xf>
    <xf numFmtId="1" fontId="7119" fillId="8" borderId="1" xfId="0" applyNumberFormat="1" applyFont="1" applyFill="1" applyBorder="1" applyAlignment="1">
      <alignment horizontal="center" vertical="center"/>
    </xf>
    <xf numFmtId="165" fontId="7120" fillId="8" borderId="1" xfId="0" applyNumberFormat="1" applyFont="1" applyFill="1" applyBorder="1" applyAlignment="1">
      <alignment horizontal="center" vertical="center"/>
    </xf>
    <xf numFmtId="165" fontId="7121" fillId="8" borderId="1" xfId="0" applyNumberFormat="1" applyFont="1" applyFill="1" applyBorder="1" applyAlignment="1">
      <alignment horizontal="center" vertical="center"/>
    </xf>
    <xf numFmtId="1" fontId="7122" fillId="8" borderId="1" xfId="0" applyNumberFormat="1" applyFont="1" applyFill="1" applyBorder="1" applyAlignment="1">
      <alignment horizontal="center" vertical="center"/>
    </xf>
    <xf numFmtId="1" fontId="7123" fillId="8" borderId="1" xfId="0" applyNumberFormat="1" applyFont="1" applyFill="1" applyBorder="1" applyAlignment="1">
      <alignment horizontal="center" vertical="center"/>
    </xf>
    <xf numFmtId="1" fontId="7124" fillId="8" borderId="1" xfId="0" applyNumberFormat="1" applyFont="1" applyFill="1" applyBorder="1" applyAlignment="1">
      <alignment horizontal="center" vertical="center"/>
    </xf>
    <xf numFmtId="165" fontId="7125" fillId="8" borderId="1" xfId="0" applyNumberFormat="1" applyFont="1" applyFill="1" applyBorder="1" applyAlignment="1">
      <alignment horizontal="center" vertical="center"/>
    </xf>
    <xf numFmtId="164" fontId="7126" fillId="8" borderId="1" xfId="0" applyNumberFormat="1" applyFont="1" applyFill="1" applyBorder="1" applyAlignment="1">
      <alignment horizontal="center" vertical="center"/>
    </xf>
    <xf numFmtId="164" fontId="7127" fillId="8" borderId="1" xfId="0" applyNumberFormat="1" applyFont="1" applyFill="1" applyBorder="1" applyAlignment="1">
      <alignment horizontal="center" vertical="center"/>
    </xf>
    <xf numFmtId="1" fontId="7128" fillId="8" borderId="1" xfId="0" applyNumberFormat="1" applyFont="1" applyFill="1" applyBorder="1" applyAlignment="1">
      <alignment horizontal="center" vertical="center"/>
    </xf>
    <xf numFmtId="1" fontId="7129" fillId="8" borderId="1" xfId="0" applyNumberFormat="1" applyFont="1" applyFill="1" applyBorder="1" applyAlignment="1">
      <alignment horizontal="center" vertical="center"/>
    </xf>
    <xf numFmtId="1" fontId="7130" fillId="8" borderId="1" xfId="0" applyNumberFormat="1" applyFont="1" applyFill="1" applyBorder="1" applyAlignment="1">
      <alignment horizontal="center" vertical="center"/>
    </xf>
    <xf numFmtId="165" fontId="7131" fillId="8" borderId="1" xfId="0" applyNumberFormat="1" applyFont="1" applyFill="1" applyBorder="1" applyAlignment="1">
      <alignment horizontal="center" vertical="center"/>
    </xf>
    <xf numFmtId="1" fontId="7132" fillId="8" borderId="1" xfId="0" applyNumberFormat="1" applyFont="1" applyFill="1" applyBorder="1" applyAlignment="1">
      <alignment horizontal="center" vertical="center"/>
    </xf>
    <xf numFmtId="165" fontId="7133" fillId="8" borderId="1" xfId="0" applyNumberFormat="1" applyFont="1" applyFill="1" applyBorder="1" applyAlignment="1">
      <alignment horizontal="center" vertical="center"/>
    </xf>
    <xf numFmtId="1" fontId="7134" fillId="8" borderId="1" xfId="0" applyNumberFormat="1" applyFont="1" applyFill="1" applyBorder="1" applyAlignment="1">
      <alignment horizontal="center" vertical="center"/>
    </xf>
    <xf numFmtId="1" fontId="7135" fillId="8" borderId="1" xfId="0" applyNumberFormat="1" applyFont="1" applyFill="1" applyBorder="1" applyAlignment="1">
      <alignment horizontal="center" vertical="center"/>
    </xf>
    <xf numFmtId="1" fontId="7136" fillId="8" borderId="1" xfId="0" applyNumberFormat="1" applyFont="1" applyFill="1" applyBorder="1" applyAlignment="1">
      <alignment horizontal="center" vertical="center"/>
    </xf>
    <xf numFmtId="1" fontId="7137" fillId="8" borderId="1" xfId="0" applyNumberFormat="1" applyFont="1" applyFill="1" applyBorder="1" applyAlignment="1">
      <alignment horizontal="center" vertical="center"/>
    </xf>
    <xf numFmtId="165" fontId="7138" fillId="8" borderId="1" xfId="0" applyNumberFormat="1" applyFont="1" applyFill="1" applyBorder="1" applyAlignment="1">
      <alignment horizontal="center" vertical="center"/>
    </xf>
    <xf numFmtId="1" fontId="7139" fillId="8" borderId="1" xfId="0" applyNumberFormat="1" applyFont="1" applyFill="1" applyBorder="1" applyAlignment="1">
      <alignment horizontal="center" vertical="center"/>
    </xf>
    <xf numFmtId="165" fontId="7140" fillId="8" borderId="1" xfId="0" applyNumberFormat="1" applyFont="1" applyFill="1" applyBorder="1" applyAlignment="1">
      <alignment horizontal="center" vertical="center"/>
    </xf>
    <xf numFmtId="1" fontId="7141" fillId="8" borderId="1" xfId="0" applyNumberFormat="1" applyFont="1" applyFill="1" applyBorder="1" applyAlignment="1">
      <alignment horizontal="center" vertical="center"/>
    </xf>
    <xf numFmtId="165" fontId="7142" fillId="8" borderId="1" xfId="0" applyNumberFormat="1" applyFont="1" applyFill="1" applyBorder="1" applyAlignment="1">
      <alignment horizontal="center" vertical="center"/>
    </xf>
    <xf numFmtId="2" fontId="7143" fillId="8" borderId="1" xfId="0" applyNumberFormat="1" applyFont="1" applyFill="1" applyBorder="1" applyAlignment="1">
      <alignment horizontal="center" vertical="center"/>
    </xf>
    <xf numFmtId="2" fontId="7144" fillId="8" borderId="1" xfId="0" applyNumberFormat="1" applyFont="1" applyFill="1" applyBorder="1" applyAlignment="1">
      <alignment horizontal="center" vertical="center"/>
    </xf>
    <xf numFmtId="2" fontId="7145" fillId="8" borderId="1" xfId="0" applyNumberFormat="1" applyFont="1" applyFill="1" applyBorder="1" applyAlignment="1">
      <alignment horizontal="center" vertical="center"/>
    </xf>
    <xf numFmtId="2" fontId="7146" fillId="8" borderId="1" xfId="0" applyNumberFormat="1" applyFont="1" applyFill="1" applyBorder="1" applyAlignment="1">
      <alignment horizontal="center" vertical="center"/>
    </xf>
    <xf numFmtId="2" fontId="7147" fillId="8" borderId="1" xfId="0" applyNumberFormat="1" applyFont="1" applyFill="1" applyBorder="1" applyAlignment="1">
      <alignment horizontal="center" vertical="center"/>
    </xf>
    <xf numFmtId="2" fontId="7148" fillId="8" borderId="1" xfId="0" applyNumberFormat="1" applyFont="1" applyFill="1" applyBorder="1" applyAlignment="1">
      <alignment horizontal="center" vertical="center"/>
    </xf>
    <xf numFmtId="2" fontId="7149" fillId="8" borderId="1" xfId="0" applyNumberFormat="1" applyFont="1" applyFill="1" applyBorder="1" applyAlignment="1">
      <alignment horizontal="center" vertical="center"/>
    </xf>
    <xf numFmtId="2" fontId="7150" fillId="8" borderId="1" xfId="0" applyNumberFormat="1" applyFont="1" applyFill="1" applyBorder="1" applyAlignment="1">
      <alignment horizontal="center" vertical="center"/>
    </xf>
    <xf numFmtId="2" fontId="7151" fillId="8" borderId="1" xfId="0" applyNumberFormat="1" applyFont="1" applyFill="1" applyBorder="1" applyAlignment="1">
      <alignment horizontal="center" vertical="center"/>
    </xf>
    <xf numFmtId="2" fontId="7152" fillId="8" borderId="1" xfId="0" applyNumberFormat="1" applyFont="1" applyFill="1" applyBorder="1" applyAlignment="1">
      <alignment horizontal="center" vertical="center"/>
    </xf>
    <xf numFmtId="2" fontId="7153" fillId="8" borderId="1" xfId="0" applyNumberFormat="1" applyFont="1" applyFill="1" applyBorder="1" applyAlignment="1">
      <alignment horizontal="center" vertical="center"/>
    </xf>
    <xf numFmtId="2" fontId="7154" fillId="8" borderId="1" xfId="0" applyNumberFormat="1" applyFont="1" applyFill="1" applyBorder="1" applyAlignment="1">
      <alignment horizontal="center" vertical="center"/>
    </xf>
    <xf numFmtId="2" fontId="7155" fillId="8" borderId="1" xfId="0" applyNumberFormat="1" applyFont="1" applyFill="1" applyBorder="1" applyAlignment="1">
      <alignment horizontal="center" vertical="center"/>
    </xf>
    <xf numFmtId="2" fontId="7156" fillId="8" borderId="1" xfId="0" applyNumberFormat="1" applyFont="1" applyFill="1" applyBorder="1" applyAlignment="1">
      <alignment horizontal="center" vertical="center"/>
    </xf>
    <xf numFmtId="2" fontId="7157" fillId="8" borderId="1" xfId="0" applyNumberFormat="1" applyFont="1" applyFill="1" applyBorder="1" applyAlignment="1">
      <alignment horizontal="center" vertical="center"/>
    </xf>
    <xf numFmtId="2" fontId="7158" fillId="8" borderId="1" xfId="0" applyNumberFormat="1" applyFont="1" applyFill="1" applyBorder="1" applyAlignment="1">
      <alignment horizontal="center" vertical="center"/>
    </xf>
    <xf numFmtId="2" fontId="7159" fillId="8" borderId="1" xfId="0" applyNumberFormat="1" applyFont="1" applyFill="1" applyBorder="1" applyAlignment="1">
      <alignment horizontal="center" vertical="center"/>
    </xf>
    <xf numFmtId="2" fontId="7160" fillId="8" borderId="1" xfId="0" applyNumberFormat="1" applyFont="1" applyFill="1" applyBorder="1" applyAlignment="1">
      <alignment horizontal="center" vertical="center"/>
    </xf>
    <xf numFmtId="2" fontId="7161" fillId="8" borderId="1" xfId="0" applyNumberFormat="1" applyFont="1" applyFill="1" applyBorder="1" applyAlignment="1">
      <alignment horizontal="center" vertical="center"/>
    </xf>
    <xf numFmtId="2" fontId="7162" fillId="8" borderId="1" xfId="0" applyNumberFormat="1" applyFont="1" applyFill="1" applyBorder="1" applyAlignment="1">
      <alignment horizontal="center" vertical="center"/>
    </xf>
    <xf numFmtId="2" fontId="7163" fillId="8" borderId="1" xfId="0" applyNumberFormat="1" applyFont="1" applyFill="1" applyBorder="1" applyAlignment="1">
      <alignment horizontal="center" vertical="center"/>
    </xf>
    <xf numFmtId="2" fontId="7164" fillId="8" borderId="1" xfId="0" applyNumberFormat="1" applyFont="1" applyFill="1" applyBorder="1" applyAlignment="1">
      <alignment horizontal="center" vertical="center"/>
    </xf>
    <xf numFmtId="2" fontId="7165" fillId="8" borderId="1" xfId="0" applyNumberFormat="1" applyFont="1" applyFill="1" applyBorder="1" applyAlignment="1">
      <alignment horizontal="center" vertical="center"/>
    </xf>
    <xf numFmtId="2" fontId="7166" fillId="8" borderId="1" xfId="0" applyNumberFormat="1" applyFont="1" applyFill="1" applyBorder="1" applyAlignment="1">
      <alignment horizontal="center" vertical="center"/>
    </xf>
    <xf numFmtId="2" fontId="7167" fillId="8" borderId="1" xfId="0" applyNumberFormat="1" applyFont="1" applyFill="1" applyBorder="1" applyAlignment="1">
      <alignment horizontal="center" vertical="center"/>
    </xf>
    <xf numFmtId="2" fontId="7168" fillId="8" borderId="1" xfId="0" applyNumberFormat="1" applyFont="1" applyFill="1" applyBorder="1" applyAlignment="1">
      <alignment horizontal="center" vertical="center"/>
    </xf>
    <xf numFmtId="2" fontId="7169" fillId="8" borderId="1" xfId="0" applyNumberFormat="1" applyFont="1" applyFill="1" applyBorder="1" applyAlignment="1">
      <alignment horizontal="center" vertical="center"/>
    </xf>
    <xf numFmtId="2" fontId="7170" fillId="8" borderId="1" xfId="0" applyNumberFormat="1" applyFont="1" applyFill="1" applyBorder="1" applyAlignment="1">
      <alignment horizontal="center" vertical="center"/>
    </xf>
    <xf numFmtId="2" fontId="7171" fillId="8" borderId="1" xfId="0" applyNumberFormat="1" applyFont="1" applyFill="1" applyBorder="1" applyAlignment="1">
      <alignment horizontal="center" vertical="center"/>
    </xf>
    <xf numFmtId="2" fontId="7172" fillId="8" borderId="1" xfId="0" applyNumberFormat="1" applyFont="1" applyFill="1" applyBorder="1" applyAlignment="1">
      <alignment horizontal="center" vertical="center"/>
    </xf>
    <xf numFmtId="2" fontId="7173" fillId="8" borderId="1" xfId="0" applyNumberFormat="1" applyFont="1" applyFill="1" applyBorder="1" applyAlignment="1">
      <alignment horizontal="center" vertical="center"/>
    </xf>
    <xf numFmtId="2" fontId="7174" fillId="8" borderId="1" xfId="0" applyNumberFormat="1" applyFont="1" applyFill="1" applyBorder="1" applyAlignment="1">
      <alignment horizontal="center" vertical="center"/>
    </xf>
    <xf numFmtId="2" fontId="7175" fillId="8" borderId="1" xfId="0" applyNumberFormat="1" applyFont="1" applyFill="1" applyBorder="1" applyAlignment="1">
      <alignment horizontal="center" vertical="center"/>
    </xf>
    <xf numFmtId="2" fontId="7176" fillId="8" borderId="1" xfId="0" applyNumberFormat="1" applyFont="1" applyFill="1" applyBorder="1" applyAlignment="1">
      <alignment horizontal="center" vertical="center"/>
    </xf>
    <xf numFmtId="0" fontId="7177" fillId="7" borderId="1" xfId="0" applyNumberFormat="1" applyFont="1" applyFill="1" applyBorder="1" applyAlignment="1">
      <alignment horizontal="left" vertical="center"/>
    </xf>
    <xf numFmtId="0" fontId="7178" fillId="8" borderId="1" xfId="0" applyNumberFormat="1" applyFont="1" applyFill="1" applyBorder="1" applyAlignment="1">
      <alignment horizontal="center" vertical="center"/>
    </xf>
    <xf numFmtId="164" fontId="7179" fillId="8" borderId="1" xfId="0" applyNumberFormat="1" applyFont="1" applyFill="1" applyBorder="1" applyAlignment="1">
      <alignment horizontal="center" vertical="center"/>
    </xf>
    <xf numFmtId="1" fontId="7180" fillId="8" borderId="1" xfId="0" applyNumberFormat="1" applyFont="1" applyFill="1" applyBorder="1" applyAlignment="1">
      <alignment horizontal="center" vertical="center"/>
    </xf>
    <xf numFmtId="1" fontId="7181" fillId="8" borderId="1" xfId="0" applyNumberFormat="1" applyFont="1" applyFill="1" applyBorder="1" applyAlignment="1">
      <alignment horizontal="center" vertical="center"/>
    </xf>
    <xf numFmtId="1" fontId="7182" fillId="8" borderId="1" xfId="0" applyNumberFormat="1" applyFont="1" applyFill="1" applyBorder="1" applyAlignment="1">
      <alignment horizontal="center" vertical="center"/>
    </xf>
    <xf numFmtId="1" fontId="7183" fillId="8" borderId="1" xfId="0" applyNumberFormat="1" applyFont="1" applyFill="1" applyBorder="1" applyAlignment="1">
      <alignment horizontal="center" vertical="center"/>
    </xf>
    <xf numFmtId="1" fontId="7184" fillId="8" borderId="1" xfId="0" applyNumberFormat="1" applyFont="1" applyFill="1" applyBorder="1" applyAlignment="1">
      <alignment horizontal="center" vertical="center"/>
    </xf>
    <xf numFmtId="1" fontId="7185" fillId="8" borderId="1" xfId="0" applyNumberFormat="1" applyFont="1" applyFill="1" applyBorder="1" applyAlignment="1">
      <alignment horizontal="center" vertical="center"/>
    </xf>
    <xf numFmtId="1" fontId="7186" fillId="8" borderId="1" xfId="0" applyNumberFormat="1" applyFont="1" applyFill="1" applyBorder="1" applyAlignment="1">
      <alignment horizontal="center" vertical="center"/>
    </xf>
    <xf numFmtId="0" fontId="7187" fillId="8" borderId="1" xfId="0" applyNumberFormat="1" applyFont="1" applyFill="1" applyBorder="1" applyAlignment="1">
      <alignment horizontal="center" vertical="center"/>
    </xf>
    <xf numFmtId="0" fontId="7188" fillId="8" borderId="1" xfId="0" applyNumberFormat="1" applyFont="1" applyFill="1" applyBorder="1" applyAlignment="1">
      <alignment horizontal="center" vertical="center"/>
    </xf>
    <xf numFmtId="1" fontId="7189" fillId="8" borderId="1" xfId="0" applyNumberFormat="1" applyFont="1" applyFill="1" applyBorder="1" applyAlignment="1">
      <alignment horizontal="center" vertical="center"/>
    </xf>
    <xf numFmtId="1" fontId="7190" fillId="8" borderId="1" xfId="0" applyNumberFormat="1" applyFont="1" applyFill="1" applyBorder="1" applyAlignment="1">
      <alignment horizontal="center" vertical="center"/>
    </xf>
    <xf numFmtId="1" fontId="7191" fillId="8" borderId="1" xfId="0" applyNumberFormat="1" applyFont="1" applyFill="1" applyBorder="1" applyAlignment="1">
      <alignment horizontal="center" vertical="center"/>
    </xf>
    <xf numFmtId="165" fontId="7192" fillId="8" borderId="1" xfId="0" applyNumberFormat="1" applyFont="1" applyFill="1" applyBorder="1" applyAlignment="1">
      <alignment horizontal="center" vertical="center"/>
    </xf>
    <xf numFmtId="1" fontId="7193" fillId="8" borderId="1" xfId="0" applyNumberFormat="1" applyFont="1" applyFill="1" applyBorder="1" applyAlignment="1">
      <alignment horizontal="center" vertical="center"/>
    </xf>
    <xf numFmtId="165" fontId="7194" fillId="8" borderId="1" xfId="0" applyNumberFormat="1" applyFont="1" applyFill="1" applyBorder="1" applyAlignment="1">
      <alignment horizontal="center" vertical="center"/>
    </xf>
    <xf numFmtId="1" fontId="7195" fillId="8" borderId="1" xfId="0" applyNumberFormat="1" applyFont="1" applyFill="1" applyBorder="1" applyAlignment="1">
      <alignment horizontal="center" vertical="center"/>
    </xf>
    <xf numFmtId="165" fontId="7196" fillId="8" borderId="1" xfId="0" applyNumberFormat="1" applyFont="1" applyFill="1" applyBorder="1" applyAlignment="1">
      <alignment horizontal="center" vertical="center"/>
    </xf>
    <xf numFmtId="1" fontId="7197" fillId="8" borderId="1" xfId="0" applyNumberFormat="1" applyFont="1" applyFill="1" applyBorder="1" applyAlignment="1">
      <alignment horizontal="center" vertical="center"/>
    </xf>
    <xf numFmtId="165" fontId="7198" fillId="8" borderId="1" xfId="0" applyNumberFormat="1" applyFont="1" applyFill="1" applyBorder="1" applyAlignment="1">
      <alignment horizontal="center" vertical="center"/>
    </xf>
    <xf numFmtId="165" fontId="7199" fillId="8" borderId="1" xfId="0" applyNumberFormat="1" applyFont="1" applyFill="1" applyBorder="1" applyAlignment="1">
      <alignment horizontal="center" vertical="center"/>
    </xf>
    <xf numFmtId="1" fontId="7200" fillId="8" borderId="1" xfId="0" applyNumberFormat="1" applyFont="1" applyFill="1" applyBorder="1" applyAlignment="1">
      <alignment horizontal="center" vertical="center"/>
    </xf>
    <xf numFmtId="1" fontId="7201" fillId="8" borderId="1" xfId="0" applyNumberFormat="1" applyFont="1" applyFill="1" applyBorder="1" applyAlignment="1">
      <alignment horizontal="center" vertical="center"/>
    </xf>
    <xf numFmtId="1" fontId="7202" fillId="8" borderId="1" xfId="0" applyNumberFormat="1" applyFont="1" applyFill="1" applyBorder="1" applyAlignment="1">
      <alignment horizontal="center" vertical="center"/>
    </xf>
    <xf numFmtId="165" fontId="7203" fillId="8" borderId="1" xfId="0" applyNumberFormat="1" applyFont="1" applyFill="1" applyBorder="1" applyAlignment="1">
      <alignment horizontal="center" vertical="center"/>
    </xf>
    <xf numFmtId="164" fontId="7204" fillId="8" borderId="1" xfId="0" applyNumberFormat="1" applyFont="1" applyFill="1" applyBorder="1" applyAlignment="1">
      <alignment horizontal="center" vertical="center"/>
    </xf>
    <xf numFmtId="164" fontId="7205" fillId="8" borderId="1" xfId="0" applyNumberFormat="1" applyFont="1" applyFill="1" applyBorder="1" applyAlignment="1">
      <alignment horizontal="center" vertical="center"/>
    </xf>
    <xf numFmtId="1" fontId="7206" fillId="8" borderId="1" xfId="0" applyNumberFormat="1" applyFont="1" applyFill="1" applyBorder="1" applyAlignment="1">
      <alignment horizontal="center" vertical="center"/>
    </xf>
    <xf numFmtId="1" fontId="7207" fillId="8" borderId="1" xfId="0" applyNumberFormat="1" applyFont="1" applyFill="1" applyBorder="1" applyAlignment="1">
      <alignment horizontal="center" vertical="center"/>
    </xf>
    <xf numFmtId="1" fontId="7208" fillId="8" borderId="1" xfId="0" applyNumberFormat="1" applyFont="1" applyFill="1" applyBorder="1" applyAlignment="1">
      <alignment horizontal="center" vertical="center"/>
    </xf>
    <xf numFmtId="165" fontId="7209" fillId="8" borderId="1" xfId="0" applyNumberFormat="1" applyFont="1" applyFill="1" applyBorder="1" applyAlignment="1">
      <alignment horizontal="center" vertical="center"/>
    </xf>
    <xf numFmtId="1" fontId="7210" fillId="8" borderId="1" xfId="0" applyNumberFormat="1" applyFont="1" applyFill="1" applyBorder="1" applyAlignment="1">
      <alignment horizontal="center" vertical="center"/>
    </xf>
    <xf numFmtId="165" fontId="7211" fillId="8" borderId="1" xfId="0" applyNumberFormat="1" applyFont="1" applyFill="1" applyBorder="1" applyAlignment="1">
      <alignment horizontal="center" vertical="center"/>
    </xf>
    <xf numFmtId="1" fontId="7212" fillId="8" borderId="1" xfId="0" applyNumberFormat="1" applyFont="1" applyFill="1" applyBorder="1" applyAlignment="1">
      <alignment horizontal="center" vertical="center"/>
    </xf>
    <xf numFmtId="1" fontId="7213" fillId="8" borderId="1" xfId="0" applyNumberFormat="1" applyFont="1" applyFill="1" applyBorder="1" applyAlignment="1">
      <alignment horizontal="center" vertical="center"/>
    </xf>
    <xf numFmtId="1" fontId="7214" fillId="8" borderId="1" xfId="0" applyNumberFormat="1" applyFont="1" applyFill="1" applyBorder="1" applyAlignment="1">
      <alignment horizontal="center" vertical="center"/>
    </xf>
    <xf numFmtId="1" fontId="7215" fillId="8" borderId="1" xfId="0" applyNumberFormat="1" applyFont="1" applyFill="1" applyBorder="1" applyAlignment="1">
      <alignment horizontal="center" vertical="center"/>
    </xf>
    <xf numFmtId="165" fontId="7216" fillId="8" borderId="1" xfId="0" applyNumberFormat="1" applyFont="1" applyFill="1" applyBorder="1" applyAlignment="1">
      <alignment horizontal="center" vertical="center"/>
    </xf>
    <xf numFmtId="1" fontId="7217" fillId="8" borderId="1" xfId="0" applyNumberFormat="1" applyFont="1" applyFill="1" applyBorder="1" applyAlignment="1">
      <alignment horizontal="center" vertical="center"/>
    </xf>
    <xf numFmtId="165" fontId="7218" fillId="8" borderId="1" xfId="0" applyNumberFormat="1" applyFont="1" applyFill="1" applyBorder="1" applyAlignment="1">
      <alignment horizontal="center" vertical="center"/>
    </xf>
    <xf numFmtId="1" fontId="7219" fillId="8" borderId="1" xfId="0" applyNumberFormat="1" applyFont="1" applyFill="1" applyBorder="1" applyAlignment="1">
      <alignment horizontal="center" vertical="center"/>
    </xf>
    <xf numFmtId="165" fontId="7220" fillId="8" borderId="1" xfId="0" applyNumberFormat="1" applyFont="1" applyFill="1" applyBorder="1" applyAlignment="1">
      <alignment horizontal="center" vertical="center"/>
    </xf>
    <xf numFmtId="2" fontId="7221" fillId="8" borderId="1" xfId="0" applyNumberFormat="1" applyFont="1" applyFill="1" applyBorder="1" applyAlignment="1">
      <alignment horizontal="center" vertical="center"/>
    </xf>
    <xf numFmtId="2" fontId="7222" fillId="8" borderId="1" xfId="0" applyNumberFormat="1" applyFont="1" applyFill="1" applyBorder="1" applyAlignment="1">
      <alignment horizontal="center" vertical="center"/>
    </xf>
    <xf numFmtId="2" fontId="7223" fillId="8" borderId="1" xfId="0" applyNumberFormat="1" applyFont="1" applyFill="1" applyBorder="1" applyAlignment="1">
      <alignment horizontal="center" vertical="center"/>
    </xf>
    <xf numFmtId="2" fontId="7224" fillId="8" borderId="1" xfId="0" applyNumberFormat="1" applyFont="1" applyFill="1" applyBorder="1" applyAlignment="1">
      <alignment horizontal="center" vertical="center"/>
    </xf>
    <xf numFmtId="2" fontId="7225" fillId="8" borderId="1" xfId="0" applyNumberFormat="1" applyFont="1" applyFill="1" applyBorder="1" applyAlignment="1">
      <alignment horizontal="center" vertical="center"/>
    </xf>
    <xf numFmtId="2" fontId="7226" fillId="8" borderId="1" xfId="0" applyNumberFormat="1" applyFont="1" applyFill="1" applyBorder="1" applyAlignment="1">
      <alignment horizontal="center" vertical="center"/>
    </xf>
    <xf numFmtId="2" fontId="7227" fillId="8" borderId="1" xfId="0" applyNumberFormat="1" applyFont="1" applyFill="1" applyBorder="1" applyAlignment="1">
      <alignment horizontal="center" vertical="center"/>
    </xf>
    <xf numFmtId="2" fontId="7228" fillId="8" borderId="1" xfId="0" applyNumberFormat="1" applyFont="1" applyFill="1" applyBorder="1" applyAlignment="1">
      <alignment horizontal="center" vertical="center"/>
    </xf>
    <xf numFmtId="2" fontId="7229" fillId="8" borderId="1" xfId="0" applyNumberFormat="1" applyFont="1" applyFill="1" applyBorder="1" applyAlignment="1">
      <alignment horizontal="center" vertical="center"/>
    </xf>
    <xf numFmtId="2" fontId="7230" fillId="8" borderId="1" xfId="0" applyNumberFormat="1" applyFont="1" applyFill="1" applyBorder="1" applyAlignment="1">
      <alignment horizontal="center" vertical="center"/>
    </xf>
    <xf numFmtId="2" fontId="7231" fillId="8" borderId="1" xfId="0" applyNumberFormat="1" applyFont="1" applyFill="1" applyBorder="1" applyAlignment="1">
      <alignment horizontal="center" vertical="center"/>
    </xf>
    <xf numFmtId="2" fontId="7232" fillId="8" borderId="1" xfId="0" applyNumberFormat="1" applyFont="1" applyFill="1" applyBorder="1" applyAlignment="1">
      <alignment horizontal="center" vertical="center"/>
    </xf>
    <xf numFmtId="2" fontId="7233" fillId="8" borderId="1" xfId="0" applyNumberFormat="1" applyFont="1" applyFill="1" applyBorder="1" applyAlignment="1">
      <alignment horizontal="center" vertical="center"/>
    </xf>
    <xf numFmtId="2" fontId="7234" fillId="8" borderId="1" xfId="0" applyNumberFormat="1" applyFont="1" applyFill="1" applyBorder="1" applyAlignment="1">
      <alignment horizontal="center" vertical="center"/>
    </xf>
    <xf numFmtId="2" fontId="7235" fillId="8" borderId="1" xfId="0" applyNumberFormat="1" applyFont="1" applyFill="1" applyBorder="1" applyAlignment="1">
      <alignment horizontal="center" vertical="center"/>
    </xf>
    <xf numFmtId="2" fontId="7236" fillId="8" borderId="1" xfId="0" applyNumberFormat="1" applyFont="1" applyFill="1" applyBorder="1" applyAlignment="1">
      <alignment horizontal="center" vertical="center"/>
    </xf>
    <xf numFmtId="2" fontId="7237" fillId="8" borderId="1" xfId="0" applyNumberFormat="1" applyFont="1" applyFill="1" applyBorder="1" applyAlignment="1">
      <alignment horizontal="center" vertical="center"/>
    </xf>
    <xf numFmtId="2" fontId="7238" fillId="8" borderId="1" xfId="0" applyNumberFormat="1" applyFont="1" applyFill="1" applyBorder="1" applyAlignment="1">
      <alignment horizontal="center" vertical="center"/>
    </xf>
    <xf numFmtId="2" fontId="7239" fillId="8" borderId="1" xfId="0" applyNumberFormat="1" applyFont="1" applyFill="1" applyBorder="1" applyAlignment="1">
      <alignment horizontal="center" vertical="center"/>
    </xf>
    <xf numFmtId="2" fontId="7240" fillId="8" borderId="1" xfId="0" applyNumberFormat="1" applyFont="1" applyFill="1" applyBorder="1" applyAlignment="1">
      <alignment horizontal="center" vertical="center"/>
    </xf>
    <xf numFmtId="2" fontId="7241" fillId="8" borderId="1" xfId="0" applyNumberFormat="1" applyFont="1" applyFill="1" applyBorder="1" applyAlignment="1">
      <alignment horizontal="center" vertical="center"/>
    </xf>
    <xf numFmtId="2" fontId="7242" fillId="8" borderId="1" xfId="0" applyNumberFormat="1" applyFont="1" applyFill="1" applyBorder="1" applyAlignment="1">
      <alignment horizontal="center" vertical="center"/>
    </xf>
    <xf numFmtId="2" fontId="7243" fillId="8" borderId="1" xfId="0" applyNumberFormat="1" applyFont="1" applyFill="1" applyBorder="1" applyAlignment="1">
      <alignment horizontal="center" vertical="center"/>
    </xf>
    <xf numFmtId="2" fontId="7244" fillId="8" borderId="1" xfId="0" applyNumberFormat="1" applyFont="1" applyFill="1" applyBorder="1" applyAlignment="1">
      <alignment horizontal="center" vertical="center"/>
    </xf>
    <xf numFmtId="2" fontId="7245" fillId="8" borderId="1" xfId="0" applyNumberFormat="1" applyFont="1" applyFill="1" applyBorder="1" applyAlignment="1">
      <alignment horizontal="center" vertical="center"/>
    </xf>
    <xf numFmtId="2" fontId="7246" fillId="8" borderId="1" xfId="0" applyNumberFormat="1" applyFont="1" applyFill="1" applyBorder="1" applyAlignment="1">
      <alignment horizontal="center" vertical="center"/>
    </xf>
    <xf numFmtId="2" fontId="7247" fillId="8" borderId="1" xfId="0" applyNumberFormat="1" applyFont="1" applyFill="1" applyBorder="1" applyAlignment="1">
      <alignment horizontal="center" vertical="center"/>
    </xf>
    <xf numFmtId="2" fontId="7248" fillId="8" borderId="1" xfId="0" applyNumberFormat="1" applyFont="1" applyFill="1" applyBorder="1" applyAlignment="1">
      <alignment horizontal="center" vertical="center"/>
    </xf>
    <xf numFmtId="2" fontId="7249" fillId="8" borderId="1" xfId="0" applyNumberFormat="1" applyFont="1" applyFill="1" applyBorder="1" applyAlignment="1">
      <alignment horizontal="center" vertical="center"/>
    </xf>
    <xf numFmtId="2" fontId="7250" fillId="8" borderId="1" xfId="0" applyNumberFormat="1" applyFont="1" applyFill="1" applyBorder="1" applyAlignment="1">
      <alignment horizontal="center" vertical="center"/>
    </xf>
    <xf numFmtId="2" fontId="7251" fillId="8" borderId="1" xfId="0" applyNumberFormat="1" applyFont="1" applyFill="1" applyBorder="1" applyAlignment="1">
      <alignment horizontal="center" vertical="center"/>
    </xf>
    <xf numFmtId="2" fontId="7252" fillId="8" borderId="1" xfId="0" applyNumberFormat="1" applyFont="1" applyFill="1" applyBorder="1" applyAlignment="1">
      <alignment horizontal="center" vertical="center"/>
    </xf>
    <xf numFmtId="2" fontId="7253" fillId="8" borderId="1" xfId="0" applyNumberFormat="1" applyFont="1" applyFill="1" applyBorder="1" applyAlignment="1">
      <alignment horizontal="center" vertical="center"/>
    </xf>
    <xf numFmtId="2" fontId="7254" fillId="8" borderId="1" xfId="0" applyNumberFormat="1" applyFont="1" applyFill="1" applyBorder="1" applyAlignment="1">
      <alignment horizontal="center" vertical="center"/>
    </xf>
    <xf numFmtId="0" fontId="7255" fillId="7" borderId="1" xfId="0" applyNumberFormat="1" applyFont="1" applyFill="1" applyBorder="1" applyAlignment="1">
      <alignment horizontal="left" vertical="center"/>
    </xf>
    <xf numFmtId="0" fontId="7256" fillId="8" borderId="1" xfId="0" applyNumberFormat="1" applyFont="1" applyFill="1" applyBorder="1" applyAlignment="1">
      <alignment horizontal="center" vertical="center"/>
    </xf>
    <xf numFmtId="164" fontId="7257" fillId="8" borderId="1" xfId="0" applyNumberFormat="1" applyFont="1" applyFill="1" applyBorder="1" applyAlignment="1">
      <alignment horizontal="center" vertical="center"/>
    </xf>
    <xf numFmtId="1" fontId="7258" fillId="8" borderId="1" xfId="0" applyNumberFormat="1" applyFont="1" applyFill="1" applyBorder="1" applyAlignment="1">
      <alignment horizontal="center" vertical="center"/>
    </xf>
    <xf numFmtId="1" fontId="7259" fillId="8" borderId="1" xfId="0" applyNumberFormat="1" applyFont="1" applyFill="1" applyBorder="1" applyAlignment="1">
      <alignment horizontal="center" vertical="center"/>
    </xf>
    <xf numFmtId="1" fontId="7260" fillId="8" borderId="1" xfId="0" applyNumberFormat="1" applyFont="1" applyFill="1" applyBorder="1" applyAlignment="1">
      <alignment horizontal="center" vertical="center"/>
    </xf>
    <xf numFmtId="1" fontId="7261" fillId="8" borderId="1" xfId="0" applyNumberFormat="1" applyFont="1" applyFill="1" applyBorder="1" applyAlignment="1">
      <alignment horizontal="center" vertical="center"/>
    </xf>
    <xf numFmtId="1" fontId="7262" fillId="8" borderId="1" xfId="0" applyNumberFormat="1" applyFont="1" applyFill="1" applyBorder="1" applyAlignment="1">
      <alignment horizontal="center" vertical="center"/>
    </xf>
    <xf numFmtId="1" fontId="7263" fillId="8" borderId="1" xfId="0" applyNumberFormat="1" applyFont="1" applyFill="1" applyBorder="1" applyAlignment="1">
      <alignment horizontal="center" vertical="center"/>
    </xf>
    <xf numFmtId="1" fontId="7264" fillId="8" borderId="1" xfId="0" applyNumberFormat="1" applyFont="1" applyFill="1" applyBorder="1" applyAlignment="1">
      <alignment horizontal="center" vertical="center"/>
    </xf>
    <xf numFmtId="0" fontId="7265" fillId="8" borderId="1" xfId="0" applyNumberFormat="1" applyFont="1" applyFill="1" applyBorder="1" applyAlignment="1">
      <alignment horizontal="center" vertical="center"/>
    </xf>
    <xf numFmtId="0" fontId="7266" fillId="8" borderId="1" xfId="0" applyNumberFormat="1" applyFont="1" applyFill="1" applyBorder="1" applyAlignment="1">
      <alignment horizontal="center" vertical="center"/>
    </xf>
    <xf numFmtId="1" fontId="7267" fillId="8" borderId="1" xfId="0" applyNumberFormat="1" applyFont="1" applyFill="1" applyBorder="1" applyAlignment="1">
      <alignment horizontal="center" vertical="center"/>
    </xf>
    <xf numFmtId="1" fontId="7268" fillId="8" borderId="1" xfId="0" applyNumberFormat="1" applyFont="1" applyFill="1" applyBorder="1" applyAlignment="1">
      <alignment horizontal="center" vertical="center"/>
    </xf>
    <xf numFmtId="1" fontId="7269" fillId="8" borderId="1" xfId="0" applyNumberFormat="1" applyFont="1" applyFill="1" applyBorder="1" applyAlignment="1">
      <alignment horizontal="center" vertical="center"/>
    </xf>
    <xf numFmtId="165" fontId="7270" fillId="8" borderId="1" xfId="0" applyNumberFormat="1" applyFont="1" applyFill="1" applyBorder="1" applyAlignment="1">
      <alignment horizontal="center" vertical="center"/>
    </xf>
    <xf numFmtId="1" fontId="7271" fillId="8" borderId="1" xfId="0" applyNumberFormat="1" applyFont="1" applyFill="1" applyBorder="1" applyAlignment="1">
      <alignment horizontal="center" vertical="center"/>
    </xf>
    <xf numFmtId="165" fontId="7272" fillId="8" borderId="1" xfId="0" applyNumberFormat="1" applyFont="1" applyFill="1" applyBorder="1" applyAlignment="1">
      <alignment horizontal="center" vertical="center"/>
    </xf>
    <xf numFmtId="1" fontId="7273" fillId="8" borderId="1" xfId="0" applyNumberFormat="1" applyFont="1" applyFill="1" applyBorder="1" applyAlignment="1">
      <alignment horizontal="center" vertical="center"/>
    </xf>
    <xf numFmtId="165" fontId="7274" fillId="8" borderId="1" xfId="0" applyNumberFormat="1" applyFont="1" applyFill="1" applyBorder="1" applyAlignment="1">
      <alignment horizontal="center" vertical="center"/>
    </xf>
    <xf numFmtId="1" fontId="7275" fillId="8" borderId="1" xfId="0" applyNumberFormat="1" applyFont="1" applyFill="1" applyBorder="1" applyAlignment="1">
      <alignment horizontal="center" vertical="center"/>
    </xf>
    <xf numFmtId="165" fontId="7276" fillId="8" borderId="1" xfId="0" applyNumberFormat="1" applyFont="1" applyFill="1" applyBorder="1" applyAlignment="1">
      <alignment horizontal="center" vertical="center"/>
    </xf>
    <xf numFmtId="165" fontId="7277" fillId="8" borderId="1" xfId="0" applyNumberFormat="1" applyFont="1" applyFill="1" applyBorder="1" applyAlignment="1">
      <alignment horizontal="center" vertical="center"/>
    </xf>
    <xf numFmtId="1" fontId="7278" fillId="8" borderId="1" xfId="0" applyNumberFormat="1" applyFont="1" applyFill="1" applyBorder="1" applyAlignment="1">
      <alignment horizontal="center" vertical="center"/>
    </xf>
    <xf numFmtId="1" fontId="7279" fillId="8" borderId="1" xfId="0" applyNumberFormat="1" applyFont="1" applyFill="1" applyBorder="1" applyAlignment="1">
      <alignment horizontal="center" vertical="center"/>
    </xf>
    <xf numFmtId="1" fontId="7280" fillId="8" borderId="1" xfId="0" applyNumberFormat="1" applyFont="1" applyFill="1" applyBorder="1" applyAlignment="1">
      <alignment horizontal="center" vertical="center"/>
    </xf>
    <xf numFmtId="165" fontId="7281" fillId="8" borderId="1" xfId="0" applyNumberFormat="1" applyFont="1" applyFill="1" applyBorder="1" applyAlignment="1">
      <alignment horizontal="center" vertical="center"/>
    </xf>
    <xf numFmtId="164" fontId="7282" fillId="8" borderId="1" xfId="0" applyNumberFormat="1" applyFont="1" applyFill="1" applyBorder="1" applyAlignment="1">
      <alignment horizontal="center" vertical="center"/>
    </xf>
    <xf numFmtId="164" fontId="7283" fillId="8" borderId="1" xfId="0" applyNumberFormat="1" applyFont="1" applyFill="1" applyBorder="1" applyAlignment="1">
      <alignment horizontal="center" vertical="center"/>
    </xf>
    <xf numFmtId="1" fontId="7284" fillId="8" borderId="1" xfId="0" applyNumberFormat="1" applyFont="1" applyFill="1" applyBorder="1" applyAlignment="1">
      <alignment horizontal="center" vertical="center"/>
    </xf>
    <xf numFmtId="1" fontId="7285" fillId="8" borderId="1" xfId="0" applyNumberFormat="1" applyFont="1" applyFill="1" applyBorder="1" applyAlignment="1">
      <alignment horizontal="center" vertical="center"/>
    </xf>
    <xf numFmtId="1" fontId="7286" fillId="8" borderId="1" xfId="0" applyNumberFormat="1" applyFont="1" applyFill="1" applyBorder="1" applyAlignment="1">
      <alignment horizontal="center" vertical="center"/>
    </xf>
    <xf numFmtId="165" fontId="7287" fillId="8" borderId="1" xfId="0" applyNumberFormat="1" applyFont="1" applyFill="1" applyBorder="1" applyAlignment="1">
      <alignment horizontal="center" vertical="center"/>
    </xf>
    <xf numFmtId="1" fontId="7288" fillId="8" borderId="1" xfId="0" applyNumberFormat="1" applyFont="1" applyFill="1" applyBorder="1" applyAlignment="1">
      <alignment horizontal="center" vertical="center"/>
    </xf>
    <xf numFmtId="165" fontId="7289" fillId="8" borderId="1" xfId="0" applyNumberFormat="1" applyFont="1" applyFill="1" applyBorder="1" applyAlignment="1">
      <alignment horizontal="center" vertical="center"/>
    </xf>
    <xf numFmtId="1" fontId="7290" fillId="8" borderId="1" xfId="0" applyNumberFormat="1" applyFont="1" applyFill="1" applyBorder="1" applyAlignment="1">
      <alignment horizontal="center" vertical="center"/>
    </xf>
    <xf numFmtId="1" fontId="7291" fillId="8" borderId="1" xfId="0" applyNumberFormat="1" applyFont="1" applyFill="1" applyBorder="1" applyAlignment="1">
      <alignment horizontal="center" vertical="center"/>
    </xf>
    <xf numFmtId="1" fontId="7292" fillId="8" borderId="1" xfId="0" applyNumberFormat="1" applyFont="1" applyFill="1" applyBorder="1" applyAlignment="1">
      <alignment horizontal="center" vertical="center"/>
    </xf>
    <xf numFmtId="1" fontId="7293" fillId="8" borderId="1" xfId="0" applyNumberFormat="1" applyFont="1" applyFill="1" applyBorder="1" applyAlignment="1">
      <alignment horizontal="center" vertical="center"/>
    </xf>
    <xf numFmtId="165" fontId="7294" fillId="8" borderId="1" xfId="0" applyNumberFormat="1" applyFont="1" applyFill="1" applyBorder="1" applyAlignment="1">
      <alignment horizontal="center" vertical="center"/>
    </xf>
    <xf numFmtId="1" fontId="7295" fillId="8" borderId="1" xfId="0" applyNumberFormat="1" applyFont="1" applyFill="1" applyBorder="1" applyAlignment="1">
      <alignment horizontal="center" vertical="center"/>
    </xf>
    <xf numFmtId="165" fontId="7296" fillId="8" borderId="1" xfId="0" applyNumberFormat="1" applyFont="1" applyFill="1" applyBorder="1" applyAlignment="1">
      <alignment horizontal="center" vertical="center"/>
    </xf>
    <xf numFmtId="1" fontId="7297" fillId="8" borderId="1" xfId="0" applyNumberFormat="1" applyFont="1" applyFill="1" applyBorder="1" applyAlignment="1">
      <alignment horizontal="center" vertical="center"/>
    </xf>
    <xf numFmtId="165" fontId="7298" fillId="8" borderId="1" xfId="0" applyNumberFormat="1" applyFont="1" applyFill="1" applyBorder="1" applyAlignment="1">
      <alignment horizontal="center" vertical="center"/>
    </xf>
    <xf numFmtId="2" fontId="7299" fillId="8" borderId="1" xfId="0" applyNumberFormat="1" applyFont="1" applyFill="1" applyBorder="1" applyAlignment="1">
      <alignment horizontal="center" vertical="center"/>
    </xf>
    <xf numFmtId="2" fontId="7300" fillId="8" borderId="1" xfId="0" applyNumberFormat="1" applyFont="1" applyFill="1" applyBorder="1" applyAlignment="1">
      <alignment horizontal="center" vertical="center"/>
    </xf>
    <xf numFmtId="2" fontId="7301" fillId="8" borderId="1" xfId="0" applyNumberFormat="1" applyFont="1" applyFill="1" applyBorder="1" applyAlignment="1">
      <alignment horizontal="center" vertical="center"/>
    </xf>
    <xf numFmtId="2" fontId="7302" fillId="8" borderId="1" xfId="0" applyNumberFormat="1" applyFont="1" applyFill="1" applyBorder="1" applyAlignment="1">
      <alignment horizontal="center" vertical="center"/>
    </xf>
    <xf numFmtId="2" fontId="7303" fillId="8" borderId="1" xfId="0" applyNumberFormat="1" applyFont="1" applyFill="1" applyBorder="1" applyAlignment="1">
      <alignment horizontal="center" vertical="center"/>
    </xf>
    <xf numFmtId="2" fontId="7304" fillId="8" borderId="1" xfId="0" applyNumberFormat="1" applyFont="1" applyFill="1" applyBorder="1" applyAlignment="1">
      <alignment horizontal="center" vertical="center"/>
    </xf>
    <xf numFmtId="2" fontId="7305" fillId="8" borderId="1" xfId="0" applyNumberFormat="1" applyFont="1" applyFill="1" applyBorder="1" applyAlignment="1">
      <alignment horizontal="center" vertical="center"/>
    </xf>
    <xf numFmtId="2" fontId="7306" fillId="8" borderId="1" xfId="0" applyNumberFormat="1" applyFont="1" applyFill="1" applyBorder="1" applyAlignment="1">
      <alignment horizontal="center" vertical="center"/>
    </xf>
    <xf numFmtId="2" fontId="7307" fillId="8" borderId="1" xfId="0" applyNumberFormat="1" applyFont="1" applyFill="1" applyBorder="1" applyAlignment="1">
      <alignment horizontal="center" vertical="center"/>
    </xf>
    <xf numFmtId="2" fontId="7308" fillId="8" borderId="1" xfId="0" applyNumberFormat="1" applyFont="1" applyFill="1" applyBorder="1" applyAlignment="1">
      <alignment horizontal="center" vertical="center"/>
    </xf>
    <xf numFmtId="2" fontId="7309" fillId="8" borderId="1" xfId="0" applyNumberFormat="1" applyFont="1" applyFill="1" applyBorder="1" applyAlignment="1">
      <alignment horizontal="center" vertical="center"/>
    </xf>
    <xf numFmtId="2" fontId="7310" fillId="8" borderId="1" xfId="0" applyNumberFormat="1" applyFont="1" applyFill="1" applyBorder="1" applyAlignment="1">
      <alignment horizontal="center" vertical="center"/>
    </xf>
    <xf numFmtId="2" fontId="7311" fillId="8" borderId="1" xfId="0" applyNumberFormat="1" applyFont="1" applyFill="1" applyBorder="1" applyAlignment="1">
      <alignment horizontal="center" vertical="center"/>
    </xf>
    <xf numFmtId="2" fontId="7312" fillId="8" borderId="1" xfId="0" applyNumberFormat="1" applyFont="1" applyFill="1" applyBorder="1" applyAlignment="1">
      <alignment horizontal="center" vertical="center"/>
    </xf>
    <xf numFmtId="2" fontId="7313" fillId="8" borderId="1" xfId="0" applyNumberFormat="1" applyFont="1" applyFill="1" applyBorder="1" applyAlignment="1">
      <alignment horizontal="center" vertical="center"/>
    </xf>
    <xf numFmtId="2" fontId="7314" fillId="8" borderId="1" xfId="0" applyNumberFormat="1" applyFont="1" applyFill="1" applyBorder="1" applyAlignment="1">
      <alignment horizontal="center" vertical="center"/>
    </xf>
    <xf numFmtId="2" fontId="7315" fillId="8" borderId="1" xfId="0" applyNumberFormat="1" applyFont="1" applyFill="1" applyBorder="1" applyAlignment="1">
      <alignment horizontal="center" vertical="center"/>
    </xf>
    <xf numFmtId="2" fontId="7316" fillId="8" borderId="1" xfId="0" applyNumberFormat="1" applyFont="1" applyFill="1" applyBorder="1" applyAlignment="1">
      <alignment horizontal="center" vertical="center"/>
    </xf>
    <xf numFmtId="2" fontId="7317" fillId="8" borderId="1" xfId="0" applyNumberFormat="1" applyFont="1" applyFill="1" applyBorder="1" applyAlignment="1">
      <alignment horizontal="center" vertical="center"/>
    </xf>
    <xf numFmtId="2" fontId="7318" fillId="8" borderId="1" xfId="0" applyNumberFormat="1" applyFont="1" applyFill="1" applyBorder="1" applyAlignment="1">
      <alignment horizontal="center" vertical="center"/>
    </xf>
    <xf numFmtId="2" fontId="7319" fillId="8" borderId="1" xfId="0" applyNumberFormat="1" applyFont="1" applyFill="1" applyBorder="1" applyAlignment="1">
      <alignment horizontal="center" vertical="center"/>
    </xf>
    <xf numFmtId="2" fontId="7320" fillId="8" borderId="1" xfId="0" applyNumberFormat="1" applyFont="1" applyFill="1" applyBorder="1" applyAlignment="1">
      <alignment horizontal="center" vertical="center"/>
    </xf>
    <xf numFmtId="2" fontId="7321" fillId="8" borderId="1" xfId="0" applyNumberFormat="1" applyFont="1" applyFill="1" applyBorder="1" applyAlignment="1">
      <alignment horizontal="center" vertical="center"/>
    </xf>
    <xf numFmtId="2" fontId="7322" fillId="8" borderId="1" xfId="0" applyNumberFormat="1" applyFont="1" applyFill="1" applyBorder="1" applyAlignment="1">
      <alignment horizontal="center" vertical="center"/>
    </xf>
    <xf numFmtId="2" fontId="7323" fillId="8" borderId="1" xfId="0" applyNumberFormat="1" applyFont="1" applyFill="1" applyBorder="1" applyAlignment="1">
      <alignment horizontal="center" vertical="center"/>
    </xf>
    <xf numFmtId="2" fontId="7324" fillId="8" borderId="1" xfId="0" applyNumberFormat="1" applyFont="1" applyFill="1" applyBorder="1" applyAlignment="1">
      <alignment horizontal="center" vertical="center"/>
    </xf>
    <xf numFmtId="2" fontId="7325" fillId="8" borderId="1" xfId="0" applyNumberFormat="1" applyFont="1" applyFill="1" applyBorder="1" applyAlignment="1">
      <alignment horizontal="center" vertical="center"/>
    </xf>
    <xf numFmtId="2" fontId="7326" fillId="8" borderId="1" xfId="0" applyNumberFormat="1" applyFont="1" applyFill="1" applyBorder="1" applyAlignment="1">
      <alignment horizontal="center" vertical="center"/>
    </xf>
    <xf numFmtId="2" fontId="7327" fillId="8" borderId="1" xfId="0" applyNumberFormat="1" applyFont="1" applyFill="1" applyBorder="1" applyAlignment="1">
      <alignment horizontal="center" vertical="center"/>
    </xf>
    <xf numFmtId="2" fontId="7328" fillId="8" borderId="1" xfId="0" applyNumberFormat="1" applyFont="1" applyFill="1" applyBorder="1" applyAlignment="1">
      <alignment horizontal="center" vertical="center"/>
    </xf>
    <xf numFmtId="2" fontId="7329" fillId="8" borderId="1" xfId="0" applyNumberFormat="1" applyFont="1" applyFill="1" applyBorder="1" applyAlignment="1">
      <alignment horizontal="center" vertical="center"/>
    </xf>
    <xf numFmtId="2" fontId="7330" fillId="8" borderId="1" xfId="0" applyNumberFormat="1" applyFont="1" applyFill="1" applyBorder="1" applyAlignment="1">
      <alignment horizontal="center" vertical="center"/>
    </xf>
    <xf numFmtId="2" fontId="7331" fillId="8" borderId="1" xfId="0" applyNumberFormat="1" applyFont="1" applyFill="1" applyBorder="1" applyAlignment="1">
      <alignment horizontal="center" vertical="center"/>
    </xf>
    <xf numFmtId="2" fontId="7332" fillId="8" borderId="1" xfId="0" applyNumberFormat="1" applyFont="1" applyFill="1" applyBorder="1" applyAlignment="1">
      <alignment horizontal="center" vertical="center"/>
    </xf>
    <xf numFmtId="0" fontId="7333" fillId="7" borderId="1" xfId="0" applyNumberFormat="1" applyFont="1" applyFill="1" applyBorder="1" applyAlignment="1">
      <alignment horizontal="left" vertical="center"/>
    </xf>
    <xf numFmtId="0" fontId="7334" fillId="8" borderId="1" xfId="0" applyNumberFormat="1" applyFont="1" applyFill="1" applyBorder="1" applyAlignment="1">
      <alignment horizontal="center" vertical="center"/>
    </xf>
    <xf numFmtId="164" fontId="7335" fillId="8" borderId="1" xfId="0" applyNumberFormat="1" applyFont="1" applyFill="1" applyBorder="1" applyAlignment="1">
      <alignment horizontal="center" vertical="center"/>
    </xf>
    <xf numFmtId="1" fontId="7336" fillId="8" borderId="1" xfId="0" applyNumberFormat="1" applyFont="1" applyFill="1" applyBorder="1" applyAlignment="1">
      <alignment horizontal="center" vertical="center"/>
    </xf>
    <xf numFmtId="1" fontId="7337" fillId="8" borderId="1" xfId="0" applyNumberFormat="1" applyFont="1" applyFill="1" applyBorder="1" applyAlignment="1">
      <alignment horizontal="center" vertical="center"/>
    </xf>
    <xf numFmtId="1" fontId="7338" fillId="8" borderId="1" xfId="0" applyNumberFormat="1" applyFont="1" applyFill="1" applyBorder="1" applyAlignment="1">
      <alignment horizontal="center" vertical="center"/>
    </xf>
    <xf numFmtId="1" fontId="7339" fillId="8" borderId="1" xfId="0" applyNumberFormat="1" applyFont="1" applyFill="1" applyBorder="1" applyAlignment="1">
      <alignment horizontal="center" vertical="center"/>
    </xf>
    <xf numFmtId="1" fontId="7340" fillId="8" borderId="1" xfId="0" applyNumberFormat="1" applyFont="1" applyFill="1" applyBorder="1" applyAlignment="1">
      <alignment horizontal="center" vertical="center"/>
    </xf>
    <xf numFmtId="1" fontId="7341" fillId="8" borderId="1" xfId="0" applyNumberFormat="1" applyFont="1" applyFill="1" applyBorder="1" applyAlignment="1">
      <alignment horizontal="center" vertical="center"/>
    </xf>
    <xf numFmtId="1" fontId="7342" fillId="8" borderId="1" xfId="0" applyNumberFormat="1" applyFont="1" applyFill="1" applyBorder="1" applyAlignment="1">
      <alignment horizontal="center" vertical="center"/>
    </xf>
    <xf numFmtId="0" fontId="7343" fillId="8" borderId="1" xfId="0" applyNumberFormat="1" applyFont="1" applyFill="1" applyBorder="1" applyAlignment="1">
      <alignment horizontal="center" vertical="center"/>
    </xf>
    <xf numFmtId="0" fontId="7344" fillId="8" borderId="1" xfId="0" applyNumberFormat="1" applyFont="1" applyFill="1" applyBorder="1" applyAlignment="1">
      <alignment horizontal="center" vertical="center"/>
    </xf>
    <xf numFmtId="1" fontId="7345" fillId="8" borderId="1" xfId="0" applyNumberFormat="1" applyFont="1" applyFill="1" applyBorder="1" applyAlignment="1">
      <alignment horizontal="center" vertical="center"/>
    </xf>
    <xf numFmtId="1" fontId="7346" fillId="8" borderId="1" xfId="0" applyNumberFormat="1" applyFont="1" applyFill="1" applyBorder="1" applyAlignment="1">
      <alignment horizontal="center" vertical="center"/>
    </xf>
    <xf numFmtId="1" fontId="7347" fillId="8" borderId="1" xfId="0" applyNumberFormat="1" applyFont="1" applyFill="1" applyBorder="1" applyAlignment="1">
      <alignment horizontal="center" vertical="center"/>
    </xf>
    <xf numFmtId="165" fontId="7348" fillId="8" borderId="1" xfId="0" applyNumberFormat="1" applyFont="1" applyFill="1" applyBorder="1" applyAlignment="1">
      <alignment horizontal="center" vertical="center"/>
    </xf>
    <xf numFmtId="1" fontId="7349" fillId="8" borderId="1" xfId="0" applyNumberFormat="1" applyFont="1" applyFill="1" applyBorder="1" applyAlignment="1">
      <alignment horizontal="center" vertical="center"/>
    </xf>
    <xf numFmtId="165" fontId="7350" fillId="8" borderId="1" xfId="0" applyNumberFormat="1" applyFont="1" applyFill="1" applyBorder="1" applyAlignment="1">
      <alignment horizontal="center" vertical="center"/>
    </xf>
    <xf numFmtId="1" fontId="7351" fillId="8" borderId="1" xfId="0" applyNumberFormat="1" applyFont="1" applyFill="1" applyBorder="1" applyAlignment="1">
      <alignment horizontal="center" vertical="center"/>
    </xf>
    <xf numFmtId="165" fontId="7352" fillId="8" borderId="1" xfId="0" applyNumberFormat="1" applyFont="1" applyFill="1" applyBorder="1" applyAlignment="1">
      <alignment horizontal="center" vertical="center"/>
    </xf>
    <xf numFmtId="1" fontId="7353" fillId="8" borderId="1" xfId="0" applyNumberFormat="1" applyFont="1" applyFill="1" applyBorder="1" applyAlignment="1">
      <alignment horizontal="center" vertical="center"/>
    </xf>
    <xf numFmtId="165" fontId="7354" fillId="8" borderId="1" xfId="0" applyNumberFormat="1" applyFont="1" applyFill="1" applyBorder="1" applyAlignment="1">
      <alignment horizontal="center" vertical="center"/>
    </xf>
    <xf numFmtId="165" fontId="7355" fillId="8" borderId="1" xfId="0" applyNumberFormat="1" applyFont="1" applyFill="1" applyBorder="1" applyAlignment="1">
      <alignment horizontal="center" vertical="center"/>
    </xf>
    <xf numFmtId="1" fontId="7356" fillId="8" borderId="1" xfId="0" applyNumberFormat="1" applyFont="1" applyFill="1" applyBorder="1" applyAlignment="1">
      <alignment horizontal="center" vertical="center"/>
    </xf>
    <xf numFmtId="1" fontId="7357" fillId="8" borderId="1" xfId="0" applyNumberFormat="1" applyFont="1" applyFill="1" applyBorder="1" applyAlignment="1">
      <alignment horizontal="center" vertical="center"/>
    </xf>
    <xf numFmtId="1" fontId="7358" fillId="8" borderId="1" xfId="0" applyNumberFormat="1" applyFont="1" applyFill="1" applyBorder="1" applyAlignment="1">
      <alignment horizontal="center" vertical="center"/>
    </xf>
    <xf numFmtId="165" fontId="7359" fillId="8" borderId="1" xfId="0" applyNumberFormat="1" applyFont="1" applyFill="1" applyBorder="1" applyAlignment="1">
      <alignment horizontal="center" vertical="center"/>
    </xf>
    <xf numFmtId="164" fontId="7360" fillId="8" borderId="1" xfId="0" applyNumberFormat="1" applyFont="1" applyFill="1" applyBorder="1" applyAlignment="1">
      <alignment horizontal="center" vertical="center"/>
    </xf>
    <xf numFmtId="164" fontId="7361" fillId="8" borderId="1" xfId="0" applyNumberFormat="1" applyFont="1" applyFill="1" applyBorder="1" applyAlignment="1">
      <alignment horizontal="center" vertical="center"/>
    </xf>
    <xf numFmtId="1" fontId="7362" fillId="8" borderId="1" xfId="0" applyNumberFormat="1" applyFont="1" applyFill="1" applyBorder="1" applyAlignment="1">
      <alignment horizontal="center" vertical="center"/>
    </xf>
    <xf numFmtId="1" fontId="7363" fillId="8" borderId="1" xfId="0" applyNumberFormat="1" applyFont="1" applyFill="1" applyBorder="1" applyAlignment="1">
      <alignment horizontal="center" vertical="center"/>
    </xf>
    <xf numFmtId="1" fontId="7364" fillId="8" borderId="1" xfId="0" applyNumberFormat="1" applyFont="1" applyFill="1" applyBorder="1" applyAlignment="1">
      <alignment horizontal="center" vertical="center"/>
    </xf>
    <xf numFmtId="165" fontId="7365" fillId="8" borderId="1" xfId="0" applyNumberFormat="1" applyFont="1" applyFill="1" applyBorder="1" applyAlignment="1">
      <alignment horizontal="center" vertical="center"/>
    </xf>
    <xf numFmtId="1" fontId="7366" fillId="8" borderId="1" xfId="0" applyNumberFormat="1" applyFont="1" applyFill="1" applyBorder="1" applyAlignment="1">
      <alignment horizontal="center" vertical="center"/>
    </xf>
    <xf numFmtId="165" fontId="7367" fillId="8" borderId="1" xfId="0" applyNumberFormat="1" applyFont="1" applyFill="1" applyBorder="1" applyAlignment="1">
      <alignment horizontal="center" vertical="center"/>
    </xf>
    <xf numFmtId="1" fontId="7368" fillId="8" borderId="1" xfId="0" applyNumberFormat="1" applyFont="1" applyFill="1" applyBorder="1" applyAlignment="1">
      <alignment horizontal="center" vertical="center"/>
    </xf>
    <xf numFmtId="1" fontId="7369" fillId="8" borderId="1" xfId="0" applyNumberFormat="1" applyFont="1" applyFill="1" applyBorder="1" applyAlignment="1">
      <alignment horizontal="center" vertical="center"/>
    </xf>
    <xf numFmtId="1" fontId="7370" fillId="8" borderId="1" xfId="0" applyNumberFormat="1" applyFont="1" applyFill="1" applyBorder="1" applyAlignment="1">
      <alignment horizontal="center" vertical="center"/>
    </xf>
    <xf numFmtId="1" fontId="7371" fillId="8" borderId="1" xfId="0" applyNumberFormat="1" applyFont="1" applyFill="1" applyBorder="1" applyAlignment="1">
      <alignment horizontal="center" vertical="center"/>
    </xf>
    <xf numFmtId="165" fontId="7372" fillId="8" borderId="1" xfId="0" applyNumberFormat="1" applyFont="1" applyFill="1" applyBorder="1" applyAlignment="1">
      <alignment horizontal="center" vertical="center"/>
    </xf>
    <xf numFmtId="1" fontId="7373" fillId="8" borderId="1" xfId="0" applyNumberFormat="1" applyFont="1" applyFill="1" applyBorder="1" applyAlignment="1">
      <alignment horizontal="center" vertical="center"/>
    </xf>
    <xf numFmtId="165" fontId="7374" fillId="8" borderId="1" xfId="0" applyNumberFormat="1" applyFont="1" applyFill="1" applyBorder="1" applyAlignment="1">
      <alignment horizontal="center" vertical="center"/>
    </xf>
    <xf numFmtId="1" fontId="7375" fillId="8" borderId="1" xfId="0" applyNumberFormat="1" applyFont="1" applyFill="1" applyBorder="1" applyAlignment="1">
      <alignment horizontal="center" vertical="center"/>
    </xf>
    <xf numFmtId="165" fontId="7376" fillId="8" borderId="1" xfId="0" applyNumberFormat="1" applyFont="1" applyFill="1" applyBorder="1" applyAlignment="1">
      <alignment horizontal="center" vertical="center"/>
    </xf>
    <xf numFmtId="2" fontId="7377" fillId="8" borderId="1" xfId="0" applyNumberFormat="1" applyFont="1" applyFill="1" applyBorder="1" applyAlignment="1">
      <alignment horizontal="center" vertical="center"/>
    </xf>
    <xf numFmtId="2" fontId="7378" fillId="8" borderId="1" xfId="0" applyNumberFormat="1" applyFont="1" applyFill="1" applyBorder="1" applyAlignment="1">
      <alignment horizontal="center" vertical="center"/>
    </xf>
    <xf numFmtId="2" fontId="7379" fillId="8" borderId="1" xfId="0" applyNumberFormat="1" applyFont="1" applyFill="1" applyBorder="1" applyAlignment="1">
      <alignment horizontal="center" vertical="center"/>
    </xf>
    <xf numFmtId="2" fontId="7380" fillId="8" borderId="1" xfId="0" applyNumberFormat="1" applyFont="1" applyFill="1" applyBorder="1" applyAlignment="1">
      <alignment horizontal="center" vertical="center"/>
    </xf>
    <xf numFmtId="2" fontId="7381" fillId="8" borderId="1" xfId="0" applyNumberFormat="1" applyFont="1" applyFill="1" applyBorder="1" applyAlignment="1">
      <alignment horizontal="center" vertical="center"/>
    </xf>
    <xf numFmtId="2" fontId="7382" fillId="8" borderId="1" xfId="0" applyNumberFormat="1" applyFont="1" applyFill="1" applyBorder="1" applyAlignment="1">
      <alignment horizontal="center" vertical="center"/>
    </xf>
    <xf numFmtId="2" fontId="7383" fillId="8" borderId="1" xfId="0" applyNumberFormat="1" applyFont="1" applyFill="1" applyBorder="1" applyAlignment="1">
      <alignment horizontal="center" vertical="center"/>
    </xf>
    <xf numFmtId="2" fontId="7384" fillId="8" borderId="1" xfId="0" applyNumberFormat="1" applyFont="1" applyFill="1" applyBorder="1" applyAlignment="1">
      <alignment horizontal="center" vertical="center"/>
    </xf>
    <xf numFmtId="2" fontId="7385" fillId="8" borderId="1" xfId="0" applyNumberFormat="1" applyFont="1" applyFill="1" applyBorder="1" applyAlignment="1">
      <alignment horizontal="center" vertical="center"/>
    </xf>
    <xf numFmtId="2" fontId="7386" fillId="8" borderId="1" xfId="0" applyNumberFormat="1" applyFont="1" applyFill="1" applyBorder="1" applyAlignment="1">
      <alignment horizontal="center" vertical="center"/>
    </xf>
    <xf numFmtId="2" fontId="7387" fillId="8" borderId="1" xfId="0" applyNumberFormat="1" applyFont="1" applyFill="1" applyBorder="1" applyAlignment="1">
      <alignment horizontal="center" vertical="center"/>
    </xf>
    <xf numFmtId="2" fontId="7388" fillId="8" borderId="1" xfId="0" applyNumberFormat="1" applyFont="1" applyFill="1" applyBorder="1" applyAlignment="1">
      <alignment horizontal="center" vertical="center"/>
    </xf>
    <xf numFmtId="2" fontId="7389" fillId="8" borderId="1" xfId="0" applyNumberFormat="1" applyFont="1" applyFill="1" applyBorder="1" applyAlignment="1">
      <alignment horizontal="center" vertical="center"/>
    </xf>
    <xf numFmtId="2" fontId="7390" fillId="8" borderId="1" xfId="0" applyNumberFormat="1" applyFont="1" applyFill="1" applyBorder="1" applyAlignment="1">
      <alignment horizontal="center" vertical="center"/>
    </xf>
    <xf numFmtId="2" fontId="7391" fillId="8" borderId="1" xfId="0" applyNumberFormat="1" applyFont="1" applyFill="1" applyBorder="1" applyAlignment="1">
      <alignment horizontal="center" vertical="center"/>
    </xf>
    <xf numFmtId="2" fontId="7392" fillId="8" borderId="1" xfId="0" applyNumberFormat="1" applyFont="1" applyFill="1" applyBorder="1" applyAlignment="1">
      <alignment horizontal="center" vertical="center"/>
    </xf>
    <xf numFmtId="2" fontId="7393" fillId="8" borderId="1" xfId="0" applyNumberFormat="1" applyFont="1" applyFill="1" applyBorder="1" applyAlignment="1">
      <alignment horizontal="center" vertical="center"/>
    </xf>
    <xf numFmtId="2" fontId="7394" fillId="8" borderId="1" xfId="0" applyNumberFormat="1" applyFont="1" applyFill="1" applyBorder="1" applyAlignment="1">
      <alignment horizontal="center" vertical="center"/>
    </xf>
    <xf numFmtId="2" fontId="7395" fillId="8" borderId="1" xfId="0" applyNumberFormat="1" applyFont="1" applyFill="1" applyBorder="1" applyAlignment="1">
      <alignment horizontal="center" vertical="center"/>
    </xf>
    <xf numFmtId="2" fontId="7396" fillId="8" borderId="1" xfId="0" applyNumberFormat="1" applyFont="1" applyFill="1" applyBorder="1" applyAlignment="1">
      <alignment horizontal="center" vertical="center"/>
    </xf>
    <xf numFmtId="2" fontId="7397" fillId="8" borderId="1" xfId="0" applyNumberFormat="1" applyFont="1" applyFill="1" applyBorder="1" applyAlignment="1">
      <alignment horizontal="center" vertical="center"/>
    </xf>
    <xf numFmtId="2" fontId="7398" fillId="8" borderId="1" xfId="0" applyNumberFormat="1" applyFont="1" applyFill="1" applyBorder="1" applyAlignment="1">
      <alignment horizontal="center" vertical="center"/>
    </xf>
    <xf numFmtId="2" fontId="7399" fillId="8" borderId="1" xfId="0" applyNumberFormat="1" applyFont="1" applyFill="1" applyBorder="1" applyAlignment="1">
      <alignment horizontal="center" vertical="center"/>
    </xf>
    <xf numFmtId="2" fontId="7400" fillId="8" borderId="1" xfId="0" applyNumberFormat="1" applyFont="1" applyFill="1" applyBorder="1" applyAlignment="1">
      <alignment horizontal="center" vertical="center"/>
    </xf>
    <xf numFmtId="2" fontId="7401" fillId="8" borderId="1" xfId="0" applyNumberFormat="1" applyFont="1" applyFill="1" applyBorder="1" applyAlignment="1">
      <alignment horizontal="center" vertical="center"/>
    </xf>
    <xf numFmtId="2" fontId="7402" fillId="8" borderId="1" xfId="0" applyNumberFormat="1" applyFont="1" applyFill="1" applyBorder="1" applyAlignment="1">
      <alignment horizontal="center" vertical="center"/>
    </xf>
    <xf numFmtId="2" fontId="7403" fillId="8" borderId="1" xfId="0" applyNumberFormat="1" applyFont="1" applyFill="1" applyBorder="1" applyAlignment="1">
      <alignment horizontal="center" vertical="center"/>
    </xf>
    <xf numFmtId="2" fontId="7404" fillId="8" borderId="1" xfId="0" applyNumberFormat="1" applyFont="1" applyFill="1" applyBorder="1" applyAlignment="1">
      <alignment horizontal="center" vertical="center"/>
    </xf>
    <xf numFmtId="2" fontId="7405" fillId="8" borderId="1" xfId="0" applyNumberFormat="1" applyFont="1" applyFill="1" applyBorder="1" applyAlignment="1">
      <alignment horizontal="center" vertical="center"/>
    </xf>
    <xf numFmtId="2" fontId="7406" fillId="8" borderId="1" xfId="0" applyNumberFormat="1" applyFont="1" applyFill="1" applyBorder="1" applyAlignment="1">
      <alignment horizontal="center" vertical="center"/>
    </xf>
    <xf numFmtId="2" fontId="7407" fillId="8" borderId="1" xfId="0" applyNumberFormat="1" applyFont="1" applyFill="1" applyBorder="1" applyAlignment="1">
      <alignment horizontal="center" vertical="center"/>
    </xf>
    <xf numFmtId="2" fontId="7408" fillId="8" borderId="1" xfId="0" applyNumberFormat="1" applyFont="1" applyFill="1" applyBorder="1" applyAlignment="1">
      <alignment horizontal="center" vertical="center"/>
    </xf>
    <xf numFmtId="2" fontId="7409" fillId="8" borderId="1" xfId="0" applyNumberFormat="1" applyFont="1" applyFill="1" applyBorder="1" applyAlignment="1">
      <alignment horizontal="center" vertical="center"/>
    </xf>
    <xf numFmtId="2" fontId="7410" fillId="8" borderId="1" xfId="0" applyNumberFormat="1" applyFont="1" applyFill="1" applyBorder="1" applyAlignment="1">
      <alignment horizontal="center" vertical="center"/>
    </xf>
    <xf numFmtId="0" fontId="7411" fillId="7" borderId="1" xfId="0" applyNumberFormat="1" applyFont="1" applyFill="1" applyBorder="1" applyAlignment="1">
      <alignment horizontal="left" vertical="center"/>
    </xf>
    <xf numFmtId="0" fontId="7412" fillId="8" borderId="1" xfId="0" applyNumberFormat="1" applyFont="1" applyFill="1" applyBorder="1" applyAlignment="1">
      <alignment horizontal="center" vertical="center"/>
    </xf>
    <xf numFmtId="164" fontId="7413" fillId="8" borderId="1" xfId="0" applyNumberFormat="1" applyFont="1" applyFill="1" applyBorder="1" applyAlignment="1">
      <alignment horizontal="center" vertical="center"/>
    </xf>
    <xf numFmtId="1" fontId="7414" fillId="8" borderId="1" xfId="0" applyNumberFormat="1" applyFont="1" applyFill="1" applyBorder="1" applyAlignment="1">
      <alignment horizontal="center" vertical="center"/>
    </xf>
    <xf numFmtId="1" fontId="7415" fillId="8" borderId="1" xfId="0" applyNumberFormat="1" applyFont="1" applyFill="1" applyBorder="1" applyAlignment="1">
      <alignment horizontal="center" vertical="center"/>
    </xf>
    <xf numFmtId="1" fontId="7416" fillId="8" borderId="1" xfId="0" applyNumberFormat="1" applyFont="1" applyFill="1" applyBorder="1" applyAlignment="1">
      <alignment horizontal="center" vertical="center"/>
    </xf>
    <xf numFmtId="1" fontId="7417" fillId="8" borderId="1" xfId="0" applyNumberFormat="1" applyFont="1" applyFill="1" applyBorder="1" applyAlignment="1">
      <alignment horizontal="center" vertical="center"/>
    </xf>
    <xf numFmtId="1" fontId="7418" fillId="8" borderId="1" xfId="0" applyNumberFormat="1" applyFont="1" applyFill="1" applyBorder="1" applyAlignment="1">
      <alignment horizontal="center" vertical="center"/>
    </xf>
    <xf numFmtId="1" fontId="7419" fillId="8" borderId="1" xfId="0" applyNumberFormat="1" applyFont="1" applyFill="1" applyBorder="1" applyAlignment="1">
      <alignment horizontal="center" vertical="center"/>
    </xf>
    <xf numFmtId="1" fontId="7420" fillId="8" borderId="1" xfId="0" applyNumberFormat="1" applyFont="1" applyFill="1" applyBorder="1" applyAlignment="1">
      <alignment horizontal="center" vertical="center"/>
    </xf>
    <xf numFmtId="0" fontId="7421" fillId="8" borderId="1" xfId="0" applyNumberFormat="1" applyFont="1" applyFill="1" applyBorder="1" applyAlignment="1">
      <alignment horizontal="center" vertical="center"/>
    </xf>
    <xf numFmtId="0" fontId="7422" fillId="8" borderId="1" xfId="0" applyNumberFormat="1" applyFont="1" applyFill="1" applyBorder="1" applyAlignment="1">
      <alignment horizontal="center" vertical="center"/>
    </xf>
    <xf numFmtId="1" fontId="7423" fillId="8" borderId="1" xfId="0" applyNumberFormat="1" applyFont="1" applyFill="1" applyBorder="1" applyAlignment="1">
      <alignment horizontal="center" vertical="center"/>
    </xf>
    <xf numFmtId="1" fontId="7424" fillId="8" borderId="1" xfId="0" applyNumberFormat="1" applyFont="1" applyFill="1" applyBorder="1" applyAlignment="1">
      <alignment horizontal="center" vertical="center"/>
    </xf>
    <xf numFmtId="1" fontId="7425" fillId="8" borderId="1" xfId="0" applyNumberFormat="1" applyFont="1" applyFill="1" applyBorder="1" applyAlignment="1">
      <alignment horizontal="center" vertical="center"/>
    </xf>
    <xf numFmtId="165" fontId="7426" fillId="8" borderId="1" xfId="0" applyNumberFormat="1" applyFont="1" applyFill="1" applyBorder="1" applyAlignment="1">
      <alignment horizontal="center" vertical="center"/>
    </xf>
    <xf numFmtId="1" fontId="7427" fillId="8" borderId="1" xfId="0" applyNumberFormat="1" applyFont="1" applyFill="1" applyBorder="1" applyAlignment="1">
      <alignment horizontal="center" vertical="center"/>
    </xf>
    <xf numFmtId="165" fontId="7428" fillId="8" borderId="1" xfId="0" applyNumberFormat="1" applyFont="1" applyFill="1" applyBorder="1" applyAlignment="1">
      <alignment horizontal="center" vertical="center"/>
    </xf>
    <xf numFmtId="1" fontId="7429" fillId="8" borderId="1" xfId="0" applyNumberFormat="1" applyFont="1" applyFill="1" applyBorder="1" applyAlignment="1">
      <alignment horizontal="center" vertical="center"/>
    </xf>
    <xf numFmtId="165" fontId="7430" fillId="8" borderId="1" xfId="0" applyNumberFormat="1" applyFont="1" applyFill="1" applyBorder="1" applyAlignment="1">
      <alignment horizontal="center" vertical="center"/>
    </xf>
    <xf numFmtId="1" fontId="7431" fillId="8" borderId="1" xfId="0" applyNumberFormat="1" applyFont="1" applyFill="1" applyBorder="1" applyAlignment="1">
      <alignment horizontal="center" vertical="center"/>
    </xf>
    <xf numFmtId="165" fontId="7432" fillId="8" borderId="1" xfId="0" applyNumberFormat="1" applyFont="1" applyFill="1" applyBorder="1" applyAlignment="1">
      <alignment horizontal="center" vertical="center"/>
    </xf>
    <xf numFmtId="165" fontId="7433" fillId="8" borderId="1" xfId="0" applyNumberFormat="1" applyFont="1" applyFill="1" applyBorder="1" applyAlignment="1">
      <alignment horizontal="center" vertical="center"/>
    </xf>
    <xf numFmtId="1" fontId="7434" fillId="8" borderId="1" xfId="0" applyNumberFormat="1" applyFont="1" applyFill="1" applyBorder="1" applyAlignment="1">
      <alignment horizontal="center" vertical="center"/>
    </xf>
    <xf numFmtId="1" fontId="7435" fillId="8" borderId="1" xfId="0" applyNumberFormat="1" applyFont="1" applyFill="1" applyBorder="1" applyAlignment="1">
      <alignment horizontal="center" vertical="center"/>
    </xf>
    <xf numFmtId="1" fontId="7436" fillId="8" borderId="1" xfId="0" applyNumberFormat="1" applyFont="1" applyFill="1" applyBorder="1" applyAlignment="1">
      <alignment horizontal="center" vertical="center"/>
    </xf>
    <xf numFmtId="165" fontId="7437" fillId="8" borderId="1" xfId="0" applyNumberFormat="1" applyFont="1" applyFill="1" applyBorder="1" applyAlignment="1">
      <alignment horizontal="center" vertical="center"/>
    </xf>
    <xf numFmtId="164" fontId="7438" fillId="8" borderId="1" xfId="0" applyNumberFormat="1" applyFont="1" applyFill="1" applyBorder="1" applyAlignment="1">
      <alignment horizontal="center" vertical="center"/>
    </xf>
    <xf numFmtId="164" fontId="7439" fillId="8" borderId="1" xfId="0" applyNumberFormat="1" applyFont="1" applyFill="1" applyBorder="1" applyAlignment="1">
      <alignment horizontal="center" vertical="center"/>
    </xf>
    <xf numFmtId="1" fontId="7440" fillId="8" borderId="1" xfId="0" applyNumberFormat="1" applyFont="1" applyFill="1" applyBorder="1" applyAlignment="1">
      <alignment horizontal="center" vertical="center"/>
    </xf>
    <xf numFmtId="1" fontId="7441" fillId="8" borderId="1" xfId="0" applyNumberFormat="1" applyFont="1" applyFill="1" applyBorder="1" applyAlignment="1">
      <alignment horizontal="center" vertical="center"/>
    </xf>
    <xf numFmtId="1" fontId="7442" fillId="8" borderId="1" xfId="0" applyNumberFormat="1" applyFont="1" applyFill="1" applyBorder="1" applyAlignment="1">
      <alignment horizontal="center" vertical="center"/>
    </xf>
    <xf numFmtId="165" fontId="7443" fillId="8" borderId="1" xfId="0" applyNumberFormat="1" applyFont="1" applyFill="1" applyBorder="1" applyAlignment="1">
      <alignment horizontal="center" vertical="center"/>
    </xf>
    <xf numFmtId="1" fontId="7444" fillId="8" borderId="1" xfId="0" applyNumberFormat="1" applyFont="1" applyFill="1" applyBorder="1" applyAlignment="1">
      <alignment horizontal="center" vertical="center"/>
    </xf>
    <xf numFmtId="165" fontId="7445" fillId="8" borderId="1" xfId="0" applyNumberFormat="1" applyFont="1" applyFill="1" applyBorder="1" applyAlignment="1">
      <alignment horizontal="center" vertical="center"/>
    </xf>
    <xf numFmtId="1" fontId="7446" fillId="8" borderId="1" xfId="0" applyNumberFormat="1" applyFont="1" applyFill="1" applyBorder="1" applyAlignment="1">
      <alignment horizontal="center" vertical="center"/>
    </xf>
    <xf numFmtId="1" fontId="7447" fillId="8" borderId="1" xfId="0" applyNumberFormat="1" applyFont="1" applyFill="1" applyBorder="1" applyAlignment="1">
      <alignment horizontal="center" vertical="center"/>
    </xf>
    <xf numFmtId="1" fontId="7448" fillId="8" borderId="1" xfId="0" applyNumberFormat="1" applyFont="1" applyFill="1" applyBorder="1" applyAlignment="1">
      <alignment horizontal="center" vertical="center"/>
    </xf>
    <xf numFmtId="1" fontId="7449" fillId="8" borderId="1" xfId="0" applyNumberFormat="1" applyFont="1" applyFill="1" applyBorder="1" applyAlignment="1">
      <alignment horizontal="center" vertical="center"/>
    </xf>
    <xf numFmtId="165" fontId="7450" fillId="8" borderId="1" xfId="0" applyNumberFormat="1" applyFont="1" applyFill="1" applyBorder="1" applyAlignment="1">
      <alignment horizontal="center" vertical="center"/>
    </xf>
    <xf numFmtId="1" fontId="7451" fillId="8" borderId="1" xfId="0" applyNumberFormat="1" applyFont="1" applyFill="1" applyBorder="1" applyAlignment="1">
      <alignment horizontal="center" vertical="center"/>
    </xf>
    <xf numFmtId="165" fontId="7452" fillId="8" borderId="1" xfId="0" applyNumberFormat="1" applyFont="1" applyFill="1" applyBorder="1" applyAlignment="1">
      <alignment horizontal="center" vertical="center"/>
    </xf>
    <xf numFmtId="1" fontId="7453" fillId="8" borderId="1" xfId="0" applyNumberFormat="1" applyFont="1" applyFill="1" applyBorder="1" applyAlignment="1">
      <alignment horizontal="center" vertical="center"/>
    </xf>
    <xf numFmtId="165" fontId="7454" fillId="8" borderId="1" xfId="0" applyNumberFormat="1" applyFont="1" applyFill="1" applyBorder="1" applyAlignment="1">
      <alignment horizontal="center" vertical="center"/>
    </xf>
    <xf numFmtId="2" fontId="7455" fillId="8" borderId="1" xfId="0" applyNumberFormat="1" applyFont="1" applyFill="1" applyBorder="1" applyAlignment="1">
      <alignment horizontal="center" vertical="center"/>
    </xf>
    <xf numFmtId="2" fontId="7456" fillId="8" borderId="1" xfId="0" applyNumberFormat="1" applyFont="1" applyFill="1" applyBorder="1" applyAlignment="1">
      <alignment horizontal="center" vertical="center"/>
    </xf>
    <xf numFmtId="2" fontId="7457" fillId="8" borderId="1" xfId="0" applyNumberFormat="1" applyFont="1" applyFill="1" applyBorder="1" applyAlignment="1">
      <alignment horizontal="center" vertical="center"/>
    </xf>
    <xf numFmtId="2" fontId="7458" fillId="8" borderId="1" xfId="0" applyNumberFormat="1" applyFont="1" applyFill="1" applyBorder="1" applyAlignment="1">
      <alignment horizontal="center" vertical="center"/>
    </xf>
    <xf numFmtId="2" fontId="7459" fillId="8" borderId="1" xfId="0" applyNumberFormat="1" applyFont="1" applyFill="1" applyBorder="1" applyAlignment="1">
      <alignment horizontal="center" vertical="center"/>
    </xf>
    <xf numFmtId="2" fontId="7460" fillId="8" borderId="1" xfId="0" applyNumberFormat="1" applyFont="1" applyFill="1" applyBorder="1" applyAlignment="1">
      <alignment horizontal="center" vertical="center"/>
    </xf>
    <xf numFmtId="2" fontId="7461" fillId="8" borderId="1" xfId="0" applyNumberFormat="1" applyFont="1" applyFill="1" applyBorder="1" applyAlignment="1">
      <alignment horizontal="center" vertical="center"/>
    </xf>
    <xf numFmtId="2" fontId="7462" fillId="8" borderId="1" xfId="0" applyNumberFormat="1" applyFont="1" applyFill="1" applyBorder="1" applyAlignment="1">
      <alignment horizontal="center" vertical="center"/>
    </xf>
    <xf numFmtId="2" fontId="7463" fillId="8" borderId="1" xfId="0" applyNumberFormat="1" applyFont="1" applyFill="1" applyBorder="1" applyAlignment="1">
      <alignment horizontal="center" vertical="center"/>
    </xf>
    <xf numFmtId="2" fontId="7464" fillId="8" borderId="1" xfId="0" applyNumberFormat="1" applyFont="1" applyFill="1" applyBorder="1" applyAlignment="1">
      <alignment horizontal="center" vertical="center"/>
    </xf>
    <xf numFmtId="2" fontId="7465" fillId="8" borderId="1" xfId="0" applyNumberFormat="1" applyFont="1" applyFill="1" applyBorder="1" applyAlignment="1">
      <alignment horizontal="center" vertical="center"/>
    </xf>
    <xf numFmtId="2" fontId="7466" fillId="8" borderId="1" xfId="0" applyNumberFormat="1" applyFont="1" applyFill="1" applyBorder="1" applyAlignment="1">
      <alignment horizontal="center" vertical="center"/>
    </xf>
    <xf numFmtId="2" fontId="7467" fillId="8" borderId="1" xfId="0" applyNumberFormat="1" applyFont="1" applyFill="1" applyBorder="1" applyAlignment="1">
      <alignment horizontal="center" vertical="center"/>
    </xf>
    <xf numFmtId="2" fontId="7468" fillId="8" borderId="1" xfId="0" applyNumberFormat="1" applyFont="1" applyFill="1" applyBorder="1" applyAlignment="1">
      <alignment horizontal="center" vertical="center"/>
    </xf>
    <xf numFmtId="2" fontId="7469" fillId="8" borderId="1" xfId="0" applyNumberFormat="1" applyFont="1" applyFill="1" applyBorder="1" applyAlignment="1">
      <alignment horizontal="center" vertical="center"/>
    </xf>
    <xf numFmtId="2" fontId="7470" fillId="8" borderId="1" xfId="0" applyNumberFormat="1" applyFont="1" applyFill="1" applyBorder="1" applyAlignment="1">
      <alignment horizontal="center" vertical="center"/>
    </xf>
    <xf numFmtId="2" fontId="7471" fillId="8" borderId="1" xfId="0" applyNumberFormat="1" applyFont="1" applyFill="1" applyBorder="1" applyAlignment="1">
      <alignment horizontal="center" vertical="center"/>
    </xf>
    <xf numFmtId="2" fontId="7472" fillId="8" borderId="1" xfId="0" applyNumberFormat="1" applyFont="1" applyFill="1" applyBorder="1" applyAlignment="1">
      <alignment horizontal="center" vertical="center"/>
    </xf>
    <xf numFmtId="2" fontId="7473" fillId="8" borderId="1" xfId="0" applyNumberFormat="1" applyFont="1" applyFill="1" applyBorder="1" applyAlignment="1">
      <alignment horizontal="center" vertical="center"/>
    </xf>
    <xf numFmtId="2" fontId="7474" fillId="8" borderId="1" xfId="0" applyNumberFormat="1" applyFont="1" applyFill="1" applyBorder="1" applyAlignment="1">
      <alignment horizontal="center" vertical="center"/>
    </xf>
    <xf numFmtId="2" fontId="7475" fillId="8" borderId="1" xfId="0" applyNumberFormat="1" applyFont="1" applyFill="1" applyBorder="1" applyAlignment="1">
      <alignment horizontal="center" vertical="center"/>
    </xf>
    <xf numFmtId="2" fontId="7476" fillId="8" borderId="1" xfId="0" applyNumberFormat="1" applyFont="1" applyFill="1" applyBorder="1" applyAlignment="1">
      <alignment horizontal="center" vertical="center"/>
    </xf>
    <xf numFmtId="2" fontId="7477" fillId="8" borderId="1" xfId="0" applyNumberFormat="1" applyFont="1" applyFill="1" applyBorder="1" applyAlignment="1">
      <alignment horizontal="center" vertical="center"/>
    </xf>
    <xf numFmtId="2" fontId="7478" fillId="8" borderId="1" xfId="0" applyNumberFormat="1" applyFont="1" applyFill="1" applyBorder="1" applyAlignment="1">
      <alignment horizontal="center" vertical="center"/>
    </xf>
    <xf numFmtId="2" fontId="7479" fillId="8" borderId="1" xfId="0" applyNumberFormat="1" applyFont="1" applyFill="1" applyBorder="1" applyAlignment="1">
      <alignment horizontal="center" vertical="center"/>
    </xf>
    <xf numFmtId="2" fontId="7480" fillId="8" borderId="1" xfId="0" applyNumberFormat="1" applyFont="1" applyFill="1" applyBorder="1" applyAlignment="1">
      <alignment horizontal="center" vertical="center"/>
    </xf>
    <xf numFmtId="2" fontId="7481" fillId="8" borderId="1" xfId="0" applyNumberFormat="1" applyFont="1" applyFill="1" applyBorder="1" applyAlignment="1">
      <alignment horizontal="center" vertical="center"/>
    </xf>
    <xf numFmtId="2" fontId="7482" fillId="8" borderId="1" xfId="0" applyNumberFormat="1" applyFont="1" applyFill="1" applyBorder="1" applyAlignment="1">
      <alignment horizontal="center" vertical="center"/>
    </xf>
    <xf numFmtId="2" fontId="7483" fillId="8" borderId="1" xfId="0" applyNumberFormat="1" applyFont="1" applyFill="1" applyBorder="1" applyAlignment="1">
      <alignment horizontal="center" vertical="center"/>
    </xf>
    <xf numFmtId="2" fontId="7484" fillId="8" borderId="1" xfId="0" applyNumberFormat="1" applyFont="1" applyFill="1" applyBorder="1" applyAlignment="1">
      <alignment horizontal="center" vertical="center"/>
    </xf>
    <xf numFmtId="2" fontId="7485" fillId="8" borderId="1" xfId="0" applyNumberFormat="1" applyFont="1" applyFill="1" applyBorder="1" applyAlignment="1">
      <alignment horizontal="center" vertical="center"/>
    </xf>
    <xf numFmtId="2" fontId="7486" fillId="8" borderId="1" xfId="0" applyNumberFormat="1" applyFont="1" applyFill="1" applyBorder="1" applyAlignment="1">
      <alignment horizontal="center" vertical="center"/>
    </xf>
    <xf numFmtId="2" fontId="7487" fillId="8" borderId="1" xfId="0" applyNumberFormat="1" applyFont="1" applyFill="1" applyBorder="1" applyAlignment="1">
      <alignment horizontal="center" vertical="center"/>
    </xf>
    <xf numFmtId="2" fontId="7488" fillId="8" borderId="1" xfId="0" applyNumberFormat="1" applyFont="1" applyFill="1" applyBorder="1" applyAlignment="1">
      <alignment horizontal="center" vertical="center"/>
    </xf>
    <xf numFmtId="0" fontId="7489" fillId="7" borderId="1" xfId="0" applyNumberFormat="1" applyFont="1" applyFill="1" applyBorder="1" applyAlignment="1">
      <alignment horizontal="left" vertical="center"/>
    </xf>
    <xf numFmtId="0" fontId="7490" fillId="8" borderId="1" xfId="0" applyNumberFormat="1" applyFont="1" applyFill="1" applyBorder="1" applyAlignment="1">
      <alignment horizontal="center" vertical="center"/>
    </xf>
    <xf numFmtId="164" fontId="7491" fillId="8" borderId="1" xfId="0" applyNumberFormat="1" applyFont="1" applyFill="1" applyBorder="1" applyAlignment="1">
      <alignment horizontal="center" vertical="center"/>
    </xf>
    <xf numFmtId="1" fontId="7492" fillId="8" borderId="1" xfId="0" applyNumberFormat="1" applyFont="1" applyFill="1" applyBorder="1" applyAlignment="1">
      <alignment horizontal="center" vertical="center"/>
    </xf>
    <xf numFmtId="1" fontId="7493" fillId="8" borderId="1" xfId="0" applyNumberFormat="1" applyFont="1" applyFill="1" applyBorder="1" applyAlignment="1">
      <alignment horizontal="center" vertical="center"/>
    </xf>
    <xf numFmtId="1" fontId="7494" fillId="8" borderId="1" xfId="0" applyNumberFormat="1" applyFont="1" applyFill="1" applyBorder="1" applyAlignment="1">
      <alignment horizontal="center" vertical="center"/>
    </xf>
    <xf numFmtId="1" fontId="7495" fillId="8" borderId="1" xfId="0" applyNumberFormat="1" applyFont="1" applyFill="1" applyBorder="1" applyAlignment="1">
      <alignment horizontal="center" vertical="center"/>
    </xf>
    <xf numFmtId="1" fontId="7496" fillId="8" borderId="1" xfId="0" applyNumberFormat="1" applyFont="1" applyFill="1" applyBorder="1" applyAlignment="1">
      <alignment horizontal="center" vertical="center"/>
    </xf>
    <xf numFmtId="1" fontId="7497" fillId="8" borderId="1" xfId="0" applyNumberFormat="1" applyFont="1" applyFill="1" applyBorder="1" applyAlignment="1">
      <alignment horizontal="center" vertical="center"/>
    </xf>
    <xf numFmtId="1" fontId="7498" fillId="8" borderId="1" xfId="0" applyNumberFormat="1" applyFont="1" applyFill="1" applyBorder="1" applyAlignment="1">
      <alignment horizontal="center" vertical="center"/>
    </xf>
    <xf numFmtId="0" fontId="7499" fillId="8" borderId="1" xfId="0" applyNumberFormat="1" applyFont="1" applyFill="1" applyBorder="1" applyAlignment="1">
      <alignment horizontal="center" vertical="center"/>
    </xf>
    <xf numFmtId="0" fontId="7500" fillId="8" borderId="1" xfId="0" applyNumberFormat="1" applyFont="1" applyFill="1" applyBorder="1" applyAlignment="1">
      <alignment horizontal="center" vertical="center"/>
    </xf>
    <xf numFmtId="1" fontId="7501" fillId="8" borderId="1" xfId="0" applyNumberFormat="1" applyFont="1" applyFill="1" applyBorder="1" applyAlignment="1">
      <alignment horizontal="center" vertical="center"/>
    </xf>
    <xf numFmtId="1" fontId="7502" fillId="8" borderId="1" xfId="0" applyNumberFormat="1" applyFont="1" applyFill="1" applyBorder="1" applyAlignment="1">
      <alignment horizontal="center" vertical="center"/>
    </xf>
    <xf numFmtId="1" fontId="7503" fillId="8" borderId="1" xfId="0" applyNumberFormat="1" applyFont="1" applyFill="1" applyBorder="1" applyAlignment="1">
      <alignment horizontal="center" vertical="center"/>
    </xf>
    <xf numFmtId="165" fontId="7504" fillId="8" borderId="1" xfId="0" applyNumberFormat="1" applyFont="1" applyFill="1" applyBorder="1" applyAlignment="1">
      <alignment horizontal="center" vertical="center"/>
    </xf>
    <xf numFmtId="1" fontId="7505" fillId="8" borderId="1" xfId="0" applyNumberFormat="1" applyFont="1" applyFill="1" applyBorder="1" applyAlignment="1">
      <alignment horizontal="center" vertical="center"/>
    </xf>
    <xf numFmtId="165" fontId="7506" fillId="8" borderId="1" xfId="0" applyNumberFormat="1" applyFont="1" applyFill="1" applyBorder="1" applyAlignment="1">
      <alignment horizontal="center" vertical="center"/>
    </xf>
    <xf numFmtId="1" fontId="7507" fillId="8" borderId="1" xfId="0" applyNumberFormat="1" applyFont="1" applyFill="1" applyBorder="1" applyAlignment="1">
      <alignment horizontal="center" vertical="center"/>
    </xf>
    <xf numFmtId="165" fontId="7508" fillId="8" borderId="1" xfId="0" applyNumberFormat="1" applyFont="1" applyFill="1" applyBorder="1" applyAlignment="1">
      <alignment horizontal="center" vertical="center"/>
    </xf>
    <xf numFmtId="1" fontId="7509" fillId="8" borderId="1" xfId="0" applyNumberFormat="1" applyFont="1" applyFill="1" applyBorder="1" applyAlignment="1">
      <alignment horizontal="center" vertical="center"/>
    </xf>
    <xf numFmtId="165" fontId="7510" fillId="8" borderId="1" xfId="0" applyNumberFormat="1" applyFont="1" applyFill="1" applyBorder="1" applyAlignment="1">
      <alignment horizontal="center" vertical="center"/>
    </xf>
    <xf numFmtId="165" fontId="7511" fillId="8" borderId="1" xfId="0" applyNumberFormat="1" applyFont="1" applyFill="1" applyBorder="1" applyAlignment="1">
      <alignment horizontal="center" vertical="center"/>
    </xf>
    <xf numFmtId="1" fontId="7512" fillId="8" borderId="1" xfId="0" applyNumberFormat="1" applyFont="1" applyFill="1" applyBorder="1" applyAlignment="1">
      <alignment horizontal="center" vertical="center"/>
    </xf>
    <xf numFmtId="1" fontId="7513" fillId="8" borderId="1" xfId="0" applyNumberFormat="1" applyFont="1" applyFill="1" applyBorder="1" applyAlignment="1">
      <alignment horizontal="center" vertical="center"/>
    </xf>
    <xf numFmtId="1" fontId="7514" fillId="8" borderId="1" xfId="0" applyNumberFormat="1" applyFont="1" applyFill="1" applyBorder="1" applyAlignment="1">
      <alignment horizontal="center" vertical="center"/>
    </xf>
    <xf numFmtId="165" fontId="7515" fillId="8" borderId="1" xfId="0" applyNumberFormat="1" applyFont="1" applyFill="1" applyBorder="1" applyAlignment="1">
      <alignment horizontal="center" vertical="center"/>
    </xf>
    <xf numFmtId="164" fontId="7516" fillId="8" borderId="1" xfId="0" applyNumberFormat="1" applyFont="1" applyFill="1" applyBorder="1" applyAlignment="1">
      <alignment horizontal="center" vertical="center"/>
    </xf>
    <xf numFmtId="164" fontId="7517" fillId="8" borderId="1" xfId="0" applyNumberFormat="1" applyFont="1" applyFill="1" applyBorder="1" applyAlignment="1">
      <alignment horizontal="center" vertical="center"/>
    </xf>
    <xf numFmtId="1" fontId="7518" fillId="8" borderId="1" xfId="0" applyNumberFormat="1" applyFont="1" applyFill="1" applyBorder="1" applyAlignment="1">
      <alignment horizontal="center" vertical="center"/>
    </xf>
    <xf numFmtId="1" fontId="7519" fillId="8" borderId="1" xfId="0" applyNumberFormat="1" applyFont="1" applyFill="1" applyBorder="1" applyAlignment="1">
      <alignment horizontal="center" vertical="center"/>
    </xf>
    <xf numFmtId="1" fontId="7520" fillId="8" borderId="1" xfId="0" applyNumberFormat="1" applyFont="1" applyFill="1" applyBorder="1" applyAlignment="1">
      <alignment horizontal="center" vertical="center"/>
    </xf>
    <xf numFmtId="165" fontId="7521" fillId="8" borderId="1" xfId="0" applyNumberFormat="1" applyFont="1" applyFill="1" applyBorder="1" applyAlignment="1">
      <alignment horizontal="center" vertical="center"/>
    </xf>
    <xf numFmtId="1" fontId="7522" fillId="8" borderId="1" xfId="0" applyNumberFormat="1" applyFont="1" applyFill="1" applyBorder="1" applyAlignment="1">
      <alignment horizontal="center" vertical="center"/>
    </xf>
    <xf numFmtId="165" fontId="7523" fillId="8" borderId="1" xfId="0" applyNumberFormat="1" applyFont="1" applyFill="1" applyBorder="1" applyAlignment="1">
      <alignment horizontal="center" vertical="center"/>
    </xf>
    <xf numFmtId="1" fontId="7524" fillId="8" borderId="1" xfId="0" applyNumberFormat="1" applyFont="1" applyFill="1" applyBorder="1" applyAlignment="1">
      <alignment horizontal="center" vertical="center"/>
    </xf>
    <xf numFmtId="1" fontId="7525" fillId="8" borderId="1" xfId="0" applyNumberFormat="1" applyFont="1" applyFill="1" applyBorder="1" applyAlignment="1">
      <alignment horizontal="center" vertical="center"/>
    </xf>
    <xf numFmtId="1" fontId="7526" fillId="8" borderId="1" xfId="0" applyNumberFormat="1" applyFont="1" applyFill="1" applyBorder="1" applyAlignment="1">
      <alignment horizontal="center" vertical="center"/>
    </xf>
    <xf numFmtId="1" fontId="7527" fillId="8" borderId="1" xfId="0" applyNumberFormat="1" applyFont="1" applyFill="1" applyBorder="1" applyAlignment="1">
      <alignment horizontal="center" vertical="center"/>
    </xf>
    <xf numFmtId="165" fontId="7528" fillId="8" borderId="1" xfId="0" applyNumberFormat="1" applyFont="1" applyFill="1" applyBorder="1" applyAlignment="1">
      <alignment horizontal="center" vertical="center"/>
    </xf>
    <xf numFmtId="1" fontId="7529" fillId="8" borderId="1" xfId="0" applyNumberFormat="1" applyFont="1" applyFill="1" applyBorder="1" applyAlignment="1">
      <alignment horizontal="center" vertical="center"/>
    </xf>
    <xf numFmtId="165" fontId="7530" fillId="8" borderId="1" xfId="0" applyNumberFormat="1" applyFont="1" applyFill="1" applyBorder="1" applyAlignment="1">
      <alignment horizontal="center" vertical="center"/>
    </xf>
    <xf numFmtId="1" fontId="7531" fillId="8" borderId="1" xfId="0" applyNumberFormat="1" applyFont="1" applyFill="1" applyBorder="1" applyAlignment="1">
      <alignment horizontal="center" vertical="center"/>
    </xf>
    <xf numFmtId="165" fontId="7532" fillId="8" borderId="1" xfId="0" applyNumberFormat="1" applyFont="1" applyFill="1" applyBorder="1" applyAlignment="1">
      <alignment horizontal="center" vertical="center"/>
    </xf>
    <xf numFmtId="2" fontId="7533" fillId="8" borderId="1" xfId="0" applyNumberFormat="1" applyFont="1" applyFill="1" applyBorder="1" applyAlignment="1">
      <alignment horizontal="center" vertical="center"/>
    </xf>
    <xf numFmtId="2" fontId="7534" fillId="8" borderId="1" xfId="0" applyNumberFormat="1" applyFont="1" applyFill="1" applyBorder="1" applyAlignment="1">
      <alignment horizontal="center" vertical="center"/>
    </xf>
    <xf numFmtId="2" fontId="7535" fillId="8" borderId="1" xfId="0" applyNumberFormat="1" applyFont="1" applyFill="1" applyBorder="1" applyAlignment="1">
      <alignment horizontal="center" vertical="center"/>
    </xf>
    <xf numFmtId="2" fontId="7536" fillId="8" borderId="1" xfId="0" applyNumberFormat="1" applyFont="1" applyFill="1" applyBorder="1" applyAlignment="1">
      <alignment horizontal="center" vertical="center"/>
    </xf>
    <xf numFmtId="2" fontId="7537" fillId="8" borderId="1" xfId="0" applyNumberFormat="1" applyFont="1" applyFill="1" applyBorder="1" applyAlignment="1">
      <alignment horizontal="center" vertical="center"/>
    </xf>
    <xf numFmtId="2" fontId="7538" fillId="8" borderId="1" xfId="0" applyNumberFormat="1" applyFont="1" applyFill="1" applyBorder="1" applyAlignment="1">
      <alignment horizontal="center" vertical="center"/>
    </xf>
    <xf numFmtId="2" fontId="7539" fillId="8" borderId="1" xfId="0" applyNumberFormat="1" applyFont="1" applyFill="1" applyBorder="1" applyAlignment="1">
      <alignment horizontal="center" vertical="center"/>
    </xf>
    <xf numFmtId="2" fontId="7540" fillId="8" borderId="1" xfId="0" applyNumberFormat="1" applyFont="1" applyFill="1" applyBorder="1" applyAlignment="1">
      <alignment horizontal="center" vertical="center"/>
    </xf>
    <xf numFmtId="2" fontId="7541" fillId="8" borderId="1" xfId="0" applyNumberFormat="1" applyFont="1" applyFill="1" applyBorder="1" applyAlignment="1">
      <alignment horizontal="center" vertical="center"/>
    </xf>
    <xf numFmtId="2" fontId="7542" fillId="8" borderId="1" xfId="0" applyNumberFormat="1" applyFont="1" applyFill="1" applyBorder="1" applyAlignment="1">
      <alignment horizontal="center" vertical="center"/>
    </xf>
    <xf numFmtId="2" fontId="7543" fillId="8" borderId="1" xfId="0" applyNumberFormat="1" applyFont="1" applyFill="1" applyBorder="1" applyAlignment="1">
      <alignment horizontal="center" vertical="center"/>
    </xf>
    <xf numFmtId="2" fontId="7544" fillId="8" borderId="1" xfId="0" applyNumberFormat="1" applyFont="1" applyFill="1" applyBorder="1" applyAlignment="1">
      <alignment horizontal="center" vertical="center"/>
    </xf>
    <xf numFmtId="2" fontId="7545" fillId="8" borderId="1" xfId="0" applyNumberFormat="1" applyFont="1" applyFill="1" applyBorder="1" applyAlignment="1">
      <alignment horizontal="center" vertical="center"/>
    </xf>
    <xf numFmtId="2" fontId="7546" fillId="8" borderId="1" xfId="0" applyNumberFormat="1" applyFont="1" applyFill="1" applyBorder="1" applyAlignment="1">
      <alignment horizontal="center" vertical="center"/>
    </xf>
    <xf numFmtId="2" fontId="7547" fillId="8" borderId="1" xfId="0" applyNumberFormat="1" applyFont="1" applyFill="1" applyBorder="1" applyAlignment="1">
      <alignment horizontal="center" vertical="center"/>
    </xf>
    <xf numFmtId="2" fontId="7548" fillId="8" borderId="1" xfId="0" applyNumberFormat="1" applyFont="1" applyFill="1" applyBorder="1" applyAlignment="1">
      <alignment horizontal="center" vertical="center"/>
    </xf>
    <xf numFmtId="2" fontId="7549" fillId="8" borderId="1" xfId="0" applyNumberFormat="1" applyFont="1" applyFill="1" applyBorder="1" applyAlignment="1">
      <alignment horizontal="center" vertical="center"/>
    </xf>
    <xf numFmtId="2" fontId="7550" fillId="8" borderId="1" xfId="0" applyNumberFormat="1" applyFont="1" applyFill="1" applyBorder="1" applyAlignment="1">
      <alignment horizontal="center" vertical="center"/>
    </xf>
    <xf numFmtId="2" fontId="7551" fillId="8" borderId="1" xfId="0" applyNumberFormat="1" applyFont="1" applyFill="1" applyBorder="1" applyAlignment="1">
      <alignment horizontal="center" vertical="center"/>
    </xf>
    <xf numFmtId="2" fontId="7552" fillId="8" borderId="1" xfId="0" applyNumberFormat="1" applyFont="1" applyFill="1" applyBorder="1" applyAlignment="1">
      <alignment horizontal="center" vertical="center"/>
    </xf>
    <xf numFmtId="2" fontId="7553" fillId="8" borderId="1" xfId="0" applyNumberFormat="1" applyFont="1" applyFill="1" applyBorder="1" applyAlignment="1">
      <alignment horizontal="center" vertical="center"/>
    </xf>
    <xf numFmtId="2" fontId="7554" fillId="8" borderId="1" xfId="0" applyNumberFormat="1" applyFont="1" applyFill="1" applyBorder="1" applyAlignment="1">
      <alignment horizontal="center" vertical="center"/>
    </xf>
    <xf numFmtId="2" fontId="7555" fillId="8" borderId="1" xfId="0" applyNumberFormat="1" applyFont="1" applyFill="1" applyBorder="1" applyAlignment="1">
      <alignment horizontal="center" vertical="center"/>
    </xf>
    <xf numFmtId="2" fontId="7556" fillId="8" borderId="1" xfId="0" applyNumberFormat="1" applyFont="1" applyFill="1" applyBorder="1" applyAlignment="1">
      <alignment horizontal="center" vertical="center"/>
    </xf>
    <xf numFmtId="2" fontId="7557" fillId="8" borderId="1" xfId="0" applyNumberFormat="1" applyFont="1" applyFill="1" applyBorder="1" applyAlignment="1">
      <alignment horizontal="center" vertical="center"/>
    </xf>
    <xf numFmtId="2" fontId="7558" fillId="8" borderId="1" xfId="0" applyNumberFormat="1" applyFont="1" applyFill="1" applyBorder="1" applyAlignment="1">
      <alignment horizontal="center" vertical="center"/>
    </xf>
    <xf numFmtId="2" fontId="7559" fillId="8" borderId="1" xfId="0" applyNumberFormat="1" applyFont="1" applyFill="1" applyBorder="1" applyAlignment="1">
      <alignment horizontal="center" vertical="center"/>
    </xf>
    <xf numFmtId="2" fontId="7560" fillId="8" borderId="1" xfId="0" applyNumberFormat="1" applyFont="1" applyFill="1" applyBorder="1" applyAlignment="1">
      <alignment horizontal="center" vertical="center"/>
    </xf>
    <xf numFmtId="2" fontId="7561" fillId="8" borderId="1" xfId="0" applyNumberFormat="1" applyFont="1" applyFill="1" applyBorder="1" applyAlignment="1">
      <alignment horizontal="center" vertical="center"/>
    </xf>
    <xf numFmtId="2" fontId="7562" fillId="8" borderId="1" xfId="0" applyNumberFormat="1" applyFont="1" applyFill="1" applyBorder="1" applyAlignment="1">
      <alignment horizontal="center" vertical="center"/>
    </xf>
    <xf numFmtId="2" fontId="7563" fillId="8" borderId="1" xfId="0" applyNumberFormat="1" applyFont="1" applyFill="1" applyBorder="1" applyAlignment="1">
      <alignment horizontal="center" vertical="center"/>
    </xf>
    <xf numFmtId="2" fontId="7564" fillId="8" borderId="1" xfId="0" applyNumberFormat="1" applyFont="1" applyFill="1" applyBorder="1" applyAlignment="1">
      <alignment horizontal="center" vertical="center"/>
    </xf>
    <xf numFmtId="2" fontId="7565" fillId="8" borderId="1" xfId="0" applyNumberFormat="1" applyFont="1" applyFill="1" applyBorder="1" applyAlignment="1">
      <alignment horizontal="center" vertical="center"/>
    </xf>
    <xf numFmtId="2" fontId="7566" fillId="8" borderId="1" xfId="0" applyNumberFormat="1" applyFont="1" applyFill="1" applyBorder="1" applyAlignment="1">
      <alignment horizontal="center" vertical="center"/>
    </xf>
    <xf numFmtId="0" fontId="7567" fillId="7" borderId="1" xfId="0" applyNumberFormat="1" applyFont="1" applyFill="1" applyBorder="1" applyAlignment="1">
      <alignment horizontal="left" vertical="center"/>
    </xf>
    <xf numFmtId="0" fontId="7568" fillId="8" borderId="1" xfId="0" applyNumberFormat="1" applyFont="1" applyFill="1" applyBorder="1" applyAlignment="1">
      <alignment horizontal="center" vertical="center"/>
    </xf>
    <xf numFmtId="164" fontId="7569" fillId="8" borderId="1" xfId="0" applyNumberFormat="1" applyFont="1" applyFill="1" applyBorder="1" applyAlignment="1">
      <alignment horizontal="center" vertical="center"/>
    </xf>
    <xf numFmtId="1" fontId="7570" fillId="8" borderId="1" xfId="0" applyNumberFormat="1" applyFont="1" applyFill="1" applyBorder="1" applyAlignment="1">
      <alignment horizontal="center" vertical="center"/>
    </xf>
    <xf numFmtId="1" fontId="7571" fillId="8" borderId="1" xfId="0" applyNumberFormat="1" applyFont="1" applyFill="1" applyBorder="1" applyAlignment="1">
      <alignment horizontal="center" vertical="center"/>
    </xf>
    <xf numFmtId="1" fontId="7572" fillId="8" borderId="1" xfId="0" applyNumberFormat="1" applyFont="1" applyFill="1" applyBorder="1" applyAlignment="1">
      <alignment horizontal="center" vertical="center"/>
    </xf>
    <xf numFmtId="1" fontId="7573" fillId="8" borderId="1" xfId="0" applyNumberFormat="1" applyFont="1" applyFill="1" applyBorder="1" applyAlignment="1">
      <alignment horizontal="center" vertical="center"/>
    </xf>
    <xf numFmtId="1" fontId="7574" fillId="8" borderId="1" xfId="0" applyNumberFormat="1" applyFont="1" applyFill="1" applyBorder="1" applyAlignment="1">
      <alignment horizontal="center" vertical="center"/>
    </xf>
    <xf numFmtId="1" fontId="7575" fillId="8" borderId="1" xfId="0" applyNumberFormat="1" applyFont="1" applyFill="1" applyBorder="1" applyAlignment="1">
      <alignment horizontal="center" vertical="center"/>
    </xf>
    <xf numFmtId="1" fontId="7576" fillId="8" borderId="1" xfId="0" applyNumberFormat="1" applyFont="1" applyFill="1" applyBorder="1" applyAlignment="1">
      <alignment horizontal="center" vertical="center"/>
    </xf>
    <xf numFmtId="0" fontId="7577" fillId="8" borderId="1" xfId="0" applyNumberFormat="1" applyFont="1" applyFill="1" applyBorder="1" applyAlignment="1">
      <alignment horizontal="center" vertical="center"/>
    </xf>
    <xf numFmtId="0" fontId="7578" fillId="8" borderId="1" xfId="0" applyNumberFormat="1" applyFont="1" applyFill="1" applyBorder="1" applyAlignment="1">
      <alignment horizontal="center" vertical="center"/>
    </xf>
    <xf numFmtId="1" fontId="7579" fillId="8" borderId="1" xfId="0" applyNumberFormat="1" applyFont="1" applyFill="1" applyBorder="1" applyAlignment="1">
      <alignment horizontal="center" vertical="center"/>
    </xf>
    <xf numFmtId="1" fontId="7580" fillId="8" borderId="1" xfId="0" applyNumberFormat="1" applyFont="1" applyFill="1" applyBorder="1" applyAlignment="1">
      <alignment horizontal="center" vertical="center"/>
    </xf>
    <xf numFmtId="1" fontId="7581" fillId="8" borderId="1" xfId="0" applyNumberFormat="1" applyFont="1" applyFill="1" applyBorder="1" applyAlignment="1">
      <alignment horizontal="center" vertical="center"/>
    </xf>
    <xf numFmtId="165" fontId="7582" fillId="8" borderId="1" xfId="0" applyNumberFormat="1" applyFont="1" applyFill="1" applyBorder="1" applyAlignment="1">
      <alignment horizontal="center" vertical="center"/>
    </xf>
    <xf numFmtId="1" fontId="7583" fillId="8" borderId="1" xfId="0" applyNumberFormat="1" applyFont="1" applyFill="1" applyBorder="1" applyAlignment="1">
      <alignment horizontal="center" vertical="center"/>
    </xf>
    <xf numFmtId="165" fontId="7584" fillId="8" borderId="1" xfId="0" applyNumberFormat="1" applyFont="1" applyFill="1" applyBorder="1" applyAlignment="1">
      <alignment horizontal="center" vertical="center"/>
    </xf>
    <xf numFmtId="1" fontId="7585" fillId="8" borderId="1" xfId="0" applyNumberFormat="1" applyFont="1" applyFill="1" applyBorder="1" applyAlignment="1">
      <alignment horizontal="center" vertical="center"/>
    </xf>
    <xf numFmtId="165" fontId="7586" fillId="8" borderId="1" xfId="0" applyNumberFormat="1" applyFont="1" applyFill="1" applyBorder="1" applyAlignment="1">
      <alignment horizontal="center" vertical="center"/>
    </xf>
    <xf numFmtId="1" fontId="7587" fillId="8" borderId="1" xfId="0" applyNumberFormat="1" applyFont="1" applyFill="1" applyBorder="1" applyAlignment="1">
      <alignment horizontal="center" vertical="center"/>
    </xf>
    <xf numFmtId="165" fontId="7588" fillId="8" borderId="1" xfId="0" applyNumberFormat="1" applyFont="1" applyFill="1" applyBorder="1" applyAlignment="1">
      <alignment horizontal="center" vertical="center"/>
    </xf>
    <xf numFmtId="165" fontId="7589" fillId="8" borderId="1" xfId="0" applyNumberFormat="1" applyFont="1" applyFill="1" applyBorder="1" applyAlignment="1">
      <alignment horizontal="center" vertical="center"/>
    </xf>
    <xf numFmtId="1" fontId="7590" fillId="8" borderId="1" xfId="0" applyNumberFormat="1" applyFont="1" applyFill="1" applyBorder="1" applyAlignment="1">
      <alignment horizontal="center" vertical="center"/>
    </xf>
    <xf numFmtId="1" fontId="7591" fillId="8" borderId="1" xfId="0" applyNumberFormat="1" applyFont="1" applyFill="1" applyBorder="1" applyAlignment="1">
      <alignment horizontal="center" vertical="center"/>
    </xf>
    <xf numFmtId="1" fontId="7592" fillId="8" borderId="1" xfId="0" applyNumberFormat="1" applyFont="1" applyFill="1" applyBorder="1" applyAlignment="1">
      <alignment horizontal="center" vertical="center"/>
    </xf>
    <xf numFmtId="165" fontId="7593" fillId="8" borderId="1" xfId="0" applyNumberFormat="1" applyFont="1" applyFill="1" applyBorder="1" applyAlignment="1">
      <alignment horizontal="center" vertical="center"/>
    </xf>
    <xf numFmtId="164" fontId="7594" fillId="8" borderId="1" xfId="0" applyNumberFormat="1" applyFont="1" applyFill="1" applyBorder="1" applyAlignment="1">
      <alignment horizontal="center" vertical="center"/>
    </xf>
    <xf numFmtId="164" fontId="7595" fillId="8" borderId="1" xfId="0" applyNumberFormat="1" applyFont="1" applyFill="1" applyBorder="1" applyAlignment="1">
      <alignment horizontal="center" vertical="center"/>
    </xf>
    <xf numFmtId="1" fontId="7596" fillId="8" borderId="1" xfId="0" applyNumberFormat="1" applyFont="1" applyFill="1" applyBorder="1" applyAlignment="1">
      <alignment horizontal="center" vertical="center"/>
    </xf>
    <xf numFmtId="1" fontId="7597" fillId="8" borderId="1" xfId="0" applyNumberFormat="1" applyFont="1" applyFill="1" applyBorder="1" applyAlignment="1">
      <alignment horizontal="center" vertical="center"/>
    </xf>
    <xf numFmtId="1" fontId="7598" fillId="8" borderId="1" xfId="0" applyNumberFormat="1" applyFont="1" applyFill="1" applyBorder="1" applyAlignment="1">
      <alignment horizontal="center" vertical="center"/>
    </xf>
    <xf numFmtId="165" fontId="7599" fillId="8" borderId="1" xfId="0" applyNumberFormat="1" applyFont="1" applyFill="1" applyBorder="1" applyAlignment="1">
      <alignment horizontal="center" vertical="center"/>
    </xf>
    <xf numFmtId="1" fontId="7600" fillId="8" borderId="1" xfId="0" applyNumberFormat="1" applyFont="1" applyFill="1" applyBorder="1" applyAlignment="1">
      <alignment horizontal="center" vertical="center"/>
    </xf>
    <xf numFmtId="165" fontId="7601" fillId="8" borderId="1" xfId="0" applyNumberFormat="1" applyFont="1" applyFill="1" applyBorder="1" applyAlignment="1">
      <alignment horizontal="center" vertical="center"/>
    </xf>
    <xf numFmtId="1" fontId="7602" fillId="8" borderId="1" xfId="0" applyNumberFormat="1" applyFont="1" applyFill="1" applyBorder="1" applyAlignment="1">
      <alignment horizontal="center" vertical="center"/>
    </xf>
    <xf numFmtId="1" fontId="7603" fillId="8" borderId="1" xfId="0" applyNumberFormat="1" applyFont="1" applyFill="1" applyBorder="1" applyAlignment="1">
      <alignment horizontal="center" vertical="center"/>
    </xf>
    <xf numFmtId="1" fontId="7604" fillId="8" borderId="1" xfId="0" applyNumberFormat="1" applyFont="1" applyFill="1" applyBorder="1" applyAlignment="1">
      <alignment horizontal="center" vertical="center"/>
    </xf>
    <xf numFmtId="1" fontId="7605" fillId="8" borderId="1" xfId="0" applyNumberFormat="1" applyFont="1" applyFill="1" applyBorder="1" applyAlignment="1">
      <alignment horizontal="center" vertical="center"/>
    </xf>
    <xf numFmtId="165" fontId="7606" fillId="8" borderId="1" xfId="0" applyNumberFormat="1" applyFont="1" applyFill="1" applyBorder="1" applyAlignment="1">
      <alignment horizontal="center" vertical="center"/>
    </xf>
    <xf numFmtId="1" fontId="7607" fillId="8" borderId="1" xfId="0" applyNumberFormat="1" applyFont="1" applyFill="1" applyBorder="1" applyAlignment="1">
      <alignment horizontal="center" vertical="center"/>
    </xf>
    <xf numFmtId="165" fontId="7608" fillId="8" borderId="1" xfId="0" applyNumberFormat="1" applyFont="1" applyFill="1" applyBorder="1" applyAlignment="1">
      <alignment horizontal="center" vertical="center"/>
    </xf>
    <xf numFmtId="1" fontId="7609" fillId="8" borderId="1" xfId="0" applyNumberFormat="1" applyFont="1" applyFill="1" applyBorder="1" applyAlignment="1">
      <alignment horizontal="center" vertical="center"/>
    </xf>
    <xf numFmtId="165" fontId="7610" fillId="8" borderId="1" xfId="0" applyNumberFormat="1" applyFont="1" applyFill="1" applyBorder="1" applyAlignment="1">
      <alignment horizontal="center" vertical="center"/>
    </xf>
    <xf numFmtId="2" fontId="7611" fillId="8" borderId="1" xfId="0" applyNumberFormat="1" applyFont="1" applyFill="1" applyBorder="1" applyAlignment="1">
      <alignment horizontal="center" vertical="center"/>
    </xf>
    <xf numFmtId="2" fontId="7612" fillId="8" borderId="1" xfId="0" applyNumberFormat="1" applyFont="1" applyFill="1" applyBorder="1" applyAlignment="1">
      <alignment horizontal="center" vertical="center"/>
    </xf>
    <xf numFmtId="2" fontId="7613" fillId="8" borderId="1" xfId="0" applyNumberFormat="1" applyFont="1" applyFill="1" applyBorder="1" applyAlignment="1">
      <alignment horizontal="center" vertical="center"/>
    </xf>
    <xf numFmtId="2" fontId="7614" fillId="8" borderId="1" xfId="0" applyNumberFormat="1" applyFont="1" applyFill="1" applyBorder="1" applyAlignment="1">
      <alignment horizontal="center" vertical="center"/>
    </xf>
    <xf numFmtId="2" fontId="7615" fillId="8" borderId="1" xfId="0" applyNumberFormat="1" applyFont="1" applyFill="1" applyBorder="1" applyAlignment="1">
      <alignment horizontal="center" vertical="center"/>
    </xf>
    <xf numFmtId="2" fontId="7616" fillId="8" borderId="1" xfId="0" applyNumberFormat="1" applyFont="1" applyFill="1" applyBorder="1" applyAlignment="1">
      <alignment horizontal="center" vertical="center"/>
    </xf>
    <xf numFmtId="2" fontId="7617" fillId="8" borderId="1" xfId="0" applyNumberFormat="1" applyFont="1" applyFill="1" applyBorder="1" applyAlignment="1">
      <alignment horizontal="center" vertical="center"/>
    </xf>
    <xf numFmtId="2" fontId="7618" fillId="8" borderId="1" xfId="0" applyNumberFormat="1" applyFont="1" applyFill="1" applyBorder="1" applyAlignment="1">
      <alignment horizontal="center" vertical="center"/>
    </xf>
    <xf numFmtId="2" fontId="7619" fillId="8" borderId="1" xfId="0" applyNumberFormat="1" applyFont="1" applyFill="1" applyBorder="1" applyAlignment="1">
      <alignment horizontal="center" vertical="center"/>
    </xf>
    <xf numFmtId="2" fontId="7620" fillId="8" borderId="1" xfId="0" applyNumberFormat="1" applyFont="1" applyFill="1" applyBorder="1" applyAlignment="1">
      <alignment horizontal="center" vertical="center"/>
    </xf>
    <xf numFmtId="2" fontId="7621" fillId="8" borderId="1" xfId="0" applyNumberFormat="1" applyFont="1" applyFill="1" applyBorder="1" applyAlignment="1">
      <alignment horizontal="center" vertical="center"/>
    </xf>
    <xf numFmtId="2" fontId="7622" fillId="8" borderId="1" xfId="0" applyNumberFormat="1" applyFont="1" applyFill="1" applyBorder="1" applyAlignment="1">
      <alignment horizontal="center" vertical="center"/>
    </xf>
    <xf numFmtId="2" fontId="7623" fillId="8" borderId="1" xfId="0" applyNumberFormat="1" applyFont="1" applyFill="1" applyBorder="1" applyAlignment="1">
      <alignment horizontal="center" vertical="center"/>
    </xf>
    <xf numFmtId="2" fontId="7624" fillId="8" borderId="1" xfId="0" applyNumberFormat="1" applyFont="1" applyFill="1" applyBorder="1" applyAlignment="1">
      <alignment horizontal="center" vertical="center"/>
    </xf>
    <xf numFmtId="2" fontId="7625" fillId="8" borderId="1" xfId="0" applyNumberFormat="1" applyFont="1" applyFill="1" applyBorder="1" applyAlignment="1">
      <alignment horizontal="center" vertical="center"/>
    </xf>
    <xf numFmtId="2" fontId="7626" fillId="8" borderId="1" xfId="0" applyNumberFormat="1" applyFont="1" applyFill="1" applyBorder="1" applyAlignment="1">
      <alignment horizontal="center" vertical="center"/>
    </xf>
    <xf numFmtId="2" fontId="7627" fillId="8" borderId="1" xfId="0" applyNumberFormat="1" applyFont="1" applyFill="1" applyBorder="1" applyAlignment="1">
      <alignment horizontal="center" vertical="center"/>
    </xf>
    <xf numFmtId="2" fontId="7628" fillId="8" borderId="1" xfId="0" applyNumberFormat="1" applyFont="1" applyFill="1" applyBorder="1" applyAlignment="1">
      <alignment horizontal="center" vertical="center"/>
    </xf>
    <xf numFmtId="2" fontId="7629" fillId="8" borderId="1" xfId="0" applyNumberFormat="1" applyFont="1" applyFill="1" applyBorder="1" applyAlignment="1">
      <alignment horizontal="center" vertical="center"/>
    </xf>
    <xf numFmtId="2" fontId="7630" fillId="8" borderId="1" xfId="0" applyNumberFormat="1" applyFont="1" applyFill="1" applyBorder="1" applyAlignment="1">
      <alignment horizontal="center" vertical="center"/>
    </xf>
    <xf numFmtId="2" fontId="7631" fillId="8" borderId="1" xfId="0" applyNumberFormat="1" applyFont="1" applyFill="1" applyBorder="1" applyAlignment="1">
      <alignment horizontal="center" vertical="center"/>
    </xf>
    <xf numFmtId="2" fontId="7632" fillId="8" borderId="1" xfId="0" applyNumberFormat="1" applyFont="1" applyFill="1" applyBorder="1" applyAlignment="1">
      <alignment horizontal="center" vertical="center"/>
    </xf>
    <xf numFmtId="2" fontId="7633" fillId="8" borderId="1" xfId="0" applyNumberFormat="1" applyFont="1" applyFill="1" applyBorder="1" applyAlignment="1">
      <alignment horizontal="center" vertical="center"/>
    </xf>
    <xf numFmtId="2" fontId="7634" fillId="8" borderId="1" xfId="0" applyNumberFormat="1" applyFont="1" applyFill="1" applyBorder="1" applyAlignment="1">
      <alignment horizontal="center" vertical="center"/>
    </xf>
    <xf numFmtId="2" fontId="7635" fillId="8" borderId="1" xfId="0" applyNumberFormat="1" applyFont="1" applyFill="1" applyBorder="1" applyAlignment="1">
      <alignment horizontal="center" vertical="center"/>
    </xf>
    <xf numFmtId="2" fontId="7636" fillId="8" borderId="1" xfId="0" applyNumberFormat="1" applyFont="1" applyFill="1" applyBorder="1" applyAlignment="1">
      <alignment horizontal="center" vertical="center"/>
    </xf>
    <xf numFmtId="2" fontId="7637" fillId="8" borderId="1" xfId="0" applyNumberFormat="1" applyFont="1" applyFill="1" applyBorder="1" applyAlignment="1">
      <alignment horizontal="center" vertical="center"/>
    </xf>
    <xf numFmtId="2" fontId="7638" fillId="8" borderId="1" xfId="0" applyNumberFormat="1" applyFont="1" applyFill="1" applyBorder="1" applyAlignment="1">
      <alignment horizontal="center" vertical="center"/>
    </xf>
    <xf numFmtId="2" fontId="7639" fillId="8" borderId="1" xfId="0" applyNumberFormat="1" applyFont="1" applyFill="1" applyBorder="1" applyAlignment="1">
      <alignment horizontal="center" vertical="center"/>
    </xf>
    <xf numFmtId="2" fontId="7640" fillId="8" borderId="1" xfId="0" applyNumberFormat="1" applyFont="1" applyFill="1" applyBorder="1" applyAlignment="1">
      <alignment horizontal="center" vertical="center"/>
    </xf>
    <xf numFmtId="2" fontId="7641" fillId="8" borderId="1" xfId="0" applyNumberFormat="1" applyFont="1" applyFill="1" applyBorder="1" applyAlignment="1">
      <alignment horizontal="center" vertical="center"/>
    </xf>
    <xf numFmtId="2" fontId="7642" fillId="8" borderId="1" xfId="0" applyNumberFormat="1" applyFont="1" applyFill="1" applyBorder="1" applyAlignment="1">
      <alignment horizontal="center" vertical="center"/>
    </xf>
    <xf numFmtId="2" fontId="7643" fillId="8" borderId="1" xfId="0" applyNumberFormat="1" applyFont="1" applyFill="1" applyBorder="1" applyAlignment="1">
      <alignment horizontal="center" vertical="center"/>
    </xf>
    <xf numFmtId="2" fontId="7644" fillId="8" borderId="1" xfId="0" applyNumberFormat="1" applyFont="1" applyFill="1" applyBorder="1" applyAlignment="1">
      <alignment horizontal="center" vertical="center"/>
    </xf>
    <xf numFmtId="0" fontId="7645" fillId="7" borderId="1" xfId="0" applyNumberFormat="1" applyFont="1" applyFill="1" applyBorder="1" applyAlignment="1">
      <alignment horizontal="left" vertical="center"/>
    </xf>
    <xf numFmtId="0" fontId="7646" fillId="8" borderId="1" xfId="0" applyNumberFormat="1" applyFont="1" applyFill="1" applyBorder="1" applyAlignment="1">
      <alignment horizontal="center" vertical="center"/>
    </xf>
    <xf numFmtId="164" fontId="7647" fillId="8" borderId="1" xfId="0" applyNumberFormat="1" applyFont="1" applyFill="1" applyBorder="1" applyAlignment="1">
      <alignment horizontal="center" vertical="center"/>
    </xf>
    <xf numFmtId="1" fontId="7648" fillId="8" borderId="1" xfId="0" applyNumberFormat="1" applyFont="1" applyFill="1" applyBorder="1" applyAlignment="1">
      <alignment horizontal="center" vertical="center"/>
    </xf>
    <xf numFmtId="1" fontId="7649" fillId="8" borderId="1" xfId="0" applyNumberFormat="1" applyFont="1" applyFill="1" applyBorder="1" applyAlignment="1">
      <alignment horizontal="center" vertical="center"/>
    </xf>
    <xf numFmtId="1" fontId="7650" fillId="8" borderId="1" xfId="0" applyNumberFormat="1" applyFont="1" applyFill="1" applyBorder="1" applyAlignment="1">
      <alignment horizontal="center" vertical="center"/>
    </xf>
    <xf numFmtId="1" fontId="7651" fillId="8" borderId="1" xfId="0" applyNumberFormat="1" applyFont="1" applyFill="1" applyBorder="1" applyAlignment="1">
      <alignment horizontal="center" vertical="center"/>
    </xf>
    <xf numFmtId="1" fontId="7652" fillId="8" borderId="1" xfId="0" applyNumberFormat="1" applyFont="1" applyFill="1" applyBorder="1" applyAlignment="1">
      <alignment horizontal="center" vertical="center"/>
    </xf>
    <xf numFmtId="1" fontId="7653" fillId="8" borderId="1" xfId="0" applyNumberFormat="1" applyFont="1" applyFill="1" applyBorder="1" applyAlignment="1">
      <alignment horizontal="center" vertical="center"/>
    </xf>
    <xf numFmtId="1" fontId="7654" fillId="8" borderId="1" xfId="0" applyNumberFormat="1" applyFont="1" applyFill="1" applyBorder="1" applyAlignment="1">
      <alignment horizontal="center" vertical="center"/>
    </xf>
    <xf numFmtId="0" fontId="7655" fillId="8" borderId="1" xfId="0" applyNumberFormat="1" applyFont="1" applyFill="1" applyBorder="1" applyAlignment="1">
      <alignment horizontal="center" vertical="center"/>
    </xf>
    <xf numFmtId="0" fontId="7656" fillId="8" borderId="1" xfId="0" applyNumberFormat="1" applyFont="1" applyFill="1" applyBorder="1" applyAlignment="1">
      <alignment horizontal="center" vertical="center"/>
    </xf>
    <xf numFmtId="1" fontId="7657" fillId="8" borderId="1" xfId="0" applyNumberFormat="1" applyFont="1" applyFill="1" applyBorder="1" applyAlignment="1">
      <alignment horizontal="center" vertical="center"/>
    </xf>
    <xf numFmtId="1" fontId="7658" fillId="8" borderId="1" xfId="0" applyNumberFormat="1" applyFont="1" applyFill="1" applyBorder="1" applyAlignment="1">
      <alignment horizontal="center" vertical="center"/>
    </xf>
    <xf numFmtId="1" fontId="7659" fillId="8" borderId="1" xfId="0" applyNumberFormat="1" applyFont="1" applyFill="1" applyBorder="1" applyAlignment="1">
      <alignment horizontal="center" vertical="center"/>
    </xf>
    <xf numFmtId="165" fontId="7660" fillId="8" borderId="1" xfId="0" applyNumberFormat="1" applyFont="1" applyFill="1" applyBorder="1" applyAlignment="1">
      <alignment horizontal="center" vertical="center"/>
    </xf>
    <xf numFmtId="1" fontId="7661" fillId="8" borderId="1" xfId="0" applyNumberFormat="1" applyFont="1" applyFill="1" applyBorder="1" applyAlignment="1">
      <alignment horizontal="center" vertical="center"/>
    </xf>
    <xf numFmtId="165" fontId="7662" fillId="8" borderId="1" xfId="0" applyNumberFormat="1" applyFont="1" applyFill="1" applyBorder="1" applyAlignment="1">
      <alignment horizontal="center" vertical="center"/>
    </xf>
    <xf numFmtId="1" fontId="7663" fillId="8" borderId="1" xfId="0" applyNumberFormat="1" applyFont="1" applyFill="1" applyBorder="1" applyAlignment="1">
      <alignment horizontal="center" vertical="center"/>
    </xf>
    <xf numFmtId="165" fontId="7664" fillId="8" borderId="1" xfId="0" applyNumberFormat="1" applyFont="1" applyFill="1" applyBorder="1" applyAlignment="1">
      <alignment horizontal="center" vertical="center"/>
    </xf>
    <xf numFmtId="1" fontId="7665" fillId="8" borderId="1" xfId="0" applyNumberFormat="1" applyFont="1" applyFill="1" applyBorder="1" applyAlignment="1">
      <alignment horizontal="center" vertical="center"/>
    </xf>
    <xf numFmtId="165" fontId="7666" fillId="8" borderId="1" xfId="0" applyNumberFormat="1" applyFont="1" applyFill="1" applyBorder="1" applyAlignment="1">
      <alignment horizontal="center" vertical="center"/>
    </xf>
    <xf numFmtId="165" fontId="7667" fillId="8" borderId="1" xfId="0" applyNumberFormat="1" applyFont="1" applyFill="1" applyBorder="1" applyAlignment="1">
      <alignment horizontal="center" vertical="center"/>
    </xf>
    <xf numFmtId="1" fontId="7668" fillId="8" borderId="1" xfId="0" applyNumberFormat="1" applyFont="1" applyFill="1" applyBorder="1" applyAlignment="1">
      <alignment horizontal="center" vertical="center"/>
    </xf>
    <xf numFmtId="1" fontId="7669" fillId="8" borderId="1" xfId="0" applyNumberFormat="1" applyFont="1" applyFill="1" applyBorder="1" applyAlignment="1">
      <alignment horizontal="center" vertical="center"/>
    </xf>
    <xf numFmtId="1" fontId="7670" fillId="8" borderId="1" xfId="0" applyNumberFormat="1" applyFont="1" applyFill="1" applyBorder="1" applyAlignment="1">
      <alignment horizontal="center" vertical="center"/>
    </xf>
    <xf numFmtId="165" fontId="7671" fillId="8" borderId="1" xfId="0" applyNumberFormat="1" applyFont="1" applyFill="1" applyBorder="1" applyAlignment="1">
      <alignment horizontal="center" vertical="center"/>
    </xf>
    <xf numFmtId="164" fontId="7672" fillId="8" borderId="1" xfId="0" applyNumberFormat="1" applyFont="1" applyFill="1" applyBorder="1" applyAlignment="1">
      <alignment horizontal="center" vertical="center"/>
    </xf>
    <xf numFmtId="164" fontId="7673" fillId="8" borderId="1" xfId="0" applyNumberFormat="1" applyFont="1" applyFill="1" applyBorder="1" applyAlignment="1">
      <alignment horizontal="center" vertical="center"/>
    </xf>
    <xf numFmtId="1" fontId="7674" fillId="8" borderId="1" xfId="0" applyNumberFormat="1" applyFont="1" applyFill="1" applyBorder="1" applyAlignment="1">
      <alignment horizontal="center" vertical="center"/>
    </xf>
    <xf numFmtId="1" fontId="7675" fillId="8" borderId="1" xfId="0" applyNumberFormat="1" applyFont="1" applyFill="1" applyBorder="1" applyAlignment="1">
      <alignment horizontal="center" vertical="center"/>
    </xf>
    <xf numFmtId="1" fontId="7676" fillId="8" borderId="1" xfId="0" applyNumberFormat="1" applyFont="1" applyFill="1" applyBorder="1" applyAlignment="1">
      <alignment horizontal="center" vertical="center"/>
    </xf>
    <xf numFmtId="165" fontId="7677" fillId="8" borderId="1" xfId="0" applyNumberFormat="1" applyFont="1" applyFill="1" applyBorder="1" applyAlignment="1">
      <alignment horizontal="center" vertical="center"/>
    </xf>
    <xf numFmtId="1" fontId="7678" fillId="8" borderId="1" xfId="0" applyNumberFormat="1" applyFont="1" applyFill="1" applyBorder="1" applyAlignment="1">
      <alignment horizontal="center" vertical="center"/>
    </xf>
    <xf numFmtId="165" fontId="7679" fillId="8" borderId="1" xfId="0" applyNumberFormat="1" applyFont="1" applyFill="1" applyBorder="1" applyAlignment="1">
      <alignment horizontal="center" vertical="center"/>
    </xf>
    <xf numFmtId="1" fontId="7680" fillId="8" borderId="1" xfId="0" applyNumberFormat="1" applyFont="1" applyFill="1" applyBorder="1" applyAlignment="1">
      <alignment horizontal="center" vertical="center"/>
    </xf>
    <xf numFmtId="1" fontId="7681" fillId="8" borderId="1" xfId="0" applyNumberFormat="1" applyFont="1" applyFill="1" applyBorder="1" applyAlignment="1">
      <alignment horizontal="center" vertical="center"/>
    </xf>
    <xf numFmtId="1" fontId="7682" fillId="8" borderId="1" xfId="0" applyNumberFormat="1" applyFont="1" applyFill="1" applyBorder="1" applyAlignment="1">
      <alignment horizontal="center" vertical="center"/>
    </xf>
    <xf numFmtId="1" fontId="7683" fillId="8" borderId="1" xfId="0" applyNumberFormat="1" applyFont="1" applyFill="1" applyBorder="1" applyAlignment="1">
      <alignment horizontal="center" vertical="center"/>
    </xf>
    <xf numFmtId="165" fontId="7684" fillId="8" borderId="1" xfId="0" applyNumberFormat="1" applyFont="1" applyFill="1" applyBorder="1" applyAlignment="1">
      <alignment horizontal="center" vertical="center"/>
    </xf>
    <xf numFmtId="1" fontId="7685" fillId="8" borderId="1" xfId="0" applyNumberFormat="1" applyFont="1" applyFill="1" applyBorder="1" applyAlignment="1">
      <alignment horizontal="center" vertical="center"/>
    </xf>
    <xf numFmtId="165" fontId="7686" fillId="8" borderId="1" xfId="0" applyNumberFormat="1" applyFont="1" applyFill="1" applyBorder="1" applyAlignment="1">
      <alignment horizontal="center" vertical="center"/>
    </xf>
    <xf numFmtId="1" fontId="7687" fillId="8" borderId="1" xfId="0" applyNumberFormat="1" applyFont="1" applyFill="1" applyBorder="1" applyAlignment="1">
      <alignment horizontal="center" vertical="center"/>
    </xf>
    <xf numFmtId="165" fontId="7688" fillId="8" borderId="1" xfId="0" applyNumberFormat="1" applyFont="1" applyFill="1" applyBorder="1" applyAlignment="1">
      <alignment horizontal="center" vertical="center"/>
    </xf>
    <xf numFmtId="2" fontId="7689" fillId="8" borderId="1" xfId="0" applyNumberFormat="1" applyFont="1" applyFill="1" applyBorder="1" applyAlignment="1">
      <alignment horizontal="center" vertical="center"/>
    </xf>
    <xf numFmtId="2" fontId="7690" fillId="8" borderId="1" xfId="0" applyNumberFormat="1" applyFont="1" applyFill="1" applyBorder="1" applyAlignment="1">
      <alignment horizontal="center" vertical="center"/>
    </xf>
    <xf numFmtId="2" fontId="7691" fillId="8" borderId="1" xfId="0" applyNumberFormat="1" applyFont="1" applyFill="1" applyBorder="1" applyAlignment="1">
      <alignment horizontal="center" vertical="center"/>
    </xf>
    <xf numFmtId="2" fontId="7692" fillId="8" borderId="1" xfId="0" applyNumberFormat="1" applyFont="1" applyFill="1" applyBorder="1" applyAlignment="1">
      <alignment horizontal="center" vertical="center"/>
    </xf>
    <xf numFmtId="2" fontId="7693" fillId="8" borderId="1" xfId="0" applyNumberFormat="1" applyFont="1" applyFill="1" applyBorder="1" applyAlignment="1">
      <alignment horizontal="center" vertical="center"/>
    </xf>
    <xf numFmtId="2" fontId="7694" fillId="8" borderId="1" xfId="0" applyNumberFormat="1" applyFont="1" applyFill="1" applyBorder="1" applyAlignment="1">
      <alignment horizontal="center" vertical="center"/>
    </xf>
    <xf numFmtId="2" fontId="7695" fillId="8" borderId="1" xfId="0" applyNumberFormat="1" applyFont="1" applyFill="1" applyBorder="1" applyAlignment="1">
      <alignment horizontal="center" vertical="center"/>
    </xf>
    <xf numFmtId="2" fontId="7696" fillId="8" borderId="1" xfId="0" applyNumberFormat="1" applyFont="1" applyFill="1" applyBorder="1" applyAlignment="1">
      <alignment horizontal="center" vertical="center"/>
    </xf>
    <xf numFmtId="2" fontId="7697" fillId="8" borderId="1" xfId="0" applyNumberFormat="1" applyFont="1" applyFill="1" applyBorder="1" applyAlignment="1">
      <alignment horizontal="center" vertical="center"/>
    </xf>
    <xf numFmtId="2" fontId="7698" fillId="8" borderId="1" xfId="0" applyNumberFormat="1" applyFont="1" applyFill="1" applyBorder="1" applyAlignment="1">
      <alignment horizontal="center" vertical="center"/>
    </xf>
    <xf numFmtId="2" fontId="7699" fillId="8" borderId="1" xfId="0" applyNumberFormat="1" applyFont="1" applyFill="1" applyBorder="1" applyAlignment="1">
      <alignment horizontal="center" vertical="center"/>
    </xf>
    <xf numFmtId="2" fontId="7700" fillId="8" borderId="1" xfId="0" applyNumberFormat="1" applyFont="1" applyFill="1" applyBorder="1" applyAlignment="1">
      <alignment horizontal="center" vertical="center"/>
    </xf>
    <xf numFmtId="2" fontId="7701" fillId="8" borderId="1" xfId="0" applyNumberFormat="1" applyFont="1" applyFill="1" applyBorder="1" applyAlignment="1">
      <alignment horizontal="center" vertical="center"/>
    </xf>
    <xf numFmtId="2" fontId="7702" fillId="8" borderId="1" xfId="0" applyNumberFormat="1" applyFont="1" applyFill="1" applyBorder="1" applyAlignment="1">
      <alignment horizontal="center" vertical="center"/>
    </xf>
    <xf numFmtId="2" fontId="7703" fillId="8" borderId="1" xfId="0" applyNumberFormat="1" applyFont="1" applyFill="1" applyBorder="1" applyAlignment="1">
      <alignment horizontal="center" vertical="center"/>
    </xf>
    <xf numFmtId="2" fontId="7704" fillId="8" borderId="1" xfId="0" applyNumberFormat="1" applyFont="1" applyFill="1" applyBorder="1" applyAlignment="1">
      <alignment horizontal="center" vertical="center"/>
    </xf>
    <xf numFmtId="2" fontId="7705" fillId="8" borderId="1" xfId="0" applyNumberFormat="1" applyFont="1" applyFill="1" applyBorder="1" applyAlignment="1">
      <alignment horizontal="center" vertical="center"/>
    </xf>
    <xf numFmtId="2" fontId="7706" fillId="8" borderId="1" xfId="0" applyNumberFormat="1" applyFont="1" applyFill="1" applyBorder="1" applyAlignment="1">
      <alignment horizontal="center" vertical="center"/>
    </xf>
    <xf numFmtId="2" fontId="7707" fillId="8" borderId="1" xfId="0" applyNumberFormat="1" applyFont="1" applyFill="1" applyBorder="1" applyAlignment="1">
      <alignment horizontal="center" vertical="center"/>
    </xf>
    <xf numFmtId="2" fontId="7708" fillId="8" borderId="1" xfId="0" applyNumberFormat="1" applyFont="1" applyFill="1" applyBorder="1" applyAlignment="1">
      <alignment horizontal="center" vertical="center"/>
    </xf>
    <xf numFmtId="2" fontId="7709" fillId="8" borderId="1" xfId="0" applyNumberFormat="1" applyFont="1" applyFill="1" applyBorder="1" applyAlignment="1">
      <alignment horizontal="center" vertical="center"/>
    </xf>
    <xf numFmtId="2" fontId="7710" fillId="8" borderId="1" xfId="0" applyNumberFormat="1" applyFont="1" applyFill="1" applyBorder="1" applyAlignment="1">
      <alignment horizontal="center" vertical="center"/>
    </xf>
    <xf numFmtId="2" fontId="7711" fillId="8" borderId="1" xfId="0" applyNumberFormat="1" applyFont="1" applyFill="1" applyBorder="1" applyAlignment="1">
      <alignment horizontal="center" vertical="center"/>
    </xf>
    <xf numFmtId="2" fontId="7712" fillId="8" borderId="1" xfId="0" applyNumberFormat="1" applyFont="1" applyFill="1" applyBorder="1" applyAlignment="1">
      <alignment horizontal="center" vertical="center"/>
    </xf>
    <xf numFmtId="2" fontId="7713" fillId="8" borderId="1" xfId="0" applyNumberFormat="1" applyFont="1" applyFill="1" applyBorder="1" applyAlignment="1">
      <alignment horizontal="center" vertical="center"/>
    </xf>
    <xf numFmtId="2" fontId="7714" fillId="8" borderId="1" xfId="0" applyNumberFormat="1" applyFont="1" applyFill="1" applyBorder="1" applyAlignment="1">
      <alignment horizontal="center" vertical="center"/>
    </xf>
    <xf numFmtId="2" fontId="7715" fillId="8" borderId="1" xfId="0" applyNumberFormat="1" applyFont="1" applyFill="1" applyBorder="1" applyAlignment="1">
      <alignment horizontal="center" vertical="center"/>
    </xf>
    <xf numFmtId="2" fontId="7716" fillId="8" borderId="1" xfId="0" applyNumberFormat="1" applyFont="1" applyFill="1" applyBorder="1" applyAlignment="1">
      <alignment horizontal="center" vertical="center"/>
    </xf>
    <xf numFmtId="2" fontId="7717" fillId="8" borderId="1" xfId="0" applyNumberFormat="1" applyFont="1" applyFill="1" applyBorder="1" applyAlignment="1">
      <alignment horizontal="center" vertical="center"/>
    </xf>
    <xf numFmtId="2" fontId="7718" fillId="8" borderId="1" xfId="0" applyNumberFormat="1" applyFont="1" applyFill="1" applyBorder="1" applyAlignment="1">
      <alignment horizontal="center" vertical="center"/>
    </xf>
    <xf numFmtId="2" fontId="7719" fillId="8" borderId="1" xfId="0" applyNumberFormat="1" applyFont="1" applyFill="1" applyBorder="1" applyAlignment="1">
      <alignment horizontal="center" vertical="center"/>
    </xf>
    <xf numFmtId="2" fontId="7720" fillId="8" borderId="1" xfId="0" applyNumberFormat="1" applyFont="1" applyFill="1" applyBorder="1" applyAlignment="1">
      <alignment horizontal="center" vertical="center"/>
    </xf>
    <xf numFmtId="2" fontId="7721" fillId="8" borderId="1" xfId="0" applyNumberFormat="1" applyFont="1" applyFill="1" applyBorder="1" applyAlignment="1">
      <alignment horizontal="center" vertical="center"/>
    </xf>
    <xf numFmtId="2" fontId="7722" fillId="8" borderId="1" xfId="0" applyNumberFormat="1" applyFont="1" applyFill="1" applyBorder="1" applyAlignment="1">
      <alignment horizontal="center" vertical="center"/>
    </xf>
    <xf numFmtId="0" fontId="7723" fillId="7" borderId="1" xfId="0" applyNumberFormat="1" applyFont="1" applyFill="1" applyBorder="1" applyAlignment="1">
      <alignment horizontal="left" vertical="center"/>
    </xf>
    <xf numFmtId="0" fontId="7724" fillId="8" borderId="1" xfId="0" applyNumberFormat="1" applyFont="1" applyFill="1" applyBorder="1" applyAlignment="1">
      <alignment horizontal="center" vertical="center"/>
    </xf>
    <xf numFmtId="164" fontId="7725" fillId="8" borderId="1" xfId="0" applyNumberFormat="1" applyFont="1" applyFill="1" applyBorder="1" applyAlignment="1">
      <alignment horizontal="center" vertical="center"/>
    </xf>
    <xf numFmtId="1" fontId="7726" fillId="8" borderId="1" xfId="0" applyNumberFormat="1" applyFont="1" applyFill="1" applyBorder="1" applyAlignment="1">
      <alignment horizontal="center" vertical="center"/>
    </xf>
    <xf numFmtId="1" fontId="7727" fillId="8" borderId="1" xfId="0" applyNumberFormat="1" applyFont="1" applyFill="1" applyBorder="1" applyAlignment="1">
      <alignment horizontal="center" vertical="center"/>
    </xf>
    <xf numFmtId="1" fontId="7728" fillId="8" borderId="1" xfId="0" applyNumberFormat="1" applyFont="1" applyFill="1" applyBorder="1" applyAlignment="1">
      <alignment horizontal="center" vertical="center"/>
    </xf>
    <xf numFmtId="1" fontId="7729" fillId="8" borderId="1" xfId="0" applyNumberFormat="1" applyFont="1" applyFill="1" applyBorder="1" applyAlignment="1">
      <alignment horizontal="center" vertical="center"/>
    </xf>
    <xf numFmtId="1" fontId="7730" fillId="8" borderId="1" xfId="0" applyNumberFormat="1" applyFont="1" applyFill="1" applyBorder="1" applyAlignment="1">
      <alignment horizontal="center" vertical="center"/>
    </xf>
    <xf numFmtId="1" fontId="7731" fillId="8" borderId="1" xfId="0" applyNumberFormat="1" applyFont="1" applyFill="1" applyBorder="1" applyAlignment="1">
      <alignment horizontal="center" vertical="center"/>
    </xf>
    <xf numFmtId="1" fontId="7732" fillId="8" borderId="1" xfId="0" applyNumberFormat="1" applyFont="1" applyFill="1" applyBorder="1" applyAlignment="1">
      <alignment horizontal="center" vertical="center"/>
    </xf>
    <xf numFmtId="0" fontId="7733" fillId="8" borderId="1" xfId="0" applyNumberFormat="1" applyFont="1" applyFill="1" applyBorder="1" applyAlignment="1">
      <alignment horizontal="center" vertical="center"/>
    </xf>
    <xf numFmtId="0" fontId="7734" fillId="8" borderId="1" xfId="0" applyNumberFormat="1" applyFont="1" applyFill="1" applyBorder="1" applyAlignment="1">
      <alignment horizontal="center" vertical="center"/>
    </xf>
    <xf numFmtId="1" fontId="7735" fillId="8" borderId="1" xfId="0" applyNumberFormat="1" applyFont="1" applyFill="1" applyBorder="1" applyAlignment="1">
      <alignment horizontal="center" vertical="center"/>
    </xf>
    <xf numFmtId="1" fontId="7736" fillId="8" borderId="1" xfId="0" applyNumberFormat="1" applyFont="1" applyFill="1" applyBorder="1" applyAlignment="1">
      <alignment horizontal="center" vertical="center"/>
    </xf>
    <xf numFmtId="1" fontId="7737" fillId="8" borderId="1" xfId="0" applyNumberFormat="1" applyFont="1" applyFill="1" applyBorder="1" applyAlignment="1">
      <alignment horizontal="center" vertical="center"/>
    </xf>
    <xf numFmtId="165" fontId="7738" fillId="8" borderId="1" xfId="0" applyNumberFormat="1" applyFont="1" applyFill="1" applyBorder="1" applyAlignment="1">
      <alignment horizontal="center" vertical="center"/>
    </xf>
    <xf numFmtId="1" fontId="7739" fillId="8" borderId="1" xfId="0" applyNumberFormat="1" applyFont="1" applyFill="1" applyBorder="1" applyAlignment="1">
      <alignment horizontal="center" vertical="center"/>
    </xf>
    <xf numFmtId="165" fontId="7740" fillId="8" borderId="1" xfId="0" applyNumberFormat="1" applyFont="1" applyFill="1" applyBorder="1" applyAlignment="1">
      <alignment horizontal="center" vertical="center"/>
    </xf>
    <xf numFmtId="1" fontId="7741" fillId="8" borderId="1" xfId="0" applyNumberFormat="1" applyFont="1" applyFill="1" applyBorder="1" applyAlignment="1">
      <alignment horizontal="center" vertical="center"/>
    </xf>
    <xf numFmtId="165" fontId="7742" fillId="8" borderId="1" xfId="0" applyNumberFormat="1" applyFont="1" applyFill="1" applyBorder="1" applyAlignment="1">
      <alignment horizontal="center" vertical="center"/>
    </xf>
    <xf numFmtId="1" fontId="7743" fillId="8" borderId="1" xfId="0" applyNumberFormat="1" applyFont="1" applyFill="1" applyBorder="1" applyAlignment="1">
      <alignment horizontal="center" vertical="center"/>
    </xf>
    <xf numFmtId="165" fontId="7744" fillId="8" borderId="1" xfId="0" applyNumberFormat="1" applyFont="1" applyFill="1" applyBorder="1" applyAlignment="1">
      <alignment horizontal="center" vertical="center"/>
    </xf>
    <xf numFmtId="165" fontId="7745" fillId="8" borderId="1" xfId="0" applyNumberFormat="1" applyFont="1" applyFill="1" applyBorder="1" applyAlignment="1">
      <alignment horizontal="center" vertical="center"/>
    </xf>
    <xf numFmtId="1" fontId="7746" fillId="8" borderId="1" xfId="0" applyNumberFormat="1" applyFont="1" applyFill="1" applyBorder="1" applyAlignment="1">
      <alignment horizontal="center" vertical="center"/>
    </xf>
    <xf numFmtId="1" fontId="7747" fillId="8" borderId="1" xfId="0" applyNumberFormat="1" applyFont="1" applyFill="1" applyBorder="1" applyAlignment="1">
      <alignment horizontal="center" vertical="center"/>
    </xf>
    <xf numFmtId="1" fontId="7748" fillId="8" borderId="1" xfId="0" applyNumberFormat="1" applyFont="1" applyFill="1" applyBorder="1" applyAlignment="1">
      <alignment horizontal="center" vertical="center"/>
    </xf>
    <xf numFmtId="165" fontId="7749" fillId="8" borderId="1" xfId="0" applyNumberFormat="1" applyFont="1" applyFill="1" applyBorder="1" applyAlignment="1">
      <alignment horizontal="center" vertical="center"/>
    </xf>
    <xf numFmtId="164" fontId="7750" fillId="8" borderId="1" xfId="0" applyNumberFormat="1" applyFont="1" applyFill="1" applyBorder="1" applyAlignment="1">
      <alignment horizontal="center" vertical="center"/>
    </xf>
    <xf numFmtId="164" fontId="7751" fillId="8" borderId="1" xfId="0" applyNumberFormat="1" applyFont="1" applyFill="1" applyBorder="1" applyAlignment="1">
      <alignment horizontal="center" vertical="center"/>
    </xf>
    <xf numFmtId="1" fontId="7752" fillId="8" borderId="1" xfId="0" applyNumberFormat="1" applyFont="1" applyFill="1" applyBorder="1" applyAlignment="1">
      <alignment horizontal="center" vertical="center"/>
    </xf>
    <xf numFmtId="1" fontId="7753" fillId="8" borderId="1" xfId="0" applyNumberFormat="1" applyFont="1" applyFill="1" applyBorder="1" applyAlignment="1">
      <alignment horizontal="center" vertical="center"/>
    </xf>
    <xf numFmtId="1" fontId="7754" fillId="8" borderId="1" xfId="0" applyNumberFormat="1" applyFont="1" applyFill="1" applyBorder="1" applyAlignment="1">
      <alignment horizontal="center" vertical="center"/>
    </xf>
    <xf numFmtId="165" fontId="7755" fillId="8" borderId="1" xfId="0" applyNumberFormat="1" applyFont="1" applyFill="1" applyBorder="1" applyAlignment="1">
      <alignment horizontal="center" vertical="center"/>
    </xf>
    <xf numFmtId="1" fontId="7756" fillId="8" borderId="1" xfId="0" applyNumberFormat="1" applyFont="1" applyFill="1" applyBorder="1" applyAlignment="1">
      <alignment horizontal="center" vertical="center"/>
    </xf>
    <xf numFmtId="165" fontId="7757" fillId="8" borderId="1" xfId="0" applyNumberFormat="1" applyFont="1" applyFill="1" applyBorder="1" applyAlignment="1">
      <alignment horizontal="center" vertical="center"/>
    </xf>
    <xf numFmtId="1" fontId="7758" fillId="8" borderId="1" xfId="0" applyNumberFormat="1" applyFont="1" applyFill="1" applyBorder="1" applyAlignment="1">
      <alignment horizontal="center" vertical="center"/>
    </xf>
    <xf numFmtId="1" fontId="7759" fillId="8" borderId="1" xfId="0" applyNumberFormat="1" applyFont="1" applyFill="1" applyBorder="1" applyAlignment="1">
      <alignment horizontal="center" vertical="center"/>
    </xf>
    <xf numFmtId="1" fontId="7760" fillId="8" borderId="1" xfId="0" applyNumberFormat="1" applyFont="1" applyFill="1" applyBorder="1" applyAlignment="1">
      <alignment horizontal="center" vertical="center"/>
    </xf>
    <xf numFmtId="1" fontId="7761" fillId="8" borderId="1" xfId="0" applyNumberFormat="1" applyFont="1" applyFill="1" applyBorder="1" applyAlignment="1">
      <alignment horizontal="center" vertical="center"/>
    </xf>
    <xf numFmtId="165" fontId="7762" fillId="8" borderId="1" xfId="0" applyNumberFormat="1" applyFont="1" applyFill="1" applyBorder="1" applyAlignment="1">
      <alignment horizontal="center" vertical="center"/>
    </xf>
    <xf numFmtId="1" fontId="7763" fillId="8" borderId="1" xfId="0" applyNumberFormat="1" applyFont="1" applyFill="1" applyBorder="1" applyAlignment="1">
      <alignment horizontal="center" vertical="center"/>
    </xf>
    <xf numFmtId="165" fontId="7764" fillId="8" borderId="1" xfId="0" applyNumberFormat="1" applyFont="1" applyFill="1" applyBorder="1" applyAlignment="1">
      <alignment horizontal="center" vertical="center"/>
    </xf>
    <xf numFmtId="1" fontId="7765" fillId="8" borderId="1" xfId="0" applyNumberFormat="1" applyFont="1" applyFill="1" applyBorder="1" applyAlignment="1">
      <alignment horizontal="center" vertical="center"/>
    </xf>
    <xf numFmtId="165" fontId="7766" fillId="8" borderId="1" xfId="0" applyNumberFormat="1" applyFont="1" applyFill="1" applyBorder="1" applyAlignment="1">
      <alignment horizontal="center" vertical="center"/>
    </xf>
    <xf numFmtId="2" fontId="7767" fillId="8" borderId="1" xfId="0" applyNumberFormat="1" applyFont="1" applyFill="1" applyBorder="1" applyAlignment="1">
      <alignment horizontal="center" vertical="center"/>
    </xf>
    <xf numFmtId="2" fontId="7768" fillId="8" borderId="1" xfId="0" applyNumberFormat="1" applyFont="1" applyFill="1" applyBorder="1" applyAlignment="1">
      <alignment horizontal="center" vertical="center"/>
    </xf>
    <xf numFmtId="2" fontId="7769" fillId="8" borderId="1" xfId="0" applyNumberFormat="1" applyFont="1" applyFill="1" applyBorder="1" applyAlignment="1">
      <alignment horizontal="center" vertical="center"/>
    </xf>
    <xf numFmtId="2" fontId="7770" fillId="8" borderId="1" xfId="0" applyNumberFormat="1" applyFont="1" applyFill="1" applyBorder="1" applyAlignment="1">
      <alignment horizontal="center" vertical="center"/>
    </xf>
    <xf numFmtId="2" fontId="7771" fillId="8" borderId="1" xfId="0" applyNumberFormat="1" applyFont="1" applyFill="1" applyBorder="1" applyAlignment="1">
      <alignment horizontal="center" vertical="center"/>
    </xf>
    <xf numFmtId="2" fontId="7772" fillId="8" borderId="1" xfId="0" applyNumberFormat="1" applyFont="1" applyFill="1" applyBorder="1" applyAlignment="1">
      <alignment horizontal="center" vertical="center"/>
    </xf>
    <xf numFmtId="2" fontId="7773" fillId="8" borderId="1" xfId="0" applyNumberFormat="1" applyFont="1" applyFill="1" applyBorder="1" applyAlignment="1">
      <alignment horizontal="center" vertical="center"/>
    </xf>
    <xf numFmtId="2" fontId="7774" fillId="8" borderId="1" xfId="0" applyNumberFormat="1" applyFont="1" applyFill="1" applyBorder="1" applyAlignment="1">
      <alignment horizontal="center" vertical="center"/>
    </xf>
    <xf numFmtId="2" fontId="7775" fillId="8" borderId="1" xfId="0" applyNumberFormat="1" applyFont="1" applyFill="1" applyBorder="1" applyAlignment="1">
      <alignment horizontal="center" vertical="center"/>
    </xf>
    <xf numFmtId="2" fontId="7776" fillId="8" borderId="1" xfId="0" applyNumberFormat="1" applyFont="1" applyFill="1" applyBorder="1" applyAlignment="1">
      <alignment horizontal="center" vertical="center"/>
    </xf>
    <xf numFmtId="2" fontId="7777" fillId="8" borderId="1" xfId="0" applyNumberFormat="1" applyFont="1" applyFill="1" applyBorder="1" applyAlignment="1">
      <alignment horizontal="center" vertical="center"/>
    </xf>
    <xf numFmtId="2" fontId="7778" fillId="8" borderId="1" xfId="0" applyNumberFormat="1" applyFont="1" applyFill="1" applyBorder="1" applyAlignment="1">
      <alignment horizontal="center" vertical="center"/>
    </xf>
    <xf numFmtId="2" fontId="7779" fillId="8" borderId="1" xfId="0" applyNumberFormat="1" applyFont="1" applyFill="1" applyBorder="1" applyAlignment="1">
      <alignment horizontal="center" vertical="center"/>
    </xf>
    <xf numFmtId="2" fontId="7780" fillId="8" borderId="1" xfId="0" applyNumberFormat="1" applyFont="1" applyFill="1" applyBorder="1" applyAlignment="1">
      <alignment horizontal="center" vertical="center"/>
    </xf>
    <xf numFmtId="2" fontId="7781" fillId="8" borderId="1" xfId="0" applyNumberFormat="1" applyFont="1" applyFill="1" applyBorder="1" applyAlignment="1">
      <alignment horizontal="center" vertical="center"/>
    </xf>
    <xf numFmtId="2" fontId="7782" fillId="8" borderId="1" xfId="0" applyNumberFormat="1" applyFont="1" applyFill="1" applyBorder="1" applyAlignment="1">
      <alignment horizontal="center" vertical="center"/>
    </xf>
    <xf numFmtId="2" fontId="7783" fillId="8" borderId="1" xfId="0" applyNumberFormat="1" applyFont="1" applyFill="1" applyBorder="1" applyAlignment="1">
      <alignment horizontal="center" vertical="center"/>
    </xf>
    <xf numFmtId="2" fontId="7784" fillId="8" borderId="1" xfId="0" applyNumberFormat="1" applyFont="1" applyFill="1" applyBorder="1" applyAlignment="1">
      <alignment horizontal="center" vertical="center"/>
    </xf>
    <xf numFmtId="2" fontId="7785" fillId="8" borderId="1" xfId="0" applyNumberFormat="1" applyFont="1" applyFill="1" applyBorder="1" applyAlignment="1">
      <alignment horizontal="center" vertical="center"/>
    </xf>
    <xf numFmtId="2" fontId="7786" fillId="8" borderId="1" xfId="0" applyNumberFormat="1" applyFont="1" applyFill="1" applyBorder="1" applyAlignment="1">
      <alignment horizontal="center" vertical="center"/>
    </xf>
    <xf numFmtId="2" fontId="7787" fillId="8" borderId="1" xfId="0" applyNumberFormat="1" applyFont="1" applyFill="1" applyBorder="1" applyAlignment="1">
      <alignment horizontal="center" vertical="center"/>
    </xf>
    <xf numFmtId="2" fontId="7788" fillId="8" borderId="1" xfId="0" applyNumberFormat="1" applyFont="1" applyFill="1" applyBorder="1" applyAlignment="1">
      <alignment horizontal="center" vertical="center"/>
    </xf>
    <xf numFmtId="2" fontId="7789" fillId="8" borderId="1" xfId="0" applyNumberFormat="1" applyFont="1" applyFill="1" applyBorder="1" applyAlignment="1">
      <alignment horizontal="center" vertical="center"/>
    </xf>
    <xf numFmtId="2" fontId="7790" fillId="8" borderId="1" xfId="0" applyNumberFormat="1" applyFont="1" applyFill="1" applyBorder="1" applyAlignment="1">
      <alignment horizontal="center" vertical="center"/>
    </xf>
    <xf numFmtId="2" fontId="7791" fillId="8" borderId="1" xfId="0" applyNumberFormat="1" applyFont="1" applyFill="1" applyBorder="1" applyAlignment="1">
      <alignment horizontal="center" vertical="center"/>
    </xf>
    <xf numFmtId="2" fontId="7792" fillId="8" borderId="1" xfId="0" applyNumberFormat="1" applyFont="1" applyFill="1" applyBorder="1" applyAlignment="1">
      <alignment horizontal="center" vertical="center"/>
    </xf>
    <xf numFmtId="2" fontId="7793" fillId="8" borderId="1" xfId="0" applyNumberFormat="1" applyFont="1" applyFill="1" applyBorder="1" applyAlignment="1">
      <alignment horizontal="center" vertical="center"/>
    </xf>
    <xf numFmtId="2" fontId="7794" fillId="8" borderId="1" xfId="0" applyNumberFormat="1" applyFont="1" applyFill="1" applyBorder="1" applyAlignment="1">
      <alignment horizontal="center" vertical="center"/>
    </xf>
    <xf numFmtId="2" fontId="7795" fillId="8" borderId="1" xfId="0" applyNumberFormat="1" applyFont="1" applyFill="1" applyBorder="1" applyAlignment="1">
      <alignment horizontal="center" vertical="center"/>
    </xf>
    <xf numFmtId="2" fontId="7796" fillId="8" borderId="1" xfId="0" applyNumberFormat="1" applyFont="1" applyFill="1" applyBorder="1" applyAlignment="1">
      <alignment horizontal="center" vertical="center"/>
    </xf>
    <xf numFmtId="2" fontId="7797" fillId="8" borderId="1" xfId="0" applyNumberFormat="1" applyFont="1" applyFill="1" applyBorder="1" applyAlignment="1">
      <alignment horizontal="center" vertical="center"/>
    </xf>
    <xf numFmtId="2" fontId="7798" fillId="8" borderId="1" xfId="0" applyNumberFormat="1" applyFont="1" applyFill="1" applyBorder="1" applyAlignment="1">
      <alignment horizontal="center" vertical="center"/>
    </xf>
    <xf numFmtId="2" fontId="7799" fillId="8" borderId="1" xfId="0" applyNumberFormat="1" applyFont="1" applyFill="1" applyBorder="1" applyAlignment="1">
      <alignment horizontal="center" vertical="center"/>
    </xf>
    <xf numFmtId="2" fontId="7800" fillId="8" borderId="1" xfId="0" applyNumberFormat="1" applyFont="1" applyFill="1" applyBorder="1" applyAlignment="1">
      <alignment horizontal="center" vertical="center"/>
    </xf>
    <xf numFmtId="0" fontId="7801" fillId="7" borderId="1" xfId="0" applyNumberFormat="1" applyFont="1" applyFill="1" applyBorder="1" applyAlignment="1">
      <alignment horizontal="left" vertical="center"/>
    </xf>
    <xf numFmtId="0" fontId="7802" fillId="8" borderId="1" xfId="0" applyNumberFormat="1" applyFont="1" applyFill="1" applyBorder="1" applyAlignment="1">
      <alignment horizontal="center" vertical="center"/>
    </xf>
    <xf numFmtId="164" fontId="7803" fillId="8" borderId="1" xfId="0" applyNumberFormat="1" applyFont="1" applyFill="1" applyBorder="1" applyAlignment="1">
      <alignment horizontal="center" vertical="center"/>
    </xf>
    <xf numFmtId="1" fontId="7804" fillId="8" borderId="1" xfId="0" applyNumberFormat="1" applyFont="1" applyFill="1" applyBorder="1" applyAlignment="1">
      <alignment horizontal="center" vertical="center"/>
    </xf>
    <xf numFmtId="1" fontId="7805" fillId="8" borderId="1" xfId="0" applyNumberFormat="1" applyFont="1" applyFill="1" applyBorder="1" applyAlignment="1">
      <alignment horizontal="center" vertical="center"/>
    </xf>
    <xf numFmtId="1" fontId="7806" fillId="8" borderId="1" xfId="0" applyNumberFormat="1" applyFont="1" applyFill="1" applyBorder="1" applyAlignment="1">
      <alignment horizontal="center" vertical="center"/>
    </xf>
    <xf numFmtId="1" fontId="7807" fillId="8" borderId="1" xfId="0" applyNumberFormat="1" applyFont="1" applyFill="1" applyBorder="1" applyAlignment="1">
      <alignment horizontal="center" vertical="center"/>
    </xf>
    <xf numFmtId="1" fontId="7808" fillId="8" borderId="1" xfId="0" applyNumberFormat="1" applyFont="1" applyFill="1" applyBorder="1" applyAlignment="1">
      <alignment horizontal="center" vertical="center"/>
    </xf>
    <xf numFmtId="1" fontId="7809" fillId="8" borderId="1" xfId="0" applyNumberFormat="1" applyFont="1" applyFill="1" applyBorder="1" applyAlignment="1">
      <alignment horizontal="center" vertical="center"/>
    </xf>
    <xf numFmtId="1" fontId="7810" fillId="8" borderId="1" xfId="0" applyNumberFormat="1" applyFont="1" applyFill="1" applyBorder="1" applyAlignment="1">
      <alignment horizontal="center" vertical="center"/>
    </xf>
    <xf numFmtId="0" fontId="7811" fillId="8" borderId="1" xfId="0" applyNumberFormat="1" applyFont="1" applyFill="1" applyBorder="1" applyAlignment="1">
      <alignment horizontal="center" vertical="center"/>
    </xf>
    <xf numFmtId="0" fontId="7812" fillId="8" borderId="1" xfId="0" applyNumberFormat="1" applyFont="1" applyFill="1" applyBorder="1" applyAlignment="1">
      <alignment horizontal="center" vertical="center"/>
    </xf>
    <xf numFmtId="1" fontId="7813" fillId="8" borderId="1" xfId="0" applyNumberFormat="1" applyFont="1" applyFill="1" applyBorder="1" applyAlignment="1">
      <alignment horizontal="center" vertical="center"/>
    </xf>
    <xf numFmtId="1" fontId="7814" fillId="8" borderId="1" xfId="0" applyNumberFormat="1" applyFont="1" applyFill="1" applyBorder="1" applyAlignment="1">
      <alignment horizontal="center" vertical="center"/>
    </xf>
    <xf numFmtId="1" fontId="7815" fillId="8" borderId="1" xfId="0" applyNumberFormat="1" applyFont="1" applyFill="1" applyBorder="1" applyAlignment="1">
      <alignment horizontal="center" vertical="center"/>
    </xf>
    <xf numFmtId="165" fontId="7816" fillId="8" borderId="1" xfId="0" applyNumberFormat="1" applyFont="1" applyFill="1" applyBorder="1" applyAlignment="1">
      <alignment horizontal="center" vertical="center"/>
    </xf>
    <xf numFmtId="1" fontId="7817" fillId="8" borderId="1" xfId="0" applyNumberFormat="1" applyFont="1" applyFill="1" applyBorder="1" applyAlignment="1">
      <alignment horizontal="center" vertical="center"/>
    </xf>
    <xf numFmtId="165" fontId="7818" fillId="8" borderId="1" xfId="0" applyNumberFormat="1" applyFont="1" applyFill="1" applyBorder="1" applyAlignment="1">
      <alignment horizontal="center" vertical="center"/>
    </xf>
    <xf numFmtId="1" fontId="7819" fillId="8" borderId="1" xfId="0" applyNumberFormat="1" applyFont="1" applyFill="1" applyBorder="1" applyAlignment="1">
      <alignment horizontal="center" vertical="center"/>
    </xf>
    <xf numFmtId="165" fontId="7820" fillId="8" borderId="1" xfId="0" applyNumberFormat="1" applyFont="1" applyFill="1" applyBorder="1" applyAlignment="1">
      <alignment horizontal="center" vertical="center"/>
    </xf>
    <xf numFmtId="1" fontId="7821" fillId="8" borderId="1" xfId="0" applyNumberFormat="1" applyFont="1" applyFill="1" applyBorder="1" applyAlignment="1">
      <alignment horizontal="center" vertical="center"/>
    </xf>
    <xf numFmtId="165" fontId="7822" fillId="8" borderId="1" xfId="0" applyNumberFormat="1" applyFont="1" applyFill="1" applyBorder="1" applyAlignment="1">
      <alignment horizontal="center" vertical="center"/>
    </xf>
    <xf numFmtId="165" fontId="7823" fillId="8" borderId="1" xfId="0" applyNumberFormat="1" applyFont="1" applyFill="1" applyBorder="1" applyAlignment="1">
      <alignment horizontal="center" vertical="center"/>
    </xf>
    <xf numFmtId="1" fontId="7824" fillId="8" borderId="1" xfId="0" applyNumberFormat="1" applyFont="1" applyFill="1" applyBorder="1" applyAlignment="1">
      <alignment horizontal="center" vertical="center"/>
    </xf>
    <xf numFmtId="1" fontId="7825" fillId="8" borderId="1" xfId="0" applyNumberFormat="1" applyFont="1" applyFill="1" applyBorder="1" applyAlignment="1">
      <alignment horizontal="center" vertical="center"/>
    </xf>
    <xf numFmtId="1" fontId="7826" fillId="8" borderId="1" xfId="0" applyNumberFormat="1" applyFont="1" applyFill="1" applyBorder="1" applyAlignment="1">
      <alignment horizontal="center" vertical="center"/>
    </xf>
    <xf numFmtId="165" fontId="7827" fillId="8" borderId="1" xfId="0" applyNumberFormat="1" applyFont="1" applyFill="1" applyBorder="1" applyAlignment="1">
      <alignment horizontal="center" vertical="center"/>
    </xf>
    <xf numFmtId="164" fontId="7828" fillId="8" borderId="1" xfId="0" applyNumberFormat="1" applyFont="1" applyFill="1" applyBorder="1" applyAlignment="1">
      <alignment horizontal="center" vertical="center"/>
    </xf>
    <xf numFmtId="164" fontId="7829" fillId="8" borderId="1" xfId="0" applyNumberFormat="1" applyFont="1" applyFill="1" applyBorder="1" applyAlignment="1">
      <alignment horizontal="center" vertical="center"/>
    </xf>
    <xf numFmtId="1" fontId="7830" fillId="8" borderId="1" xfId="0" applyNumberFormat="1" applyFont="1" applyFill="1" applyBorder="1" applyAlignment="1">
      <alignment horizontal="center" vertical="center"/>
    </xf>
    <xf numFmtId="1" fontId="7831" fillId="8" borderId="1" xfId="0" applyNumberFormat="1" applyFont="1" applyFill="1" applyBorder="1" applyAlignment="1">
      <alignment horizontal="center" vertical="center"/>
    </xf>
    <xf numFmtId="1" fontId="7832" fillId="8" borderId="1" xfId="0" applyNumberFormat="1" applyFont="1" applyFill="1" applyBorder="1" applyAlignment="1">
      <alignment horizontal="center" vertical="center"/>
    </xf>
    <xf numFmtId="165" fontId="7833" fillId="8" borderId="1" xfId="0" applyNumberFormat="1" applyFont="1" applyFill="1" applyBorder="1" applyAlignment="1">
      <alignment horizontal="center" vertical="center"/>
    </xf>
    <xf numFmtId="1" fontId="7834" fillId="8" borderId="1" xfId="0" applyNumberFormat="1" applyFont="1" applyFill="1" applyBorder="1" applyAlignment="1">
      <alignment horizontal="center" vertical="center"/>
    </xf>
    <xf numFmtId="165" fontId="7835" fillId="8" borderId="1" xfId="0" applyNumberFormat="1" applyFont="1" applyFill="1" applyBorder="1" applyAlignment="1">
      <alignment horizontal="center" vertical="center"/>
    </xf>
    <xf numFmtId="1" fontId="7836" fillId="8" borderId="1" xfId="0" applyNumberFormat="1" applyFont="1" applyFill="1" applyBorder="1" applyAlignment="1">
      <alignment horizontal="center" vertical="center"/>
    </xf>
    <xf numFmtId="1" fontId="7837" fillId="8" borderId="1" xfId="0" applyNumberFormat="1" applyFont="1" applyFill="1" applyBorder="1" applyAlignment="1">
      <alignment horizontal="center" vertical="center"/>
    </xf>
    <xf numFmtId="1" fontId="7838" fillId="8" borderId="1" xfId="0" applyNumberFormat="1" applyFont="1" applyFill="1" applyBorder="1" applyAlignment="1">
      <alignment horizontal="center" vertical="center"/>
    </xf>
    <xf numFmtId="1" fontId="7839" fillId="8" borderId="1" xfId="0" applyNumberFormat="1" applyFont="1" applyFill="1" applyBorder="1" applyAlignment="1">
      <alignment horizontal="center" vertical="center"/>
    </xf>
    <xf numFmtId="165" fontId="7840" fillId="8" borderId="1" xfId="0" applyNumberFormat="1" applyFont="1" applyFill="1" applyBorder="1" applyAlignment="1">
      <alignment horizontal="center" vertical="center"/>
    </xf>
    <xf numFmtId="1" fontId="7841" fillId="8" borderId="1" xfId="0" applyNumberFormat="1" applyFont="1" applyFill="1" applyBorder="1" applyAlignment="1">
      <alignment horizontal="center" vertical="center"/>
    </xf>
    <xf numFmtId="165" fontId="7842" fillId="8" borderId="1" xfId="0" applyNumberFormat="1" applyFont="1" applyFill="1" applyBorder="1" applyAlignment="1">
      <alignment horizontal="center" vertical="center"/>
    </xf>
    <xf numFmtId="1" fontId="7843" fillId="8" borderId="1" xfId="0" applyNumberFormat="1" applyFont="1" applyFill="1" applyBorder="1" applyAlignment="1">
      <alignment horizontal="center" vertical="center"/>
    </xf>
    <xf numFmtId="165" fontId="7844" fillId="8" borderId="1" xfId="0" applyNumberFormat="1" applyFont="1" applyFill="1" applyBorder="1" applyAlignment="1">
      <alignment horizontal="center" vertical="center"/>
    </xf>
    <xf numFmtId="2" fontId="7845" fillId="8" borderId="1" xfId="0" applyNumberFormat="1" applyFont="1" applyFill="1" applyBorder="1" applyAlignment="1">
      <alignment horizontal="center" vertical="center"/>
    </xf>
    <xf numFmtId="2" fontId="7846" fillId="8" borderId="1" xfId="0" applyNumberFormat="1" applyFont="1" applyFill="1" applyBorder="1" applyAlignment="1">
      <alignment horizontal="center" vertical="center"/>
    </xf>
    <xf numFmtId="2" fontId="7847" fillId="8" borderId="1" xfId="0" applyNumberFormat="1" applyFont="1" applyFill="1" applyBorder="1" applyAlignment="1">
      <alignment horizontal="center" vertical="center"/>
    </xf>
    <xf numFmtId="2" fontId="7848" fillId="8" borderId="1" xfId="0" applyNumberFormat="1" applyFont="1" applyFill="1" applyBorder="1" applyAlignment="1">
      <alignment horizontal="center" vertical="center"/>
    </xf>
    <xf numFmtId="2" fontId="7849" fillId="8" borderId="1" xfId="0" applyNumberFormat="1" applyFont="1" applyFill="1" applyBorder="1" applyAlignment="1">
      <alignment horizontal="center" vertical="center"/>
    </xf>
    <xf numFmtId="2" fontId="7850" fillId="8" borderId="1" xfId="0" applyNumberFormat="1" applyFont="1" applyFill="1" applyBorder="1" applyAlignment="1">
      <alignment horizontal="center" vertical="center"/>
    </xf>
    <xf numFmtId="2" fontId="7851" fillId="8" borderId="1" xfId="0" applyNumberFormat="1" applyFont="1" applyFill="1" applyBorder="1" applyAlignment="1">
      <alignment horizontal="center" vertical="center"/>
    </xf>
    <xf numFmtId="2" fontId="7852" fillId="8" borderId="1" xfId="0" applyNumberFormat="1" applyFont="1" applyFill="1" applyBorder="1" applyAlignment="1">
      <alignment horizontal="center" vertical="center"/>
    </xf>
    <xf numFmtId="2" fontId="7853" fillId="8" borderId="1" xfId="0" applyNumberFormat="1" applyFont="1" applyFill="1" applyBorder="1" applyAlignment="1">
      <alignment horizontal="center" vertical="center"/>
    </xf>
    <xf numFmtId="2" fontId="7854" fillId="8" borderId="1" xfId="0" applyNumberFormat="1" applyFont="1" applyFill="1" applyBorder="1" applyAlignment="1">
      <alignment horizontal="center" vertical="center"/>
    </xf>
    <xf numFmtId="2" fontId="7855" fillId="8" borderId="1" xfId="0" applyNumberFormat="1" applyFont="1" applyFill="1" applyBorder="1" applyAlignment="1">
      <alignment horizontal="center" vertical="center"/>
    </xf>
    <xf numFmtId="2" fontId="7856" fillId="8" borderId="1" xfId="0" applyNumberFormat="1" applyFont="1" applyFill="1" applyBorder="1" applyAlignment="1">
      <alignment horizontal="center" vertical="center"/>
    </xf>
    <xf numFmtId="2" fontId="7857" fillId="8" borderId="1" xfId="0" applyNumberFormat="1" applyFont="1" applyFill="1" applyBorder="1" applyAlignment="1">
      <alignment horizontal="center" vertical="center"/>
    </xf>
    <xf numFmtId="2" fontId="7858" fillId="8" borderId="1" xfId="0" applyNumberFormat="1" applyFont="1" applyFill="1" applyBorder="1" applyAlignment="1">
      <alignment horizontal="center" vertical="center"/>
    </xf>
    <xf numFmtId="2" fontId="7859" fillId="8" borderId="1" xfId="0" applyNumberFormat="1" applyFont="1" applyFill="1" applyBorder="1" applyAlignment="1">
      <alignment horizontal="center" vertical="center"/>
    </xf>
    <xf numFmtId="2" fontId="7860" fillId="8" borderId="1" xfId="0" applyNumberFormat="1" applyFont="1" applyFill="1" applyBorder="1" applyAlignment="1">
      <alignment horizontal="center" vertical="center"/>
    </xf>
    <xf numFmtId="2" fontId="7861" fillId="8" borderId="1" xfId="0" applyNumberFormat="1" applyFont="1" applyFill="1" applyBorder="1" applyAlignment="1">
      <alignment horizontal="center" vertical="center"/>
    </xf>
    <xf numFmtId="2" fontId="7862" fillId="8" borderId="1" xfId="0" applyNumberFormat="1" applyFont="1" applyFill="1" applyBorder="1" applyAlignment="1">
      <alignment horizontal="center" vertical="center"/>
    </xf>
    <xf numFmtId="2" fontId="7863" fillId="8" borderId="1" xfId="0" applyNumberFormat="1" applyFont="1" applyFill="1" applyBorder="1" applyAlignment="1">
      <alignment horizontal="center" vertical="center"/>
    </xf>
    <xf numFmtId="2" fontId="7864" fillId="8" borderId="1" xfId="0" applyNumberFormat="1" applyFont="1" applyFill="1" applyBorder="1" applyAlignment="1">
      <alignment horizontal="center" vertical="center"/>
    </xf>
    <xf numFmtId="2" fontId="7865" fillId="8" borderId="1" xfId="0" applyNumberFormat="1" applyFont="1" applyFill="1" applyBorder="1" applyAlignment="1">
      <alignment horizontal="center" vertical="center"/>
    </xf>
    <xf numFmtId="2" fontId="7866" fillId="8" borderId="1" xfId="0" applyNumberFormat="1" applyFont="1" applyFill="1" applyBorder="1" applyAlignment="1">
      <alignment horizontal="center" vertical="center"/>
    </xf>
    <xf numFmtId="2" fontId="7867" fillId="8" borderId="1" xfId="0" applyNumberFormat="1" applyFont="1" applyFill="1" applyBorder="1" applyAlignment="1">
      <alignment horizontal="center" vertical="center"/>
    </xf>
    <xf numFmtId="2" fontId="7868" fillId="8" borderId="1" xfId="0" applyNumberFormat="1" applyFont="1" applyFill="1" applyBorder="1" applyAlignment="1">
      <alignment horizontal="center" vertical="center"/>
    </xf>
    <xf numFmtId="2" fontId="7869" fillId="8" borderId="1" xfId="0" applyNumberFormat="1" applyFont="1" applyFill="1" applyBorder="1" applyAlignment="1">
      <alignment horizontal="center" vertical="center"/>
    </xf>
    <xf numFmtId="2" fontId="7870" fillId="8" borderId="1" xfId="0" applyNumberFormat="1" applyFont="1" applyFill="1" applyBorder="1" applyAlignment="1">
      <alignment horizontal="center" vertical="center"/>
    </xf>
    <xf numFmtId="2" fontId="7871" fillId="8" borderId="1" xfId="0" applyNumberFormat="1" applyFont="1" applyFill="1" applyBorder="1" applyAlignment="1">
      <alignment horizontal="center" vertical="center"/>
    </xf>
    <xf numFmtId="2" fontId="7872" fillId="8" borderId="1" xfId="0" applyNumberFormat="1" applyFont="1" applyFill="1" applyBorder="1" applyAlignment="1">
      <alignment horizontal="center" vertical="center"/>
    </xf>
    <xf numFmtId="2" fontId="7873" fillId="8" borderId="1" xfId="0" applyNumberFormat="1" applyFont="1" applyFill="1" applyBorder="1" applyAlignment="1">
      <alignment horizontal="center" vertical="center"/>
    </xf>
    <xf numFmtId="2" fontId="7874" fillId="8" borderId="1" xfId="0" applyNumberFormat="1" applyFont="1" applyFill="1" applyBorder="1" applyAlignment="1">
      <alignment horizontal="center" vertical="center"/>
    </xf>
    <xf numFmtId="2" fontId="7875" fillId="8" borderId="1" xfId="0" applyNumberFormat="1" applyFont="1" applyFill="1" applyBorder="1" applyAlignment="1">
      <alignment horizontal="center" vertical="center"/>
    </xf>
    <xf numFmtId="2" fontId="7876" fillId="8" borderId="1" xfId="0" applyNumberFormat="1" applyFont="1" applyFill="1" applyBorder="1" applyAlignment="1">
      <alignment horizontal="center" vertical="center"/>
    </xf>
    <xf numFmtId="2" fontId="7877" fillId="8" borderId="1" xfId="0" applyNumberFormat="1" applyFont="1" applyFill="1" applyBorder="1" applyAlignment="1">
      <alignment horizontal="center" vertical="center"/>
    </xf>
    <xf numFmtId="2" fontId="7878" fillId="8" borderId="1" xfId="0" applyNumberFormat="1" applyFont="1" applyFill="1" applyBorder="1" applyAlignment="1">
      <alignment horizontal="center" vertical="center"/>
    </xf>
    <xf numFmtId="0" fontId="7879" fillId="7" borderId="1" xfId="0" applyNumberFormat="1" applyFont="1" applyFill="1" applyBorder="1" applyAlignment="1">
      <alignment horizontal="left" vertical="center"/>
    </xf>
    <xf numFmtId="0" fontId="7880" fillId="8" borderId="1" xfId="0" applyNumberFormat="1" applyFont="1" applyFill="1" applyBorder="1" applyAlignment="1">
      <alignment horizontal="center" vertical="center"/>
    </xf>
    <xf numFmtId="164" fontId="7881" fillId="8" borderId="1" xfId="0" applyNumberFormat="1" applyFont="1" applyFill="1" applyBorder="1" applyAlignment="1">
      <alignment horizontal="center" vertical="center"/>
    </xf>
    <xf numFmtId="1" fontId="7882" fillId="8" borderId="1" xfId="0" applyNumberFormat="1" applyFont="1" applyFill="1" applyBorder="1" applyAlignment="1">
      <alignment horizontal="center" vertical="center"/>
    </xf>
    <xf numFmtId="1" fontId="7883" fillId="8" borderId="1" xfId="0" applyNumberFormat="1" applyFont="1" applyFill="1" applyBorder="1" applyAlignment="1">
      <alignment horizontal="center" vertical="center"/>
    </xf>
    <xf numFmtId="1" fontId="7884" fillId="8" borderId="1" xfId="0" applyNumberFormat="1" applyFont="1" applyFill="1" applyBorder="1" applyAlignment="1">
      <alignment horizontal="center" vertical="center"/>
    </xf>
    <xf numFmtId="1" fontId="7885" fillId="8" borderId="1" xfId="0" applyNumberFormat="1" applyFont="1" applyFill="1" applyBorder="1" applyAlignment="1">
      <alignment horizontal="center" vertical="center"/>
    </xf>
    <xf numFmtId="1" fontId="7886" fillId="8" borderId="1" xfId="0" applyNumberFormat="1" applyFont="1" applyFill="1" applyBorder="1" applyAlignment="1">
      <alignment horizontal="center" vertical="center"/>
    </xf>
    <xf numFmtId="1" fontId="7887" fillId="8" borderId="1" xfId="0" applyNumberFormat="1" applyFont="1" applyFill="1" applyBorder="1" applyAlignment="1">
      <alignment horizontal="center" vertical="center"/>
    </xf>
    <xf numFmtId="1" fontId="7888" fillId="8" borderId="1" xfId="0" applyNumberFormat="1" applyFont="1" applyFill="1" applyBorder="1" applyAlignment="1">
      <alignment horizontal="center" vertical="center"/>
    </xf>
    <xf numFmtId="0" fontId="7889" fillId="8" borderId="1" xfId="0" applyNumberFormat="1" applyFont="1" applyFill="1" applyBorder="1" applyAlignment="1">
      <alignment horizontal="center" vertical="center"/>
    </xf>
    <xf numFmtId="0" fontId="7890" fillId="8" borderId="1" xfId="0" applyNumberFormat="1" applyFont="1" applyFill="1" applyBorder="1" applyAlignment="1">
      <alignment horizontal="center" vertical="center"/>
    </xf>
    <xf numFmtId="1" fontId="7891" fillId="8" borderId="1" xfId="0" applyNumberFormat="1" applyFont="1" applyFill="1" applyBorder="1" applyAlignment="1">
      <alignment horizontal="center" vertical="center"/>
    </xf>
    <xf numFmtId="1" fontId="7892" fillId="8" borderId="1" xfId="0" applyNumberFormat="1" applyFont="1" applyFill="1" applyBorder="1" applyAlignment="1">
      <alignment horizontal="center" vertical="center"/>
    </xf>
    <xf numFmtId="1" fontId="7893" fillId="8" borderId="1" xfId="0" applyNumberFormat="1" applyFont="1" applyFill="1" applyBorder="1" applyAlignment="1">
      <alignment horizontal="center" vertical="center"/>
    </xf>
    <xf numFmtId="165" fontId="7894" fillId="8" borderId="1" xfId="0" applyNumberFormat="1" applyFont="1" applyFill="1" applyBorder="1" applyAlignment="1">
      <alignment horizontal="center" vertical="center"/>
    </xf>
    <xf numFmtId="1" fontId="7895" fillId="8" borderId="1" xfId="0" applyNumberFormat="1" applyFont="1" applyFill="1" applyBorder="1" applyAlignment="1">
      <alignment horizontal="center" vertical="center"/>
    </xf>
    <xf numFmtId="165" fontId="7896" fillId="8" borderId="1" xfId="0" applyNumberFormat="1" applyFont="1" applyFill="1" applyBorder="1" applyAlignment="1">
      <alignment horizontal="center" vertical="center"/>
    </xf>
    <xf numFmtId="1" fontId="7897" fillId="8" borderId="1" xfId="0" applyNumberFormat="1" applyFont="1" applyFill="1" applyBorder="1" applyAlignment="1">
      <alignment horizontal="center" vertical="center"/>
    </xf>
    <xf numFmtId="165" fontId="7898" fillId="8" borderId="1" xfId="0" applyNumberFormat="1" applyFont="1" applyFill="1" applyBorder="1" applyAlignment="1">
      <alignment horizontal="center" vertical="center"/>
    </xf>
    <xf numFmtId="1" fontId="7899" fillId="8" borderId="1" xfId="0" applyNumberFormat="1" applyFont="1" applyFill="1" applyBorder="1" applyAlignment="1">
      <alignment horizontal="center" vertical="center"/>
    </xf>
    <xf numFmtId="165" fontId="7900" fillId="8" borderId="1" xfId="0" applyNumberFormat="1" applyFont="1" applyFill="1" applyBorder="1" applyAlignment="1">
      <alignment horizontal="center" vertical="center"/>
    </xf>
    <xf numFmtId="165" fontId="7901" fillId="8" borderId="1" xfId="0" applyNumberFormat="1" applyFont="1" applyFill="1" applyBorder="1" applyAlignment="1">
      <alignment horizontal="center" vertical="center"/>
    </xf>
    <xf numFmtId="1" fontId="7902" fillId="8" borderId="1" xfId="0" applyNumberFormat="1" applyFont="1" applyFill="1" applyBorder="1" applyAlignment="1">
      <alignment horizontal="center" vertical="center"/>
    </xf>
    <xf numFmtId="1" fontId="7903" fillId="8" borderId="1" xfId="0" applyNumberFormat="1" applyFont="1" applyFill="1" applyBorder="1" applyAlignment="1">
      <alignment horizontal="center" vertical="center"/>
    </xf>
    <xf numFmtId="1" fontId="7904" fillId="8" borderId="1" xfId="0" applyNumberFormat="1" applyFont="1" applyFill="1" applyBorder="1" applyAlignment="1">
      <alignment horizontal="center" vertical="center"/>
    </xf>
    <xf numFmtId="165" fontId="7905" fillId="8" borderId="1" xfId="0" applyNumberFormat="1" applyFont="1" applyFill="1" applyBorder="1" applyAlignment="1">
      <alignment horizontal="center" vertical="center"/>
    </xf>
    <xf numFmtId="164" fontId="7906" fillId="8" borderId="1" xfId="0" applyNumberFormat="1" applyFont="1" applyFill="1" applyBorder="1" applyAlignment="1">
      <alignment horizontal="center" vertical="center"/>
    </xf>
    <xf numFmtId="164" fontId="7907" fillId="8" borderId="1" xfId="0" applyNumberFormat="1" applyFont="1" applyFill="1" applyBorder="1" applyAlignment="1">
      <alignment horizontal="center" vertical="center"/>
    </xf>
    <xf numFmtId="1" fontId="7908" fillId="8" borderId="1" xfId="0" applyNumberFormat="1" applyFont="1" applyFill="1" applyBorder="1" applyAlignment="1">
      <alignment horizontal="center" vertical="center"/>
    </xf>
    <xf numFmtId="1" fontId="7909" fillId="8" borderId="1" xfId="0" applyNumberFormat="1" applyFont="1" applyFill="1" applyBorder="1" applyAlignment="1">
      <alignment horizontal="center" vertical="center"/>
    </xf>
    <xf numFmtId="1" fontId="7910" fillId="8" borderId="1" xfId="0" applyNumberFormat="1" applyFont="1" applyFill="1" applyBorder="1" applyAlignment="1">
      <alignment horizontal="center" vertical="center"/>
    </xf>
    <xf numFmtId="165" fontId="7911" fillId="8" borderId="1" xfId="0" applyNumberFormat="1" applyFont="1" applyFill="1" applyBorder="1" applyAlignment="1">
      <alignment horizontal="center" vertical="center"/>
    </xf>
    <xf numFmtId="1" fontId="7912" fillId="8" borderId="1" xfId="0" applyNumberFormat="1" applyFont="1" applyFill="1" applyBorder="1" applyAlignment="1">
      <alignment horizontal="center" vertical="center"/>
    </xf>
    <xf numFmtId="165" fontId="7913" fillId="8" borderId="1" xfId="0" applyNumberFormat="1" applyFont="1" applyFill="1" applyBorder="1" applyAlignment="1">
      <alignment horizontal="center" vertical="center"/>
    </xf>
    <xf numFmtId="1" fontId="7914" fillId="8" borderId="1" xfId="0" applyNumberFormat="1" applyFont="1" applyFill="1" applyBorder="1" applyAlignment="1">
      <alignment horizontal="center" vertical="center"/>
    </xf>
    <xf numFmtId="1" fontId="7915" fillId="8" borderId="1" xfId="0" applyNumberFormat="1" applyFont="1" applyFill="1" applyBorder="1" applyAlignment="1">
      <alignment horizontal="center" vertical="center"/>
    </xf>
    <xf numFmtId="1" fontId="7916" fillId="8" borderId="1" xfId="0" applyNumberFormat="1" applyFont="1" applyFill="1" applyBorder="1" applyAlignment="1">
      <alignment horizontal="center" vertical="center"/>
    </xf>
    <xf numFmtId="1" fontId="7917" fillId="8" borderId="1" xfId="0" applyNumberFormat="1" applyFont="1" applyFill="1" applyBorder="1" applyAlignment="1">
      <alignment horizontal="center" vertical="center"/>
    </xf>
    <xf numFmtId="165" fontId="7918" fillId="8" borderId="1" xfId="0" applyNumberFormat="1" applyFont="1" applyFill="1" applyBorder="1" applyAlignment="1">
      <alignment horizontal="center" vertical="center"/>
    </xf>
    <xf numFmtId="1" fontId="7919" fillId="8" borderId="1" xfId="0" applyNumberFormat="1" applyFont="1" applyFill="1" applyBorder="1" applyAlignment="1">
      <alignment horizontal="center" vertical="center"/>
    </xf>
    <xf numFmtId="165" fontId="7920" fillId="8" borderId="1" xfId="0" applyNumberFormat="1" applyFont="1" applyFill="1" applyBorder="1" applyAlignment="1">
      <alignment horizontal="center" vertical="center"/>
    </xf>
    <xf numFmtId="1" fontId="7921" fillId="8" borderId="1" xfId="0" applyNumberFormat="1" applyFont="1" applyFill="1" applyBorder="1" applyAlignment="1">
      <alignment horizontal="center" vertical="center"/>
    </xf>
    <xf numFmtId="165" fontId="7922" fillId="8" borderId="1" xfId="0" applyNumberFormat="1" applyFont="1" applyFill="1" applyBorder="1" applyAlignment="1">
      <alignment horizontal="center" vertical="center"/>
    </xf>
    <xf numFmtId="2" fontId="7923" fillId="8" borderId="1" xfId="0" applyNumberFormat="1" applyFont="1" applyFill="1" applyBorder="1" applyAlignment="1">
      <alignment horizontal="center" vertical="center"/>
    </xf>
    <xf numFmtId="2" fontId="7924" fillId="8" borderId="1" xfId="0" applyNumberFormat="1" applyFont="1" applyFill="1" applyBorder="1" applyAlignment="1">
      <alignment horizontal="center" vertical="center"/>
    </xf>
    <xf numFmtId="2" fontId="7925" fillId="8" borderId="1" xfId="0" applyNumberFormat="1" applyFont="1" applyFill="1" applyBorder="1" applyAlignment="1">
      <alignment horizontal="center" vertical="center"/>
    </xf>
    <xf numFmtId="2" fontId="7926" fillId="8" borderId="1" xfId="0" applyNumberFormat="1" applyFont="1" applyFill="1" applyBorder="1" applyAlignment="1">
      <alignment horizontal="center" vertical="center"/>
    </xf>
    <xf numFmtId="2" fontId="7927" fillId="8" borderId="1" xfId="0" applyNumberFormat="1" applyFont="1" applyFill="1" applyBorder="1" applyAlignment="1">
      <alignment horizontal="center" vertical="center"/>
    </xf>
    <xf numFmtId="2" fontId="7928" fillId="8" borderId="1" xfId="0" applyNumberFormat="1" applyFont="1" applyFill="1" applyBorder="1" applyAlignment="1">
      <alignment horizontal="center" vertical="center"/>
    </xf>
    <xf numFmtId="2" fontId="7929" fillId="8" borderId="1" xfId="0" applyNumberFormat="1" applyFont="1" applyFill="1" applyBorder="1" applyAlignment="1">
      <alignment horizontal="center" vertical="center"/>
    </xf>
    <xf numFmtId="2" fontId="7930" fillId="8" borderId="1" xfId="0" applyNumberFormat="1" applyFont="1" applyFill="1" applyBorder="1" applyAlignment="1">
      <alignment horizontal="center" vertical="center"/>
    </xf>
    <xf numFmtId="2" fontId="7931" fillId="8" borderId="1" xfId="0" applyNumberFormat="1" applyFont="1" applyFill="1" applyBorder="1" applyAlignment="1">
      <alignment horizontal="center" vertical="center"/>
    </xf>
    <xf numFmtId="2" fontId="7932" fillId="8" borderId="1" xfId="0" applyNumberFormat="1" applyFont="1" applyFill="1" applyBorder="1" applyAlignment="1">
      <alignment horizontal="center" vertical="center"/>
    </xf>
    <xf numFmtId="2" fontId="7933" fillId="8" borderId="1" xfId="0" applyNumberFormat="1" applyFont="1" applyFill="1" applyBorder="1" applyAlignment="1">
      <alignment horizontal="center" vertical="center"/>
    </xf>
    <xf numFmtId="2" fontId="7934" fillId="8" borderId="1" xfId="0" applyNumberFormat="1" applyFont="1" applyFill="1" applyBorder="1" applyAlignment="1">
      <alignment horizontal="center" vertical="center"/>
    </xf>
    <xf numFmtId="2" fontId="7935" fillId="8" borderId="1" xfId="0" applyNumberFormat="1" applyFont="1" applyFill="1" applyBorder="1" applyAlignment="1">
      <alignment horizontal="center" vertical="center"/>
    </xf>
    <xf numFmtId="2" fontId="7936" fillId="8" borderId="1" xfId="0" applyNumberFormat="1" applyFont="1" applyFill="1" applyBorder="1" applyAlignment="1">
      <alignment horizontal="center" vertical="center"/>
    </xf>
    <xf numFmtId="2" fontId="7937" fillId="8" borderId="1" xfId="0" applyNumberFormat="1" applyFont="1" applyFill="1" applyBorder="1" applyAlignment="1">
      <alignment horizontal="center" vertical="center"/>
    </xf>
    <xf numFmtId="2" fontId="7938" fillId="8" borderId="1" xfId="0" applyNumberFormat="1" applyFont="1" applyFill="1" applyBorder="1" applyAlignment="1">
      <alignment horizontal="center" vertical="center"/>
    </xf>
    <xf numFmtId="2" fontId="7939" fillId="8" borderId="1" xfId="0" applyNumberFormat="1" applyFont="1" applyFill="1" applyBorder="1" applyAlignment="1">
      <alignment horizontal="center" vertical="center"/>
    </xf>
    <xf numFmtId="2" fontId="7940" fillId="8" borderId="1" xfId="0" applyNumberFormat="1" applyFont="1" applyFill="1" applyBorder="1" applyAlignment="1">
      <alignment horizontal="center" vertical="center"/>
    </xf>
    <xf numFmtId="2" fontId="7941" fillId="8" borderId="1" xfId="0" applyNumberFormat="1" applyFont="1" applyFill="1" applyBorder="1" applyAlignment="1">
      <alignment horizontal="center" vertical="center"/>
    </xf>
    <xf numFmtId="2" fontId="7942" fillId="8" borderId="1" xfId="0" applyNumberFormat="1" applyFont="1" applyFill="1" applyBorder="1" applyAlignment="1">
      <alignment horizontal="center" vertical="center"/>
    </xf>
    <xf numFmtId="2" fontId="7943" fillId="8" borderId="1" xfId="0" applyNumberFormat="1" applyFont="1" applyFill="1" applyBorder="1" applyAlignment="1">
      <alignment horizontal="center" vertical="center"/>
    </xf>
    <xf numFmtId="2" fontId="7944" fillId="8" borderId="1" xfId="0" applyNumberFormat="1" applyFont="1" applyFill="1" applyBorder="1" applyAlignment="1">
      <alignment horizontal="center" vertical="center"/>
    </xf>
    <xf numFmtId="2" fontId="7945" fillId="8" borderId="1" xfId="0" applyNumberFormat="1" applyFont="1" applyFill="1" applyBorder="1" applyAlignment="1">
      <alignment horizontal="center" vertical="center"/>
    </xf>
    <xf numFmtId="2" fontId="7946" fillId="8" borderId="1" xfId="0" applyNumberFormat="1" applyFont="1" applyFill="1" applyBorder="1" applyAlignment="1">
      <alignment horizontal="center" vertical="center"/>
    </xf>
    <xf numFmtId="2" fontId="7947" fillId="8" borderId="1" xfId="0" applyNumberFormat="1" applyFont="1" applyFill="1" applyBorder="1" applyAlignment="1">
      <alignment horizontal="center" vertical="center"/>
    </xf>
    <xf numFmtId="2" fontId="7948" fillId="8" borderId="1" xfId="0" applyNumberFormat="1" applyFont="1" applyFill="1" applyBorder="1" applyAlignment="1">
      <alignment horizontal="center" vertical="center"/>
    </xf>
    <xf numFmtId="2" fontId="7949" fillId="8" borderId="1" xfId="0" applyNumberFormat="1" applyFont="1" applyFill="1" applyBorder="1" applyAlignment="1">
      <alignment horizontal="center" vertical="center"/>
    </xf>
    <xf numFmtId="2" fontId="7950" fillId="8" borderId="1" xfId="0" applyNumberFormat="1" applyFont="1" applyFill="1" applyBorder="1" applyAlignment="1">
      <alignment horizontal="center" vertical="center"/>
    </xf>
    <xf numFmtId="2" fontId="7951" fillId="8" borderId="1" xfId="0" applyNumberFormat="1" applyFont="1" applyFill="1" applyBorder="1" applyAlignment="1">
      <alignment horizontal="center" vertical="center"/>
    </xf>
    <xf numFmtId="2" fontId="7952" fillId="8" borderId="1" xfId="0" applyNumberFormat="1" applyFont="1" applyFill="1" applyBorder="1" applyAlignment="1">
      <alignment horizontal="center" vertical="center"/>
    </xf>
    <xf numFmtId="2" fontId="7953" fillId="8" borderId="1" xfId="0" applyNumberFormat="1" applyFont="1" applyFill="1" applyBorder="1" applyAlignment="1">
      <alignment horizontal="center" vertical="center"/>
    </xf>
    <xf numFmtId="2" fontId="7954" fillId="8" borderId="1" xfId="0" applyNumberFormat="1" applyFont="1" applyFill="1" applyBorder="1" applyAlignment="1">
      <alignment horizontal="center" vertical="center"/>
    </xf>
    <xf numFmtId="2" fontId="7955" fillId="8" borderId="1" xfId="0" applyNumberFormat="1" applyFont="1" applyFill="1" applyBorder="1" applyAlignment="1">
      <alignment horizontal="center" vertical="center"/>
    </xf>
    <xf numFmtId="2" fontId="7956" fillId="8" borderId="1" xfId="0" applyNumberFormat="1" applyFont="1" applyFill="1" applyBorder="1" applyAlignment="1">
      <alignment horizontal="center" vertical="center"/>
    </xf>
    <xf numFmtId="0" fontId="7957" fillId="7" borderId="1" xfId="0" applyNumberFormat="1" applyFont="1" applyFill="1" applyBorder="1" applyAlignment="1">
      <alignment horizontal="left" vertical="center"/>
    </xf>
    <xf numFmtId="0" fontId="7958" fillId="8" borderId="1" xfId="0" applyNumberFormat="1" applyFont="1" applyFill="1" applyBorder="1" applyAlignment="1">
      <alignment horizontal="center" vertical="center"/>
    </xf>
    <xf numFmtId="164" fontId="7959" fillId="8" borderId="1" xfId="0" applyNumberFormat="1" applyFont="1" applyFill="1" applyBorder="1" applyAlignment="1">
      <alignment horizontal="center" vertical="center"/>
    </xf>
    <xf numFmtId="1" fontId="7960" fillId="8" borderId="1" xfId="0" applyNumberFormat="1" applyFont="1" applyFill="1" applyBorder="1" applyAlignment="1">
      <alignment horizontal="center" vertical="center"/>
    </xf>
    <xf numFmtId="1" fontId="7961" fillId="8" borderId="1" xfId="0" applyNumberFormat="1" applyFont="1" applyFill="1" applyBorder="1" applyAlignment="1">
      <alignment horizontal="center" vertical="center"/>
    </xf>
    <xf numFmtId="1" fontId="7962" fillId="8" borderId="1" xfId="0" applyNumberFormat="1" applyFont="1" applyFill="1" applyBorder="1" applyAlignment="1">
      <alignment horizontal="center" vertical="center"/>
    </xf>
    <xf numFmtId="1" fontId="7963" fillId="8" borderId="1" xfId="0" applyNumberFormat="1" applyFont="1" applyFill="1" applyBorder="1" applyAlignment="1">
      <alignment horizontal="center" vertical="center"/>
    </xf>
    <xf numFmtId="1" fontId="7964" fillId="8" borderId="1" xfId="0" applyNumberFormat="1" applyFont="1" applyFill="1" applyBorder="1" applyAlignment="1">
      <alignment horizontal="center" vertical="center"/>
    </xf>
    <xf numFmtId="1" fontId="7965" fillId="8" borderId="1" xfId="0" applyNumberFormat="1" applyFont="1" applyFill="1" applyBorder="1" applyAlignment="1">
      <alignment horizontal="center" vertical="center"/>
    </xf>
    <xf numFmtId="1" fontId="7966" fillId="8" borderId="1" xfId="0" applyNumberFormat="1" applyFont="1" applyFill="1" applyBorder="1" applyAlignment="1">
      <alignment horizontal="center" vertical="center"/>
    </xf>
    <xf numFmtId="0" fontId="7967" fillId="8" borderId="1" xfId="0" applyNumberFormat="1" applyFont="1" applyFill="1" applyBorder="1" applyAlignment="1">
      <alignment horizontal="center" vertical="center"/>
    </xf>
    <xf numFmtId="0" fontId="7968" fillId="8" borderId="1" xfId="0" applyNumberFormat="1" applyFont="1" applyFill="1" applyBorder="1" applyAlignment="1">
      <alignment horizontal="center" vertical="center"/>
    </xf>
    <xf numFmtId="1" fontId="7969" fillId="8" borderId="1" xfId="0" applyNumberFormat="1" applyFont="1" applyFill="1" applyBorder="1" applyAlignment="1">
      <alignment horizontal="center" vertical="center"/>
    </xf>
    <xf numFmtId="1" fontId="7970" fillId="8" borderId="1" xfId="0" applyNumberFormat="1" applyFont="1" applyFill="1" applyBorder="1" applyAlignment="1">
      <alignment horizontal="center" vertical="center"/>
    </xf>
    <xf numFmtId="1" fontId="7971" fillId="8" borderId="1" xfId="0" applyNumberFormat="1" applyFont="1" applyFill="1" applyBorder="1" applyAlignment="1">
      <alignment horizontal="center" vertical="center"/>
    </xf>
    <xf numFmtId="165" fontId="7972" fillId="8" borderId="1" xfId="0" applyNumberFormat="1" applyFont="1" applyFill="1" applyBorder="1" applyAlignment="1">
      <alignment horizontal="center" vertical="center"/>
    </xf>
    <xf numFmtId="1" fontId="7973" fillId="8" borderId="1" xfId="0" applyNumberFormat="1" applyFont="1" applyFill="1" applyBorder="1" applyAlignment="1">
      <alignment horizontal="center" vertical="center"/>
    </xf>
    <xf numFmtId="165" fontId="7974" fillId="8" borderId="1" xfId="0" applyNumberFormat="1" applyFont="1" applyFill="1" applyBorder="1" applyAlignment="1">
      <alignment horizontal="center" vertical="center"/>
    </xf>
    <xf numFmtId="1" fontId="7975" fillId="8" borderId="1" xfId="0" applyNumberFormat="1" applyFont="1" applyFill="1" applyBorder="1" applyAlignment="1">
      <alignment horizontal="center" vertical="center"/>
    </xf>
    <xf numFmtId="165" fontId="7976" fillId="8" borderId="1" xfId="0" applyNumberFormat="1" applyFont="1" applyFill="1" applyBorder="1" applyAlignment="1">
      <alignment horizontal="center" vertical="center"/>
    </xf>
    <xf numFmtId="1" fontId="7977" fillId="8" borderId="1" xfId="0" applyNumberFormat="1" applyFont="1" applyFill="1" applyBorder="1" applyAlignment="1">
      <alignment horizontal="center" vertical="center"/>
    </xf>
    <xf numFmtId="165" fontId="7978" fillId="8" borderId="1" xfId="0" applyNumberFormat="1" applyFont="1" applyFill="1" applyBorder="1" applyAlignment="1">
      <alignment horizontal="center" vertical="center"/>
    </xf>
    <xf numFmtId="165" fontId="7979" fillId="8" borderId="1" xfId="0" applyNumberFormat="1" applyFont="1" applyFill="1" applyBorder="1" applyAlignment="1">
      <alignment horizontal="center" vertical="center"/>
    </xf>
    <xf numFmtId="1" fontId="7980" fillId="8" borderId="1" xfId="0" applyNumberFormat="1" applyFont="1" applyFill="1" applyBorder="1" applyAlignment="1">
      <alignment horizontal="center" vertical="center"/>
    </xf>
    <xf numFmtId="1" fontId="7981" fillId="8" borderId="1" xfId="0" applyNumberFormat="1" applyFont="1" applyFill="1" applyBorder="1" applyAlignment="1">
      <alignment horizontal="center" vertical="center"/>
    </xf>
    <xf numFmtId="1" fontId="7982" fillId="8" borderId="1" xfId="0" applyNumberFormat="1" applyFont="1" applyFill="1" applyBorder="1" applyAlignment="1">
      <alignment horizontal="center" vertical="center"/>
    </xf>
    <xf numFmtId="165" fontId="7983" fillId="8" borderId="1" xfId="0" applyNumberFormat="1" applyFont="1" applyFill="1" applyBorder="1" applyAlignment="1">
      <alignment horizontal="center" vertical="center"/>
    </xf>
    <xf numFmtId="164" fontId="7984" fillId="8" borderId="1" xfId="0" applyNumberFormat="1" applyFont="1" applyFill="1" applyBorder="1" applyAlignment="1">
      <alignment horizontal="center" vertical="center"/>
    </xf>
    <xf numFmtId="164" fontId="7985" fillId="8" borderId="1" xfId="0" applyNumberFormat="1" applyFont="1" applyFill="1" applyBorder="1" applyAlignment="1">
      <alignment horizontal="center" vertical="center"/>
    </xf>
    <xf numFmtId="1" fontId="7986" fillId="8" borderId="1" xfId="0" applyNumberFormat="1" applyFont="1" applyFill="1" applyBorder="1" applyAlignment="1">
      <alignment horizontal="center" vertical="center"/>
    </xf>
    <xf numFmtId="1" fontId="7987" fillId="8" borderId="1" xfId="0" applyNumberFormat="1" applyFont="1" applyFill="1" applyBorder="1" applyAlignment="1">
      <alignment horizontal="center" vertical="center"/>
    </xf>
    <xf numFmtId="1" fontId="7988" fillId="8" borderId="1" xfId="0" applyNumberFormat="1" applyFont="1" applyFill="1" applyBorder="1" applyAlignment="1">
      <alignment horizontal="center" vertical="center"/>
    </xf>
    <xf numFmtId="165" fontId="7989" fillId="8" borderId="1" xfId="0" applyNumberFormat="1" applyFont="1" applyFill="1" applyBorder="1" applyAlignment="1">
      <alignment horizontal="center" vertical="center"/>
    </xf>
    <xf numFmtId="1" fontId="7990" fillId="8" borderId="1" xfId="0" applyNumberFormat="1" applyFont="1" applyFill="1" applyBorder="1" applyAlignment="1">
      <alignment horizontal="center" vertical="center"/>
    </xf>
    <xf numFmtId="165" fontId="7991" fillId="8" borderId="1" xfId="0" applyNumberFormat="1" applyFont="1" applyFill="1" applyBorder="1" applyAlignment="1">
      <alignment horizontal="center" vertical="center"/>
    </xf>
    <xf numFmtId="1" fontId="7992" fillId="8" borderId="1" xfId="0" applyNumberFormat="1" applyFont="1" applyFill="1" applyBorder="1" applyAlignment="1">
      <alignment horizontal="center" vertical="center"/>
    </xf>
    <xf numFmtId="1" fontId="7993" fillId="8" borderId="1" xfId="0" applyNumberFormat="1" applyFont="1" applyFill="1" applyBorder="1" applyAlignment="1">
      <alignment horizontal="center" vertical="center"/>
    </xf>
    <xf numFmtId="1" fontId="7994" fillId="8" borderId="1" xfId="0" applyNumberFormat="1" applyFont="1" applyFill="1" applyBorder="1" applyAlignment="1">
      <alignment horizontal="center" vertical="center"/>
    </xf>
    <xf numFmtId="1" fontId="7995" fillId="8" borderId="1" xfId="0" applyNumberFormat="1" applyFont="1" applyFill="1" applyBorder="1" applyAlignment="1">
      <alignment horizontal="center" vertical="center"/>
    </xf>
    <xf numFmtId="165" fontId="7996" fillId="8" borderId="1" xfId="0" applyNumberFormat="1" applyFont="1" applyFill="1" applyBorder="1" applyAlignment="1">
      <alignment horizontal="center" vertical="center"/>
    </xf>
    <xf numFmtId="1" fontId="7997" fillId="8" borderId="1" xfId="0" applyNumberFormat="1" applyFont="1" applyFill="1" applyBorder="1" applyAlignment="1">
      <alignment horizontal="center" vertical="center"/>
    </xf>
    <xf numFmtId="165" fontId="7998" fillId="8" borderId="1" xfId="0" applyNumberFormat="1" applyFont="1" applyFill="1" applyBorder="1" applyAlignment="1">
      <alignment horizontal="center" vertical="center"/>
    </xf>
    <xf numFmtId="1" fontId="7999" fillId="8" borderId="1" xfId="0" applyNumberFormat="1" applyFont="1" applyFill="1" applyBorder="1" applyAlignment="1">
      <alignment horizontal="center" vertical="center"/>
    </xf>
    <xf numFmtId="165" fontId="8000" fillId="8" borderId="1" xfId="0" applyNumberFormat="1" applyFont="1" applyFill="1" applyBorder="1" applyAlignment="1">
      <alignment horizontal="center" vertical="center"/>
    </xf>
    <xf numFmtId="2" fontId="8001" fillId="8" borderId="1" xfId="0" applyNumberFormat="1" applyFont="1" applyFill="1" applyBorder="1" applyAlignment="1">
      <alignment horizontal="center" vertical="center"/>
    </xf>
    <xf numFmtId="2" fontId="8002" fillId="8" borderId="1" xfId="0" applyNumberFormat="1" applyFont="1" applyFill="1" applyBorder="1" applyAlignment="1">
      <alignment horizontal="center" vertical="center"/>
    </xf>
    <xf numFmtId="2" fontId="8003" fillId="8" borderId="1" xfId="0" applyNumberFormat="1" applyFont="1" applyFill="1" applyBorder="1" applyAlignment="1">
      <alignment horizontal="center" vertical="center"/>
    </xf>
    <xf numFmtId="2" fontId="8004" fillId="8" borderId="1" xfId="0" applyNumberFormat="1" applyFont="1" applyFill="1" applyBorder="1" applyAlignment="1">
      <alignment horizontal="center" vertical="center"/>
    </xf>
    <xf numFmtId="2" fontId="8005" fillId="8" borderId="1" xfId="0" applyNumberFormat="1" applyFont="1" applyFill="1" applyBorder="1" applyAlignment="1">
      <alignment horizontal="center" vertical="center"/>
    </xf>
    <xf numFmtId="2" fontId="8006" fillId="8" borderId="1" xfId="0" applyNumberFormat="1" applyFont="1" applyFill="1" applyBorder="1" applyAlignment="1">
      <alignment horizontal="center" vertical="center"/>
    </xf>
    <xf numFmtId="2" fontId="8007" fillId="8" borderId="1" xfId="0" applyNumberFormat="1" applyFont="1" applyFill="1" applyBorder="1" applyAlignment="1">
      <alignment horizontal="center" vertical="center"/>
    </xf>
    <xf numFmtId="2" fontId="8008" fillId="8" borderId="1" xfId="0" applyNumberFormat="1" applyFont="1" applyFill="1" applyBorder="1" applyAlignment="1">
      <alignment horizontal="center" vertical="center"/>
    </xf>
    <xf numFmtId="2" fontId="8009" fillId="8" borderId="1" xfId="0" applyNumberFormat="1" applyFont="1" applyFill="1" applyBorder="1" applyAlignment="1">
      <alignment horizontal="center" vertical="center"/>
    </xf>
    <xf numFmtId="2" fontId="8010" fillId="8" borderId="1" xfId="0" applyNumberFormat="1" applyFont="1" applyFill="1" applyBorder="1" applyAlignment="1">
      <alignment horizontal="center" vertical="center"/>
    </xf>
    <xf numFmtId="2" fontId="8011" fillId="8" borderId="1" xfId="0" applyNumberFormat="1" applyFont="1" applyFill="1" applyBorder="1" applyAlignment="1">
      <alignment horizontal="center" vertical="center"/>
    </xf>
    <xf numFmtId="2" fontId="8012" fillId="8" borderId="1" xfId="0" applyNumberFormat="1" applyFont="1" applyFill="1" applyBorder="1" applyAlignment="1">
      <alignment horizontal="center" vertical="center"/>
    </xf>
    <xf numFmtId="2" fontId="8013" fillId="8" borderId="1" xfId="0" applyNumberFormat="1" applyFont="1" applyFill="1" applyBorder="1" applyAlignment="1">
      <alignment horizontal="center" vertical="center"/>
    </xf>
    <xf numFmtId="2" fontId="8014" fillId="8" borderId="1" xfId="0" applyNumberFormat="1" applyFont="1" applyFill="1" applyBorder="1" applyAlignment="1">
      <alignment horizontal="center" vertical="center"/>
    </xf>
    <xf numFmtId="2" fontId="8015" fillId="8" borderId="1" xfId="0" applyNumberFormat="1" applyFont="1" applyFill="1" applyBorder="1" applyAlignment="1">
      <alignment horizontal="center" vertical="center"/>
    </xf>
    <xf numFmtId="2" fontId="8016" fillId="8" borderId="1" xfId="0" applyNumberFormat="1" applyFont="1" applyFill="1" applyBorder="1" applyAlignment="1">
      <alignment horizontal="center" vertical="center"/>
    </xf>
    <xf numFmtId="2" fontId="8017" fillId="8" borderId="1" xfId="0" applyNumberFormat="1" applyFont="1" applyFill="1" applyBorder="1" applyAlignment="1">
      <alignment horizontal="center" vertical="center"/>
    </xf>
    <xf numFmtId="2" fontId="8018" fillId="8" borderId="1" xfId="0" applyNumberFormat="1" applyFont="1" applyFill="1" applyBorder="1" applyAlignment="1">
      <alignment horizontal="center" vertical="center"/>
    </xf>
    <xf numFmtId="2" fontId="8019" fillId="8" borderId="1" xfId="0" applyNumberFormat="1" applyFont="1" applyFill="1" applyBorder="1" applyAlignment="1">
      <alignment horizontal="center" vertical="center"/>
    </xf>
    <xf numFmtId="2" fontId="8020" fillId="8" borderId="1" xfId="0" applyNumberFormat="1" applyFont="1" applyFill="1" applyBorder="1" applyAlignment="1">
      <alignment horizontal="center" vertical="center"/>
    </xf>
    <xf numFmtId="2" fontId="8021" fillId="8" borderId="1" xfId="0" applyNumberFormat="1" applyFont="1" applyFill="1" applyBorder="1" applyAlignment="1">
      <alignment horizontal="center" vertical="center"/>
    </xf>
    <xf numFmtId="2" fontId="8022" fillId="8" borderId="1" xfId="0" applyNumberFormat="1" applyFont="1" applyFill="1" applyBorder="1" applyAlignment="1">
      <alignment horizontal="center" vertical="center"/>
    </xf>
    <xf numFmtId="2" fontId="8023" fillId="8" borderId="1" xfId="0" applyNumberFormat="1" applyFont="1" applyFill="1" applyBorder="1" applyAlignment="1">
      <alignment horizontal="center" vertical="center"/>
    </xf>
    <xf numFmtId="2" fontId="8024" fillId="8" borderId="1" xfId="0" applyNumberFormat="1" applyFont="1" applyFill="1" applyBorder="1" applyAlignment="1">
      <alignment horizontal="center" vertical="center"/>
    </xf>
    <xf numFmtId="2" fontId="8025" fillId="8" borderId="1" xfId="0" applyNumberFormat="1" applyFont="1" applyFill="1" applyBorder="1" applyAlignment="1">
      <alignment horizontal="center" vertical="center"/>
    </xf>
    <xf numFmtId="2" fontId="8026" fillId="8" borderId="1" xfId="0" applyNumberFormat="1" applyFont="1" applyFill="1" applyBorder="1" applyAlignment="1">
      <alignment horizontal="center" vertical="center"/>
    </xf>
    <xf numFmtId="2" fontId="8027" fillId="8" borderId="1" xfId="0" applyNumberFormat="1" applyFont="1" applyFill="1" applyBorder="1" applyAlignment="1">
      <alignment horizontal="center" vertical="center"/>
    </xf>
    <xf numFmtId="2" fontId="8028" fillId="8" borderId="1" xfId="0" applyNumberFormat="1" applyFont="1" applyFill="1" applyBorder="1" applyAlignment="1">
      <alignment horizontal="center" vertical="center"/>
    </xf>
    <xf numFmtId="2" fontId="8029" fillId="8" borderId="1" xfId="0" applyNumberFormat="1" applyFont="1" applyFill="1" applyBorder="1" applyAlignment="1">
      <alignment horizontal="center" vertical="center"/>
    </xf>
    <xf numFmtId="2" fontId="8030" fillId="8" borderId="1" xfId="0" applyNumberFormat="1" applyFont="1" applyFill="1" applyBorder="1" applyAlignment="1">
      <alignment horizontal="center" vertical="center"/>
    </xf>
    <xf numFmtId="2" fontId="8031" fillId="8" borderId="1" xfId="0" applyNumberFormat="1" applyFont="1" applyFill="1" applyBorder="1" applyAlignment="1">
      <alignment horizontal="center" vertical="center"/>
    </xf>
    <xf numFmtId="2" fontId="8032" fillId="8" borderId="1" xfId="0" applyNumberFormat="1" applyFont="1" applyFill="1" applyBorder="1" applyAlignment="1">
      <alignment horizontal="center" vertical="center"/>
    </xf>
    <xf numFmtId="2" fontId="8033" fillId="8" borderId="1" xfId="0" applyNumberFormat="1" applyFont="1" applyFill="1" applyBorder="1" applyAlignment="1">
      <alignment horizontal="center" vertical="center"/>
    </xf>
    <xf numFmtId="2" fontId="8034" fillId="8" borderId="1" xfId="0" applyNumberFormat="1" applyFont="1" applyFill="1" applyBorder="1" applyAlignment="1">
      <alignment horizontal="center" vertical="center"/>
    </xf>
    <xf numFmtId="0" fontId="8035" fillId="7" borderId="1" xfId="0" applyNumberFormat="1" applyFont="1" applyFill="1" applyBorder="1" applyAlignment="1">
      <alignment horizontal="left" vertical="center"/>
    </xf>
    <xf numFmtId="0" fontId="8036" fillId="8" borderId="1" xfId="0" applyNumberFormat="1" applyFont="1" applyFill="1" applyBorder="1" applyAlignment="1">
      <alignment horizontal="center" vertical="center"/>
    </xf>
    <xf numFmtId="164" fontId="8037" fillId="8" borderId="1" xfId="0" applyNumberFormat="1" applyFont="1" applyFill="1" applyBorder="1" applyAlignment="1">
      <alignment horizontal="center" vertical="center"/>
    </xf>
    <xf numFmtId="1" fontId="8038" fillId="8" borderId="1" xfId="0" applyNumberFormat="1" applyFont="1" applyFill="1" applyBorder="1" applyAlignment="1">
      <alignment horizontal="center" vertical="center"/>
    </xf>
    <xf numFmtId="1" fontId="8039" fillId="8" borderId="1" xfId="0" applyNumberFormat="1" applyFont="1" applyFill="1" applyBorder="1" applyAlignment="1">
      <alignment horizontal="center" vertical="center"/>
    </xf>
    <xf numFmtId="1" fontId="8040" fillId="8" borderId="1" xfId="0" applyNumberFormat="1" applyFont="1" applyFill="1" applyBorder="1" applyAlignment="1">
      <alignment horizontal="center" vertical="center"/>
    </xf>
    <xf numFmtId="1" fontId="8041" fillId="8" borderId="1" xfId="0" applyNumberFormat="1" applyFont="1" applyFill="1" applyBorder="1" applyAlignment="1">
      <alignment horizontal="center" vertical="center"/>
    </xf>
    <xf numFmtId="1" fontId="8042" fillId="8" borderId="1" xfId="0" applyNumberFormat="1" applyFont="1" applyFill="1" applyBorder="1" applyAlignment="1">
      <alignment horizontal="center" vertical="center"/>
    </xf>
    <xf numFmtId="1" fontId="8043" fillId="8" borderId="1" xfId="0" applyNumberFormat="1" applyFont="1" applyFill="1" applyBorder="1" applyAlignment="1">
      <alignment horizontal="center" vertical="center"/>
    </xf>
    <xf numFmtId="1" fontId="8044" fillId="8" borderId="1" xfId="0" applyNumberFormat="1" applyFont="1" applyFill="1" applyBorder="1" applyAlignment="1">
      <alignment horizontal="center" vertical="center"/>
    </xf>
    <xf numFmtId="0" fontId="8045" fillId="8" borderId="1" xfId="0" applyNumberFormat="1" applyFont="1" applyFill="1" applyBorder="1" applyAlignment="1">
      <alignment horizontal="center" vertical="center"/>
    </xf>
    <xf numFmtId="0" fontId="8046" fillId="8" borderId="1" xfId="0" applyNumberFormat="1" applyFont="1" applyFill="1" applyBorder="1" applyAlignment="1">
      <alignment horizontal="center" vertical="center"/>
    </xf>
    <xf numFmtId="1" fontId="8047" fillId="8" borderId="1" xfId="0" applyNumberFormat="1" applyFont="1" applyFill="1" applyBorder="1" applyAlignment="1">
      <alignment horizontal="center" vertical="center"/>
    </xf>
    <xf numFmtId="1" fontId="8048" fillId="8" borderId="1" xfId="0" applyNumberFormat="1" applyFont="1" applyFill="1" applyBorder="1" applyAlignment="1">
      <alignment horizontal="center" vertical="center"/>
    </xf>
    <xf numFmtId="1" fontId="8049" fillId="8" borderId="1" xfId="0" applyNumberFormat="1" applyFont="1" applyFill="1" applyBorder="1" applyAlignment="1">
      <alignment horizontal="center" vertical="center"/>
    </xf>
    <xf numFmtId="165" fontId="8050" fillId="8" borderId="1" xfId="0" applyNumberFormat="1" applyFont="1" applyFill="1" applyBorder="1" applyAlignment="1">
      <alignment horizontal="center" vertical="center"/>
    </xf>
    <xf numFmtId="1" fontId="8051" fillId="8" borderId="1" xfId="0" applyNumberFormat="1" applyFont="1" applyFill="1" applyBorder="1" applyAlignment="1">
      <alignment horizontal="center" vertical="center"/>
    </xf>
    <xf numFmtId="165" fontId="8052" fillId="8" borderId="1" xfId="0" applyNumberFormat="1" applyFont="1" applyFill="1" applyBorder="1" applyAlignment="1">
      <alignment horizontal="center" vertical="center"/>
    </xf>
    <xf numFmtId="1" fontId="8053" fillId="8" borderId="1" xfId="0" applyNumberFormat="1" applyFont="1" applyFill="1" applyBorder="1" applyAlignment="1">
      <alignment horizontal="center" vertical="center"/>
    </xf>
    <xf numFmtId="165" fontId="8054" fillId="8" borderId="1" xfId="0" applyNumberFormat="1" applyFont="1" applyFill="1" applyBorder="1" applyAlignment="1">
      <alignment horizontal="center" vertical="center"/>
    </xf>
    <xf numFmtId="1" fontId="8055" fillId="8" borderId="1" xfId="0" applyNumberFormat="1" applyFont="1" applyFill="1" applyBorder="1" applyAlignment="1">
      <alignment horizontal="center" vertical="center"/>
    </xf>
    <xf numFmtId="165" fontId="8056" fillId="8" borderId="1" xfId="0" applyNumberFormat="1" applyFont="1" applyFill="1" applyBorder="1" applyAlignment="1">
      <alignment horizontal="center" vertical="center"/>
    </xf>
    <xf numFmtId="165" fontId="8057" fillId="8" borderId="1" xfId="0" applyNumberFormat="1" applyFont="1" applyFill="1" applyBorder="1" applyAlignment="1">
      <alignment horizontal="center" vertical="center"/>
    </xf>
    <xf numFmtId="1" fontId="8058" fillId="8" borderId="1" xfId="0" applyNumberFormat="1" applyFont="1" applyFill="1" applyBorder="1" applyAlignment="1">
      <alignment horizontal="center" vertical="center"/>
    </xf>
    <xf numFmtId="1" fontId="8059" fillId="8" borderId="1" xfId="0" applyNumberFormat="1" applyFont="1" applyFill="1" applyBorder="1" applyAlignment="1">
      <alignment horizontal="center" vertical="center"/>
    </xf>
    <xf numFmtId="1" fontId="8060" fillId="8" borderId="1" xfId="0" applyNumberFormat="1" applyFont="1" applyFill="1" applyBorder="1" applyAlignment="1">
      <alignment horizontal="center" vertical="center"/>
    </xf>
    <xf numFmtId="165" fontId="8061" fillId="8" borderId="1" xfId="0" applyNumberFormat="1" applyFont="1" applyFill="1" applyBorder="1" applyAlignment="1">
      <alignment horizontal="center" vertical="center"/>
    </xf>
    <xf numFmtId="164" fontId="8062" fillId="8" borderId="1" xfId="0" applyNumberFormat="1" applyFont="1" applyFill="1" applyBorder="1" applyAlignment="1">
      <alignment horizontal="center" vertical="center"/>
    </xf>
    <xf numFmtId="164" fontId="8063" fillId="8" borderId="1" xfId="0" applyNumberFormat="1" applyFont="1" applyFill="1" applyBorder="1" applyAlignment="1">
      <alignment horizontal="center" vertical="center"/>
    </xf>
    <xf numFmtId="1" fontId="8064" fillId="8" borderId="1" xfId="0" applyNumberFormat="1" applyFont="1" applyFill="1" applyBorder="1" applyAlignment="1">
      <alignment horizontal="center" vertical="center"/>
    </xf>
    <xf numFmtId="1" fontId="8065" fillId="8" borderId="1" xfId="0" applyNumberFormat="1" applyFont="1" applyFill="1" applyBorder="1" applyAlignment="1">
      <alignment horizontal="center" vertical="center"/>
    </xf>
    <xf numFmtId="1" fontId="8066" fillId="8" borderId="1" xfId="0" applyNumberFormat="1" applyFont="1" applyFill="1" applyBorder="1" applyAlignment="1">
      <alignment horizontal="center" vertical="center"/>
    </xf>
    <xf numFmtId="165" fontId="8067" fillId="8" borderId="1" xfId="0" applyNumberFormat="1" applyFont="1" applyFill="1" applyBorder="1" applyAlignment="1">
      <alignment horizontal="center" vertical="center"/>
    </xf>
    <xf numFmtId="1" fontId="8068" fillId="8" borderId="1" xfId="0" applyNumberFormat="1" applyFont="1" applyFill="1" applyBorder="1" applyAlignment="1">
      <alignment horizontal="center" vertical="center"/>
    </xf>
    <xf numFmtId="165" fontId="8069" fillId="8" borderId="1" xfId="0" applyNumberFormat="1" applyFont="1" applyFill="1" applyBorder="1" applyAlignment="1">
      <alignment horizontal="center" vertical="center"/>
    </xf>
    <xf numFmtId="1" fontId="8070" fillId="8" borderId="1" xfId="0" applyNumberFormat="1" applyFont="1" applyFill="1" applyBorder="1" applyAlignment="1">
      <alignment horizontal="center" vertical="center"/>
    </xf>
    <xf numFmtId="1" fontId="8071" fillId="8" borderId="1" xfId="0" applyNumberFormat="1" applyFont="1" applyFill="1" applyBorder="1" applyAlignment="1">
      <alignment horizontal="center" vertical="center"/>
    </xf>
    <xf numFmtId="1" fontId="8072" fillId="8" borderId="1" xfId="0" applyNumberFormat="1" applyFont="1" applyFill="1" applyBorder="1" applyAlignment="1">
      <alignment horizontal="center" vertical="center"/>
    </xf>
    <xf numFmtId="1" fontId="8073" fillId="8" borderId="1" xfId="0" applyNumberFormat="1" applyFont="1" applyFill="1" applyBorder="1" applyAlignment="1">
      <alignment horizontal="center" vertical="center"/>
    </xf>
    <xf numFmtId="165" fontId="8074" fillId="8" borderId="1" xfId="0" applyNumberFormat="1" applyFont="1" applyFill="1" applyBorder="1" applyAlignment="1">
      <alignment horizontal="center" vertical="center"/>
    </xf>
    <xf numFmtId="1" fontId="8075" fillId="8" borderId="1" xfId="0" applyNumberFormat="1" applyFont="1" applyFill="1" applyBorder="1" applyAlignment="1">
      <alignment horizontal="center" vertical="center"/>
    </xf>
    <xf numFmtId="165" fontId="8076" fillId="8" borderId="1" xfId="0" applyNumberFormat="1" applyFont="1" applyFill="1" applyBorder="1" applyAlignment="1">
      <alignment horizontal="center" vertical="center"/>
    </xf>
    <xf numFmtId="1" fontId="8077" fillId="8" borderId="1" xfId="0" applyNumberFormat="1" applyFont="1" applyFill="1" applyBorder="1" applyAlignment="1">
      <alignment horizontal="center" vertical="center"/>
    </xf>
    <xf numFmtId="165" fontId="8078" fillId="8" borderId="1" xfId="0" applyNumberFormat="1" applyFont="1" applyFill="1" applyBorder="1" applyAlignment="1">
      <alignment horizontal="center" vertical="center"/>
    </xf>
    <xf numFmtId="2" fontId="8079" fillId="8" borderId="1" xfId="0" applyNumberFormat="1" applyFont="1" applyFill="1" applyBorder="1" applyAlignment="1">
      <alignment horizontal="center" vertical="center"/>
    </xf>
    <xf numFmtId="2" fontId="8080" fillId="8" borderId="1" xfId="0" applyNumberFormat="1" applyFont="1" applyFill="1" applyBorder="1" applyAlignment="1">
      <alignment horizontal="center" vertical="center"/>
    </xf>
    <xf numFmtId="2" fontId="8081" fillId="8" borderId="1" xfId="0" applyNumberFormat="1" applyFont="1" applyFill="1" applyBorder="1" applyAlignment="1">
      <alignment horizontal="center" vertical="center"/>
    </xf>
    <xf numFmtId="2" fontId="8082" fillId="8" borderId="1" xfId="0" applyNumberFormat="1" applyFont="1" applyFill="1" applyBorder="1" applyAlignment="1">
      <alignment horizontal="center" vertical="center"/>
    </xf>
    <xf numFmtId="2" fontId="8083" fillId="8" borderId="1" xfId="0" applyNumberFormat="1" applyFont="1" applyFill="1" applyBorder="1" applyAlignment="1">
      <alignment horizontal="center" vertical="center"/>
    </xf>
    <xf numFmtId="2" fontId="8084" fillId="8" borderId="1" xfId="0" applyNumberFormat="1" applyFont="1" applyFill="1" applyBorder="1" applyAlignment="1">
      <alignment horizontal="center" vertical="center"/>
    </xf>
    <xf numFmtId="2" fontId="8085" fillId="8" borderId="1" xfId="0" applyNumberFormat="1" applyFont="1" applyFill="1" applyBorder="1" applyAlignment="1">
      <alignment horizontal="center" vertical="center"/>
    </xf>
    <xf numFmtId="2" fontId="8086" fillId="8" borderId="1" xfId="0" applyNumberFormat="1" applyFont="1" applyFill="1" applyBorder="1" applyAlignment="1">
      <alignment horizontal="center" vertical="center"/>
    </xf>
    <xf numFmtId="2" fontId="8087" fillId="8" borderId="1" xfId="0" applyNumberFormat="1" applyFont="1" applyFill="1" applyBorder="1" applyAlignment="1">
      <alignment horizontal="center" vertical="center"/>
    </xf>
    <xf numFmtId="2" fontId="8088" fillId="8" borderId="1" xfId="0" applyNumberFormat="1" applyFont="1" applyFill="1" applyBorder="1" applyAlignment="1">
      <alignment horizontal="center" vertical="center"/>
    </xf>
    <xf numFmtId="2" fontId="8089" fillId="8" borderId="1" xfId="0" applyNumberFormat="1" applyFont="1" applyFill="1" applyBorder="1" applyAlignment="1">
      <alignment horizontal="center" vertical="center"/>
    </xf>
    <xf numFmtId="2" fontId="8090" fillId="8" borderId="1" xfId="0" applyNumberFormat="1" applyFont="1" applyFill="1" applyBorder="1" applyAlignment="1">
      <alignment horizontal="center" vertical="center"/>
    </xf>
    <xf numFmtId="2" fontId="8091" fillId="8" borderId="1" xfId="0" applyNumberFormat="1" applyFont="1" applyFill="1" applyBorder="1" applyAlignment="1">
      <alignment horizontal="center" vertical="center"/>
    </xf>
    <xf numFmtId="2" fontId="8092" fillId="8" borderId="1" xfId="0" applyNumberFormat="1" applyFont="1" applyFill="1" applyBorder="1" applyAlignment="1">
      <alignment horizontal="center" vertical="center"/>
    </xf>
    <xf numFmtId="2" fontId="8093" fillId="8" borderId="1" xfId="0" applyNumberFormat="1" applyFont="1" applyFill="1" applyBorder="1" applyAlignment="1">
      <alignment horizontal="center" vertical="center"/>
    </xf>
    <xf numFmtId="2" fontId="8094" fillId="8" borderId="1" xfId="0" applyNumberFormat="1" applyFont="1" applyFill="1" applyBorder="1" applyAlignment="1">
      <alignment horizontal="center" vertical="center"/>
    </xf>
    <xf numFmtId="2" fontId="8095" fillId="8" borderId="1" xfId="0" applyNumberFormat="1" applyFont="1" applyFill="1" applyBorder="1" applyAlignment="1">
      <alignment horizontal="center" vertical="center"/>
    </xf>
    <xf numFmtId="2" fontId="8096" fillId="8" borderId="1" xfId="0" applyNumberFormat="1" applyFont="1" applyFill="1" applyBorder="1" applyAlignment="1">
      <alignment horizontal="center" vertical="center"/>
    </xf>
    <xf numFmtId="2" fontId="8097" fillId="8" borderId="1" xfId="0" applyNumberFormat="1" applyFont="1" applyFill="1" applyBorder="1" applyAlignment="1">
      <alignment horizontal="center" vertical="center"/>
    </xf>
    <xf numFmtId="2" fontId="8098" fillId="8" borderId="1" xfId="0" applyNumberFormat="1" applyFont="1" applyFill="1" applyBorder="1" applyAlignment="1">
      <alignment horizontal="center" vertical="center"/>
    </xf>
    <xf numFmtId="2" fontId="8099" fillId="8" borderId="1" xfId="0" applyNumberFormat="1" applyFont="1" applyFill="1" applyBorder="1" applyAlignment="1">
      <alignment horizontal="center" vertical="center"/>
    </xf>
    <xf numFmtId="2" fontId="8100" fillId="8" borderId="1" xfId="0" applyNumberFormat="1" applyFont="1" applyFill="1" applyBorder="1" applyAlignment="1">
      <alignment horizontal="center" vertical="center"/>
    </xf>
    <xf numFmtId="2" fontId="8101" fillId="8" borderId="1" xfId="0" applyNumberFormat="1" applyFont="1" applyFill="1" applyBorder="1" applyAlignment="1">
      <alignment horizontal="center" vertical="center"/>
    </xf>
    <xf numFmtId="2" fontId="8102" fillId="8" borderId="1" xfId="0" applyNumberFormat="1" applyFont="1" applyFill="1" applyBorder="1" applyAlignment="1">
      <alignment horizontal="center" vertical="center"/>
    </xf>
    <xf numFmtId="2" fontId="8103" fillId="8" borderId="1" xfId="0" applyNumberFormat="1" applyFont="1" applyFill="1" applyBorder="1" applyAlignment="1">
      <alignment horizontal="center" vertical="center"/>
    </xf>
    <xf numFmtId="2" fontId="8104" fillId="8" borderId="1" xfId="0" applyNumberFormat="1" applyFont="1" applyFill="1" applyBorder="1" applyAlignment="1">
      <alignment horizontal="center" vertical="center"/>
    </xf>
    <xf numFmtId="2" fontId="8105" fillId="8" borderId="1" xfId="0" applyNumberFormat="1" applyFont="1" applyFill="1" applyBorder="1" applyAlignment="1">
      <alignment horizontal="center" vertical="center"/>
    </xf>
    <xf numFmtId="2" fontId="8106" fillId="8" borderId="1" xfId="0" applyNumberFormat="1" applyFont="1" applyFill="1" applyBorder="1" applyAlignment="1">
      <alignment horizontal="center" vertical="center"/>
    </xf>
    <xf numFmtId="2" fontId="8107" fillId="8" borderId="1" xfId="0" applyNumberFormat="1" applyFont="1" applyFill="1" applyBorder="1" applyAlignment="1">
      <alignment horizontal="center" vertical="center"/>
    </xf>
    <xf numFmtId="2" fontId="8108" fillId="8" borderId="1" xfId="0" applyNumberFormat="1" applyFont="1" applyFill="1" applyBorder="1" applyAlignment="1">
      <alignment horizontal="center" vertical="center"/>
    </xf>
    <xf numFmtId="2" fontId="8109" fillId="8" borderId="1" xfId="0" applyNumberFormat="1" applyFont="1" applyFill="1" applyBorder="1" applyAlignment="1">
      <alignment horizontal="center" vertical="center"/>
    </xf>
    <xf numFmtId="2" fontId="8110" fillId="8" borderId="1" xfId="0" applyNumberFormat="1" applyFont="1" applyFill="1" applyBorder="1" applyAlignment="1">
      <alignment horizontal="center" vertical="center"/>
    </xf>
    <xf numFmtId="2" fontId="8111" fillId="8" borderId="1" xfId="0" applyNumberFormat="1" applyFont="1" applyFill="1" applyBorder="1" applyAlignment="1">
      <alignment horizontal="center" vertical="center"/>
    </xf>
    <xf numFmtId="2" fontId="8112" fillId="8" borderId="1" xfId="0" applyNumberFormat="1" applyFont="1" applyFill="1" applyBorder="1" applyAlignment="1">
      <alignment horizontal="center" vertical="center"/>
    </xf>
    <xf numFmtId="0" fontId="8113" fillId="7" borderId="1" xfId="0" applyNumberFormat="1" applyFont="1" applyFill="1" applyBorder="1" applyAlignment="1">
      <alignment horizontal="left" vertical="center"/>
    </xf>
    <xf numFmtId="0" fontId="8114" fillId="8" borderId="1" xfId="0" applyNumberFormat="1" applyFont="1" applyFill="1" applyBorder="1" applyAlignment="1">
      <alignment horizontal="center" vertical="center"/>
    </xf>
    <xf numFmtId="164" fontId="8115" fillId="8" borderId="1" xfId="0" applyNumberFormat="1" applyFont="1" applyFill="1" applyBorder="1" applyAlignment="1">
      <alignment horizontal="center" vertical="center"/>
    </xf>
    <xf numFmtId="1" fontId="8116" fillId="8" borderId="1" xfId="0" applyNumberFormat="1" applyFont="1" applyFill="1" applyBorder="1" applyAlignment="1">
      <alignment horizontal="center" vertical="center"/>
    </xf>
    <xf numFmtId="1" fontId="8117" fillId="8" borderId="1" xfId="0" applyNumberFormat="1" applyFont="1" applyFill="1" applyBorder="1" applyAlignment="1">
      <alignment horizontal="center" vertical="center"/>
    </xf>
    <xf numFmtId="1" fontId="8118" fillId="8" borderId="1" xfId="0" applyNumberFormat="1" applyFont="1" applyFill="1" applyBorder="1" applyAlignment="1">
      <alignment horizontal="center" vertical="center"/>
    </xf>
    <xf numFmtId="1" fontId="8119" fillId="8" borderId="1" xfId="0" applyNumberFormat="1" applyFont="1" applyFill="1" applyBorder="1" applyAlignment="1">
      <alignment horizontal="center" vertical="center"/>
    </xf>
    <xf numFmtId="1" fontId="8120" fillId="8" borderId="1" xfId="0" applyNumberFormat="1" applyFont="1" applyFill="1" applyBorder="1" applyAlignment="1">
      <alignment horizontal="center" vertical="center"/>
    </xf>
    <xf numFmtId="1" fontId="8121" fillId="8" borderId="1" xfId="0" applyNumberFormat="1" applyFont="1" applyFill="1" applyBorder="1" applyAlignment="1">
      <alignment horizontal="center" vertical="center"/>
    </xf>
    <xf numFmtId="1" fontId="8122" fillId="8" borderId="1" xfId="0" applyNumberFormat="1" applyFont="1" applyFill="1" applyBorder="1" applyAlignment="1">
      <alignment horizontal="center" vertical="center"/>
    </xf>
    <xf numFmtId="0" fontId="8123" fillId="8" borderId="1" xfId="0" applyNumberFormat="1" applyFont="1" applyFill="1" applyBorder="1" applyAlignment="1">
      <alignment horizontal="center" vertical="center"/>
    </xf>
    <xf numFmtId="0" fontId="8124" fillId="8" borderId="1" xfId="0" applyNumberFormat="1" applyFont="1" applyFill="1" applyBorder="1" applyAlignment="1">
      <alignment horizontal="center" vertical="center"/>
    </xf>
    <xf numFmtId="1" fontId="8125" fillId="8" borderId="1" xfId="0" applyNumberFormat="1" applyFont="1" applyFill="1" applyBorder="1" applyAlignment="1">
      <alignment horizontal="center" vertical="center"/>
    </xf>
    <xf numFmtId="1" fontId="8126" fillId="8" borderId="1" xfId="0" applyNumberFormat="1" applyFont="1" applyFill="1" applyBorder="1" applyAlignment="1">
      <alignment horizontal="center" vertical="center"/>
    </xf>
    <xf numFmtId="1" fontId="8127" fillId="8" borderId="1" xfId="0" applyNumberFormat="1" applyFont="1" applyFill="1" applyBorder="1" applyAlignment="1">
      <alignment horizontal="center" vertical="center"/>
    </xf>
    <xf numFmtId="165" fontId="8128" fillId="8" borderId="1" xfId="0" applyNumberFormat="1" applyFont="1" applyFill="1" applyBorder="1" applyAlignment="1">
      <alignment horizontal="center" vertical="center"/>
    </xf>
    <xf numFmtId="1" fontId="8129" fillId="8" borderId="1" xfId="0" applyNumberFormat="1" applyFont="1" applyFill="1" applyBorder="1" applyAlignment="1">
      <alignment horizontal="center" vertical="center"/>
    </xf>
    <xf numFmtId="165" fontId="8130" fillId="8" borderId="1" xfId="0" applyNumberFormat="1" applyFont="1" applyFill="1" applyBorder="1" applyAlignment="1">
      <alignment horizontal="center" vertical="center"/>
    </xf>
    <xf numFmtId="1" fontId="8131" fillId="8" borderId="1" xfId="0" applyNumberFormat="1" applyFont="1" applyFill="1" applyBorder="1" applyAlignment="1">
      <alignment horizontal="center" vertical="center"/>
    </xf>
    <xf numFmtId="165" fontId="8132" fillId="8" borderId="1" xfId="0" applyNumberFormat="1" applyFont="1" applyFill="1" applyBorder="1" applyAlignment="1">
      <alignment horizontal="center" vertical="center"/>
    </xf>
    <xf numFmtId="1" fontId="8133" fillId="8" borderId="1" xfId="0" applyNumberFormat="1" applyFont="1" applyFill="1" applyBorder="1" applyAlignment="1">
      <alignment horizontal="center" vertical="center"/>
    </xf>
    <xf numFmtId="165" fontId="8134" fillId="8" borderId="1" xfId="0" applyNumberFormat="1" applyFont="1" applyFill="1" applyBorder="1" applyAlignment="1">
      <alignment horizontal="center" vertical="center"/>
    </xf>
    <xf numFmtId="165" fontId="8135" fillId="8" borderId="1" xfId="0" applyNumberFormat="1" applyFont="1" applyFill="1" applyBorder="1" applyAlignment="1">
      <alignment horizontal="center" vertical="center"/>
    </xf>
    <xf numFmtId="1" fontId="8136" fillId="8" borderId="1" xfId="0" applyNumberFormat="1" applyFont="1" applyFill="1" applyBorder="1" applyAlignment="1">
      <alignment horizontal="center" vertical="center"/>
    </xf>
    <xf numFmtId="1" fontId="8137" fillId="8" borderId="1" xfId="0" applyNumberFormat="1" applyFont="1" applyFill="1" applyBorder="1" applyAlignment="1">
      <alignment horizontal="center" vertical="center"/>
    </xf>
    <xf numFmtId="1" fontId="8138" fillId="8" borderId="1" xfId="0" applyNumberFormat="1" applyFont="1" applyFill="1" applyBorder="1" applyAlignment="1">
      <alignment horizontal="center" vertical="center"/>
    </xf>
    <xf numFmtId="165" fontId="8139" fillId="8" borderId="1" xfId="0" applyNumberFormat="1" applyFont="1" applyFill="1" applyBorder="1" applyAlignment="1">
      <alignment horizontal="center" vertical="center"/>
    </xf>
    <xf numFmtId="164" fontId="8140" fillId="8" borderId="1" xfId="0" applyNumberFormat="1" applyFont="1" applyFill="1" applyBorder="1" applyAlignment="1">
      <alignment horizontal="center" vertical="center"/>
    </xf>
    <xf numFmtId="164" fontId="8141" fillId="8" borderId="1" xfId="0" applyNumberFormat="1" applyFont="1" applyFill="1" applyBorder="1" applyAlignment="1">
      <alignment horizontal="center" vertical="center"/>
    </xf>
    <xf numFmtId="1" fontId="8142" fillId="8" borderId="1" xfId="0" applyNumberFormat="1" applyFont="1" applyFill="1" applyBorder="1" applyAlignment="1">
      <alignment horizontal="center" vertical="center"/>
    </xf>
    <xf numFmtId="1" fontId="8143" fillId="8" borderId="1" xfId="0" applyNumberFormat="1" applyFont="1" applyFill="1" applyBorder="1" applyAlignment="1">
      <alignment horizontal="center" vertical="center"/>
    </xf>
    <xf numFmtId="1" fontId="8144" fillId="8" borderId="1" xfId="0" applyNumberFormat="1" applyFont="1" applyFill="1" applyBorder="1" applyAlignment="1">
      <alignment horizontal="center" vertical="center"/>
    </xf>
    <xf numFmtId="165" fontId="8145" fillId="8" borderId="1" xfId="0" applyNumberFormat="1" applyFont="1" applyFill="1" applyBorder="1" applyAlignment="1">
      <alignment horizontal="center" vertical="center"/>
    </xf>
    <xf numFmtId="1" fontId="8146" fillId="8" borderId="1" xfId="0" applyNumberFormat="1" applyFont="1" applyFill="1" applyBorder="1" applyAlignment="1">
      <alignment horizontal="center" vertical="center"/>
    </xf>
    <xf numFmtId="165" fontId="8147" fillId="8" borderId="1" xfId="0" applyNumberFormat="1" applyFont="1" applyFill="1" applyBorder="1" applyAlignment="1">
      <alignment horizontal="center" vertical="center"/>
    </xf>
    <xf numFmtId="1" fontId="8148" fillId="8" borderId="1" xfId="0" applyNumberFormat="1" applyFont="1" applyFill="1" applyBorder="1" applyAlignment="1">
      <alignment horizontal="center" vertical="center"/>
    </xf>
    <xf numFmtId="1" fontId="8149" fillId="8" borderId="1" xfId="0" applyNumberFormat="1" applyFont="1" applyFill="1" applyBorder="1" applyAlignment="1">
      <alignment horizontal="center" vertical="center"/>
    </xf>
    <xf numFmtId="1" fontId="8150" fillId="8" borderId="1" xfId="0" applyNumberFormat="1" applyFont="1" applyFill="1" applyBorder="1" applyAlignment="1">
      <alignment horizontal="center" vertical="center"/>
    </xf>
    <xf numFmtId="1" fontId="8151" fillId="8" borderId="1" xfId="0" applyNumberFormat="1" applyFont="1" applyFill="1" applyBorder="1" applyAlignment="1">
      <alignment horizontal="center" vertical="center"/>
    </xf>
    <xf numFmtId="165" fontId="8152" fillId="8" borderId="1" xfId="0" applyNumberFormat="1" applyFont="1" applyFill="1" applyBorder="1" applyAlignment="1">
      <alignment horizontal="center" vertical="center"/>
    </xf>
    <xf numFmtId="1" fontId="8153" fillId="8" borderId="1" xfId="0" applyNumberFormat="1" applyFont="1" applyFill="1" applyBorder="1" applyAlignment="1">
      <alignment horizontal="center" vertical="center"/>
    </xf>
    <xf numFmtId="165" fontId="8154" fillId="8" borderId="1" xfId="0" applyNumberFormat="1" applyFont="1" applyFill="1" applyBorder="1" applyAlignment="1">
      <alignment horizontal="center" vertical="center"/>
    </xf>
    <xf numFmtId="1" fontId="8155" fillId="8" borderId="1" xfId="0" applyNumberFormat="1" applyFont="1" applyFill="1" applyBorder="1" applyAlignment="1">
      <alignment horizontal="center" vertical="center"/>
    </xf>
    <xf numFmtId="165" fontId="8156" fillId="8" borderId="1" xfId="0" applyNumberFormat="1" applyFont="1" applyFill="1" applyBorder="1" applyAlignment="1">
      <alignment horizontal="center" vertical="center"/>
    </xf>
    <xf numFmtId="2" fontId="8157" fillId="8" borderId="1" xfId="0" applyNumberFormat="1" applyFont="1" applyFill="1" applyBorder="1" applyAlignment="1">
      <alignment horizontal="center" vertical="center"/>
    </xf>
    <xf numFmtId="2" fontId="8158" fillId="8" borderId="1" xfId="0" applyNumberFormat="1" applyFont="1" applyFill="1" applyBorder="1" applyAlignment="1">
      <alignment horizontal="center" vertical="center"/>
    </xf>
    <xf numFmtId="2" fontId="8159" fillId="8" borderId="1" xfId="0" applyNumberFormat="1" applyFont="1" applyFill="1" applyBorder="1" applyAlignment="1">
      <alignment horizontal="center" vertical="center"/>
    </xf>
    <xf numFmtId="2" fontId="8160" fillId="8" borderId="1" xfId="0" applyNumberFormat="1" applyFont="1" applyFill="1" applyBorder="1" applyAlignment="1">
      <alignment horizontal="center" vertical="center"/>
    </xf>
    <xf numFmtId="2" fontId="8161" fillId="8" borderId="1" xfId="0" applyNumberFormat="1" applyFont="1" applyFill="1" applyBorder="1" applyAlignment="1">
      <alignment horizontal="center" vertical="center"/>
    </xf>
    <xf numFmtId="2" fontId="8162" fillId="8" borderId="1" xfId="0" applyNumberFormat="1" applyFont="1" applyFill="1" applyBorder="1" applyAlignment="1">
      <alignment horizontal="center" vertical="center"/>
    </xf>
    <xf numFmtId="2" fontId="8163" fillId="8" borderId="1" xfId="0" applyNumberFormat="1" applyFont="1" applyFill="1" applyBorder="1" applyAlignment="1">
      <alignment horizontal="center" vertical="center"/>
    </xf>
    <xf numFmtId="2" fontId="8164" fillId="8" borderId="1" xfId="0" applyNumberFormat="1" applyFont="1" applyFill="1" applyBorder="1" applyAlignment="1">
      <alignment horizontal="center" vertical="center"/>
    </xf>
    <xf numFmtId="2" fontId="8165" fillId="8" borderId="1" xfId="0" applyNumberFormat="1" applyFont="1" applyFill="1" applyBorder="1" applyAlignment="1">
      <alignment horizontal="center" vertical="center"/>
    </xf>
    <xf numFmtId="2" fontId="8166" fillId="8" borderId="1" xfId="0" applyNumberFormat="1" applyFont="1" applyFill="1" applyBorder="1" applyAlignment="1">
      <alignment horizontal="center" vertical="center"/>
    </xf>
    <xf numFmtId="2" fontId="8167" fillId="8" borderId="1" xfId="0" applyNumberFormat="1" applyFont="1" applyFill="1" applyBorder="1" applyAlignment="1">
      <alignment horizontal="center" vertical="center"/>
    </xf>
    <xf numFmtId="2" fontId="8168" fillId="8" borderId="1" xfId="0" applyNumberFormat="1" applyFont="1" applyFill="1" applyBorder="1" applyAlignment="1">
      <alignment horizontal="center" vertical="center"/>
    </xf>
    <xf numFmtId="2" fontId="8169" fillId="8" borderId="1" xfId="0" applyNumberFormat="1" applyFont="1" applyFill="1" applyBorder="1" applyAlignment="1">
      <alignment horizontal="center" vertical="center"/>
    </xf>
    <xf numFmtId="2" fontId="8170" fillId="8" borderId="1" xfId="0" applyNumberFormat="1" applyFont="1" applyFill="1" applyBorder="1" applyAlignment="1">
      <alignment horizontal="center" vertical="center"/>
    </xf>
    <xf numFmtId="2" fontId="8171" fillId="8" borderId="1" xfId="0" applyNumberFormat="1" applyFont="1" applyFill="1" applyBorder="1" applyAlignment="1">
      <alignment horizontal="center" vertical="center"/>
    </xf>
    <xf numFmtId="2" fontId="8172" fillId="8" borderId="1" xfId="0" applyNumberFormat="1" applyFont="1" applyFill="1" applyBorder="1" applyAlignment="1">
      <alignment horizontal="center" vertical="center"/>
    </xf>
    <xf numFmtId="2" fontId="8173" fillId="8" borderId="1" xfId="0" applyNumberFormat="1" applyFont="1" applyFill="1" applyBorder="1" applyAlignment="1">
      <alignment horizontal="center" vertical="center"/>
    </xf>
    <xf numFmtId="2" fontId="8174" fillId="8" borderId="1" xfId="0" applyNumberFormat="1" applyFont="1" applyFill="1" applyBorder="1" applyAlignment="1">
      <alignment horizontal="center" vertical="center"/>
    </xf>
    <xf numFmtId="2" fontId="8175" fillId="8" borderId="1" xfId="0" applyNumberFormat="1" applyFont="1" applyFill="1" applyBorder="1" applyAlignment="1">
      <alignment horizontal="center" vertical="center"/>
    </xf>
    <xf numFmtId="2" fontId="8176" fillId="8" borderId="1" xfId="0" applyNumberFormat="1" applyFont="1" applyFill="1" applyBorder="1" applyAlignment="1">
      <alignment horizontal="center" vertical="center"/>
    </xf>
    <xf numFmtId="2" fontId="8177" fillId="8" borderId="1" xfId="0" applyNumberFormat="1" applyFont="1" applyFill="1" applyBorder="1" applyAlignment="1">
      <alignment horizontal="center" vertical="center"/>
    </xf>
    <xf numFmtId="2" fontId="8178" fillId="8" borderId="1" xfId="0" applyNumberFormat="1" applyFont="1" applyFill="1" applyBorder="1" applyAlignment="1">
      <alignment horizontal="center" vertical="center"/>
    </xf>
    <xf numFmtId="2" fontId="8179" fillId="8" borderId="1" xfId="0" applyNumberFormat="1" applyFont="1" applyFill="1" applyBorder="1" applyAlignment="1">
      <alignment horizontal="center" vertical="center"/>
    </xf>
    <xf numFmtId="2" fontId="8180" fillId="8" borderId="1" xfId="0" applyNumberFormat="1" applyFont="1" applyFill="1" applyBorder="1" applyAlignment="1">
      <alignment horizontal="center" vertical="center"/>
    </xf>
    <xf numFmtId="2" fontId="8181" fillId="8" borderId="1" xfId="0" applyNumberFormat="1" applyFont="1" applyFill="1" applyBorder="1" applyAlignment="1">
      <alignment horizontal="center" vertical="center"/>
    </xf>
    <xf numFmtId="2" fontId="8182" fillId="8" borderId="1" xfId="0" applyNumberFormat="1" applyFont="1" applyFill="1" applyBorder="1" applyAlignment="1">
      <alignment horizontal="center" vertical="center"/>
    </xf>
    <xf numFmtId="2" fontId="8183" fillId="8" borderId="1" xfId="0" applyNumberFormat="1" applyFont="1" applyFill="1" applyBorder="1" applyAlignment="1">
      <alignment horizontal="center" vertical="center"/>
    </xf>
    <xf numFmtId="2" fontId="8184" fillId="8" borderId="1" xfId="0" applyNumberFormat="1" applyFont="1" applyFill="1" applyBorder="1" applyAlignment="1">
      <alignment horizontal="center" vertical="center"/>
    </xf>
    <xf numFmtId="2" fontId="8185" fillId="8" borderId="1" xfId="0" applyNumberFormat="1" applyFont="1" applyFill="1" applyBorder="1" applyAlignment="1">
      <alignment horizontal="center" vertical="center"/>
    </xf>
    <xf numFmtId="2" fontId="8186" fillId="8" borderId="1" xfId="0" applyNumberFormat="1" applyFont="1" applyFill="1" applyBorder="1" applyAlignment="1">
      <alignment horizontal="center" vertical="center"/>
    </xf>
    <xf numFmtId="2" fontId="8187" fillId="8" borderId="1" xfId="0" applyNumberFormat="1" applyFont="1" applyFill="1" applyBorder="1" applyAlignment="1">
      <alignment horizontal="center" vertical="center"/>
    </xf>
    <xf numFmtId="2" fontId="8188" fillId="8" borderId="1" xfId="0" applyNumberFormat="1" applyFont="1" applyFill="1" applyBorder="1" applyAlignment="1">
      <alignment horizontal="center" vertical="center"/>
    </xf>
    <xf numFmtId="2" fontId="8189" fillId="8" borderId="1" xfId="0" applyNumberFormat="1" applyFont="1" applyFill="1" applyBorder="1" applyAlignment="1">
      <alignment horizontal="center" vertical="center"/>
    </xf>
    <xf numFmtId="2" fontId="8190" fillId="8" borderId="1" xfId="0" applyNumberFormat="1" applyFont="1" applyFill="1" applyBorder="1" applyAlignment="1">
      <alignment horizontal="center" vertical="center"/>
    </xf>
    <xf numFmtId="0" fontId="8191" fillId="7" borderId="1" xfId="0" applyNumberFormat="1" applyFont="1" applyFill="1" applyBorder="1" applyAlignment="1">
      <alignment horizontal="left" vertical="center"/>
    </xf>
    <xf numFmtId="0" fontId="8192" fillId="8" borderId="1" xfId="0" applyNumberFormat="1" applyFont="1" applyFill="1" applyBorder="1" applyAlignment="1">
      <alignment horizontal="center" vertical="center"/>
    </xf>
    <xf numFmtId="164" fontId="8193" fillId="8" borderId="1" xfId="0" applyNumberFormat="1" applyFont="1" applyFill="1" applyBorder="1" applyAlignment="1">
      <alignment horizontal="center" vertical="center"/>
    </xf>
    <xf numFmtId="1" fontId="8194" fillId="8" borderId="1" xfId="0" applyNumberFormat="1" applyFont="1" applyFill="1" applyBorder="1" applyAlignment="1">
      <alignment horizontal="center" vertical="center"/>
    </xf>
    <xf numFmtId="1" fontId="8195" fillId="8" borderId="1" xfId="0" applyNumberFormat="1" applyFont="1" applyFill="1" applyBorder="1" applyAlignment="1">
      <alignment horizontal="center" vertical="center"/>
    </xf>
    <xf numFmtId="1" fontId="8196" fillId="8" borderId="1" xfId="0" applyNumberFormat="1" applyFont="1" applyFill="1" applyBorder="1" applyAlignment="1">
      <alignment horizontal="center" vertical="center"/>
    </xf>
    <xf numFmtId="1" fontId="8197" fillId="8" borderId="1" xfId="0" applyNumberFormat="1" applyFont="1" applyFill="1" applyBorder="1" applyAlignment="1">
      <alignment horizontal="center" vertical="center"/>
    </xf>
    <xf numFmtId="1" fontId="8198" fillId="8" borderId="1" xfId="0" applyNumberFormat="1" applyFont="1" applyFill="1" applyBorder="1" applyAlignment="1">
      <alignment horizontal="center" vertical="center"/>
    </xf>
    <xf numFmtId="1" fontId="8199" fillId="8" borderId="1" xfId="0" applyNumberFormat="1" applyFont="1" applyFill="1" applyBorder="1" applyAlignment="1">
      <alignment horizontal="center" vertical="center"/>
    </xf>
    <xf numFmtId="1" fontId="8200" fillId="8" borderId="1" xfId="0" applyNumberFormat="1" applyFont="1" applyFill="1" applyBorder="1" applyAlignment="1">
      <alignment horizontal="center" vertical="center"/>
    </xf>
    <xf numFmtId="0" fontId="8201" fillId="8" borderId="1" xfId="0" applyNumberFormat="1" applyFont="1" applyFill="1" applyBorder="1" applyAlignment="1">
      <alignment horizontal="center" vertical="center"/>
    </xf>
    <xf numFmtId="0" fontId="8202" fillId="8" borderId="1" xfId="0" applyNumberFormat="1" applyFont="1" applyFill="1" applyBorder="1" applyAlignment="1">
      <alignment horizontal="center" vertical="center"/>
    </xf>
    <xf numFmtId="1" fontId="8203" fillId="8" borderId="1" xfId="0" applyNumberFormat="1" applyFont="1" applyFill="1" applyBorder="1" applyAlignment="1">
      <alignment horizontal="center" vertical="center"/>
    </xf>
    <xf numFmtId="1" fontId="8204" fillId="8" borderId="1" xfId="0" applyNumberFormat="1" applyFont="1" applyFill="1" applyBorder="1" applyAlignment="1">
      <alignment horizontal="center" vertical="center"/>
    </xf>
    <xf numFmtId="1" fontId="8205" fillId="8" borderId="1" xfId="0" applyNumberFormat="1" applyFont="1" applyFill="1" applyBorder="1" applyAlignment="1">
      <alignment horizontal="center" vertical="center"/>
    </xf>
    <xf numFmtId="165" fontId="8206" fillId="8" borderId="1" xfId="0" applyNumberFormat="1" applyFont="1" applyFill="1" applyBorder="1" applyAlignment="1">
      <alignment horizontal="center" vertical="center"/>
    </xf>
    <xf numFmtId="1" fontId="8207" fillId="8" borderId="1" xfId="0" applyNumberFormat="1" applyFont="1" applyFill="1" applyBorder="1" applyAlignment="1">
      <alignment horizontal="center" vertical="center"/>
    </xf>
    <xf numFmtId="165" fontId="8208" fillId="8" borderId="1" xfId="0" applyNumberFormat="1" applyFont="1" applyFill="1" applyBorder="1" applyAlignment="1">
      <alignment horizontal="center" vertical="center"/>
    </xf>
    <xf numFmtId="1" fontId="8209" fillId="8" borderId="1" xfId="0" applyNumberFormat="1" applyFont="1" applyFill="1" applyBorder="1" applyAlignment="1">
      <alignment horizontal="center" vertical="center"/>
    </xf>
    <xf numFmtId="165" fontId="8210" fillId="8" borderId="1" xfId="0" applyNumberFormat="1" applyFont="1" applyFill="1" applyBorder="1" applyAlignment="1">
      <alignment horizontal="center" vertical="center"/>
    </xf>
    <xf numFmtId="1" fontId="8211" fillId="8" borderId="1" xfId="0" applyNumberFormat="1" applyFont="1" applyFill="1" applyBorder="1" applyAlignment="1">
      <alignment horizontal="center" vertical="center"/>
    </xf>
    <xf numFmtId="165" fontId="8212" fillId="8" borderId="1" xfId="0" applyNumberFormat="1" applyFont="1" applyFill="1" applyBorder="1" applyAlignment="1">
      <alignment horizontal="center" vertical="center"/>
    </xf>
    <xf numFmtId="165" fontId="8213" fillId="8" borderId="1" xfId="0" applyNumberFormat="1" applyFont="1" applyFill="1" applyBorder="1" applyAlignment="1">
      <alignment horizontal="center" vertical="center"/>
    </xf>
    <xf numFmtId="1" fontId="8214" fillId="8" borderId="1" xfId="0" applyNumberFormat="1" applyFont="1" applyFill="1" applyBorder="1" applyAlignment="1">
      <alignment horizontal="center" vertical="center"/>
    </xf>
    <xf numFmtId="1" fontId="8215" fillId="8" borderId="1" xfId="0" applyNumberFormat="1" applyFont="1" applyFill="1" applyBorder="1" applyAlignment="1">
      <alignment horizontal="center" vertical="center"/>
    </xf>
    <xf numFmtId="1" fontId="8216" fillId="8" borderId="1" xfId="0" applyNumberFormat="1" applyFont="1" applyFill="1" applyBorder="1" applyAlignment="1">
      <alignment horizontal="center" vertical="center"/>
    </xf>
    <xf numFmtId="165" fontId="8217" fillId="8" borderId="1" xfId="0" applyNumberFormat="1" applyFont="1" applyFill="1" applyBorder="1" applyAlignment="1">
      <alignment horizontal="center" vertical="center"/>
    </xf>
    <xf numFmtId="164" fontId="8218" fillId="8" borderId="1" xfId="0" applyNumberFormat="1" applyFont="1" applyFill="1" applyBorder="1" applyAlignment="1">
      <alignment horizontal="center" vertical="center"/>
    </xf>
    <xf numFmtId="164" fontId="8219" fillId="8" borderId="1" xfId="0" applyNumberFormat="1" applyFont="1" applyFill="1" applyBorder="1" applyAlignment="1">
      <alignment horizontal="center" vertical="center"/>
    </xf>
    <xf numFmtId="1" fontId="8220" fillId="8" borderId="1" xfId="0" applyNumberFormat="1" applyFont="1" applyFill="1" applyBorder="1" applyAlignment="1">
      <alignment horizontal="center" vertical="center"/>
    </xf>
    <xf numFmtId="1" fontId="8221" fillId="8" borderId="1" xfId="0" applyNumberFormat="1" applyFont="1" applyFill="1" applyBorder="1" applyAlignment="1">
      <alignment horizontal="center" vertical="center"/>
    </xf>
    <xf numFmtId="1" fontId="8222" fillId="8" borderId="1" xfId="0" applyNumberFormat="1" applyFont="1" applyFill="1" applyBorder="1" applyAlignment="1">
      <alignment horizontal="center" vertical="center"/>
    </xf>
    <xf numFmtId="165" fontId="8223" fillId="8" borderId="1" xfId="0" applyNumberFormat="1" applyFont="1" applyFill="1" applyBorder="1" applyAlignment="1">
      <alignment horizontal="center" vertical="center"/>
    </xf>
    <xf numFmtId="1" fontId="8224" fillId="8" borderId="1" xfId="0" applyNumberFormat="1" applyFont="1" applyFill="1" applyBorder="1" applyAlignment="1">
      <alignment horizontal="center" vertical="center"/>
    </xf>
    <xf numFmtId="165" fontId="8225" fillId="8" borderId="1" xfId="0" applyNumberFormat="1" applyFont="1" applyFill="1" applyBorder="1" applyAlignment="1">
      <alignment horizontal="center" vertical="center"/>
    </xf>
    <xf numFmtId="1" fontId="8226" fillId="8" borderId="1" xfId="0" applyNumberFormat="1" applyFont="1" applyFill="1" applyBorder="1" applyAlignment="1">
      <alignment horizontal="center" vertical="center"/>
    </xf>
    <xf numFmtId="1" fontId="8227" fillId="8" borderId="1" xfId="0" applyNumberFormat="1" applyFont="1" applyFill="1" applyBorder="1" applyAlignment="1">
      <alignment horizontal="center" vertical="center"/>
    </xf>
    <xf numFmtId="1" fontId="8228" fillId="8" borderId="1" xfId="0" applyNumberFormat="1" applyFont="1" applyFill="1" applyBorder="1" applyAlignment="1">
      <alignment horizontal="center" vertical="center"/>
    </xf>
    <xf numFmtId="1" fontId="8229" fillId="8" borderId="1" xfId="0" applyNumberFormat="1" applyFont="1" applyFill="1" applyBorder="1" applyAlignment="1">
      <alignment horizontal="center" vertical="center"/>
    </xf>
    <xf numFmtId="165" fontId="8230" fillId="8" borderId="1" xfId="0" applyNumberFormat="1" applyFont="1" applyFill="1" applyBorder="1" applyAlignment="1">
      <alignment horizontal="center" vertical="center"/>
    </xf>
    <xf numFmtId="1" fontId="8231" fillId="8" borderId="1" xfId="0" applyNumberFormat="1" applyFont="1" applyFill="1" applyBorder="1" applyAlignment="1">
      <alignment horizontal="center" vertical="center"/>
    </xf>
    <xf numFmtId="165" fontId="8232" fillId="8" borderId="1" xfId="0" applyNumberFormat="1" applyFont="1" applyFill="1" applyBorder="1" applyAlignment="1">
      <alignment horizontal="center" vertical="center"/>
    </xf>
    <xf numFmtId="1" fontId="8233" fillId="8" borderId="1" xfId="0" applyNumberFormat="1" applyFont="1" applyFill="1" applyBorder="1" applyAlignment="1">
      <alignment horizontal="center" vertical="center"/>
    </xf>
    <xf numFmtId="165" fontId="8234" fillId="8" borderId="1" xfId="0" applyNumberFormat="1" applyFont="1" applyFill="1" applyBorder="1" applyAlignment="1">
      <alignment horizontal="center" vertical="center"/>
    </xf>
    <xf numFmtId="2" fontId="8235" fillId="8" borderId="1" xfId="0" applyNumberFormat="1" applyFont="1" applyFill="1" applyBorder="1" applyAlignment="1">
      <alignment horizontal="center" vertical="center"/>
    </xf>
    <xf numFmtId="2" fontId="8236" fillId="8" borderId="1" xfId="0" applyNumberFormat="1" applyFont="1" applyFill="1" applyBorder="1" applyAlignment="1">
      <alignment horizontal="center" vertical="center"/>
    </xf>
    <xf numFmtId="2" fontId="8237" fillId="8" borderId="1" xfId="0" applyNumberFormat="1" applyFont="1" applyFill="1" applyBorder="1" applyAlignment="1">
      <alignment horizontal="center" vertical="center"/>
    </xf>
    <xf numFmtId="2" fontId="8238" fillId="8" borderId="1" xfId="0" applyNumberFormat="1" applyFont="1" applyFill="1" applyBorder="1" applyAlignment="1">
      <alignment horizontal="center" vertical="center"/>
    </xf>
    <xf numFmtId="2" fontId="8239" fillId="8" borderId="1" xfId="0" applyNumberFormat="1" applyFont="1" applyFill="1" applyBorder="1" applyAlignment="1">
      <alignment horizontal="center" vertical="center"/>
    </xf>
    <xf numFmtId="2" fontId="8240" fillId="8" borderId="1" xfId="0" applyNumberFormat="1" applyFont="1" applyFill="1" applyBorder="1" applyAlignment="1">
      <alignment horizontal="center" vertical="center"/>
    </xf>
    <xf numFmtId="2" fontId="8241" fillId="8" borderId="1" xfId="0" applyNumberFormat="1" applyFont="1" applyFill="1" applyBorder="1" applyAlignment="1">
      <alignment horizontal="center" vertical="center"/>
    </xf>
    <xf numFmtId="2" fontId="8242" fillId="8" borderId="1" xfId="0" applyNumberFormat="1" applyFont="1" applyFill="1" applyBorder="1" applyAlignment="1">
      <alignment horizontal="center" vertical="center"/>
    </xf>
    <xf numFmtId="2" fontId="8243" fillId="8" borderId="1" xfId="0" applyNumberFormat="1" applyFont="1" applyFill="1" applyBorder="1" applyAlignment="1">
      <alignment horizontal="center" vertical="center"/>
    </xf>
    <xf numFmtId="2" fontId="8244" fillId="8" borderId="1" xfId="0" applyNumberFormat="1" applyFont="1" applyFill="1" applyBorder="1" applyAlignment="1">
      <alignment horizontal="center" vertical="center"/>
    </xf>
    <xf numFmtId="2" fontId="8245" fillId="8" borderId="1" xfId="0" applyNumberFormat="1" applyFont="1" applyFill="1" applyBorder="1" applyAlignment="1">
      <alignment horizontal="center" vertical="center"/>
    </xf>
    <xf numFmtId="2" fontId="8246" fillId="8" borderId="1" xfId="0" applyNumberFormat="1" applyFont="1" applyFill="1" applyBorder="1" applyAlignment="1">
      <alignment horizontal="center" vertical="center"/>
    </xf>
    <xf numFmtId="2" fontId="8247" fillId="8" borderId="1" xfId="0" applyNumberFormat="1" applyFont="1" applyFill="1" applyBorder="1" applyAlignment="1">
      <alignment horizontal="center" vertical="center"/>
    </xf>
    <xf numFmtId="2" fontId="8248" fillId="8" borderId="1" xfId="0" applyNumberFormat="1" applyFont="1" applyFill="1" applyBorder="1" applyAlignment="1">
      <alignment horizontal="center" vertical="center"/>
    </xf>
    <xf numFmtId="2" fontId="8249" fillId="8" borderId="1" xfId="0" applyNumberFormat="1" applyFont="1" applyFill="1" applyBorder="1" applyAlignment="1">
      <alignment horizontal="center" vertical="center"/>
    </xf>
    <xf numFmtId="2" fontId="8250" fillId="8" borderId="1" xfId="0" applyNumberFormat="1" applyFont="1" applyFill="1" applyBorder="1" applyAlignment="1">
      <alignment horizontal="center" vertical="center"/>
    </xf>
    <xf numFmtId="2" fontId="8251" fillId="8" borderId="1" xfId="0" applyNumberFormat="1" applyFont="1" applyFill="1" applyBorder="1" applyAlignment="1">
      <alignment horizontal="center" vertical="center"/>
    </xf>
    <xf numFmtId="2" fontId="8252" fillId="8" borderId="1" xfId="0" applyNumberFormat="1" applyFont="1" applyFill="1" applyBorder="1" applyAlignment="1">
      <alignment horizontal="center" vertical="center"/>
    </xf>
    <xf numFmtId="2" fontId="8253" fillId="8" borderId="1" xfId="0" applyNumberFormat="1" applyFont="1" applyFill="1" applyBorder="1" applyAlignment="1">
      <alignment horizontal="center" vertical="center"/>
    </xf>
    <xf numFmtId="2" fontId="8254" fillId="8" borderId="1" xfId="0" applyNumberFormat="1" applyFont="1" applyFill="1" applyBorder="1" applyAlignment="1">
      <alignment horizontal="center" vertical="center"/>
    </xf>
    <xf numFmtId="2" fontId="8255" fillId="8" borderId="1" xfId="0" applyNumberFormat="1" applyFont="1" applyFill="1" applyBorder="1" applyAlignment="1">
      <alignment horizontal="center" vertical="center"/>
    </xf>
    <xf numFmtId="2" fontId="8256" fillId="8" borderId="1" xfId="0" applyNumberFormat="1" applyFont="1" applyFill="1" applyBorder="1" applyAlignment="1">
      <alignment horizontal="center" vertical="center"/>
    </xf>
    <xf numFmtId="2" fontId="8257" fillId="8" borderId="1" xfId="0" applyNumberFormat="1" applyFont="1" applyFill="1" applyBorder="1" applyAlignment="1">
      <alignment horizontal="center" vertical="center"/>
    </xf>
    <xf numFmtId="2" fontId="8258" fillId="8" borderId="1" xfId="0" applyNumberFormat="1" applyFont="1" applyFill="1" applyBorder="1" applyAlignment="1">
      <alignment horizontal="center" vertical="center"/>
    </xf>
    <xf numFmtId="2" fontId="8259" fillId="8" borderId="1" xfId="0" applyNumberFormat="1" applyFont="1" applyFill="1" applyBorder="1" applyAlignment="1">
      <alignment horizontal="center" vertical="center"/>
    </xf>
    <xf numFmtId="2" fontId="8260" fillId="8" borderId="1" xfId="0" applyNumberFormat="1" applyFont="1" applyFill="1" applyBorder="1" applyAlignment="1">
      <alignment horizontal="center" vertical="center"/>
    </xf>
    <xf numFmtId="2" fontId="8261" fillId="8" borderId="1" xfId="0" applyNumberFormat="1" applyFont="1" applyFill="1" applyBorder="1" applyAlignment="1">
      <alignment horizontal="center" vertical="center"/>
    </xf>
    <xf numFmtId="2" fontId="8262" fillId="8" borderId="1" xfId="0" applyNumberFormat="1" applyFont="1" applyFill="1" applyBorder="1" applyAlignment="1">
      <alignment horizontal="center" vertical="center"/>
    </xf>
    <xf numFmtId="2" fontId="8263" fillId="8" borderId="1" xfId="0" applyNumberFormat="1" applyFont="1" applyFill="1" applyBorder="1" applyAlignment="1">
      <alignment horizontal="center" vertical="center"/>
    </xf>
    <xf numFmtId="2" fontId="8264" fillId="8" borderId="1" xfId="0" applyNumberFormat="1" applyFont="1" applyFill="1" applyBorder="1" applyAlignment="1">
      <alignment horizontal="center" vertical="center"/>
    </xf>
    <xf numFmtId="2" fontId="8265" fillId="8" borderId="1" xfId="0" applyNumberFormat="1" applyFont="1" applyFill="1" applyBorder="1" applyAlignment="1">
      <alignment horizontal="center" vertical="center"/>
    </xf>
    <xf numFmtId="2" fontId="8266" fillId="8" borderId="1" xfId="0" applyNumberFormat="1" applyFont="1" applyFill="1" applyBorder="1" applyAlignment="1">
      <alignment horizontal="center" vertical="center"/>
    </xf>
    <xf numFmtId="2" fontId="8267" fillId="8" borderId="1" xfId="0" applyNumberFormat="1" applyFont="1" applyFill="1" applyBorder="1" applyAlignment="1">
      <alignment horizontal="center" vertical="center"/>
    </xf>
    <xf numFmtId="2" fontId="8268" fillId="8" borderId="1" xfId="0" applyNumberFormat="1" applyFont="1" applyFill="1" applyBorder="1" applyAlignment="1">
      <alignment horizontal="center" vertical="center"/>
    </xf>
    <xf numFmtId="0" fontId="8269" fillId="7" borderId="1" xfId="0" applyNumberFormat="1" applyFont="1" applyFill="1" applyBorder="1" applyAlignment="1">
      <alignment horizontal="left" vertical="center"/>
    </xf>
    <xf numFmtId="0" fontId="8270" fillId="8" borderId="1" xfId="0" applyNumberFormat="1" applyFont="1" applyFill="1" applyBorder="1" applyAlignment="1">
      <alignment horizontal="center" vertical="center"/>
    </xf>
    <xf numFmtId="164" fontId="8271" fillId="8" borderId="1" xfId="0" applyNumberFormat="1" applyFont="1" applyFill="1" applyBorder="1" applyAlignment="1">
      <alignment horizontal="center" vertical="center"/>
    </xf>
    <xf numFmtId="1" fontId="8272" fillId="8" borderId="1" xfId="0" applyNumberFormat="1" applyFont="1" applyFill="1" applyBorder="1" applyAlignment="1">
      <alignment horizontal="center" vertical="center"/>
    </xf>
    <xf numFmtId="1" fontId="8273" fillId="8" borderId="1" xfId="0" applyNumberFormat="1" applyFont="1" applyFill="1" applyBorder="1" applyAlignment="1">
      <alignment horizontal="center" vertical="center"/>
    </xf>
    <xf numFmtId="1" fontId="8274" fillId="8" borderId="1" xfId="0" applyNumberFormat="1" applyFont="1" applyFill="1" applyBorder="1" applyAlignment="1">
      <alignment horizontal="center" vertical="center"/>
    </xf>
    <xf numFmtId="1" fontId="8275" fillId="8" borderId="1" xfId="0" applyNumberFormat="1" applyFont="1" applyFill="1" applyBorder="1" applyAlignment="1">
      <alignment horizontal="center" vertical="center"/>
    </xf>
    <xf numFmtId="1" fontId="8276" fillId="8" borderId="1" xfId="0" applyNumberFormat="1" applyFont="1" applyFill="1" applyBorder="1" applyAlignment="1">
      <alignment horizontal="center" vertical="center"/>
    </xf>
    <xf numFmtId="1" fontId="8277" fillId="8" borderId="1" xfId="0" applyNumberFormat="1" applyFont="1" applyFill="1" applyBorder="1" applyAlignment="1">
      <alignment horizontal="center" vertical="center"/>
    </xf>
    <xf numFmtId="1" fontId="8278" fillId="8" borderId="1" xfId="0" applyNumberFormat="1" applyFont="1" applyFill="1" applyBorder="1" applyAlignment="1">
      <alignment horizontal="center" vertical="center"/>
    </xf>
    <xf numFmtId="0" fontId="8279" fillId="8" borderId="1" xfId="0" applyNumberFormat="1" applyFont="1" applyFill="1" applyBorder="1" applyAlignment="1">
      <alignment horizontal="center" vertical="center"/>
    </xf>
    <xf numFmtId="0" fontId="8280" fillId="8" borderId="1" xfId="0" applyNumberFormat="1" applyFont="1" applyFill="1" applyBorder="1" applyAlignment="1">
      <alignment horizontal="center" vertical="center"/>
    </xf>
    <xf numFmtId="1" fontId="8281" fillId="8" borderId="1" xfId="0" applyNumberFormat="1" applyFont="1" applyFill="1" applyBorder="1" applyAlignment="1">
      <alignment horizontal="center" vertical="center"/>
    </xf>
    <xf numFmtId="1" fontId="8282" fillId="8" borderId="1" xfId="0" applyNumberFormat="1" applyFont="1" applyFill="1" applyBorder="1" applyAlignment="1">
      <alignment horizontal="center" vertical="center"/>
    </xf>
    <xf numFmtId="1" fontId="8283" fillId="8" borderId="1" xfId="0" applyNumberFormat="1" applyFont="1" applyFill="1" applyBorder="1" applyAlignment="1">
      <alignment horizontal="center" vertical="center"/>
    </xf>
    <xf numFmtId="165" fontId="8284" fillId="8" borderId="1" xfId="0" applyNumberFormat="1" applyFont="1" applyFill="1" applyBorder="1" applyAlignment="1">
      <alignment horizontal="center" vertical="center"/>
    </xf>
    <xf numFmtId="1" fontId="8285" fillId="8" borderId="1" xfId="0" applyNumberFormat="1" applyFont="1" applyFill="1" applyBorder="1" applyAlignment="1">
      <alignment horizontal="center" vertical="center"/>
    </xf>
    <xf numFmtId="165" fontId="8286" fillId="8" borderId="1" xfId="0" applyNumberFormat="1" applyFont="1" applyFill="1" applyBorder="1" applyAlignment="1">
      <alignment horizontal="center" vertical="center"/>
    </xf>
    <xf numFmtId="1" fontId="8287" fillId="8" borderId="1" xfId="0" applyNumberFormat="1" applyFont="1" applyFill="1" applyBorder="1" applyAlignment="1">
      <alignment horizontal="center" vertical="center"/>
    </xf>
    <xf numFmtId="165" fontId="8288" fillId="8" borderId="1" xfId="0" applyNumberFormat="1" applyFont="1" applyFill="1" applyBorder="1" applyAlignment="1">
      <alignment horizontal="center" vertical="center"/>
    </xf>
    <xf numFmtId="1" fontId="8289" fillId="8" borderId="1" xfId="0" applyNumberFormat="1" applyFont="1" applyFill="1" applyBorder="1" applyAlignment="1">
      <alignment horizontal="center" vertical="center"/>
    </xf>
    <xf numFmtId="165" fontId="8290" fillId="8" borderId="1" xfId="0" applyNumberFormat="1" applyFont="1" applyFill="1" applyBorder="1" applyAlignment="1">
      <alignment horizontal="center" vertical="center"/>
    </xf>
    <xf numFmtId="165" fontId="8291" fillId="8" borderId="1" xfId="0" applyNumberFormat="1" applyFont="1" applyFill="1" applyBorder="1" applyAlignment="1">
      <alignment horizontal="center" vertical="center"/>
    </xf>
    <xf numFmtId="1" fontId="8292" fillId="8" borderId="1" xfId="0" applyNumberFormat="1" applyFont="1" applyFill="1" applyBorder="1" applyAlignment="1">
      <alignment horizontal="center" vertical="center"/>
    </xf>
    <xf numFmtId="1" fontId="8293" fillId="8" borderId="1" xfId="0" applyNumberFormat="1" applyFont="1" applyFill="1" applyBorder="1" applyAlignment="1">
      <alignment horizontal="center" vertical="center"/>
    </xf>
    <xf numFmtId="1" fontId="8294" fillId="8" borderId="1" xfId="0" applyNumberFormat="1" applyFont="1" applyFill="1" applyBorder="1" applyAlignment="1">
      <alignment horizontal="center" vertical="center"/>
    </xf>
    <xf numFmtId="165" fontId="8295" fillId="8" borderId="1" xfId="0" applyNumberFormat="1" applyFont="1" applyFill="1" applyBorder="1" applyAlignment="1">
      <alignment horizontal="center" vertical="center"/>
    </xf>
    <xf numFmtId="164" fontId="8296" fillId="8" borderId="1" xfId="0" applyNumberFormat="1" applyFont="1" applyFill="1" applyBorder="1" applyAlignment="1">
      <alignment horizontal="center" vertical="center"/>
    </xf>
    <xf numFmtId="164" fontId="8297" fillId="8" borderId="1" xfId="0" applyNumberFormat="1" applyFont="1" applyFill="1" applyBorder="1" applyAlignment="1">
      <alignment horizontal="center" vertical="center"/>
    </xf>
    <xf numFmtId="1" fontId="8298" fillId="8" borderId="1" xfId="0" applyNumberFormat="1" applyFont="1" applyFill="1" applyBorder="1" applyAlignment="1">
      <alignment horizontal="center" vertical="center"/>
    </xf>
    <xf numFmtId="1" fontId="8299" fillId="8" borderId="1" xfId="0" applyNumberFormat="1" applyFont="1" applyFill="1" applyBorder="1" applyAlignment="1">
      <alignment horizontal="center" vertical="center"/>
    </xf>
    <xf numFmtId="1" fontId="8300" fillId="8" borderId="1" xfId="0" applyNumberFormat="1" applyFont="1" applyFill="1" applyBorder="1" applyAlignment="1">
      <alignment horizontal="center" vertical="center"/>
    </xf>
    <xf numFmtId="165" fontId="8301" fillId="8" borderId="1" xfId="0" applyNumberFormat="1" applyFont="1" applyFill="1" applyBorder="1" applyAlignment="1">
      <alignment horizontal="center" vertical="center"/>
    </xf>
    <xf numFmtId="1" fontId="8302" fillId="8" borderId="1" xfId="0" applyNumberFormat="1" applyFont="1" applyFill="1" applyBorder="1" applyAlignment="1">
      <alignment horizontal="center" vertical="center"/>
    </xf>
    <xf numFmtId="165" fontId="8303" fillId="8" borderId="1" xfId="0" applyNumberFormat="1" applyFont="1" applyFill="1" applyBorder="1" applyAlignment="1">
      <alignment horizontal="center" vertical="center"/>
    </xf>
    <xf numFmtId="1" fontId="8304" fillId="8" borderId="1" xfId="0" applyNumberFormat="1" applyFont="1" applyFill="1" applyBorder="1" applyAlignment="1">
      <alignment horizontal="center" vertical="center"/>
    </xf>
    <xf numFmtId="1" fontId="8305" fillId="8" borderId="1" xfId="0" applyNumberFormat="1" applyFont="1" applyFill="1" applyBorder="1" applyAlignment="1">
      <alignment horizontal="center" vertical="center"/>
    </xf>
    <xf numFmtId="1" fontId="8306" fillId="8" borderId="1" xfId="0" applyNumberFormat="1" applyFont="1" applyFill="1" applyBorder="1" applyAlignment="1">
      <alignment horizontal="center" vertical="center"/>
    </xf>
    <xf numFmtId="1" fontId="8307" fillId="8" borderId="1" xfId="0" applyNumberFormat="1" applyFont="1" applyFill="1" applyBorder="1" applyAlignment="1">
      <alignment horizontal="center" vertical="center"/>
    </xf>
    <xf numFmtId="165" fontId="8308" fillId="8" borderId="1" xfId="0" applyNumberFormat="1" applyFont="1" applyFill="1" applyBorder="1" applyAlignment="1">
      <alignment horizontal="center" vertical="center"/>
    </xf>
    <xf numFmtId="1" fontId="8309" fillId="8" borderId="1" xfId="0" applyNumberFormat="1" applyFont="1" applyFill="1" applyBorder="1" applyAlignment="1">
      <alignment horizontal="center" vertical="center"/>
    </xf>
    <xf numFmtId="165" fontId="8310" fillId="8" borderId="1" xfId="0" applyNumberFormat="1" applyFont="1" applyFill="1" applyBorder="1" applyAlignment="1">
      <alignment horizontal="center" vertical="center"/>
    </xf>
    <xf numFmtId="1" fontId="8311" fillId="8" borderId="1" xfId="0" applyNumberFormat="1" applyFont="1" applyFill="1" applyBorder="1" applyAlignment="1">
      <alignment horizontal="center" vertical="center"/>
    </xf>
    <xf numFmtId="165" fontId="8312" fillId="8" borderId="1" xfId="0" applyNumberFormat="1" applyFont="1" applyFill="1" applyBorder="1" applyAlignment="1">
      <alignment horizontal="center" vertical="center"/>
    </xf>
    <xf numFmtId="2" fontId="8313" fillId="8" borderId="1" xfId="0" applyNumberFormat="1" applyFont="1" applyFill="1" applyBorder="1" applyAlignment="1">
      <alignment horizontal="center" vertical="center"/>
    </xf>
    <xf numFmtId="2" fontId="8314" fillId="8" borderId="1" xfId="0" applyNumberFormat="1" applyFont="1" applyFill="1" applyBorder="1" applyAlignment="1">
      <alignment horizontal="center" vertical="center"/>
    </xf>
    <xf numFmtId="2" fontId="8315" fillId="8" borderId="1" xfId="0" applyNumberFormat="1" applyFont="1" applyFill="1" applyBorder="1" applyAlignment="1">
      <alignment horizontal="center" vertical="center"/>
    </xf>
    <xf numFmtId="2" fontId="8316" fillId="8" borderId="1" xfId="0" applyNumberFormat="1" applyFont="1" applyFill="1" applyBorder="1" applyAlignment="1">
      <alignment horizontal="center" vertical="center"/>
    </xf>
    <xf numFmtId="2" fontId="8317" fillId="8" borderId="1" xfId="0" applyNumberFormat="1" applyFont="1" applyFill="1" applyBorder="1" applyAlignment="1">
      <alignment horizontal="center" vertical="center"/>
    </xf>
    <xf numFmtId="2" fontId="8318" fillId="8" borderId="1" xfId="0" applyNumberFormat="1" applyFont="1" applyFill="1" applyBorder="1" applyAlignment="1">
      <alignment horizontal="center" vertical="center"/>
    </xf>
    <xf numFmtId="2" fontId="8319" fillId="8" borderId="1" xfId="0" applyNumberFormat="1" applyFont="1" applyFill="1" applyBorder="1" applyAlignment="1">
      <alignment horizontal="center" vertical="center"/>
    </xf>
    <xf numFmtId="2" fontId="8320" fillId="8" borderId="1" xfId="0" applyNumberFormat="1" applyFont="1" applyFill="1" applyBorder="1" applyAlignment="1">
      <alignment horizontal="center" vertical="center"/>
    </xf>
    <xf numFmtId="2" fontId="8321" fillId="8" borderId="1" xfId="0" applyNumberFormat="1" applyFont="1" applyFill="1" applyBorder="1" applyAlignment="1">
      <alignment horizontal="center" vertical="center"/>
    </xf>
    <xf numFmtId="2" fontId="8322" fillId="8" borderId="1" xfId="0" applyNumberFormat="1" applyFont="1" applyFill="1" applyBorder="1" applyAlignment="1">
      <alignment horizontal="center" vertical="center"/>
    </xf>
    <xf numFmtId="2" fontId="8323" fillId="8" borderId="1" xfId="0" applyNumberFormat="1" applyFont="1" applyFill="1" applyBorder="1" applyAlignment="1">
      <alignment horizontal="center" vertical="center"/>
    </xf>
    <xf numFmtId="2" fontId="8324" fillId="8" borderId="1" xfId="0" applyNumberFormat="1" applyFont="1" applyFill="1" applyBorder="1" applyAlignment="1">
      <alignment horizontal="center" vertical="center"/>
    </xf>
    <xf numFmtId="2" fontId="8325" fillId="8" borderId="1" xfId="0" applyNumberFormat="1" applyFont="1" applyFill="1" applyBorder="1" applyAlignment="1">
      <alignment horizontal="center" vertical="center"/>
    </xf>
    <xf numFmtId="2" fontId="8326" fillId="8" borderId="1" xfId="0" applyNumberFormat="1" applyFont="1" applyFill="1" applyBorder="1" applyAlignment="1">
      <alignment horizontal="center" vertical="center"/>
    </xf>
    <xf numFmtId="2" fontId="8327" fillId="8" borderId="1" xfId="0" applyNumberFormat="1" applyFont="1" applyFill="1" applyBorder="1" applyAlignment="1">
      <alignment horizontal="center" vertical="center"/>
    </xf>
    <xf numFmtId="2" fontId="8328" fillId="8" borderId="1" xfId="0" applyNumberFormat="1" applyFont="1" applyFill="1" applyBorder="1" applyAlignment="1">
      <alignment horizontal="center" vertical="center"/>
    </xf>
    <xf numFmtId="2" fontId="8329" fillId="8" borderId="1" xfId="0" applyNumberFormat="1" applyFont="1" applyFill="1" applyBorder="1" applyAlignment="1">
      <alignment horizontal="center" vertical="center"/>
    </xf>
    <xf numFmtId="2" fontId="8330" fillId="8" borderId="1" xfId="0" applyNumberFormat="1" applyFont="1" applyFill="1" applyBorder="1" applyAlignment="1">
      <alignment horizontal="center" vertical="center"/>
    </xf>
    <xf numFmtId="2" fontId="8331" fillId="8" borderId="1" xfId="0" applyNumberFormat="1" applyFont="1" applyFill="1" applyBorder="1" applyAlignment="1">
      <alignment horizontal="center" vertical="center"/>
    </xf>
    <xf numFmtId="2" fontId="8332" fillId="8" borderId="1" xfId="0" applyNumberFormat="1" applyFont="1" applyFill="1" applyBorder="1" applyAlignment="1">
      <alignment horizontal="center" vertical="center"/>
    </xf>
    <xf numFmtId="2" fontId="8333" fillId="8" borderId="1" xfId="0" applyNumberFormat="1" applyFont="1" applyFill="1" applyBorder="1" applyAlignment="1">
      <alignment horizontal="center" vertical="center"/>
    </xf>
    <xf numFmtId="2" fontId="8334" fillId="8" borderId="1" xfId="0" applyNumberFormat="1" applyFont="1" applyFill="1" applyBorder="1" applyAlignment="1">
      <alignment horizontal="center" vertical="center"/>
    </xf>
    <xf numFmtId="2" fontId="8335" fillId="8" borderId="1" xfId="0" applyNumberFormat="1" applyFont="1" applyFill="1" applyBorder="1" applyAlignment="1">
      <alignment horizontal="center" vertical="center"/>
    </xf>
    <xf numFmtId="2" fontId="8336" fillId="8" borderId="1" xfId="0" applyNumberFormat="1" applyFont="1" applyFill="1" applyBorder="1" applyAlignment="1">
      <alignment horizontal="center" vertical="center"/>
    </xf>
    <xf numFmtId="2" fontId="8337" fillId="8" borderId="1" xfId="0" applyNumberFormat="1" applyFont="1" applyFill="1" applyBorder="1" applyAlignment="1">
      <alignment horizontal="center" vertical="center"/>
    </xf>
    <xf numFmtId="2" fontId="8338" fillId="8" borderId="1" xfId="0" applyNumberFormat="1" applyFont="1" applyFill="1" applyBorder="1" applyAlignment="1">
      <alignment horizontal="center" vertical="center"/>
    </xf>
    <xf numFmtId="2" fontId="8339" fillId="8" borderId="1" xfId="0" applyNumberFormat="1" applyFont="1" applyFill="1" applyBorder="1" applyAlignment="1">
      <alignment horizontal="center" vertical="center"/>
    </xf>
    <xf numFmtId="2" fontId="8340" fillId="8" borderId="1" xfId="0" applyNumberFormat="1" applyFont="1" applyFill="1" applyBorder="1" applyAlignment="1">
      <alignment horizontal="center" vertical="center"/>
    </xf>
    <xf numFmtId="2" fontId="8341" fillId="8" borderId="1" xfId="0" applyNumberFormat="1" applyFont="1" applyFill="1" applyBorder="1" applyAlignment="1">
      <alignment horizontal="center" vertical="center"/>
    </xf>
    <xf numFmtId="2" fontId="8342" fillId="8" borderId="1" xfId="0" applyNumberFormat="1" applyFont="1" applyFill="1" applyBorder="1" applyAlignment="1">
      <alignment horizontal="center" vertical="center"/>
    </xf>
    <xf numFmtId="2" fontId="8343" fillId="8" borderId="1" xfId="0" applyNumberFormat="1" applyFont="1" applyFill="1" applyBorder="1" applyAlignment="1">
      <alignment horizontal="center" vertical="center"/>
    </xf>
    <xf numFmtId="2" fontId="8344" fillId="8" borderId="1" xfId="0" applyNumberFormat="1" applyFont="1" applyFill="1" applyBorder="1" applyAlignment="1">
      <alignment horizontal="center" vertical="center"/>
    </xf>
    <xf numFmtId="2" fontId="8345" fillId="8" borderId="1" xfId="0" applyNumberFormat="1" applyFont="1" applyFill="1" applyBorder="1" applyAlignment="1">
      <alignment horizontal="center" vertical="center"/>
    </xf>
    <xf numFmtId="2" fontId="8346" fillId="8" borderId="1" xfId="0" applyNumberFormat="1" applyFont="1" applyFill="1" applyBorder="1" applyAlignment="1">
      <alignment horizontal="center" vertical="center"/>
    </xf>
    <xf numFmtId="0" fontId="8347" fillId="7" borderId="1" xfId="0" applyNumberFormat="1" applyFont="1" applyFill="1" applyBorder="1" applyAlignment="1">
      <alignment horizontal="left" vertical="center"/>
    </xf>
    <xf numFmtId="0" fontId="8348" fillId="8" borderId="1" xfId="0" applyNumberFormat="1" applyFont="1" applyFill="1" applyBorder="1" applyAlignment="1">
      <alignment horizontal="center" vertical="center"/>
    </xf>
    <xf numFmtId="164" fontId="8349" fillId="8" borderId="1" xfId="0" applyNumberFormat="1" applyFont="1" applyFill="1" applyBorder="1" applyAlignment="1">
      <alignment horizontal="center" vertical="center"/>
    </xf>
    <xf numFmtId="1" fontId="8350" fillId="8" borderId="1" xfId="0" applyNumberFormat="1" applyFont="1" applyFill="1" applyBorder="1" applyAlignment="1">
      <alignment horizontal="center" vertical="center"/>
    </xf>
    <xf numFmtId="1" fontId="8351" fillId="8" borderId="1" xfId="0" applyNumberFormat="1" applyFont="1" applyFill="1" applyBorder="1" applyAlignment="1">
      <alignment horizontal="center" vertical="center"/>
    </xf>
    <xf numFmtId="1" fontId="8352" fillId="8" borderId="1" xfId="0" applyNumberFormat="1" applyFont="1" applyFill="1" applyBorder="1" applyAlignment="1">
      <alignment horizontal="center" vertical="center"/>
    </xf>
    <xf numFmtId="1" fontId="8353" fillId="8" borderId="1" xfId="0" applyNumberFormat="1" applyFont="1" applyFill="1" applyBorder="1" applyAlignment="1">
      <alignment horizontal="center" vertical="center"/>
    </xf>
    <xf numFmtId="1" fontId="8354" fillId="8" borderId="1" xfId="0" applyNumberFormat="1" applyFont="1" applyFill="1" applyBorder="1" applyAlignment="1">
      <alignment horizontal="center" vertical="center"/>
    </xf>
    <xf numFmtId="1" fontId="8355" fillId="8" borderId="1" xfId="0" applyNumberFormat="1" applyFont="1" applyFill="1" applyBorder="1" applyAlignment="1">
      <alignment horizontal="center" vertical="center"/>
    </xf>
    <xf numFmtId="1" fontId="8356" fillId="8" borderId="1" xfId="0" applyNumberFormat="1" applyFont="1" applyFill="1" applyBorder="1" applyAlignment="1">
      <alignment horizontal="center" vertical="center"/>
    </xf>
    <xf numFmtId="0" fontId="8357" fillId="8" borderId="1" xfId="0" applyNumberFormat="1" applyFont="1" applyFill="1" applyBorder="1" applyAlignment="1">
      <alignment horizontal="center" vertical="center"/>
    </xf>
    <xf numFmtId="0" fontId="8358" fillId="8" borderId="1" xfId="0" applyNumberFormat="1" applyFont="1" applyFill="1" applyBorder="1" applyAlignment="1">
      <alignment horizontal="center" vertical="center"/>
    </xf>
    <xf numFmtId="1" fontId="8359" fillId="8" borderId="1" xfId="0" applyNumberFormat="1" applyFont="1" applyFill="1" applyBorder="1" applyAlignment="1">
      <alignment horizontal="center" vertical="center"/>
    </xf>
    <xf numFmtId="1" fontId="8360" fillId="8" borderId="1" xfId="0" applyNumberFormat="1" applyFont="1" applyFill="1" applyBorder="1" applyAlignment="1">
      <alignment horizontal="center" vertical="center"/>
    </xf>
    <xf numFmtId="1" fontId="8361" fillId="8" borderId="1" xfId="0" applyNumberFormat="1" applyFont="1" applyFill="1" applyBorder="1" applyAlignment="1">
      <alignment horizontal="center" vertical="center"/>
    </xf>
    <xf numFmtId="165" fontId="8362" fillId="8" borderId="1" xfId="0" applyNumberFormat="1" applyFont="1" applyFill="1" applyBorder="1" applyAlignment="1">
      <alignment horizontal="center" vertical="center"/>
    </xf>
    <xf numFmtId="1" fontId="8363" fillId="8" borderId="1" xfId="0" applyNumberFormat="1" applyFont="1" applyFill="1" applyBorder="1" applyAlignment="1">
      <alignment horizontal="center" vertical="center"/>
    </xf>
    <xf numFmtId="165" fontId="8364" fillId="8" borderId="1" xfId="0" applyNumberFormat="1" applyFont="1" applyFill="1" applyBorder="1" applyAlignment="1">
      <alignment horizontal="center" vertical="center"/>
    </xf>
    <xf numFmtId="1" fontId="8365" fillId="8" borderId="1" xfId="0" applyNumberFormat="1" applyFont="1" applyFill="1" applyBorder="1" applyAlignment="1">
      <alignment horizontal="center" vertical="center"/>
    </xf>
    <xf numFmtId="165" fontId="8366" fillId="8" borderId="1" xfId="0" applyNumberFormat="1" applyFont="1" applyFill="1" applyBorder="1" applyAlignment="1">
      <alignment horizontal="center" vertical="center"/>
    </xf>
    <xf numFmtId="1" fontId="8367" fillId="8" borderId="1" xfId="0" applyNumberFormat="1" applyFont="1" applyFill="1" applyBorder="1" applyAlignment="1">
      <alignment horizontal="center" vertical="center"/>
    </xf>
    <xf numFmtId="165" fontId="8368" fillId="8" borderId="1" xfId="0" applyNumberFormat="1" applyFont="1" applyFill="1" applyBorder="1" applyAlignment="1">
      <alignment horizontal="center" vertical="center"/>
    </xf>
    <xf numFmtId="165" fontId="8369" fillId="8" borderId="1" xfId="0" applyNumberFormat="1" applyFont="1" applyFill="1" applyBorder="1" applyAlignment="1">
      <alignment horizontal="center" vertical="center"/>
    </xf>
    <xf numFmtId="1" fontId="8370" fillId="8" borderId="1" xfId="0" applyNumberFormat="1" applyFont="1" applyFill="1" applyBorder="1" applyAlignment="1">
      <alignment horizontal="center" vertical="center"/>
    </xf>
    <xf numFmtId="1" fontId="8371" fillId="8" borderId="1" xfId="0" applyNumberFormat="1" applyFont="1" applyFill="1" applyBorder="1" applyAlignment="1">
      <alignment horizontal="center" vertical="center"/>
    </xf>
    <xf numFmtId="1" fontId="8372" fillId="8" borderId="1" xfId="0" applyNumberFormat="1" applyFont="1" applyFill="1" applyBorder="1" applyAlignment="1">
      <alignment horizontal="center" vertical="center"/>
    </xf>
    <xf numFmtId="165" fontId="8373" fillId="8" borderId="1" xfId="0" applyNumberFormat="1" applyFont="1" applyFill="1" applyBorder="1" applyAlignment="1">
      <alignment horizontal="center" vertical="center"/>
    </xf>
    <xf numFmtId="164" fontId="8374" fillId="8" borderId="1" xfId="0" applyNumberFormat="1" applyFont="1" applyFill="1" applyBorder="1" applyAlignment="1">
      <alignment horizontal="center" vertical="center"/>
    </xf>
    <xf numFmtId="164" fontId="8375" fillId="8" borderId="1" xfId="0" applyNumberFormat="1" applyFont="1" applyFill="1" applyBorder="1" applyAlignment="1">
      <alignment horizontal="center" vertical="center"/>
    </xf>
    <xf numFmtId="1" fontId="8376" fillId="8" borderId="1" xfId="0" applyNumberFormat="1" applyFont="1" applyFill="1" applyBorder="1" applyAlignment="1">
      <alignment horizontal="center" vertical="center"/>
    </xf>
    <xf numFmtId="1" fontId="8377" fillId="8" borderId="1" xfId="0" applyNumberFormat="1" applyFont="1" applyFill="1" applyBorder="1" applyAlignment="1">
      <alignment horizontal="center" vertical="center"/>
    </xf>
    <xf numFmtId="1" fontId="8378" fillId="8" borderId="1" xfId="0" applyNumberFormat="1" applyFont="1" applyFill="1" applyBorder="1" applyAlignment="1">
      <alignment horizontal="center" vertical="center"/>
    </xf>
    <xf numFmtId="165" fontId="8379" fillId="8" borderId="1" xfId="0" applyNumberFormat="1" applyFont="1" applyFill="1" applyBorder="1" applyAlignment="1">
      <alignment horizontal="center" vertical="center"/>
    </xf>
    <xf numFmtId="1" fontId="8380" fillId="8" borderId="1" xfId="0" applyNumberFormat="1" applyFont="1" applyFill="1" applyBorder="1" applyAlignment="1">
      <alignment horizontal="center" vertical="center"/>
    </xf>
    <xf numFmtId="165" fontId="8381" fillId="8" borderId="1" xfId="0" applyNumberFormat="1" applyFont="1" applyFill="1" applyBorder="1" applyAlignment="1">
      <alignment horizontal="center" vertical="center"/>
    </xf>
    <xf numFmtId="1" fontId="8382" fillId="8" borderId="1" xfId="0" applyNumberFormat="1" applyFont="1" applyFill="1" applyBorder="1" applyAlignment="1">
      <alignment horizontal="center" vertical="center"/>
    </xf>
    <xf numFmtId="1" fontId="8383" fillId="8" borderId="1" xfId="0" applyNumberFormat="1" applyFont="1" applyFill="1" applyBorder="1" applyAlignment="1">
      <alignment horizontal="center" vertical="center"/>
    </xf>
    <xf numFmtId="1" fontId="8384" fillId="8" borderId="1" xfId="0" applyNumberFormat="1" applyFont="1" applyFill="1" applyBorder="1" applyAlignment="1">
      <alignment horizontal="center" vertical="center"/>
    </xf>
    <xf numFmtId="1" fontId="8385" fillId="8" borderId="1" xfId="0" applyNumberFormat="1" applyFont="1" applyFill="1" applyBorder="1" applyAlignment="1">
      <alignment horizontal="center" vertical="center"/>
    </xf>
    <xf numFmtId="165" fontId="8386" fillId="8" borderId="1" xfId="0" applyNumberFormat="1" applyFont="1" applyFill="1" applyBorder="1" applyAlignment="1">
      <alignment horizontal="center" vertical="center"/>
    </xf>
    <xf numFmtId="1" fontId="8387" fillId="8" borderId="1" xfId="0" applyNumberFormat="1" applyFont="1" applyFill="1" applyBorder="1" applyAlignment="1">
      <alignment horizontal="center" vertical="center"/>
    </xf>
    <xf numFmtId="165" fontId="8388" fillId="8" borderId="1" xfId="0" applyNumberFormat="1" applyFont="1" applyFill="1" applyBorder="1" applyAlignment="1">
      <alignment horizontal="center" vertical="center"/>
    </xf>
    <xf numFmtId="1" fontId="8389" fillId="8" borderId="1" xfId="0" applyNumberFormat="1" applyFont="1" applyFill="1" applyBorder="1" applyAlignment="1">
      <alignment horizontal="center" vertical="center"/>
    </xf>
    <xf numFmtId="165" fontId="8390" fillId="8" borderId="1" xfId="0" applyNumberFormat="1" applyFont="1" applyFill="1" applyBorder="1" applyAlignment="1">
      <alignment horizontal="center" vertical="center"/>
    </xf>
    <xf numFmtId="2" fontId="8391" fillId="8" borderId="1" xfId="0" applyNumberFormat="1" applyFont="1" applyFill="1" applyBorder="1" applyAlignment="1">
      <alignment horizontal="center" vertical="center"/>
    </xf>
    <xf numFmtId="2" fontId="8392" fillId="8" borderId="1" xfId="0" applyNumberFormat="1" applyFont="1" applyFill="1" applyBorder="1" applyAlignment="1">
      <alignment horizontal="center" vertical="center"/>
    </xf>
    <xf numFmtId="2" fontId="8393" fillId="8" borderId="1" xfId="0" applyNumberFormat="1" applyFont="1" applyFill="1" applyBorder="1" applyAlignment="1">
      <alignment horizontal="center" vertical="center"/>
    </xf>
    <xf numFmtId="2" fontId="8394" fillId="8" borderId="1" xfId="0" applyNumberFormat="1" applyFont="1" applyFill="1" applyBorder="1" applyAlignment="1">
      <alignment horizontal="center" vertical="center"/>
    </xf>
    <xf numFmtId="2" fontId="8395" fillId="8" borderId="1" xfId="0" applyNumberFormat="1" applyFont="1" applyFill="1" applyBorder="1" applyAlignment="1">
      <alignment horizontal="center" vertical="center"/>
    </xf>
    <xf numFmtId="2" fontId="8396" fillId="8" borderId="1" xfId="0" applyNumberFormat="1" applyFont="1" applyFill="1" applyBorder="1" applyAlignment="1">
      <alignment horizontal="center" vertical="center"/>
    </xf>
    <xf numFmtId="2" fontId="8397" fillId="8" borderId="1" xfId="0" applyNumberFormat="1" applyFont="1" applyFill="1" applyBorder="1" applyAlignment="1">
      <alignment horizontal="center" vertical="center"/>
    </xf>
    <xf numFmtId="2" fontId="8398" fillId="8" borderId="1" xfId="0" applyNumberFormat="1" applyFont="1" applyFill="1" applyBorder="1" applyAlignment="1">
      <alignment horizontal="center" vertical="center"/>
    </xf>
    <xf numFmtId="2" fontId="8399" fillId="8" borderId="1" xfId="0" applyNumberFormat="1" applyFont="1" applyFill="1" applyBorder="1" applyAlignment="1">
      <alignment horizontal="center" vertical="center"/>
    </xf>
    <xf numFmtId="2" fontId="8400" fillId="8" borderId="1" xfId="0" applyNumberFormat="1" applyFont="1" applyFill="1" applyBorder="1" applyAlignment="1">
      <alignment horizontal="center" vertical="center"/>
    </xf>
    <xf numFmtId="2" fontId="8401" fillId="8" borderId="1" xfId="0" applyNumberFormat="1" applyFont="1" applyFill="1" applyBorder="1" applyAlignment="1">
      <alignment horizontal="center" vertical="center"/>
    </xf>
    <xf numFmtId="2" fontId="8402" fillId="8" borderId="1" xfId="0" applyNumberFormat="1" applyFont="1" applyFill="1" applyBorder="1" applyAlignment="1">
      <alignment horizontal="center" vertical="center"/>
    </xf>
    <xf numFmtId="2" fontId="8403" fillId="8" borderId="1" xfId="0" applyNumberFormat="1" applyFont="1" applyFill="1" applyBorder="1" applyAlignment="1">
      <alignment horizontal="center" vertical="center"/>
    </xf>
    <xf numFmtId="2" fontId="8404" fillId="8" borderId="1" xfId="0" applyNumberFormat="1" applyFont="1" applyFill="1" applyBorder="1" applyAlignment="1">
      <alignment horizontal="center" vertical="center"/>
    </xf>
    <xf numFmtId="2" fontId="8405" fillId="8" borderId="1" xfId="0" applyNumberFormat="1" applyFont="1" applyFill="1" applyBorder="1" applyAlignment="1">
      <alignment horizontal="center" vertical="center"/>
    </xf>
    <xf numFmtId="2" fontId="8406" fillId="8" borderId="1" xfId="0" applyNumberFormat="1" applyFont="1" applyFill="1" applyBorder="1" applyAlignment="1">
      <alignment horizontal="center" vertical="center"/>
    </xf>
    <xf numFmtId="2" fontId="8407" fillId="8" borderId="1" xfId="0" applyNumberFormat="1" applyFont="1" applyFill="1" applyBorder="1" applyAlignment="1">
      <alignment horizontal="center" vertical="center"/>
    </xf>
    <xf numFmtId="2" fontId="8408" fillId="8" borderId="1" xfId="0" applyNumberFormat="1" applyFont="1" applyFill="1" applyBorder="1" applyAlignment="1">
      <alignment horizontal="center" vertical="center"/>
    </xf>
    <xf numFmtId="2" fontId="8409" fillId="8" borderId="1" xfId="0" applyNumberFormat="1" applyFont="1" applyFill="1" applyBorder="1" applyAlignment="1">
      <alignment horizontal="center" vertical="center"/>
    </xf>
    <xf numFmtId="2" fontId="8410" fillId="8" borderId="1" xfId="0" applyNumberFormat="1" applyFont="1" applyFill="1" applyBorder="1" applyAlignment="1">
      <alignment horizontal="center" vertical="center"/>
    </xf>
    <xf numFmtId="2" fontId="8411" fillId="8" borderId="1" xfId="0" applyNumberFormat="1" applyFont="1" applyFill="1" applyBorder="1" applyAlignment="1">
      <alignment horizontal="center" vertical="center"/>
    </xf>
    <xf numFmtId="2" fontId="8412" fillId="8" borderId="1" xfId="0" applyNumberFormat="1" applyFont="1" applyFill="1" applyBorder="1" applyAlignment="1">
      <alignment horizontal="center" vertical="center"/>
    </xf>
    <xf numFmtId="2" fontId="8413" fillId="8" borderId="1" xfId="0" applyNumberFormat="1" applyFont="1" applyFill="1" applyBorder="1" applyAlignment="1">
      <alignment horizontal="center" vertical="center"/>
    </xf>
    <xf numFmtId="2" fontId="8414" fillId="8" borderId="1" xfId="0" applyNumberFormat="1" applyFont="1" applyFill="1" applyBorder="1" applyAlignment="1">
      <alignment horizontal="center" vertical="center"/>
    </xf>
    <xf numFmtId="2" fontId="8415" fillId="8" borderId="1" xfId="0" applyNumberFormat="1" applyFont="1" applyFill="1" applyBorder="1" applyAlignment="1">
      <alignment horizontal="center" vertical="center"/>
    </xf>
    <xf numFmtId="2" fontId="8416" fillId="8" borderId="1" xfId="0" applyNumberFormat="1" applyFont="1" applyFill="1" applyBorder="1" applyAlignment="1">
      <alignment horizontal="center" vertical="center"/>
    </xf>
    <xf numFmtId="2" fontId="8417" fillId="8" borderId="1" xfId="0" applyNumberFormat="1" applyFont="1" applyFill="1" applyBorder="1" applyAlignment="1">
      <alignment horizontal="center" vertical="center"/>
    </xf>
    <xf numFmtId="2" fontId="8418" fillId="8" borderId="1" xfId="0" applyNumberFormat="1" applyFont="1" applyFill="1" applyBorder="1" applyAlignment="1">
      <alignment horizontal="center" vertical="center"/>
    </xf>
    <xf numFmtId="2" fontId="8419" fillId="8" borderId="1" xfId="0" applyNumberFormat="1" applyFont="1" applyFill="1" applyBorder="1" applyAlignment="1">
      <alignment horizontal="center" vertical="center"/>
    </xf>
    <xf numFmtId="2" fontId="8420" fillId="8" borderId="1" xfId="0" applyNumberFormat="1" applyFont="1" applyFill="1" applyBorder="1" applyAlignment="1">
      <alignment horizontal="center" vertical="center"/>
    </xf>
    <xf numFmtId="2" fontId="8421" fillId="8" borderId="1" xfId="0" applyNumberFormat="1" applyFont="1" applyFill="1" applyBorder="1" applyAlignment="1">
      <alignment horizontal="center" vertical="center"/>
    </xf>
    <xf numFmtId="2" fontId="8422" fillId="8" borderId="1" xfId="0" applyNumberFormat="1" applyFont="1" applyFill="1" applyBorder="1" applyAlignment="1">
      <alignment horizontal="center" vertical="center"/>
    </xf>
    <xf numFmtId="2" fontId="8423" fillId="8" borderId="1" xfId="0" applyNumberFormat="1" applyFont="1" applyFill="1" applyBorder="1" applyAlignment="1">
      <alignment horizontal="center" vertical="center"/>
    </xf>
    <xf numFmtId="2" fontId="8424" fillId="8" borderId="1" xfId="0" applyNumberFormat="1" applyFont="1" applyFill="1" applyBorder="1" applyAlignment="1">
      <alignment horizontal="center" vertical="center"/>
    </xf>
    <xf numFmtId="0" fontId="8425" fillId="7" borderId="1" xfId="0" applyNumberFormat="1" applyFont="1" applyFill="1" applyBorder="1" applyAlignment="1">
      <alignment horizontal="left" vertical="center"/>
    </xf>
    <xf numFmtId="0" fontId="8426" fillId="8" borderId="1" xfId="0" applyNumberFormat="1" applyFont="1" applyFill="1" applyBorder="1" applyAlignment="1">
      <alignment horizontal="center" vertical="center"/>
    </xf>
    <xf numFmtId="164" fontId="8427" fillId="8" borderId="1" xfId="0" applyNumberFormat="1" applyFont="1" applyFill="1" applyBorder="1" applyAlignment="1">
      <alignment horizontal="center" vertical="center"/>
    </xf>
    <xf numFmtId="1" fontId="8428" fillId="8" borderId="1" xfId="0" applyNumberFormat="1" applyFont="1" applyFill="1" applyBorder="1" applyAlignment="1">
      <alignment horizontal="center" vertical="center"/>
    </xf>
    <xf numFmtId="1" fontId="8429" fillId="8" borderId="1" xfId="0" applyNumberFormat="1" applyFont="1" applyFill="1" applyBorder="1" applyAlignment="1">
      <alignment horizontal="center" vertical="center"/>
    </xf>
    <xf numFmtId="1" fontId="8430" fillId="8" borderId="1" xfId="0" applyNumberFormat="1" applyFont="1" applyFill="1" applyBorder="1" applyAlignment="1">
      <alignment horizontal="center" vertical="center"/>
    </xf>
    <xf numFmtId="1" fontId="8431" fillId="8" borderId="1" xfId="0" applyNumberFormat="1" applyFont="1" applyFill="1" applyBorder="1" applyAlignment="1">
      <alignment horizontal="center" vertical="center"/>
    </xf>
    <xf numFmtId="1" fontId="8432" fillId="8" borderId="1" xfId="0" applyNumberFormat="1" applyFont="1" applyFill="1" applyBorder="1" applyAlignment="1">
      <alignment horizontal="center" vertical="center"/>
    </xf>
    <xf numFmtId="1" fontId="8433" fillId="8" borderId="1" xfId="0" applyNumberFormat="1" applyFont="1" applyFill="1" applyBorder="1" applyAlignment="1">
      <alignment horizontal="center" vertical="center"/>
    </xf>
    <xf numFmtId="1" fontId="8434" fillId="8" borderId="1" xfId="0" applyNumberFormat="1" applyFont="1" applyFill="1" applyBorder="1" applyAlignment="1">
      <alignment horizontal="center" vertical="center"/>
    </xf>
    <xf numFmtId="0" fontId="8435" fillId="8" borderId="1" xfId="0" applyNumberFormat="1" applyFont="1" applyFill="1" applyBorder="1" applyAlignment="1">
      <alignment horizontal="center" vertical="center"/>
    </xf>
    <xf numFmtId="0" fontId="8436" fillId="8" borderId="1" xfId="0" applyNumberFormat="1" applyFont="1" applyFill="1" applyBorder="1" applyAlignment="1">
      <alignment horizontal="center" vertical="center"/>
    </xf>
    <xf numFmtId="1" fontId="8437" fillId="8" borderId="1" xfId="0" applyNumberFormat="1" applyFont="1" applyFill="1" applyBorder="1" applyAlignment="1">
      <alignment horizontal="center" vertical="center"/>
    </xf>
    <xf numFmtId="1" fontId="8438" fillId="8" borderId="1" xfId="0" applyNumberFormat="1" applyFont="1" applyFill="1" applyBorder="1" applyAlignment="1">
      <alignment horizontal="center" vertical="center"/>
    </xf>
    <xf numFmtId="1" fontId="8439" fillId="8" borderId="1" xfId="0" applyNumberFormat="1" applyFont="1" applyFill="1" applyBorder="1" applyAlignment="1">
      <alignment horizontal="center" vertical="center"/>
    </xf>
    <xf numFmtId="165" fontId="8440" fillId="8" borderId="1" xfId="0" applyNumberFormat="1" applyFont="1" applyFill="1" applyBorder="1" applyAlignment="1">
      <alignment horizontal="center" vertical="center"/>
    </xf>
    <xf numFmtId="1" fontId="8441" fillId="8" borderId="1" xfId="0" applyNumberFormat="1" applyFont="1" applyFill="1" applyBorder="1" applyAlignment="1">
      <alignment horizontal="center" vertical="center"/>
    </xf>
    <xf numFmtId="165" fontId="8442" fillId="8" borderId="1" xfId="0" applyNumberFormat="1" applyFont="1" applyFill="1" applyBorder="1" applyAlignment="1">
      <alignment horizontal="center" vertical="center"/>
    </xf>
    <xf numFmtId="1" fontId="8443" fillId="8" borderId="1" xfId="0" applyNumberFormat="1" applyFont="1" applyFill="1" applyBorder="1" applyAlignment="1">
      <alignment horizontal="center" vertical="center"/>
    </xf>
    <xf numFmtId="165" fontId="8444" fillId="8" borderId="1" xfId="0" applyNumberFormat="1" applyFont="1" applyFill="1" applyBorder="1" applyAlignment="1">
      <alignment horizontal="center" vertical="center"/>
    </xf>
    <xf numFmtId="1" fontId="8445" fillId="8" borderId="1" xfId="0" applyNumberFormat="1" applyFont="1" applyFill="1" applyBorder="1" applyAlignment="1">
      <alignment horizontal="center" vertical="center"/>
    </xf>
    <xf numFmtId="165" fontId="8446" fillId="8" borderId="1" xfId="0" applyNumberFormat="1" applyFont="1" applyFill="1" applyBorder="1" applyAlignment="1">
      <alignment horizontal="center" vertical="center"/>
    </xf>
    <xf numFmtId="165" fontId="8447" fillId="8" borderId="1" xfId="0" applyNumberFormat="1" applyFont="1" applyFill="1" applyBorder="1" applyAlignment="1">
      <alignment horizontal="center" vertical="center"/>
    </xf>
    <xf numFmtId="1" fontId="8448" fillId="8" borderId="1" xfId="0" applyNumberFormat="1" applyFont="1" applyFill="1" applyBorder="1" applyAlignment="1">
      <alignment horizontal="center" vertical="center"/>
    </xf>
    <xf numFmtId="1" fontId="8449" fillId="8" borderId="1" xfId="0" applyNumberFormat="1" applyFont="1" applyFill="1" applyBorder="1" applyAlignment="1">
      <alignment horizontal="center" vertical="center"/>
    </xf>
    <xf numFmtId="1" fontId="8450" fillId="8" borderId="1" xfId="0" applyNumberFormat="1" applyFont="1" applyFill="1" applyBorder="1" applyAlignment="1">
      <alignment horizontal="center" vertical="center"/>
    </xf>
    <xf numFmtId="165" fontId="8451" fillId="8" borderId="1" xfId="0" applyNumberFormat="1" applyFont="1" applyFill="1" applyBorder="1" applyAlignment="1">
      <alignment horizontal="center" vertical="center"/>
    </xf>
    <xf numFmtId="164" fontId="8452" fillId="8" borderId="1" xfId="0" applyNumberFormat="1" applyFont="1" applyFill="1" applyBorder="1" applyAlignment="1">
      <alignment horizontal="center" vertical="center"/>
    </xf>
    <xf numFmtId="164" fontId="8453" fillId="8" borderId="1" xfId="0" applyNumberFormat="1" applyFont="1" applyFill="1" applyBorder="1" applyAlignment="1">
      <alignment horizontal="center" vertical="center"/>
    </xf>
    <xf numFmtId="1" fontId="8454" fillId="8" borderId="1" xfId="0" applyNumberFormat="1" applyFont="1" applyFill="1" applyBorder="1" applyAlignment="1">
      <alignment horizontal="center" vertical="center"/>
    </xf>
    <xf numFmtId="1" fontId="8455" fillId="8" borderId="1" xfId="0" applyNumberFormat="1" applyFont="1" applyFill="1" applyBorder="1" applyAlignment="1">
      <alignment horizontal="center" vertical="center"/>
    </xf>
    <xf numFmtId="1" fontId="8456" fillId="8" borderId="1" xfId="0" applyNumberFormat="1" applyFont="1" applyFill="1" applyBorder="1" applyAlignment="1">
      <alignment horizontal="center" vertical="center"/>
    </xf>
    <xf numFmtId="165" fontId="8457" fillId="8" borderId="1" xfId="0" applyNumberFormat="1" applyFont="1" applyFill="1" applyBorder="1" applyAlignment="1">
      <alignment horizontal="center" vertical="center"/>
    </xf>
    <xf numFmtId="1" fontId="8458" fillId="8" borderId="1" xfId="0" applyNumberFormat="1" applyFont="1" applyFill="1" applyBorder="1" applyAlignment="1">
      <alignment horizontal="center" vertical="center"/>
    </xf>
    <xf numFmtId="165" fontId="8459" fillId="8" borderId="1" xfId="0" applyNumberFormat="1" applyFont="1" applyFill="1" applyBorder="1" applyAlignment="1">
      <alignment horizontal="center" vertical="center"/>
    </xf>
    <xf numFmtId="1" fontId="8460" fillId="8" borderId="1" xfId="0" applyNumberFormat="1" applyFont="1" applyFill="1" applyBorder="1" applyAlignment="1">
      <alignment horizontal="center" vertical="center"/>
    </xf>
    <xf numFmtId="1" fontId="8461" fillId="8" borderId="1" xfId="0" applyNumberFormat="1" applyFont="1" applyFill="1" applyBorder="1" applyAlignment="1">
      <alignment horizontal="center" vertical="center"/>
    </xf>
    <xf numFmtId="1" fontId="8462" fillId="8" borderId="1" xfId="0" applyNumberFormat="1" applyFont="1" applyFill="1" applyBorder="1" applyAlignment="1">
      <alignment horizontal="center" vertical="center"/>
    </xf>
    <xf numFmtId="1" fontId="8463" fillId="8" borderId="1" xfId="0" applyNumberFormat="1" applyFont="1" applyFill="1" applyBorder="1" applyAlignment="1">
      <alignment horizontal="center" vertical="center"/>
    </xf>
    <xf numFmtId="165" fontId="8464" fillId="8" borderId="1" xfId="0" applyNumberFormat="1" applyFont="1" applyFill="1" applyBorder="1" applyAlignment="1">
      <alignment horizontal="center" vertical="center"/>
    </xf>
    <xf numFmtId="1" fontId="8465" fillId="8" borderId="1" xfId="0" applyNumberFormat="1" applyFont="1" applyFill="1" applyBorder="1" applyAlignment="1">
      <alignment horizontal="center" vertical="center"/>
    </xf>
    <xf numFmtId="165" fontId="8466" fillId="8" borderId="1" xfId="0" applyNumberFormat="1" applyFont="1" applyFill="1" applyBorder="1" applyAlignment="1">
      <alignment horizontal="center" vertical="center"/>
    </xf>
    <xf numFmtId="1" fontId="8467" fillId="8" borderId="1" xfId="0" applyNumberFormat="1" applyFont="1" applyFill="1" applyBorder="1" applyAlignment="1">
      <alignment horizontal="center" vertical="center"/>
    </xf>
    <xf numFmtId="165" fontId="8468" fillId="8" borderId="1" xfId="0" applyNumberFormat="1" applyFont="1" applyFill="1" applyBorder="1" applyAlignment="1">
      <alignment horizontal="center" vertical="center"/>
    </xf>
    <xf numFmtId="2" fontId="8469" fillId="8" borderId="1" xfId="0" applyNumberFormat="1" applyFont="1" applyFill="1" applyBorder="1" applyAlignment="1">
      <alignment horizontal="center" vertical="center"/>
    </xf>
    <xf numFmtId="2" fontId="8470" fillId="8" borderId="1" xfId="0" applyNumberFormat="1" applyFont="1" applyFill="1" applyBorder="1" applyAlignment="1">
      <alignment horizontal="center" vertical="center"/>
    </xf>
    <xf numFmtId="2" fontId="8471" fillId="8" borderId="1" xfId="0" applyNumberFormat="1" applyFont="1" applyFill="1" applyBorder="1" applyAlignment="1">
      <alignment horizontal="center" vertical="center"/>
    </xf>
    <xf numFmtId="2" fontId="8472" fillId="8" borderId="1" xfId="0" applyNumberFormat="1" applyFont="1" applyFill="1" applyBorder="1" applyAlignment="1">
      <alignment horizontal="center" vertical="center"/>
    </xf>
    <xf numFmtId="2" fontId="8473" fillId="8" borderId="1" xfId="0" applyNumberFormat="1" applyFont="1" applyFill="1" applyBorder="1" applyAlignment="1">
      <alignment horizontal="center" vertical="center"/>
    </xf>
    <xf numFmtId="2" fontId="8474" fillId="8" borderId="1" xfId="0" applyNumberFormat="1" applyFont="1" applyFill="1" applyBorder="1" applyAlignment="1">
      <alignment horizontal="center" vertical="center"/>
    </xf>
    <xf numFmtId="2" fontId="8475" fillId="8" borderId="1" xfId="0" applyNumberFormat="1" applyFont="1" applyFill="1" applyBorder="1" applyAlignment="1">
      <alignment horizontal="center" vertical="center"/>
    </xf>
    <xf numFmtId="2" fontId="8476" fillId="8" borderId="1" xfId="0" applyNumberFormat="1" applyFont="1" applyFill="1" applyBorder="1" applyAlignment="1">
      <alignment horizontal="center" vertical="center"/>
    </xf>
    <xf numFmtId="2" fontId="8477" fillId="8" borderId="1" xfId="0" applyNumberFormat="1" applyFont="1" applyFill="1" applyBorder="1" applyAlignment="1">
      <alignment horizontal="center" vertical="center"/>
    </xf>
    <xf numFmtId="2" fontId="8478" fillId="8" borderId="1" xfId="0" applyNumberFormat="1" applyFont="1" applyFill="1" applyBorder="1" applyAlignment="1">
      <alignment horizontal="center" vertical="center"/>
    </xf>
    <xf numFmtId="2" fontId="8479" fillId="8" borderId="1" xfId="0" applyNumberFormat="1" applyFont="1" applyFill="1" applyBorder="1" applyAlignment="1">
      <alignment horizontal="center" vertical="center"/>
    </xf>
    <xf numFmtId="2" fontId="8480" fillId="8" borderId="1" xfId="0" applyNumberFormat="1" applyFont="1" applyFill="1" applyBorder="1" applyAlignment="1">
      <alignment horizontal="center" vertical="center"/>
    </xf>
    <xf numFmtId="2" fontId="8481" fillId="8" borderId="1" xfId="0" applyNumberFormat="1" applyFont="1" applyFill="1" applyBorder="1" applyAlignment="1">
      <alignment horizontal="center" vertical="center"/>
    </xf>
    <xf numFmtId="2" fontId="8482" fillId="8" borderId="1" xfId="0" applyNumberFormat="1" applyFont="1" applyFill="1" applyBorder="1" applyAlignment="1">
      <alignment horizontal="center" vertical="center"/>
    </xf>
    <xf numFmtId="2" fontId="8483" fillId="8" borderId="1" xfId="0" applyNumberFormat="1" applyFont="1" applyFill="1" applyBorder="1" applyAlignment="1">
      <alignment horizontal="center" vertical="center"/>
    </xf>
    <xf numFmtId="2" fontId="8484" fillId="8" borderId="1" xfId="0" applyNumberFormat="1" applyFont="1" applyFill="1" applyBorder="1" applyAlignment="1">
      <alignment horizontal="center" vertical="center"/>
    </xf>
    <xf numFmtId="2" fontId="8485" fillId="8" borderId="1" xfId="0" applyNumberFormat="1" applyFont="1" applyFill="1" applyBorder="1" applyAlignment="1">
      <alignment horizontal="center" vertical="center"/>
    </xf>
    <xf numFmtId="2" fontId="8486" fillId="8" borderId="1" xfId="0" applyNumberFormat="1" applyFont="1" applyFill="1" applyBorder="1" applyAlignment="1">
      <alignment horizontal="center" vertical="center"/>
    </xf>
    <xf numFmtId="2" fontId="8487" fillId="8" borderId="1" xfId="0" applyNumberFormat="1" applyFont="1" applyFill="1" applyBorder="1" applyAlignment="1">
      <alignment horizontal="center" vertical="center"/>
    </xf>
    <xf numFmtId="2" fontId="8488" fillId="8" borderId="1" xfId="0" applyNumberFormat="1" applyFont="1" applyFill="1" applyBorder="1" applyAlignment="1">
      <alignment horizontal="center" vertical="center"/>
    </xf>
    <xf numFmtId="2" fontId="8489" fillId="8" borderId="1" xfId="0" applyNumberFormat="1" applyFont="1" applyFill="1" applyBorder="1" applyAlignment="1">
      <alignment horizontal="center" vertical="center"/>
    </xf>
    <xf numFmtId="2" fontId="8490" fillId="8" borderId="1" xfId="0" applyNumberFormat="1" applyFont="1" applyFill="1" applyBorder="1" applyAlignment="1">
      <alignment horizontal="center" vertical="center"/>
    </xf>
    <xf numFmtId="2" fontId="8491" fillId="8" borderId="1" xfId="0" applyNumberFormat="1" applyFont="1" applyFill="1" applyBorder="1" applyAlignment="1">
      <alignment horizontal="center" vertical="center"/>
    </xf>
    <xf numFmtId="2" fontId="8492" fillId="8" borderId="1" xfId="0" applyNumberFormat="1" applyFont="1" applyFill="1" applyBorder="1" applyAlignment="1">
      <alignment horizontal="center" vertical="center"/>
    </xf>
    <xf numFmtId="2" fontId="8493" fillId="8" borderId="1" xfId="0" applyNumberFormat="1" applyFont="1" applyFill="1" applyBorder="1" applyAlignment="1">
      <alignment horizontal="center" vertical="center"/>
    </xf>
    <xf numFmtId="2" fontId="8494" fillId="8" borderId="1" xfId="0" applyNumberFormat="1" applyFont="1" applyFill="1" applyBorder="1" applyAlignment="1">
      <alignment horizontal="center" vertical="center"/>
    </xf>
    <xf numFmtId="2" fontId="8495" fillId="8" borderId="1" xfId="0" applyNumberFormat="1" applyFont="1" applyFill="1" applyBorder="1" applyAlignment="1">
      <alignment horizontal="center" vertical="center"/>
    </xf>
    <xf numFmtId="2" fontId="8496" fillId="8" borderId="1" xfId="0" applyNumberFormat="1" applyFont="1" applyFill="1" applyBorder="1" applyAlignment="1">
      <alignment horizontal="center" vertical="center"/>
    </xf>
    <xf numFmtId="2" fontId="8497" fillId="8" borderId="1" xfId="0" applyNumberFormat="1" applyFont="1" applyFill="1" applyBorder="1" applyAlignment="1">
      <alignment horizontal="center" vertical="center"/>
    </xf>
    <xf numFmtId="2" fontId="8498" fillId="8" borderId="1" xfId="0" applyNumberFormat="1" applyFont="1" applyFill="1" applyBorder="1" applyAlignment="1">
      <alignment horizontal="center" vertical="center"/>
    </xf>
    <xf numFmtId="2" fontId="8499" fillId="8" borderId="1" xfId="0" applyNumberFormat="1" applyFont="1" applyFill="1" applyBorder="1" applyAlignment="1">
      <alignment horizontal="center" vertical="center"/>
    </xf>
    <xf numFmtId="2" fontId="8500" fillId="8" borderId="1" xfId="0" applyNumberFormat="1" applyFont="1" applyFill="1" applyBorder="1" applyAlignment="1">
      <alignment horizontal="center" vertical="center"/>
    </xf>
    <xf numFmtId="2" fontId="8501" fillId="8" borderId="1" xfId="0" applyNumberFormat="1" applyFont="1" applyFill="1" applyBorder="1" applyAlignment="1">
      <alignment horizontal="center" vertical="center"/>
    </xf>
    <xf numFmtId="2" fontId="8502" fillId="8" borderId="1" xfId="0" applyNumberFormat="1" applyFont="1" applyFill="1" applyBorder="1" applyAlignment="1">
      <alignment horizontal="center" vertical="center"/>
    </xf>
    <xf numFmtId="0" fontId="8503" fillId="7" borderId="1" xfId="0" applyNumberFormat="1" applyFont="1" applyFill="1" applyBorder="1" applyAlignment="1">
      <alignment horizontal="left" vertical="center"/>
    </xf>
    <xf numFmtId="0" fontId="8504" fillId="8" borderId="1" xfId="0" applyNumberFormat="1" applyFont="1" applyFill="1" applyBorder="1" applyAlignment="1">
      <alignment horizontal="center" vertical="center"/>
    </xf>
    <xf numFmtId="164" fontId="8505" fillId="8" borderId="1" xfId="0" applyNumberFormat="1" applyFont="1" applyFill="1" applyBorder="1" applyAlignment="1">
      <alignment horizontal="center" vertical="center"/>
    </xf>
    <xf numFmtId="1" fontId="8506" fillId="8" borderId="1" xfId="0" applyNumberFormat="1" applyFont="1" applyFill="1" applyBorder="1" applyAlignment="1">
      <alignment horizontal="center" vertical="center"/>
    </xf>
    <xf numFmtId="1" fontId="8507" fillId="8" borderId="1" xfId="0" applyNumberFormat="1" applyFont="1" applyFill="1" applyBorder="1" applyAlignment="1">
      <alignment horizontal="center" vertical="center"/>
    </xf>
    <xf numFmtId="1" fontId="8508" fillId="8" borderId="1" xfId="0" applyNumberFormat="1" applyFont="1" applyFill="1" applyBorder="1" applyAlignment="1">
      <alignment horizontal="center" vertical="center"/>
    </xf>
    <xf numFmtId="1" fontId="8509" fillId="8" borderId="1" xfId="0" applyNumberFormat="1" applyFont="1" applyFill="1" applyBorder="1" applyAlignment="1">
      <alignment horizontal="center" vertical="center"/>
    </xf>
    <xf numFmtId="1" fontId="8510" fillId="8" borderId="1" xfId="0" applyNumberFormat="1" applyFont="1" applyFill="1" applyBorder="1" applyAlignment="1">
      <alignment horizontal="center" vertical="center"/>
    </xf>
    <xf numFmtId="1" fontId="8511" fillId="8" borderId="1" xfId="0" applyNumberFormat="1" applyFont="1" applyFill="1" applyBorder="1" applyAlignment="1">
      <alignment horizontal="center" vertical="center"/>
    </xf>
    <xf numFmtId="1" fontId="8512" fillId="8" borderId="1" xfId="0" applyNumberFormat="1" applyFont="1" applyFill="1" applyBorder="1" applyAlignment="1">
      <alignment horizontal="center" vertical="center"/>
    </xf>
    <xf numFmtId="0" fontId="8513" fillId="8" borderId="1" xfId="0" applyNumberFormat="1" applyFont="1" applyFill="1" applyBorder="1" applyAlignment="1">
      <alignment horizontal="center" vertical="center"/>
    </xf>
    <xf numFmtId="0" fontId="8514" fillId="8" borderId="1" xfId="0" applyNumberFormat="1" applyFont="1" applyFill="1" applyBorder="1" applyAlignment="1">
      <alignment horizontal="center" vertical="center"/>
    </xf>
    <xf numFmtId="1" fontId="8515" fillId="8" borderId="1" xfId="0" applyNumberFormat="1" applyFont="1" applyFill="1" applyBorder="1" applyAlignment="1">
      <alignment horizontal="center" vertical="center"/>
    </xf>
    <xf numFmtId="1" fontId="8516" fillId="8" borderId="1" xfId="0" applyNumberFormat="1" applyFont="1" applyFill="1" applyBorder="1" applyAlignment="1">
      <alignment horizontal="center" vertical="center"/>
    </xf>
    <xf numFmtId="1" fontId="8517" fillId="8" borderId="1" xfId="0" applyNumberFormat="1" applyFont="1" applyFill="1" applyBorder="1" applyAlignment="1">
      <alignment horizontal="center" vertical="center"/>
    </xf>
    <xf numFmtId="165" fontId="8518" fillId="8" borderId="1" xfId="0" applyNumberFormat="1" applyFont="1" applyFill="1" applyBorder="1" applyAlignment="1">
      <alignment horizontal="center" vertical="center"/>
    </xf>
    <xf numFmtId="1" fontId="8519" fillId="8" borderId="1" xfId="0" applyNumberFormat="1" applyFont="1" applyFill="1" applyBorder="1" applyAlignment="1">
      <alignment horizontal="center" vertical="center"/>
    </xf>
    <xf numFmtId="165" fontId="8520" fillId="8" borderId="1" xfId="0" applyNumberFormat="1" applyFont="1" applyFill="1" applyBorder="1" applyAlignment="1">
      <alignment horizontal="center" vertical="center"/>
    </xf>
    <xf numFmtId="1" fontId="8521" fillId="8" borderId="1" xfId="0" applyNumberFormat="1" applyFont="1" applyFill="1" applyBorder="1" applyAlignment="1">
      <alignment horizontal="center" vertical="center"/>
    </xf>
    <xf numFmtId="165" fontId="8522" fillId="8" borderId="1" xfId="0" applyNumberFormat="1" applyFont="1" applyFill="1" applyBorder="1" applyAlignment="1">
      <alignment horizontal="center" vertical="center"/>
    </xf>
    <xf numFmtId="1" fontId="8523" fillId="8" borderId="1" xfId="0" applyNumberFormat="1" applyFont="1" applyFill="1" applyBorder="1" applyAlignment="1">
      <alignment horizontal="center" vertical="center"/>
    </xf>
    <xf numFmtId="165" fontId="8524" fillId="8" borderId="1" xfId="0" applyNumberFormat="1" applyFont="1" applyFill="1" applyBorder="1" applyAlignment="1">
      <alignment horizontal="center" vertical="center"/>
    </xf>
    <xf numFmtId="165" fontId="8525" fillId="8" borderId="1" xfId="0" applyNumberFormat="1" applyFont="1" applyFill="1" applyBorder="1" applyAlignment="1">
      <alignment horizontal="center" vertical="center"/>
    </xf>
    <xf numFmtId="1" fontId="8526" fillId="8" borderId="1" xfId="0" applyNumberFormat="1" applyFont="1" applyFill="1" applyBorder="1" applyAlignment="1">
      <alignment horizontal="center" vertical="center"/>
    </xf>
    <xf numFmtId="1" fontId="8527" fillId="8" borderId="1" xfId="0" applyNumberFormat="1" applyFont="1" applyFill="1" applyBorder="1" applyAlignment="1">
      <alignment horizontal="center" vertical="center"/>
    </xf>
    <xf numFmtId="1" fontId="8528" fillId="8" borderId="1" xfId="0" applyNumberFormat="1" applyFont="1" applyFill="1" applyBorder="1" applyAlignment="1">
      <alignment horizontal="center" vertical="center"/>
    </xf>
    <xf numFmtId="165" fontId="8529" fillId="8" borderId="1" xfId="0" applyNumberFormat="1" applyFont="1" applyFill="1" applyBorder="1" applyAlignment="1">
      <alignment horizontal="center" vertical="center"/>
    </xf>
    <xf numFmtId="164" fontId="8530" fillId="8" borderId="1" xfId="0" applyNumberFormat="1" applyFont="1" applyFill="1" applyBorder="1" applyAlignment="1">
      <alignment horizontal="center" vertical="center"/>
    </xf>
    <xf numFmtId="164" fontId="8531" fillId="8" borderId="1" xfId="0" applyNumberFormat="1" applyFont="1" applyFill="1" applyBorder="1" applyAlignment="1">
      <alignment horizontal="center" vertical="center"/>
    </xf>
    <xf numFmtId="1" fontId="8532" fillId="8" borderId="1" xfId="0" applyNumberFormat="1" applyFont="1" applyFill="1" applyBorder="1" applyAlignment="1">
      <alignment horizontal="center" vertical="center"/>
    </xf>
    <xf numFmtId="1" fontId="8533" fillId="8" borderId="1" xfId="0" applyNumberFormat="1" applyFont="1" applyFill="1" applyBorder="1" applyAlignment="1">
      <alignment horizontal="center" vertical="center"/>
    </xf>
    <xf numFmtId="1" fontId="8534" fillId="8" borderId="1" xfId="0" applyNumberFormat="1" applyFont="1" applyFill="1" applyBorder="1" applyAlignment="1">
      <alignment horizontal="center" vertical="center"/>
    </xf>
    <xf numFmtId="165" fontId="8535" fillId="8" borderId="1" xfId="0" applyNumberFormat="1" applyFont="1" applyFill="1" applyBorder="1" applyAlignment="1">
      <alignment horizontal="center" vertical="center"/>
    </xf>
    <xf numFmtId="1" fontId="8536" fillId="8" borderId="1" xfId="0" applyNumberFormat="1" applyFont="1" applyFill="1" applyBorder="1" applyAlignment="1">
      <alignment horizontal="center" vertical="center"/>
    </xf>
    <xf numFmtId="165" fontId="8537" fillId="8" borderId="1" xfId="0" applyNumberFormat="1" applyFont="1" applyFill="1" applyBorder="1" applyAlignment="1">
      <alignment horizontal="center" vertical="center"/>
    </xf>
    <xf numFmtId="1" fontId="8538" fillId="8" borderId="1" xfId="0" applyNumberFormat="1" applyFont="1" applyFill="1" applyBorder="1" applyAlignment="1">
      <alignment horizontal="center" vertical="center"/>
    </xf>
    <xf numFmtId="1" fontId="8539" fillId="8" borderId="1" xfId="0" applyNumberFormat="1" applyFont="1" applyFill="1" applyBorder="1" applyAlignment="1">
      <alignment horizontal="center" vertical="center"/>
    </xf>
    <xf numFmtId="1" fontId="8540" fillId="8" borderId="1" xfId="0" applyNumberFormat="1" applyFont="1" applyFill="1" applyBorder="1" applyAlignment="1">
      <alignment horizontal="center" vertical="center"/>
    </xf>
    <xf numFmtId="1" fontId="8541" fillId="8" borderId="1" xfId="0" applyNumberFormat="1" applyFont="1" applyFill="1" applyBorder="1" applyAlignment="1">
      <alignment horizontal="center" vertical="center"/>
    </xf>
    <xf numFmtId="165" fontId="8542" fillId="8" borderId="1" xfId="0" applyNumberFormat="1" applyFont="1" applyFill="1" applyBorder="1" applyAlignment="1">
      <alignment horizontal="center" vertical="center"/>
    </xf>
    <xf numFmtId="1" fontId="8543" fillId="8" borderId="1" xfId="0" applyNumberFormat="1" applyFont="1" applyFill="1" applyBorder="1" applyAlignment="1">
      <alignment horizontal="center" vertical="center"/>
    </xf>
    <xf numFmtId="165" fontId="8544" fillId="8" borderId="1" xfId="0" applyNumberFormat="1" applyFont="1" applyFill="1" applyBorder="1" applyAlignment="1">
      <alignment horizontal="center" vertical="center"/>
    </xf>
    <xf numFmtId="1" fontId="8545" fillId="8" borderId="1" xfId="0" applyNumberFormat="1" applyFont="1" applyFill="1" applyBorder="1" applyAlignment="1">
      <alignment horizontal="center" vertical="center"/>
    </xf>
    <xf numFmtId="165" fontId="8546" fillId="8" borderId="1" xfId="0" applyNumberFormat="1" applyFont="1" applyFill="1" applyBorder="1" applyAlignment="1">
      <alignment horizontal="center" vertical="center"/>
    </xf>
    <xf numFmtId="2" fontId="8547" fillId="8" borderId="1" xfId="0" applyNumberFormat="1" applyFont="1" applyFill="1" applyBorder="1" applyAlignment="1">
      <alignment horizontal="center" vertical="center"/>
    </xf>
    <xf numFmtId="2" fontId="8548" fillId="8" borderId="1" xfId="0" applyNumberFormat="1" applyFont="1" applyFill="1" applyBorder="1" applyAlignment="1">
      <alignment horizontal="center" vertical="center"/>
    </xf>
    <xf numFmtId="2" fontId="8549" fillId="8" borderId="1" xfId="0" applyNumberFormat="1" applyFont="1" applyFill="1" applyBorder="1" applyAlignment="1">
      <alignment horizontal="center" vertical="center"/>
    </xf>
    <xf numFmtId="2" fontId="8550" fillId="8" borderId="1" xfId="0" applyNumberFormat="1" applyFont="1" applyFill="1" applyBorder="1" applyAlignment="1">
      <alignment horizontal="center" vertical="center"/>
    </xf>
    <xf numFmtId="2" fontId="8551" fillId="8" borderId="1" xfId="0" applyNumberFormat="1" applyFont="1" applyFill="1" applyBorder="1" applyAlignment="1">
      <alignment horizontal="center" vertical="center"/>
    </xf>
    <xf numFmtId="2" fontId="8552" fillId="8" borderId="1" xfId="0" applyNumberFormat="1" applyFont="1" applyFill="1" applyBorder="1" applyAlignment="1">
      <alignment horizontal="center" vertical="center"/>
    </xf>
    <xf numFmtId="2" fontId="8553" fillId="8" borderId="1" xfId="0" applyNumberFormat="1" applyFont="1" applyFill="1" applyBorder="1" applyAlignment="1">
      <alignment horizontal="center" vertical="center"/>
    </xf>
    <xf numFmtId="2" fontId="8554" fillId="8" borderId="1" xfId="0" applyNumberFormat="1" applyFont="1" applyFill="1" applyBorder="1" applyAlignment="1">
      <alignment horizontal="center" vertical="center"/>
    </xf>
    <xf numFmtId="2" fontId="8555" fillId="8" borderId="1" xfId="0" applyNumberFormat="1" applyFont="1" applyFill="1" applyBorder="1" applyAlignment="1">
      <alignment horizontal="center" vertical="center"/>
    </xf>
    <xf numFmtId="2" fontId="8556" fillId="8" borderId="1" xfId="0" applyNumberFormat="1" applyFont="1" applyFill="1" applyBorder="1" applyAlignment="1">
      <alignment horizontal="center" vertical="center"/>
    </xf>
    <xf numFmtId="2" fontId="8557" fillId="8" borderId="1" xfId="0" applyNumberFormat="1" applyFont="1" applyFill="1" applyBorder="1" applyAlignment="1">
      <alignment horizontal="center" vertical="center"/>
    </xf>
    <xf numFmtId="2" fontId="8558" fillId="8" borderId="1" xfId="0" applyNumberFormat="1" applyFont="1" applyFill="1" applyBorder="1" applyAlignment="1">
      <alignment horizontal="center" vertical="center"/>
    </xf>
    <xf numFmtId="2" fontId="8559" fillId="8" borderId="1" xfId="0" applyNumberFormat="1" applyFont="1" applyFill="1" applyBorder="1" applyAlignment="1">
      <alignment horizontal="center" vertical="center"/>
    </xf>
    <xf numFmtId="2" fontId="8560" fillId="8" borderId="1" xfId="0" applyNumberFormat="1" applyFont="1" applyFill="1" applyBorder="1" applyAlignment="1">
      <alignment horizontal="center" vertical="center"/>
    </xf>
    <xf numFmtId="2" fontId="8561" fillId="8" borderId="1" xfId="0" applyNumberFormat="1" applyFont="1" applyFill="1" applyBorder="1" applyAlignment="1">
      <alignment horizontal="center" vertical="center"/>
    </xf>
    <xf numFmtId="2" fontId="8562" fillId="8" borderId="1" xfId="0" applyNumberFormat="1" applyFont="1" applyFill="1" applyBorder="1" applyAlignment="1">
      <alignment horizontal="center" vertical="center"/>
    </xf>
    <xf numFmtId="2" fontId="8563" fillId="8" borderId="1" xfId="0" applyNumberFormat="1" applyFont="1" applyFill="1" applyBorder="1" applyAlignment="1">
      <alignment horizontal="center" vertical="center"/>
    </xf>
    <xf numFmtId="2" fontId="8564" fillId="8" borderId="1" xfId="0" applyNumberFormat="1" applyFont="1" applyFill="1" applyBorder="1" applyAlignment="1">
      <alignment horizontal="center" vertical="center"/>
    </xf>
    <xf numFmtId="2" fontId="8565" fillId="8" borderId="1" xfId="0" applyNumberFormat="1" applyFont="1" applyFill="1" applyBorder="1" applyAlignment="1">
      <alignment horizontal="center" vertical="center"/>
    </xf>
    <xf numFmtId="2" fontId="8566" fillId="8" borderId="1" xfId="0" applyNumberFormat="1" applyFont="1" applyFill="1" applyBorder="1" applyAlignment="1">
      <alignment horizontal="center" vertical="center"/>
    </xf>
    <xf numFmtId="2" fontId="8567" fillId="8" borderId="1" xfId="0" applyNumberFormat="1" applyFont="1" applyFill="1" applyBorder="1" applyAlignment="1">
      <alignment horizontal="center" vertical="center"/>
    </xf>
    <xf numFmtId="2" fontId="8568" fillId="8" borderId="1" xfId="0" applyNumberFormat="1" applyFont="1" applyFill="1" applyBorder="1" applyAlignment="1">
      <alignment horizontal="center" vertical="center"/>
    </xf>
    <xf numFmtId="2" fontId="8569" fillId="8" borderId="1" xfId="0" applyNumberFormat="1" applyFont="1" applyFill="1" applyBorder="1" applyAlignment="1">
      <alignment horizontal="center" vertical="center"/>
    </xf>
    <xf numFmtId="2" fontId="8570" fillId="8" borderId="1" xfId="0" applyNumberFormat="1" applyFont="1" applyFill="1" applyBorder="1" applyAlignment="1">
      <alignment horizontal="center" vertical="center"/>
    </xf>
    <xf numFmtId="2" fontId="8571" fillId="8" borderId="1" xfId="0" applyNumberFormat="1" applyFont="1" applyFill="1" applyBorder="1" applyAlignment="1">
      <alignment horizontal="center" vertical="center"/>
    </xf>
    <xf numFmtId="2" fontId="8572" fillId="8" borderId="1" xfId="0" applyNumberFormat="1" applyFont="1" applyFill="1" applyBorder="1" applyAlignment="1">
      <alignment horizontal="center" vertical="center"/>
    </xf>
    <xf numFmtId="2" fontId="8573" fillId="8" borderId="1" xfId="0" applyNumberFormat="1" applyFont="1" applyFill="1" applyBorder="1" applyAlignment="1">
      <alignment horizontal="center" vertical="center"/>
    </xf>
    <xf numFmtId="2" fontId="8574" fillId="8" borderId="1" xfId="0" applyNumberFormat="1" applyFont="1" applyFill="1" applyBorder="1" applyAlignment="1">
      <alignment horizontal="center" vertical="center"/>
    </xf>
    <xf numFmtId="2" fontId="8575" fillId="8" borderId="1" xfId="0" applyNumberFormat="1" applyFont="1" applyFill="1" applyBorder="1" applyAlignment="1">
      <alignment horizontal="center" vertical="center"/>
    </xf>
    <xf numFmtId="2" fontId="8576" fillId="8" borderId="1" xfId="0" applyNumberFormat="1" applyFont="1" applyFill="1" applyBorder="1" applyAlignment="1">
      <alignment horizontal="center" vertical="center"/>
    </xf>
    <xf numFmtId="2" fontId="8577" fillId="8" borderId="1" xfId="0" applyNumberFormat="1" applyFont="1" applyFill="1" applyBorder="1" applyAlignment="1">
      <alignment horizontal="center" vertical="center"/>
    </xf>
    <xf numFmtId="2" fontId="8578" fillId="8" borderId="1" xfId="0" applyNumberFormat="1" applyFont="1" applyFill="1" applyBorder="1" applyAlignment="1">
      <alignment horizontal="center" vertical="center"/>
    </xf>
    <xf numFmtId="2" fontId="8579" fillId="8" borderId="1" xfId="0" applyNumberFormat="1" applyFont="1" applyFill="1" applyBorder="1" applyAlignment="1">
      <alignment horizontal="center" vertical="center"/>
    </xf>
    <xf numFmtId="2" fontId="8580" fillId="8" borderId="1" xfId="0" applyNumberFormat="1" applyFont="1" applyFill="1" applyBorder="1" applyAlignment="1">
      <alignment horizontal="center" vertical="center"/>
    </xf>
    <xf numFmtId="0" fontId="8581" fillId="7" borderId="1" xfId="0" applyNumberFormat="1" applyFont="1" applyFill="1" applyBorder="1" applyAlignment="1">
      <alignment horizontal="left" vertical="center"/>
    </xf>
    <xf numFmtId="0" fontId="8582" fillId="8" borderId="1" xfId="0" applyNumberFormat="1" applyFont="1" applyFill="1" applyBorder="1" applyAlignment="1">
      <alignment horizontal="center" vertical="center"/>
    </xf>
    <xf numFmtId="164" fontId="8583" fillId="8" borderId="1" xfId="0" applyNumberFormat="1" applyFont="1" applyFill="1" applyBorder="1" applyAlignment="1">
      <alignment horizontal="center" vertical="center"/>
    </xf>
    <xf numFmtId="1" fontId="8584" fillId="8" borderId="1" xfId="0" applyNumberFormat="1" applyFont="1" applyFill="1" applyBorder="1" applyAlignment="1">
      <alignment horizontal="center" vertical="center"/>
    </xf>
    <xf numFmtId="1" fontId="8585" fillId="8" borderId="1" xfId="0" applyNumberFormat="1" applyFont="1" applyFill="1" applyBorder="1" applyAlignment="1">
      <alignment horizontal="center" vertical="center"/>
    </xf>
    <xf numFmtId="1" fontId="8586" fillId="8" borderId="1" xfId="0" applyNumberFormat="1" applyFont="1" applyFill="1" applyBorder="1" applyAlignment="1">
      <alignment horizontal="center" vertical="center"/>
    </xf>
    <xf numFmtId="1" fontId="8587" fillId="8" borderId="1" xfId="0" applyNumberFormat="1" applyFont="1" applyFill="1" applyBorder="1" applyAlignment="1">
      <alignment horizontal="center" vertical="center"/>
    </xf>
    <xf numFmtId="1" fontId="8588" fillId="8" borderId="1" xfId="0" applyNumberFormat="1" applyFont="1" applyFill="1" applyBorder="1" applyAlignment="1">
      <alignment horizontal="center" vertical="center"/>
    </xf>
    <xf numFmtId="1" fontId="8589" fillId="8" borderId="1" xfId="0" applyNumberFormat="1" applyFont="1" applyFill="1" applyBorder="1" applyAlignment="1">
      <alignment horizontal="center" vertical="center"/>
    </xf>
    <xf numFmtId="1" fontId="8590" fillId="8" borderId="1" xfId="0" applyNumberFormat="1" applyFont="1" applyFill="1" applyBorder="1" applyAlignment="1">
      <alignment horizontal="center" vertical="center"/>
    </xf>
    <xf numFmtId="0" fontId="8591" fillId="8" borderId="1" xfId="0" applyNumberFormat="1" applyFont="1" applyFill="1" applyBorder="1" applyAlignment="1">
      <alignment horizontal="center" vertical="center"/>
    </xf>
    <xf numFmtId="0" fontId="8592" fillId="8" borderId="1" xfId="0" applyNumberFormat="1" applyFont="1" applyFill="1" applyBorder="1" applyAlignment="1">
      <alignment horizontal="center" vertical="center"/>
    </xf>
    <xf numFmtId="1" fontId="8593" fillId="8" borderId="1" xfId="0" applyNumberFormat="1" applyFont="1" applyFill="1" applyBorder="1" applyAlignment="1">
      <alignment horizontal="center" vertical="center"/>
    </xf>
    <xf numFmtId="1" fontId="8594" fillId="8" borderId="1" xfId="0" applyNumberFormat="1" applyFont="1" applyFill="1" applyBorder="1" applyAlignment="1">
      <alignment horizontal="center" vertical="center"/>
    </xf>
    <xf numFmtId="1" fontId="8595" fillId="8" borderId="1" xfId="0" applyNumberFormat="1" applyFont="1" applyFill="1" applyBorder="1" applyAlignment="1">
      <alignment horizontal="center" vertical="center"/>
    </xf>
    <xf numFmtId="165" fontId="8596" fillId="8" borderId="1" xfId="0" applyNumberFormat="1" applyFont="1" applyFill="1" applyBorder="1" applyAlignment="1">
      <alignment horizontal="center" vertical="center"/>
    </xf>
    <xf numFmtId="1" fontId="8597" fillId="8" borderId="1" xfId="0" applyNumberFormat="1" applyFont="1" applyFill="1" applyBorder="1" applyAlignment="1">
      <alignment horizontal="center" vertical="center"/>
    </xf>
    <xf numFmtId="165" fontId="8598" fillId="8" borderId="1" xfId="0" applyNumberFormat="1" applyFont="1" applyFill="1" applyBorder="1" applyAlignment="1">
      <alignment horizontal="center" vertical="center"/>
    </xf>
    <xf numFmtId="1" fontId="8599" fillId="8" borderId="1" xfId="0" applyNumberFormat="1" applyFont="1" applyFill="1" applyBorder="1" applyAlignment="1">
      <alignment horizontal="center" vertical="center"/>
    </xf>
    <xf numFmtId="165" fontId="8600" fillId="8" borderId="1" xfId="0" applyNumberFormat="1" applyFont="1" applyFill="1" applyBorder="1" applyAlignment="1">
      <alignment horizontal="center" vertical="center"/>
    </xf>
    <xf numFmtId="1" fontId="8601" fillId="8" borderId="1" xfId="0" applyNumberFormat="1" applyFont="1" applyFill="1" applyBorder="1" applyAlignment="1">
      <alignment horizontal="center" vertical="center"/>
    </xf>
    <xf numFmtId="165" fontId="8602" fillId="8" borderId="1" xfId="0" applyNumberFormat="1" applyFont="1" applyFill="1" applyBorder="1" applyAlignment="1">
      <alignment horizontal="center" vertical="center"/>
    </xf>
    <xf numFmtId="165" fontId="8603" fillId="8" borderId="1" xfId="0" applyNumberFormat="1" applyFont="1" applyFill="1" applyBorder="1" applyAlignment="1">
      <alignment horizontal="center" vertical="center"/>
    </xf>
    <xf numFmtId="1" fontId="8604" fillId="8" borderId="1" xfId="0" applyNumberFormat="1" applyFont="1" applyFill="1" applyBorder="1" applyAlignment="1">
      <alignment horizontal="center" vertical="center"/>
    </xf>
    <xf numFmtId="1" fontId="8605" fillId="8" borderId="1" xfId="0" applyNumberFormat="1" applyFont="1" applyFill="1" applyBorder="1" applyAlignment="1">
      <alignment horizontal="center" vertical="center"/>
    </xf>
    <xf numFmtId="1" fontId="8606" fillId="8" borderId="1" xfId="0" applyNumberFormat="1" applyFont="1" applyFill="1" applyBorder="1" applyAlignment="1">
      <alignment horizontal="center" vertical="center"/>
    </xf>
    <xf numFmtId="165" fontId="8607" fillId="8" borderId="1" xfId="0" applyNumberFormat="1" applyFont="1" applyFill="1" applyBorder="1" applyAlignment="1">
      <alignment horizontal="center" vertical="center"/>
    </xf>
    <xf numFmtId="164" fontId="8608" fillId="8" borderId="1" xfId="0" applyNumberFormat="1" applyFont="1" applyFill="1" applyBorder="1" applyAlignment="1">
      <alignment horizontal="center" vertical="center"/>
    </xf>
    <xf numFmtId="164" fontId="8609" fillId="8" borderId="1" xfId="0" applyNumberFormat="1" applyFont="1" applyFill="1" applyBorder="1" applyAlignment="1">
      <alignment horizontal="center" vertical="center"/>
    </xf>
    <xf numFmtId="1" fontId="8610" fillId="8" borderId="1" xfId="0" applyNumberFormat="1" applyFont="1" applyFill="1" applyBorder="1" applyAlignment="1">
      <alignment horizontal="center" vertical="center"/>
    </xf>
    <xf numFmtId="1" fontId="8611" fillId="8" borderId="1" xfId="0" applyNumberFormat="1" applyFont="1" applyFill="1" applyBorder="1" applyAlignment="1">
      <alignment horizontal="center" vertical="center"/>
    </xf>
    <xf numFmtId="1" fontId="8612" fillId="8" borderId="1" xfId="0" applyNumberFormat="1" applyFont="1" applyFill="1" applyBorder="1" applyAlignment="1">
      <alignment horizontal="center" vertical="center"/>
    </xf>
    <xf numFmtId="165" fontId="8613" fillId="8" borderId="1" xfId="0" applyNumberFormat="1" applyFont="1" applyFill="1" applyBorder="1" applyAlignment="1">
      <alignment horizontal="center" vertical="center"/>
    </xf>
    <xf numFmtId="1" fontId="8614" fillId="8" borderId="1" xfId="0" applyNumberFormat="1" applyFont="1" applyFill="1" applyBorder="1" applyAlignment="1">
      <alignment horizontal="center" vertical="center"/>
    </xf>
    <xf numFmtId="165" fontId="8615" fillId="8" borderId="1" xfId="0" applyNumberFormat="1" applyFont="1" applyFill="1" applyBorder="1" applyAlignment="1">
      <alignment horizontal="center" vertical="center"/>
    </xf>
    <xf numFmtId="1" fontId="8616" fillId="8" borderId="1" xfId="0" applyNumberFormat="1" applyFont="1" applyFill="1" applyBorder="1" applyAlignment="1">
      <alignment horizontal="center" vertical="center"/>
    </xf>
    <xf numFmtId="1" fontId="8617" fillId="8" borderId="1" xfId="0" applyNumberFormat="1" applyFont="1" applyFill="1" applyBorder="1" applyAlignment="1">
      <alignment horizontal="center" vertical="center"/>
    </xf>
    <xf numFmtId="1" fontId="8618" fillId="8" borderId="1" xfId="0" applyNumberFormat="1" applyFont="1" applyFill="1" applyBorder="1" applyAlignment="1">
      <alignment horizontal="center" vertical="center"/>
    </xf>
    <xf numFmtId="1" fontId="8619" fillId="8" borderId="1" xfId="0" applyNumberFormat="1" applyFont="1" applyFill="1" applyBorder="1" applyAlignment="1">
      <alignment horizontal="center" vertical="center"/>
    </xf>
    <xf numFmtId="165" fontId="8620" fillId="8" borderId="1" xfId="0" applyNumberFormat="1" applyFont="1" applyFill="1" applyBorder="1" applyAlignment="1">
      <alignment horizontal="center" vertical="center"/>
    </xf>
    <xf numFmtId="1" fontId="8621" fillId="8" borderId="1" xfId="0" applyNumberFormat="1" applyFont="1" applyFill="1" applyBorder="1" applyAlignment="1">
      <alignment horizontal="center" vertical="center"/>
    </xf>
    <xf numFmtId="165" fontId="8622" fillId="8" borderId="1" xfId="0" applyNumberFormat="1" applyFont="1" applyFill="1" applyBorder="1" applyAlignment="1">
      <alignment horizontal="center" vertical="center"/>
    </xf>
    <xf numFmtId="1" fontId="8623" fillId="8" borderId="1" xfId="0" applyNumberFormat="1" applyFont="1" applyFill="1" applyBorder="1" applyAlignment="1">
      <alignment horizontal="center" vertical="center"/>
    </xf>
    <xf numFmtId="165" fontId="8624" fillId="8" borderId="1" xfId="0" applyNumberFormat="1" applyFont="1" applyFill="1" applyBorder="1" applyAlignment="1">
      <alignment horizontal="center" vertical="center"/>
    </xf>
    <xf numFmtId="2" fontId="8625" fillId="8" borderId="1" xfId="0" applyNumberFormat="1" applyFont="1" applyFill="1" applyBorder="1" applyAlignment="1">
      <alignment horizontal="center" vertical="center"/>
    </xf>
    <xf numFmtId="2" fontId="8626" fillId="8" borderId="1" xfId="0" applyNumberFormat="1" applyFont="1" applyFill="1" applyBorder="1" applyAlignment="1">
      <alignment horizontal="center" vertical="center"/>
    </xf>
    <xf numFmtId="2" fontId="8627" fillId="8" borderId="1" xfId="0" applyNumberFormat="1" applyFont="1" applyFill="1" applyBorder="1" applyAlignment="1">
      <alignment horizontal="center" vertical="center"/>
    </xf>
    <xf numFmtId="2" fontId="8628" fillId="8" borderId="1" xfId="0" applyNumberFormat="1" applyFont="1" applyFill="1" applyBorder="1" applyAlignment="1">
      <alignment horizontal="center" vertical="center"/>
    </xf>
    <xf numFmtId="2" fontId="8629" fillId="8" borderId="1" xfId="0" applyNumberFormat="1" applyFont="1" applyFill="1" applyBorder="1" applyAlignment="1">
      <alignment horizontal="center" vertical="center"/>
    </xf>
    <xf numFmtId="2" fontId="8630" fillId="8" borderId="1" xfId="0" applyNumberFormat="1" applyFont="1" applyFill="1" applyBorder="1" applyAlignment="1">
      <alignment horizontal="center" vertical="center"/>
    </xf>
    <xf numFmtId="2" fontId="8631" fillId="8" borderId="1" xfId="0" applyNumberFormat="1" applyFont="1" applyFill="1" applyBorder="1" applyAlignment="1">
      <alignment horizontal="center" vertical="center"/>
    </xf>
    <xf numFmtId="2" fontId="8632" fillId="8" borderId="1" xfId="0" applyNumberFormat="1" applyFont="1" applyFill="1" applyBorder="1" applyAlignment="1">
      <alignment horizontal="center" vertical="center"/>
    </xf>
    <xf numFmtId="2" fontId="8633" fillId="8" borderId="1" xfId="0" applyNumberFormat="1" applyFont="1" applyFill="1" applyBorder="1" applyAlignment="1">
      <alignment horizontal="center" vertical="center"/>
    </xf>
    <xf numFmtId="2" fontId="8634" fillId="8" borderId="1" xfId="0" applyNumberFormat="1" applyFont="1" applyFill="1" applyBorder="1" applyAlignment="1">
      <alignment horizontal="center" vertical="center"/>
    </xf>
    <xf numFmtId="2" fontId="8635" fillId="8" borderId="1" xfId="0" applyNumberFormat="1" applyFont="1" applyFill="1" applyBorder="1" applyAlignment="1">
      <alignment horizontal="center" vertical="center"/>
    </xf>
    <xf numFmtId="2" fontId="8636" fillId="8" borderId="1" xfId="0" applyNumberFormat="1" applyFont="1" applyFill="1" applyBorder="1" applyAlignment="1">
      <alignment horizontal="center" vertical="center"/>
    </xf>
    <xf numFmtId="2" fontId="8637" fillId="8" borderId="1" xfId="0" applyNumberFormat="1" applyFont="1" applyFill="1" applyBorder="1" applyAlignment="1">
      <alignment horizontal="center" vertical="center"/>
    </xf>
    <xf numFmtId="2" fontId="8638" fillId="8" borderId="1" xfId="0" applyNumberFormat="1" applyFont="1" applyFill="1" applyBorder="1" applyAlignment="1">
      <alignment horizontal="center" vertical="center"/>
    </xf>
    <xf numFmtId="2" fontId="8639" fillId="8" borderId="1" xfId="0" applyNumberFormat="1" applyFont="1" applyFill="1" applyBorder="1" applyAlignment="1">
      <alignment horizontal="center" vertical="center"/>
    </xf>
    <xf numFmtId="2" fontId="8640" fillId="8" borderId="1" xfId="0" applyNumberFormat="1" applyFont="1" applyFill="1" applyBorder="1" applyAlignment="1">
      <alignment horizontal="center" vertical="center"/>
    </xf>
    <xf numFmtId="2" fontId="8641" fillId="8" borderId="1" xfId="0" applyNumberFormat="1" applyFont="1" applyFill="1" applyBorder="1" applyAlignment="1">
      <alignment horizontal="center" vertical="center"/>
    </xf>
    <xf numFmtId="2" fontId="8642" fillId="8" borderId="1" xfId="0" applyNumberFormat="1" applyFont="1" applyFill="1" applyBorder="1" applyAlignment="1">
      <alignment horizontal="center" vertical="center"/>
    </xf>
    <xf numFmtId="2" fontId="8643" fillId="8" borderId="1" xfId="0" applyNumberFormat="1" applyFont="1" applyFill="1" applyBorder="1" applyAlignment="1">
      <alignment horizontal="center" vertical="center"/>
    </xf>
    <xf numFmtId="2" fontId="8644" fillId="8" borderId="1" xfId="0" applyNumberFormat="1" applyFont="1" applyFill="1" applyBorder="1" applyAlignment="1">
      <alignment horizontal="center" vertical="center"/>
    </xf>
    <xf numFmtId="2" fontId="8645" fillId="8" borderId="1" xfId="0" applyNumberFormat="1" applyFont="1" applyFill="1" applyBorder="1" applyAlignment="1">
      <alignment horizontal="center" vertical="center"/>
    </xf>
    <xf numFmtId="2" fontId="8646" fillId="8" borderId="1" xfId="0" applyNumberFormat="1" applyFont="1" applyFill="1" applyBorder="1" applyAlignment="1">
      <alignment horizontal="center" vertical="center"/>
    </xf>
    <xf numFmtId="2" fontId="8647" fillId="8" borderId="1" xfId="0" applyNumberFormat="1" applyFont="1" applyFill="1" applyBorder="1" applyAlignment="1">
      <alignment horizontal="center" vertical="center"/>
    </xf>
    <xf numFmtId="2" fontId="8648" fillId="8" borderId="1" xfId="0" applyNumberFormat="1" applyFont="1" applyFill="1" applyBorder="1" applyAlignment="1">
      <alignment horizontal="center" vertical="center"/>
    </xf>
    <xf numFmtId="2" fontId="8649" fillId="8" borderId="1" xfId="0" applyNumberFormat="1" applyFont="1" applyFill="1" applyBorder="1" applyAlignment="1">
      <alignment horizontal="center" vertical="center"/>
    </xf>
    <xf numFmtId="2" fontId="8650" fillId="8" borderId="1" xfId="0" applyNumberFormat="1" applyFont="1" applyFill="1" applyBorder="1" applyAlignment="1">
      <alignment horizontal="center" vertical="center"/>
    </xf>
    <xf numFmtId="2" fontId="8651" fillId="8" borderId="1" xfId="0" applyNumberFormat="1" applyFont="1" applyFill="1" applyBorder="1" applyAlignment="1">
      <alignment horizontal="center" vertical="center"/>
    </xf>
    <xf numFmtId="2" fontId="8652" fillId="8" borderId="1" xfId="0" applyNumberFormat="1" applyFont="1" applyFill="1" applyBorder="1" applyAlignment="1">
      <alignment horizontal="center" vertical="center"/>
    </xf>
    <xf numFmtId="2" fontId="8653" fillId="8" borderId="1" xfId="0" applyNumberFormat="1" applyFont="1" applyFill="1" applyBorder="1" applyAlignment="1">
      <alignment horizontal="center" vertical="center"/>
    </xf>
    <xf numFmtId="2" fontId="8654" fillId="8" borderId="1" xfId="0" applyNumberFormat="1" applyFont="1" applyFill="1" applyBorder="1" applyAlignment="1">
      <alignment horizontal="center" vertical="center"/>
    </xf>
    <xf numFmtId="2" fontId="8655" fillId="8" borderId="1" xfId="0" applyNumberFormat="1" applyFont="1" applyFill="1" applyBorder="1" applyAlignment="1">
      <alignment horizontal="center" vertical="center"/>
    </xf>
    <xf numFmtId="2" fontId="8656" fillId="8" borderId="1" xfId="0" applyNumberFormat="1" applyFont="1" applyFill="1" applyBorder="1" applyAlignment="1">
      <alignment horizontal="center" vertical="center"/>
    </xf>
    <xf numFmtId="2" fontId="8657" fillId="8" borderId="1" xfId="0" applyNumberFormat="1" applyFont="1" applyFill="1" applyBorder="1" applyAlignment="1">
      <alignment horizontal="center" vertical="center"/>
    </xf>
    <xf numFmtId="2" fontId="8658" fillId="8" borderId="1" xfId="0" applyNumberFormat="1" applyFont="1" applyFill="1" applyBorder="1" applyAlignment="1">
      <alignment horizontal="center" vertical="center"/>
    </xf>
    <xf numFmtId="0" fontId="8659" fillId="7" borderId="1" xfId="0" applyNumberFormat="1" applyFont="1" applyFill="1" applyBorder="1" applyAlignment="1">
      <alignment horizontal="left" vertical="center"/>
    </xf>
    <xf numFmtId="0" fontId="8660" fillId="8" borderId="1" xfId="0" applyNumberFormat="1" applyFont="1" applyFill="1" applyBorder="1" applyAlignment="1">
      <alignment horizontal="center" vertical="center"/>
    </xf>
    <xf numFmtId="164" fontId="8661" fillId="8" borderId="1" xfId="0" applyNumberFormat="1" applyFont="1" applyFill="1" applyBorder="1" applyAlignment="1">
      <alignment horizontal="center" vertical="center"/>
    </xf>
    <xf numFmtId="1" fontId="8662" fillId="8" borderId="1" xfId="0" applyNumberFormat="1" applyFont="1" applyFill="1" applyBorder="1" applyAlignment="1">
      <alignment horizontal="center" vertical="center"/>
    </xf>
    <xf numFmtId="1" fontId="8663" fillId="8" borderId="1" xfId="0" applyNumberFormat="1" applyFont="1" applyFill="1" applyBorder="1" applyAlignment="1">
      <alignment horizontal="center" vertical="center"/>
    </xf>
    <xf numFmtId="1" fontId="8664" fillId="8" borderId="1" xfId="0" applyNumberFormat="1" applyFont="1" applyFill="1" applyBorder="1" applyAlignment="1">
      <alignment horizontal="center" vertical="center"/>
    </xf>
    <xf numFmtId="1" fontId="8665" fillId="8" borderId="1" xfId="0" applyNumberFormat="1" applyFont="1" applyFill="1" applyBorder="1" applyAlignment="1">
      <alignment horizontal="center" vertical="center"/>
    </xf>
    <xf numFmtId="1" fontId="8666" fillId="8" borderId="1" xfId="0" applyNumberFormat="1" applyFont="1" applyFill="1" applyBorder="1" applyAlignment="1">
      <alignment horizontal="center" vertical="center"/>
    </xf>
    <xf numFmtId="1" fontId="8667" fillId="8" borderId="1" xfId="0" applyNumberFormat="1" applyFont="1" applyFill="1" applyBorder="1" applyAlignment="1">
      <alignment horizontal="center" vertical="center"/>
    </xf>
    <xf numFmtId="1" fontId="8668" fillId="8" borderId="1" xfId="0" applyNumberFormat="1" applyFont="1" applyFill="1" applyBorder="1" applyAlignment="1">
      <alignment horizontal="center" vertical="center"/>
    </xf>
    <xf numFmtId="0" fontId="8669" fillId="8" borderId="1" xfId="0" applyNumberFormat="1" applyFont="1" applyFill="1" applyBorder="1" applyAlignment="1">
      <alignment horizontal="center" vertical="center"/>
    </xf>
    <xf numFmtId="0" fontId="8670" fillId="8" borderId="1" xfId="0" applyNumberFormat="1" applyFont="1" applyFill="1" applyBorder="1" applyAlignment="1">
      <alignment horizontal="center" vertical="center"/>
    </xf>
    <xf numFmtId="1" fontId="8671" fillId="8" borderId="1" xfId="0" applyNumberFormat="1" applyFont="1" applyFill="1" applyBorder="1" applyAlignment="1">
      <alignment horizontal="center" vertical="center"/>
    </xf>
    <xf numFmtId="1" fontId="8672" fillId="8" borderId="1" xfId="0" applyNumberFormat="1" applyFont="1" applyFill="1" applyBorder="1" applyAlignment="1">
      <alignment horizontal="center" vertical="center"/>
    </xf>
    <xf numFmtId="1" fontId="8673" fillId="8" borderId="1" xfId="0" applyNumberFormat="1" applyFont="1" applyFill="1" applyBorder="1" applyAlignment="1">
      <alignment horizontal="center" vertical="center"/>
    </xf>
    <xf numFmtId="165" fontId="8674" fillId="8" borderId="1" xfId="0" applyNumberFormat="1" applyFont="1" applyFill="1" applyBorder="1" applyAlignment="1">
      <alignment horizontal="center" vertical="center"/>
    </xf>
    <xf numFmtId="1" fontId="8675" fillId="8" borderId="1" xfId="0" applyNumberFormat="1" applyFont="1" applyFill="1" applyBorder="1" applyAlignment="1">
      <alignment horizontal="center" vertical="center"/>
    </xf>
    <xf numFmtId="165" fontId="8676" fillId="8" borderId="1" xfId="0" applyNumberFormat="1" applyFont="1" applyFill="1" applyBorder="1" applyAlignment="1">
      <alignment horizontal="center" vertical="center"/>
    </xf>
    <xf numFmtId="1" fontId="8677" fillId="8" borderId="1" xfId="0" applyNumberFormat="1" applyFont="1" applyFill="1" applyBorder="1" applyAlignment="1">
      <alignment horizontal="center" vertical="center"/>
    </xf>
    <xf numFmtId="165" fontId="8678" fillId="8" borderId="1" xfId="0" applyNumberFormat="1" applyFont="1" applyFill="1" applyBorder="1" applyAlignment="1">
      <alignment horizontal="center" vertical="center"/>
    </xf>
    <xf numFmtId="1" fontId="8679" fillId="8" borderId="1" xfId="0" applyNumberFormat="1" applyFont="1" applyFill="1" applyBorder="1" applyAlignment="1">
      <alignment horizontal="center" vertical="center"/>
    </xf>
    <xf numFmtId="165" fontId="8680" fillId="8" borderId="1" xfId="0" applyNumberFormat="1" applyFont="1" applyFill="1" applyBorder="1" applyAlignment="1">
      <alignment horizontal="center" vertical="center"/>
    </xf>
    <xf numFmtId="165" fontId="8681" fillId="8" borderId="1" xfId="0" applyNumberFormat="1" applyFont="1" applyFill="1" applyBorder="1" applyAlignment="1">
      <alignment horizontal="center" vertical="center"/>
    </xf>
    <xf numFmtId="1" fontId="8682" fillId="8" borderId="1" xfId="0" applyNumberFormat="1" applyFont="1" applyFill="1" applyBorder="1" applyAlignment="1">
      <alignment horizontal="center" vertical="center"/>
    </xf>
    <xf numFmtId="1" fontId="8683" fillId="8" borderId="1" xfId="0" applyNumberFormat="1" applyFont="1" applyFill="1" applyBorder="1" applyAlignment="1">
      <alignment horizontal="center" vertical="center"/>
    </xf>
    <xf numFmtId="1" fontId="8684" fillId="8" borderId="1" xfId="0" applyNumberFormat="1" applyFont="1" applyFill="1" applyBorder="1" applyAlignment="1">
      <alignment horizontal="center" vertical="center"/>
    </xf>
    <xf numFmtId="165" fontId="8685" fillId="8" borderId="1" xfId="0" applyNumberFormat="1" applyFont="1" applyFill="1" applyBorder="1" applyAlignment="1">
      <alignment horizontal="center" vertical="center"/>
    </xf>
    <xf numFmtId="164" fontId="8686" fillId="8" borderId="1" xfId="0" applyNumberFormat="1" applyFont="1" applyFill="1" applyBorder="1" applyAlignment="1">
      <alignment horizontal="center" vertical="center"/>
    </xf>
    <xf numFmtId="164" fontId="8687" fillId="8" borderId="1" xfId="0" applyNumberFormat="1" applyFont="1" applyFill="1" applyBorder="1" applyAlignment="1">
      <alignment horizontal="center" vertical="center"/>
    </xf>
    <xf numFmtId="1" fontId="8688" fillId="8" borderId="1" xfId="0" applyNumberFormat="1" applyFont="1" applyFill="1" applyBorder="1" applyAlignment="1">
      <alignment horizontal="center" vertical="center"/>
    </xf>
    <xf numFmtId="1" fontId="8689" fillId="8" borderId="1" xfId="0" applyNumberFormat="1" applyFont="1" applyFill="1" applyBorder="1" applyAlignment="1">
      <alignment horizontal="center" vertical="center"/>
    </xf>
    <xf numFmtId="1" fontId="8690" fillId="8" borderId="1" xfId="0" applyNumberFormat="1" applyFont="1" applyFill="1" applyBorder="1" applyAlignment="1">
      <alignment horizontal="center" vertical="center"/>
    </xf>
    <xf numFmtId="165" fontId="8691" fillId="8" borderId="1" xfId="0" applyNumberFormat="1" applyFont="1" applyFill="1" applyBorder="1" applyAlignment="1">
      <alignment horizontal="center" vertical="center"/>
    </xf>
    <xf numFmtId="1" fontId="8692" fillId="8" borderId="1" xfId="0" applyNumberFormat="1" applyFont="1" applyFill="1" applyBorder="1" applyAlignment="1">
      <alignment horizontal="center" vertical="center"/>
    </xf>
    <xf numFmtId="165" fontId="8693" fillId="8" borderId="1" xfId="0" applyNumberFormat="1" applyFont="1" applyFill="1" applyBorder="1" applyAlignment="1">
      <alignment horizontal="center" vertical="center"/>
    </xf>
    <xf numFmtId="1" fontId="8694" fillId="8" borderId="1" xfId="0" applyNumberFormat="1" applyFont="1" applyFill="1" applyBorder="1" applyAlignment="1">
      <alignment horizontal="center" vertical="center"/>
    </xf>
    <xf numFmtId="1" fontId="8695" fillId="8" borderId="1" xfId="0" applyNumberFormat="1" applyFont="1" applyFill="1" applyBorder="1" applyAlignment="1">
      <alignment horizontal="center" vertical="center"/>
    </xf>
    <xf numFmtId="1" fontId="8696" fillId="8" borderId="1" xfId="0" applyNumberFormat="1" applyFont="1" applyFill="1" applyBorder="1" applyAlignment="1">
      <alignment horizontal="center" vertical="center"/>
    </xf>
    <xf numFmtId="1" fontId="8697" fillId="8" borderId="1" xfId="0" applyNumberFormat="1" applyFont="1" applyFill="1" applyBorder="1" applyAlignment="1">
      <alignment horizontal="center" vertical="center"/>
    </xf>
    <xf numFmtId="165" fontId="8698" fillId="8" borderId="1" xfId="0" applyNumberFormat="1" applyFont="1" applyFill="1" applyBorder="1" applyAlignment="1">
      <alignment horizontal="center" vertical="center"/>
    </xf>
    <xf numFmtId="1" fontId="8699" fillId="8" borderId="1" xfId="0" applyNumberFormat="1" applyFont="1" applyFill="1" applyBorder="1" applyAlignment="1">
      <alignment horizontal="center" vertical="center"/>
    </xf>
    <xf numFmtId="165" fontId="8700" fillId="8" borderId="1" xfId="0" applyNumberFormat="1" applyFont="1" applyFill="1" applyBorder="1" applyAlignment="1">
      <alignment horizontal="center" vertical="center"/>
    </xf>
    <xf numFmtId="1" fontId="8701" fillId="8" borderId="1" xfId="0" applyNumberFormat="1" applyFont="1" applyFill="1" applyBorder="1" applyAlignment="1">
      <alignment horizontal="center" vertical="center"/>
    </xf>
    <xf numFmtId="165" fontId="8702" fillId="8" borderId="1" xfId="0" applyNumberFormat="1" applyFont="1" applyFill="1" applyBorder="1" applyAlignment="1">
      <alignment horizontal="center" vertical="center"/>
    </xf>
    <xf numFmtId="2" fontId="8703" fillId="8" borderId="1" xfId="0" applyNumberFormat="1" applyFont="1" applyFill="1" applyBorder="1" applyAlignment="1">
      <alignment horizontal="center" vertical="center"/>
    </xf>
    <xf numFmtId="2" fontId="8704" fillId="8" borderId="1" xfId="0" applyNumberFormat="1" applyFont="1" applyFill="1" applyBorder="1" applyAlignment="1">
      <alignment horizontal="center" vertical="center"/>
    </xf>
    <xf numFmtId="2" fontId="8705" fillId="8" borderId="1" xfId="0" applyNumberFormat="1" applyFont="1" applyFill="1" applyBorder="1" applyAlignment="1">
      <alignment horizontal="center" vertical="center"/>
    </xf>
    <xf numFmtId="2" fontId="8706" fillId="8" borderId="1" xfId="0" applyNumberFormat="1" applyFont="1" applyFill="1" applyBorder="1" applyAlignment="1">
      <alignment horizontal="center" vertical="center"/>
    </xf>
    <xf numFmtId="2" fontId="8707" fillId="8" borderId="1" xfId="0" applyNumberFormat="1" applyFont="1" applyFill="1" applyBorder="1" applyAlignment="1">
      <alignment horizontal="center" vertical="center"/>
    </xf>
    <xf numFmtId="2" fontId="8708" fillId="8" borderId="1" xfId="0" applyNumberFormat="1" applyFont="1" applyFill="1" applyBorder="1" applyAlignment="1">
      <alignment horizontal="center" vertical="center"/>
    </xf>
    <xf numFmtId="2" fontId="8709" fillId="8" borderId="1" xfId="0" applyNumberFormat="1" applyFont="1" applyFill="1" applyBorder="1" applyAlignment="1">
      <alignment horizontal="center" vertical="center"/>
    </xf>
    <xf numFmtId="2" fontId="8710" fillId="8" borderId="1" xfId="0" applyNumberFormat="1" applyFont="1" applyFill="1" applyBorder="1" applyAlignment="1">
      <alignment horizontal="center" vertical="center"/>
    </xf>
    <xf numFmtId="2" fontId="8711" fillId="8" borderId="1" xfId="0" applyNumberFormat="1" applyFont="1" applyFill="1" applyBorder="1" applyAlignment="1">
      <alignment horizontal="center" vertical="center"/>
    </xf>
    <xf numFmtId="2" fontId="8712" fillId="8" borderId="1" xfId="0" applyNumberFormat="1" applyFont="1" applyFill="1" applyBorder="1" applyAlignment="1">
      <alignment horizontal="center" vertical="center"/>
    </xf>
    <xf numFmtId="2" fontId="8713" fillId="8" borderId="1" xfId="0" applyNumberFormat="1" applyFont="1" applyFill="1" applyBorder="1" applyAlignment="1">
      <alignment horizontal="center" vertical="center"/>
    </xf>
    <xf numFmtId="2" fontId="8714" fillId="8" borderId="1" xfId="0" applyNumberFormat="1" applyFont="1" applyFill="1" applyBorder="1" applyAlignment="1">
      <alignment horizontal="center" vertical="center"/>
    </xf>
    <xf numFmtId="2" fontId="8715" fillId="8" borderId="1" xfId="0" applyNumberFormat="1" applyFont="1" applyFill="1" applyBorder="1" applyAlignment="1">
      <alignment horizontal="center" vertical="center"/>
    </xf>
    <xf numFmtId="2" fontId="8716" fillId="8" borderId="1" xfId="0" applyNumberFormat="1" applyFont="1" applyFill="1" applyBorder="1" applyAlignment="1">
      <alignment horizontal="center" vertical="center"/>
    </xf>
    <xf numFmtId="2" fontId="8717" fillId="8" borderId="1" xfId="0" applyNumberFormat="1" applyFont="1" applyFill="1" applyBorder="1" applyAlignment="1">
      <alignment horizontal="center" vertical="center"/>
    </xf>
    <xf numFmtId="2" fontId="8718" fillId="8" borderId="1" xfId="0" applyNumberFormat="1" applyFont="1" applyFill="1" applyBorder="1" applyAlignment="1">
      <alignment horizontal="center" vertical="center"/>
    </xf>
    <xf numFmtId="2" fontId="8719" fillId="8" borderId="1" xfId="0" applyNumberFormat="1" applyFont="1" applyFill="1" applyBorder="1" applyAlignment="1">
      <alignment horizontal="center" vertical="center"/>
    </xf>
    <xf numFmtId="2" fontId="8720" fillId="8" borderId="1" xfId="0" applyNumberFormat="1" applyFont="1" applyFill="1" applyBorder="1" applyAlignment="1">
      <alignment horizontal="center" vertical="center"/>
    </xf>
    <xf numFmtId="2" fontId="8721" fillId="8" borderId="1" xfId="0" applyNumberFormat="1" applyFont="1" applyFill="1" applyBorder="1" applyAlignment="1">
      <alignment horizontal="center" vertical="center"/>
    </xf>
    <xf numFmtId="2" fontId="8722" fillId="8" borderId="1" xfId="0" applyNumberFormat="1" applyFont="1" applyFill="1" applyBorder="1" applyAlignment="1">
      <alignment horizontal="center" vertical="center"/>
    </xf>
    <xf numFmtId="2" fontId="8723" fillId="8" borderId="1" xfId="0" applyNumberFormat="1" applyFont="1" applyFill="1" applyBorder="1" applyAlignment="1">
      <alignment horizontal="center" vertical="center"/>
    </xf>
    <xf numFmtId="2" fontId="8724" fillId="8" borderId="1" xfId="0" applyNumberFormat="1" applyFont="1" applyFill="1" applyBorder="1" applyAlignment="1">
      <alignment horizontal="center" vertical="center"/>
    </xf>
    <xf numFmtId="2" fontId="8725" fillId="8" borderId="1" xfId="0" applyNumberFormat="1" applyFont="1" applyFill="1" applyBorder="1" applyAlignment="1">
      <alignment horizontal="center" vertical="center"/>
    </xf>
    <xf numFmtId="2" fontId="8726" fillId="8" borderId="1" xfId="0" applyNumberFormat="1" applyFont="1" applyFill="1" applyBorder="1" applyAlignment="1">
      <alignment horizontal="center" vertical="center"/>
    </xf>
    <xf numFmtId="2" fontId="8727" fillId="8" borderId="1" xfId="0" applyNumberFormat="1" applyFont="1" applyFill="1" applyBorder="1" applyAlignment="1">
      <alignment horizontal="center" vertical="center"/>
    </xf>
    <xf numFmtId="2" fontId="8728" fillId="8" borderId="1" xfId="0" applyNumberFormat="1" applyFont="1" applyFill="1" applyBorder="1" applyAlignment="1">
      <alignment horizontal="center" vertical="center"/>
    </xf>
    <xf numFmtId="2" fontId="8729" fillId="8" borderId="1" xfId="0" applyNumberFormat="1" applyFont="1" applyFill="1" applyBorder="1" applyAlignment="1">
      <alignment horizontal="center" vertical="center"/>
    </xf>
    <xf numFmtId="2" fontId="8730" fillId="8" borderId="1" xfId="0" applyNumberFormat="1" applyFont="1" applyFill="1" applyBorder="1" applyAlignment="1">
      <alignment horizontal="center" vertical="center"/>
    </xf>
    <xf numFmtId="2" fontId="8731" fillId="8" borderId="1" xfId="0" applyNumberFormat="1" applyFont="1" applyFill="1" applyBorder="1" applyAlignment="1">
      <alignment horizontal="center" vertical="center"/>
    </xf>
    <xf numFmtId="2" fontId="8732" fillId="8" borderId="1" xfId="0" applyNumberFormat="1" applyFont="1" applyFill="1" applyBorder="1" applyAlignment="1">
      <alignment horizontal="center" vertical="center"/>
    </xf>
    <xf numFmtId="2" fontId="8733" fillId="8" borderId="1" xfId="0" applyNumberFormat="1" applyFont="1" applyFill="1" applyBorder="1" applyAlignment="1">
      <alignment horizontal="center" vertical="center"/>
    </xf>
    <xf numFmtId="2" fontId="8734" fillId="8" borderId="1" xfId="0" applyNumberFormat="1" applyFont="1" applyFill="1" applyBorder="1" applyAlignment="1">
      <alignment horizontal="center" vertical="center"/>
    </xf>
    <xf numFmtId="2" fontId="8735" fillId="8" borderId="1" xfId="0" applyNumberFormat="1" applyFont="1" applyFill="1" applyBorder="1" applyAlignment="1">
      <alignment horizontal="center" vertical="center"/>
    </xf>
    <xf numFmtId="2" fontId="8736" fillId="8" borderId="1" xfId="0" applyNumberFormat="1" applyFont="1" applyFill="1" applyBorder="1" applyAlignment="1">
      <alignment horizontal="center" vertical="center"/>
    </xf>
    <xf numFmtId="0" fontId="8737" fillId="7" borderId="1" xfId="0" applyNumberFormat="1" applyFont="1" applyFill="1" applyBorder="1" applyAlignment="1">
      <alignment horizontal="left" vertical="center"/>
    </xf>
    <xf numFmtId="0" fontId="8738" fillId="8" borderId="1" xfId="0" applyNumberFormat="1" applyFont="1" applyFill="1" applyBorder="1" applyAlignment="1">
      <alignment horizontal="center" vertical="center"/>
    </xf>
    <xf numFmtId="164" fontId="8739" fillId="8" borderId="1" xfId="0" applyNumberFormat="1" applyFont="1" applyFill="1" applyBorder="1" applyAlignment="1">
      <alignment horizontal="center" vertical="center"/>
    </xf>
    <xf numFmtId="1" fontId="8740" fillId="8" borderId="1" xfId="0" applyNumberFormat="1" applyFont="1" applyFill="1" applyBorder="1" applyAlignment="1">
      <alignment horizontal="center" vertical="center"/>
    </xf>
    <xf numFmtId="1" fontId="8741" fillId="8" borderId="1" xfId="0" applyNumberFormat="1" applyFont="1" applyFill="1" applyBorder="1" applyAlignment="1">
      <alignment horizontal="center" vertical="center"/>
    </xf>
    <xf numFmtId="1" fontId="8742" fillId="8" borderId="1" xfId="0" applyNumberFormat="1" applyFont="1" applyFill="1" applyBorder="1" applyAlignment="1">
      <alignment horizontal="center" vertical="center"/>
    </xf>
    <xf numFmtId="1" fontId="8743" fillId="8" borderId="1" xfId="0" applyNumberFormat="1" applyFont="1" applyFill="1" applyBorder="1" applyAlignment="1">
      <alignment horizontal="center" vertical="center"/>
    </xf>
    <xf numFmtId="1" fontId="8744" fillId="8" borderId="1" xfId="0" applyNumberFormat="1" applyFont="1" applyFill="1" applyBorder="1" applyAlignment="1">
      <alignment horizontal="center" vertical="center"/>
    </xf>
    <xf numFmtId="1" fontId="8745" fillId="8" borderId="1" xfId="0" applyNumberFormat="1" applyFont="1" applyFill="1" applyBorder="1" applyAlignment="1">
      <alignment horizontal="center" vertical="center"/>
    </xf>
    <xf numFmtId="1" fontId="8746" fillId="8" borderId="1" xfId="0" applyNumberFormat="1" applyFont="1" applyFill="1" applyBorder="1" applyAlignment="1">
      <alignment horizontal="center" vertical="center"/>
    </xf>
    <xf numFmtId="0" fontId="8747" fillId="8" borderId="1" xfId="0" applyNumberFormat="1" applyFont="1" applyFill="1" applyBorder="1" applyAlignment="1">
      <alignment horizontal="center" vertical="center"/>
    </xf>
    <xf numFmtId="0" fontId="8748" fillId="8" borderId="1" xfId="0" applyNumberFormat="1" applyFont="1" applyFill="1" applyBorder="1" applyAlignment="1">
      <alignment horizontal="center" vertical="center"/>
    </xf>
    <xf numFmtId="1" fontId="8749" fillId="8" borderId="1" xfId="0" applyNumberFormat="1" applyFont="1" applyFill="1" applyBorder="1" applyAlignment="1">
      <alignment horizontal="center" vertical="center"/>
    </xf>
    <xf numFmtId="1" fontId="8750" fillId="8" borderId="1" xfId="0" applyNumberFormat="1" applyFont="1" applyFill="1" applyBorder="1" applyAlignment="1">
      <alignment horizontal="center" vertical="center"/>
    </xf>
    <xf numFmtId="1" fontId="8751" fillId="8" borderId="1" xfId="0" applyNumberFormat="1" applyFont="1" applyFill="1" applyBorder="1" applyAlignment="1">
      <alignment horizontal="center" vertical="center"/>
    </xf>
    <xf numFmtId="165" fontId="8752" fillId="8" borderId="1" xfId="0" applyNumberFormat="1" applyFont="1" applyFill="1" applyBorder="1" applyAlignment="1">
      <alignment horizontal="center" vertical="center"/>
    </xf>
    <xf numFmtId="1" fontId="8753" fillId="8" borderId="1" xfId="0" applyNumberFormat="1" applyFont="1" applyFill="1" applyBorder="1" applyAlignment="1">
      <alignment horizontal="center" vertical="center"/>
    </xf>
    <xf numFmtId="165" fontId="8754" fillId="8" borderId="1" xfId="0" applyNumberFormat="1" applyFont="1" applyFill="1" applyBorder="1" applyAlignment="1">
      <alignment horizontal="center" vertical="center"/>
    </xf>
    <xf numFmtId="1" fontId="8755" fillId="8" borderId="1" xfId="0" applyNumberFormat="1" applyFont="1" applyFill="1" applyBorder="1" applyAlignment="1">
      <alignment horizontal="center" vertical="center"/>
    </xf>
    <xf numFmtId="165" fontId="8756" fillId="8" borderId="1" xfId="0" applyNumberFormat="1" applyFont="1" applyFill="1" applyBorder="1" applyAlignment="1">
      <alignment horizontal="center" vertical="center"/>
    </xf>
    <xf numFmtId="1" fontId="8757" fillId="8" borderId="1" xfId="0" applyNumberFormat="1" applyFont="1" applyFill="1" applyBorder="1" applyAlignment="1">
      <alignment horizontal="center" vertical="center"/>
    </xf>
    <xf numFmtId="165" fontId="8758" fillId="8" borderId="1" xfId="0" applyNumberFormat="1" applyFont="1" applyFill="1" applyBorder="1" applyAlignment="1">
      <alignment horizontal="center" vertical="center"/>
    </xf>
    <xf numFmtId="165" fontId="8759" fillId="8" borderId="1" xfId="0" applyNumberFormat="1" applyFont="1" applyFill="1" applyBorder="1" applyAlignment="1">
      <alignment horizontal="center" vertical="center"/>
    </xf>
    <xf numFmtId="1" fontId="8760" fillId="8" borderId="1" xfId="0" applyNumberFormat="1" applyFont="1" applyFill="1" applyBorder="1" applyAlignment="1">
      <alignment horizontal="center" vertical="center"/>
    </xf>
    <xf numFmtId="1" fontId="8761" fillId="8" borderId="1" xfId="0" applyNumberFormat="1" applyFont="1" applyFill="1" applyBorder="1" applyAlignment="1">
      <alignment horizontal="center" vertical="center"/>
    </xf>
    <xf numFmtId="1" fontId="8762" fillId="8" borderId="1" xfId="0" applyNumberFormat="1" applyFont="1" applyFill="1" applyBorder="1" applyAlignment="1">
      <alignment horizontal="center" vertical="center"/>
    </xf>
    <xf numFmtId="165" fontId="8763" fillId="8" borderId="1" xfId="0" applyNumberFormat="1" applyFont="1" applyFill="1" applyBorder="1" applyAlignment="1">
      <alignment horizontal="center" vertical="center"/>
    </xf>
    <xf numFmtId="164" fontId="8764" fillId="8" borderId="1" xfId="0" applyNumberFormat="1" applyFont="1" applyFill="1" applyBorder="1" applyAlignment="1">
      <alignment horizontal="center" vertical="center"/>
    </xf>
    <xf numFmtId="164" fontId="8765" fillId="8" borderId="1" xfId="0" applyNumberFormat="1" applyFont="1" applyFill="1" applyBorder="1" applyAlignment="1">
      <alignment horizontal="center" vertical="center"/>
    </xf>
    <xf numFmtId="1" fontId="8766" fillId="8" borderId="1" xfId="0" applyNumberFormat="1" applyFont="1" applyFill="1" applyBorder="1" applyAlignment="1">
      <alignment horizontal="center" vertical="center"/>
    </xf>
    <xf numFmtId="1" fontId="8767" fillId="8" borderId="1" xfId="0" applyNumberFormat="1" applyFont="1" applyFill="1" applyBorder="1" applyAlignment="1">
      <alignment horizontal="center" vertical="center"/>
    </xf>
    <xf numFmtId="1" fontId="8768" fillId="8" borderId="1" xfId="0" applyNumberFormat="1" applyFont="1" applyFill="1" applyBorder="1" applyAlignment="1">
      <alignment horizontal="center" vertical="center"/>
    </xf>
    <xf numFmtId="165" fontId="8769" fillId="8" borderId="1" xfId="0" applyNumberFormat="1" applyFont="1" applyFill="1" applyBorder="1" applyAlignment="1">
      <alignment horizontal="center" vertical="center"/>
    </xf>
    <xf numFmtId="1" fontId="8770" fillId="8" borderId="1" xfId="0" applyNumberFormat="1" applyFont="1" applyFill="1" applyBorder="1" applyAlignment="1">
      <alignment horizontal="center" vertical="center"/>
    </xf>
    <xf numFmtId="165" fontId="8771" fillId="8" borderId="1" xfId="0" applyNumberFormat="1" applyFont="1" applyFill="1" applyBorder="1" applyAlignment="1">
      <alignment horizontal="center" vertical="center"/>
    </xf>
    <xf numFmtId="1" fontId="8772" fillId="8" borderId="1" xfId="0" applyNumberFormat="1" applyFont="1" applyFill="1" applyBorder="1" applyAlignment="1">
      <alignment horizontal="center" vertical="center"/>
    </xf>
    <xf numFmtId="1" fontId="8773" fillId="8" borderId="1" xfId="0" applyNumberFormat="1" applyFont="1" applyFill="1" applyBorder="1" applyAlignment="1">
      <alignment horizontal="center" vertical="center"/>
    </xf>
    <xf numFmtId="1" fontId="8774" fillId="8" borderId="1" xfId="0" applyNumberFormat="1" applyFont="1" applyFill="1" applyBorder="1" applyAlignment="1">
      <alignment horizontal="center" vertical="center"/>
    </xf>
    <xf numFmtId="1" fontId="8775" fillId="8" borderId="1" xfId="0" applyNumberFormat="1" applyFont="1" applyFill="1" applyBorder="1" applyAlignment="1">
      <alignment horizontal="center" vertical="center"/>
    </xf>
    <xf numFmtId="165" fontId="8776" fillId="8" borderId="1" xfId="0" applyNumberFormat="1" applyFont="1" applyFill="1" applyBorder="1" applyAlignment="1">
      <alignment horizontal="center" vertical="center"/>
    </xf>
    <xf numFmtId="1" fontId="8777" fillId="8" borderId="1" xfId="0" applyNumberFormat="1" applyFont="1" applyFill="1" applyBorder="1" applyAlignment="1">
      <alignment horizontal="center" vertical="center"/>
    </xf>
    <xf numFmtId="165" fontId="8778" fillId="8" borderId="1" xfId="0" applyNumberFormat="1" applyFont="1" applyFill="1" applyBorder="1" applyAlignment="1">
      <alignment horizontal="center" vertical="center"/>
    </xf>
    <xf numFmtId="1" fontId="8779" fillId="8" borderId="1" xfId="0" applyNumberFormat="1" applyFont="1" applyFill="1" applyBorder="1" applyAlignment="1">
      <alignment horizontal="center" vertical="center"/>
    </xf>
    <xf numFmtId="165" fontId="8780" fillId="8" borderId="1" xfId="0" applyNumberFormat="1" applyFont="1" applyFill="1" applyBorder="1" applyAlignment="1">
      <alignment horizontal="center" vertical="center"/>
    </xf>
    <xf numFmtId="2" fontId="8781" fillId="8" borderId="1" xfId="0" applyNumberFormat="1" applyFont="1" applyFill="1" applyBorder="1" applyAlignment="1">
      <alignment horizontal="center" vertical="center"/>
    </xf>
    <xf numFmtId="2" fontId="8782" fillId="8" borderId="1" xfId="0" applyNumberFormat="1" applyFont="1" applyFill="1" applyBorder="1" applyAlignment="1">
      <alignment horizontal="center" vertical="center"/>
    </xf>
    <xf numFmtId="2" fontId="8783" fillId="8" borderId="1" xfId="0" applyNumberFormat="1" applyFont="1" applyFill="1" applyBorder="1" applyAlignment="1">
      <alignment horizontal="center" vertical="center"/>
    </xf>
    <xf numFmtId="2" fontId="8784" fillId="8" borderId="1" xfId="0" applyNumberFormat="1" applyFont="1" applyFill="1" applyBorder="1" applyAlignment="1">
      <alignment horizontal="center" vertical="center"/>
    </xf>
    <xf numFmtId="2" fontId="8785" fillId="8" borderId="1" xfId="0" applyNumberFormat="1" applyFont="1" applyFill="1" applyBorder="1" applyAlignment="1">
      <alignment horizontal="center" vertical="center"/>
    </xf>
    <xf numFmtId="2" fontId="8786" fillId="8" borderId="1" xfId="0" applyNumberFormat="1" applyFont="1" applyFill="1" applyBorder="1" applyAlignment="1">
      <alignment horizontal="center" vertical="center"/>
    </xf>
    <xf numFmtId="2" fontId="8787" fillId="8" borderId="1" xfId="0" applyNumberFormat="1" applyFont="1" applyFill="1" applyBorder="1" applyAlignment="1">
      <alignment horizontal="center" vertical="center"/>
    </xf>
    <xf numFmtId="2" fontId="8788" fillId="8" borderId="1" xfId="0" applyNumberFormat="1" applyFont="1" applyFill="1" applyBorder="1" applyAlignment="1">
      <alignment horizontal="center" vertical="center"/>
    </xf>
    <xf numFmtId="2" fontId="8789" fillId="8" borderId="1" xfId="0" applyNumberFormat="1" applyFont="1" applyFill="1" applyBorder="1" applyAlignment="1">
      <alignment horizontal="center" vertical="center"/>
    </xf>
    <xf numFmtId="2" fontId="8790" fillId="8" borderId="1" xfId="0" applyNumberFormat="1" applyFont="1" applyFill="1" applyBorder="1" applyAlignment="1">
      <alignment horizontal="center" vertical="center"/>
    </xf>
    <xf numFmtId="2" fontId="8791" fillId="8" borderId="1" xfId="0" applyNumberFormat="1" applyFont="1" applyFill="1" applyBorder="1" applyAlignment="1">
      <alignment horizontal="center" vertical="center"/>
    </xf>
    <xf numFmtId="2" fontId="8792" fillId="8" borderId="1" xfId="0" applyNumberFormat="1" applyFont="1" applyFill="1" applyBorder="1" applyAlignment="1">
      <alignment horizontal="center" vertical="center"/>
    </xf>
    <xf numFmtId="2" fontId="8793" fillId="8" borderId="1" xfId="0" applyNumberFormat="1" applyFont="1" applyFill="1" applyBorder="1" applyAlignment="1">
      <alignment horizontal="center" vertical="center"/>
    </xf>
    <xf numFmtId="2" fontId="8794" fillId="8" borderId="1" xfId="0" applyNumberFormat="1" applyFont="1" applyFill="1" applyBorder="1" applyAlignment="1">
      <alignment horizontal="center" vertical="center"/>
    </xf>
    <xf numFmtId="2" fontId="8795" fillId="8" borderId="1" xfId="0" applyNumberFormat="1" applyFont="1" applyFill="1" applyBorder="1" applyAlignment="1">
      <alignment horizontal="center" vertical="center"/>
    </xf>
    <xf numFmtId="2" fontId="8796" fillId="8" borderId="1" xfId="0" applyNumberFormat="1" applyFont="1" applyFill="1" applyBorder="1" applyAlignment="1">
      <alignment horizontal="center" vertical="center"/>
    </xf>
    <xf numFmtId="2" fontId="8797" fillId="8" borderId="1" xfId="0" applyNumberFormat="1" applyFont="1" applyFill="1" applyBorder="1" applyAlignment="1">
      <alignment horizontal="center" vertical="center"/>
    </xf>
    <xf numFmtId="2" fontId="8798" fillId="8" borderId="1" xfId="0" applyNumberFormat="1" applyFont="1" applyFill="1" applyBorder="1" applyAlignment="1">
      <alignment horizontal="center" vertical="center"/>
    </xf>
    <xf numFmtId="2" fontId="8799" fillId="8" borderId="1" xfId="0" applyNumberFormat="1" applyFont="1" applyFill="1" applyBorder="1" applyAlignment="1">
      <alignment horizontal="center" vertical="center"/>
    </xf>
    <xf numFmtId="2" fontId="8800" fillId="8" borderId="1" xfId="0" applyNumberFormat="1" applyFont="1" applyFill="1" applyBorder="1" applyAlignment="1">
      <alignment horizontal="center" vertical="center"/>
    </xf>
    <xf numFmtId="2" fontId="8801" fillId="8" borderId="1" xfId="0" applyNumberFormat="1" applyFont="1" applyFill="1" applyBorder="1" applyAlignment="1">
      <alignment horizontal="center" vertical="center"/>
    </xf>
    <xf numFmtId="2" fontId="8802" fillId="8" borderId="1" xfId="0" applyNumberFormat="1" applyFont="1" applyFill="1" applyBorder="1" applyAlignment="1">
      <alignment horizontal="center" vertical="center"/>
    </xf>
    <xf numFmtId="2" fontId="8803" fillId="8" borderId="1" xfId="0" applyNumberFormat="1" applyFont="1" applyFill="1" applyBorder="1" applyAlignment="1">
      <alignment horizontal="center" vertical="center"/>
    </xf>
    <xf numFmtId="2" fontId="8804" fillId="8" borderId="1" xfId="0" applyNumberFormat="1" applyFont="1" applyFill="1" applyBorder="1" applyAlignment="1">
      <alignment horizontal="center" vertical="center"/>
    </xf>
    <xf numFmtId="2" fontId="8805" fillId="8" borderId="1" xfId="0" applyNumberFormat="1" applyFont="1" applyFill="1" applyBorder="1" applyAlignment="1">
      <alignment horizontal="center" vertical="center"/>
    </xf>
    <xf numFmtId="2" fontId="8806" fillId="8" borderId="1" xfId="0" applyNumberFormat="1" applyFont="1" applyFill="1" applyBorder="1" applyAlignment="1">
      <alignment horizontal="center" vertical="center"/>
    </xf>
    <xf numFmtId="2" fontId="8807" fillId="8" borderId="1" xfId="0" applyNumberFormat="1" applyFont="1" applyFill="1" applyBorder="1" applyAlignment="1">
      <alignment horizontal="center" vertical="center"/>
    </xf>
    <xf numFmtId="2" fontId="8808" fillId="8" borderId="1" xfId="0" applyNumberFormat="1" applyFont="1" applyFill="1" applyBorder="1" applyAlignment="1">
      <alignment horizontal="center" vertical="center"/>
    </xf>
    <xf numFmtId="2" fontId="8809" fillId="8" borderId="1" xfId="0" applyNumberFormat="1" applyFont="1" applyFill="1" applyBorder="1" applyAlignment="1">
      <alignment horizontal="center" vertical="center"/>
    </xf>
    <xf numFmtId="2" fontId="8810" fillId="8" borderId="1" xfId="0" applyNumberFormat="1" applyFont="1" applyFill="1" applyBorder="1" applyAlignment="1">
      <alignment horizontal="center" vertical="center"/>
    </xf>
    <xf numFmtId="2" fontId="8811" fillId="8" borderId="1" xfId="0" applyNumberFormat="1" applyFont="1" applyFill="1" applyBorder="1" applyAlignment="1">
      <alignment horizontal="center" vertical="center"/>
    </xf>
    <xf numFmtId="2" fontId="8812" fillId="8" borderId="1" xfId="0" applyNumberFormat="1" applyFont="1" applyFill="1" applyBorder="1" applyAlignment="1">
      <alignment horizontal="center" vertical="center"/>
    </xf>
    <xf numFmtId="2" fontId="8813" fillId="8" borderId="1" xfId="0" applyNumberFormat="1" applyFont="1" applyFill="1" applyBorder="1" applyAlignment="1">
      <alignment horizontal="center" vertical="center"/>
    </xf>
    <xf numFmtId="2" fontId="8814" fillId="8" borderId="1" xfId="0" applyNumberFormat="1" applyFont="1" applyFill="1" applyBorder="1" applyAlignment="1">
      <alignment horizontal="center" vertical="center"/>
    </xf>
    <xf numFmtId="0" fontId="8815" fillId="7" borderId="1" xfId="0" applyNumberFormat="1" applyFont="1" applyFill="1" applyBorder="1" applyAlignment="1">
      <alignment horizontal="left" vertical="center"/>
    </xf>
    <xf numFmtId="0" fontId="8816" fillId="8" borderId="1" xfId="0" applyNumberFormat="1" applyFont="1" applyFill="1" applyBorder="1" applyAlignment="1">
      <alignment horizontal="center" vertical="center"/>
    </xf>
    <xf numFmtId="164" fontId="8817" fillId="8" borderId="1" xfId="0" applyNumberFormat="1" applyFont="1" applyFill="1" applyBorder="1" applyAlignment="1">
      <alignment horizontal="center" vertical="center"/>
    </xf>
    <xf numFmtId="1" fontId="8818" fillId="8" borderId="1" xfId="0" applyNumberFormat="1" applyFont="1" applyFill="1" applyBorder="1" applyAlignment="1">
      <alignment horizontal="center" vertical="center"/>
    </xf>
    <xf numFmtId="1" fontId="8819" fillId="8" borderId="1" xfId="0" applyNumberFormat="1" applyFont="1" applyFill="1" applyBorder="1" applyAlignment="1">
      <alignment horizontal="center" vertical="center"/>
    </xf>
    <xf numFmtId="1" fontId="8820" fillId="8" borderId="1" xfId="0" applyNumberFormat="1" applyFont="1" applyFill="1" applyBorder="1" applyAlignment="1">
      <alignment horizontal="center" vertical="center"/>
    </xf>
    <xf numFmtId="1" fontId="8821" fillId="8" borderId="1" xfId="0" applyNumberFormat="1" applyFont="1" applyFill="1" applyBorder="1" applyAlignment="1">
      <alignment horizontal="center" vertical="center"/>
    </xf>
    <xf numFmtId="1" fontId="8822" fillId="8" borderId="1" xfId="0" applyNumberFormat="1" applyFont="1" applyFill="1" applyBorder="1" applyAlignment="1">
      <alignment horizontal="center" vertical="center"/>
    </xf>
    <xf numFmtId="1" fontId="8823" fillId="8" borderId="1" xfId="0" applyNumberFormat="1" applyFont="1" applyFill="1" applyBorder="1" applyAlignment="1">
      <alignment horizontal="center" vertical="center"/>
    </xf>
    <xf numFmtId="1" fontId="8824" fillId="8" borderId="1" xfId="0" applyNumberFormat="1" applyFont="1" applyFill="1" applyBorder="1" applyAlignment="1">
      <alignment horizontal="center" vertical="center"/>
    </xf>
    <xf numFmtId="0" fontId="8825" fillId="8" borderId="1" xfId="0" applyNumberFormat="1" applyFont="1" applyFill="1" applyBorder="1" applyAlignment="1">
      <alignment horizontal="center" vertical="center"/>
    </xf>
    <xf numFmtId="0" fontId="8826" fillId="8" borderId="1" xfId="0" applyNumberFormat="1" applyFont="1" applyFill="1" applyBorder="1" applyAlignment="1">
      <alignment horizontal="center" vertical="center"/>
    </xf>
    <xf numFmtId="1" fontId="8827" fillId="8" borderId="1" xfId="0" applyNumberFormat="1" applyFont="1" applyFill="1" applyBorder="1" applyAlignment="1">
      <alignment horizontal="center" vertical="center"/>
    </xf>
    <xf numFmtId="1" fontId="8828" fillId="8" borderId="1" xfId="0" applyNumberFormat="1" applyFont="1" applyFill="1" applyBorder="1" applyAlignment="1">
      <alignment horizontal="center" vertical="center"/>
    </xf>
    <xf numFmtId="1" fontId="8829" fillId="8" borderId="1" xfId="0" applyNumberFormat="1" applyFont="1" applyFill="1" applyBorder="1" applyAlignment="1">
      <alignment horizontal="center" vertical="center"/>
    </xf>
    <xf numFmtId="165" fontId="8830" fillId="8" borderId="1" xfId="0" applyNumberFormat="1" applyFont="1" applyFill="1" applyBorder="1" applyAlignment="1">
      <alignment horizontal="center" vertical="center"/>
    </xf>
    <xf numFmtId="1" fontId="8831" fillId="8" borderId="1" xfId="0" applyNumberFormat="1" applyFont="1" applyFill="1" applyBorder="1" applyAlignment="1">
      <alignment horizontal="center" vertical="center"/>
    </xf>
    <xf numFmtId="165" fontId="8832" fillId="8" borderId="1" xfId="0" applyNumberFormat="1" applyFont="1" applyFill="1" applyBorder="1" applyAlignment="1">
      <alignment horizontal="center" vertical="center"/>
    </xf>
    <xf numFmtId="1" fontId="8833" fillId="8" borderId="1" xfId="0" applyNumberFormat="1" applyFont="1" applyFill="1" applyBorder="1" applyAlignment="1">
      <alignment horizontal="center" vertical="center"/>
    </xf>
    <xf numFmtId="165" fontId="8834" fillId="8" borderId="1" xfId="0" applyNumberFormat="1" applyFont="1" applyFill="1" applyBorder="1" applyAlignment="1">
      <alignment horizontal="center" vertical="center"/>
    </xf>
    <xf numFmtId="1" fontId="8835" fillId="8" borderId="1" xfId="0" applyNumberFormat="1" applyFont="1" applyFill="1" applyBorder="1" applyAlignment="1">
      <alignment horizontal="center" vertical="center"/>
    </xf>
    <xf numFmtId="165" fontId="8836" fillId="8" borderId="1" xfId="0" applyNumberFormat="1" applyFont="1" applyFill="1" applyBorder="1" applyAlignment="1">
      <alignment horizontal="center" vertical="center"/>
    </xf>
    <xf numFmtId="165" fontId="8837" fillId="8" borderId="1" xfId="0" applyNumberFormat="1" applyFont="1" applyFill="1" applyBorder="1" applyAlignment="1">
      <alignment horizontal="center" vertical="center"/>
    </xf>
    <xf numFmtId="1" fontId="8838" fillId="8" borderId="1" xfId="0" applyNumberFormat="1" applyFont="1" applyFill="1" applyBorder="1" applyAlignment="1">
      <alignment horizontal="center" vertical="center"/>
    </xf>
    <xf numFmtId="1" fontId="8839" fillId="8" borderId="1" xfId="0" applyNumberFormat="1" applyFont="1" applyFill="1" applyBorder="1" applyAlignment="1">
      <alignment horizontal="center" vertical="center"/>
    </xf>
    <xf numFmtId="1" fontId="8840" fillId="8" borderId="1" xfId="0" applyNumberFormat="1" applyFont="1" applyFill="1" applyBorder="1" applyAlignment="1">
      <alignment horizontal="center" vertical="center"/>
    </xf>
    <xf numFmtId="165" fontId="8841" fillId="8" borderId="1" xfId="0" applyNumberFormat="1" applyFont="1" applyFill="1" applyBorder="1" applyAlignment="1">
      <alignment horizontal="center" vertical="center"/>
    </xf>
    <xf numFmtId="164" fontId="8842" fillId="8" borderId="1" xfId="0" applyNumberFormat="1" applyFont="1" applyFill="1" applyBorder="1" applyAlignment="1">
      <alignment horizontal="center" vertical="center"/>
    </xf>
    <xf numFmtId="164" fontId="8843" fillId="8" borderId="1" xfId="0" applyNumberFormat="1" applyFont="1" applyFill="1" applyBorder="1" applyAlignment="1">
      <alignment horizontal="center" vertical="center"/>
    </xf>
    <xf numFmtId="1" fontId="8844" fillId="8" borderId="1" xfId="0" applyNumberFormat="1" applyFont="1" applyFill="1" applyBorder="1" applyAlignment="1">
      <alignment horizontal="center" vertical="center"/>
    </xf>
    <xf numFmtId="1" fontId="8845" fillId="8" borderId="1" xfId="0" applyNumberFormat="1" applyFont="1" applyFill="1" applyBorder="1" applyAlignment="1">
      <alignment horizontal="center" vertical="center"/>
    </xf>
    <xf numFmtId="1" fontId="8846" fillId="8" borderId="1" xfId="0" applyNumberFormat="1" applyFont="1" applyFill="1" applyBorder="1" applyAlignment="1">
      <alignment horizontal="center" vertical="center"/>
    </xf>
    <xf numFmtId="165" fontId="8847" fillId="8" borderId="1" xfId="0" applyNumberFormat="1" applyFont="1" applyFill="1" applyBorder="1" applyAlignment="1">
      <alignment horizontal="center" vertical="center"/>
    </xf>
    <xf numFmtId="1" fontId="8848" fillId="8" borderId="1" xfId="0" applyNumberFormat="1" applyFont="1" applyFill="1" applyBorder="1" applyAlignment="1">
      <alignment horizontal="center" vertical="center"/>
    </xf>
    <xf numFmtId="165" fontId="8849" fillId="8" borderId="1" xfId="0" applyNumberFormat="1" applyFont="1" applyFill="1" applyBorder="1" applyAlignment="1">
      <alignment horizontal="center" vertical="center"/>
    </xf>
    <xf numFmtId="1" fontId="8850" fillId="8" borderId="1" xfId="0" applyNumberFormat="1" applyFont="1" applyFill="1" applyBorder="1" applyAlignment="1">
      <alignment horizontal="center" vertical="center"/>
    </xf>
    <xf numFmtId="1" fontId="8851" fillId="8" borderId="1" xfId="0" applyNumberFormat="1" applyFont="1" applyFill="1" applyBorder="1" applyAlignment="1">
      <alignment horizontal="center" vertical="center"/>
    </xf>
    <xf numFmtId="1" fontId="8852" fillId="8" borderId="1" xfId="0" applyNumberFormat="1" applyFont="1" applyFill="1" applyBorder="1" applyAlignment="1">
      <alignment horizontal="center" vertical="center"/>
    </xf>
    <xf numFmtId="1" fontId="8853" fillId="8" borderId="1" xfId="0" applyNumberFormat="1" applyFont="1" applyFill="1" applyBorder="1" applyAlignment="1">
      <alignment horizontal="center" vertical="center"/>
    </xf>
    <xf numFmtId="165" fontId="8854" fillId="8" borderId="1" xfId="0" applyNumberFormat="1" applyFont="1" applyFill="1" applyBorder="1" applyAlignment="1">
      <alignment horizontal="center" vertical="center"/>
    </xf>
    <xf numFmtId="1" fontId="8855" fillId="8" borderId="1" xfId="0" applyNumberFormat="1" applyFont="1" applyFill="1" applyBorder="1" applyAlignment="1">
      <alignment horizontal="center" vertical="center"/>
    </xf>
    <xf numFmtId="165" fontId="8856" fillId="8" borderId="1" xfId="0" applyNumberFormat="1" applyFont="1" applyFill="1" applyBorder="1" applyAlignment="1">
      <alignment horizontal="center" vertical="center"/>
    </xf>
    <xf numFmtId="1" fontId="8857" fillId="8" borderId="1" xfId="0" applyNumberFormat="1" applyFont="1" applyFill="1" applyBorder="1" applyAlignment="1">
      <alignment horizontal="center" vertical="center"/>
    </xf>
    <xf numFmtId="165" fontId="8858" fillId="8" borderId="1" xfId="0" applyNumberFormat="1" applyFont="1" applyFill="1" applyBorder="1" applyAlignment="1">
      <alignment horizontal="center" vertical="center"/>
    </xf>
    <xf numFmtId="2" fontId="8859" fillId="8" borderId="1" xfId="0" applyNumberFormat="1" applyFont="1" applyFill="1" applyBorder="1" applyAlignment="1">
      <alignment horizontal="center" vertical="center"/>
    </xf>
    <xf numFmtId="2" fontId="8860" fillId="8" borderId="1" xfId="0" applyNumberFormat="1" applyFont="1" applyFill="1" applyBorder="1" applyAlignment="1">
      <alignment horizontal="center" vertical="center"/>
    </xf>
    <xf numFmtId="2" fontId="8861" fillId="8" borderId="1" xfId="0" applyNumberFormat="1" applyFont="1" applyFill="1" applyBorder="1" applyAlignment="1">
      <alignment horizontal="center" vertical="center"/>
    </xf>
    <xf numFmtId="2" fontId="8862" fillId="8" borderId="1" xfId="0" applyNumberFormat="1" applyFont="1" applyFill="1" applyBorder="1" applyAlignment="1">
      <alignment horizontal="center" vertical="center"/>
    </xf>
    <xf numFmtId="2" fontId="8863" fillId="8" borderId="1" xfId="0" applyNumberFormat="1" applyFont="1" applyFill="1" applyBorder="1" applyAlignment="1">
      <alignment horizontal="center" vertical="center"/>
    </xf>
    <xf numFmtId="2" fontId="8864" fillId="8" borderId="1" xfId="0" applyNumberFormat="1" applyFont="1" applyFill="1" applyBorder="1" applyAlignment="1">
      <alignment horizontal="center" vertical="center"/>
    </xf>
    <xf numFmtId="2" fontId="8865" fillId="8" borderId="1" xfId="0" applyNumberFormat="1" applyFont="1" applyFill="1" applyBorder="1" applyAlignment="1">
      <alignment horizontal="center" vertical="center"/>
    </xf>
    <xf numFmtId="2" fontId="8866" fillId="8" borderId="1" xfId="0" applyNumberFormat="1" applyFont="1" applyFill="1" applyBorder="1" applyAlignment="1">
      <alignment horizontal="center" vertical="center"/>
    </xf>
    <xf numFmtId="2" fontId="8867" fillId="8" borderId="1" xfId="0" applyNumberFormat="1" applyFont="1" applyFill="1" applyBorder="1" applyAlignment="1">
      <alignment horizontal="center" vertical="center"/>
    </xf>
    <xf numFmtId="2" fontId="8868" fillId="8" borderId="1" xfId="0" applyNumberFormat="1" applyFont="1" applyFill="1" applyBorder="1" applyAlignment="1">
      <alignment horizontal="center" vertical="center"/>
    </xf>
    <xf numFmtId="2" fontId="8869" fillId="8" borderId="1" xfId="0" applyNumberFormat="1" applyFont="1" applyFill="1" applyBorder="1" applyAlignment="1">
      <alignment horizontal="center" vertical="center"/>
    </xf>
    <xf numFmtId="2" fontId="8870" fillId="8" borderId="1" xfId="0" applyNumberFormat="1" applyFont="1" applyFill="1" applyBorder="1" applyAlignment="1">
      <alignment horizontal="center" vertical="center"/>
    </xf>
    <xf numFmtId="2" fontId="8871" fillId="8" borderId="1" xfId="0" applyNumberFormat="1" applyFont="1" applyFill="1" applyBorder="1" applyAlignment="1">
      <alignment horizontal="center" vertical="center"/>
    </xf>
    <xf numFmtId="2" fontId="8872" fillId="8" borderId="1" xfId="0" applyNumberFormat="1" applyFont="1" applyFill="1" applyBorder="1" applyAlignment="1">
      <alignment horizontal="center" vertical="center"/>
    </xf>
    <xf numFmtId="2" fontId="8873" fillId="8" borderId="1" xfId="0" applyNumberFormat="1" applyFont="1" applyFill="1" applyBorder="1" applyAlignment="1">
      <alignment horizontal="center" vertical="center"/>
    </xf>
    <xf numFmtId="2" fontId="8874" fillId="8" borderId="1" xfId="0" applyNumberFormat="1" applyFont="1" applyFill="1" applyBorder="1" applyAlignment="1">
      <alignment horizontal="center" vertical="center"/>
    </xf>
    <xf numFmtId="2" fontId="8875" fillId="8" borderId="1" xfId="0" applyNumberFormat="1" applyFont="1" applyFill="1" applyBorder="1" applyAlignment="1">
      <alignment horizontal="center" vertical="center"/>
    </xf>
    <xf numFmtId="2" fontId="8876" fillId="8" borderId="1" xfId="0" applyNumberFormat="1" applyFont="1" applyFill="1" applyBorder="1" applyAlignment="1">
      <alignment horizontal="center" vertical="center"/>
    </xf>
    <xf numFmtId="2" fontId="8877" fillId="8" borderId="1" xfId="0" applyNumberFormat="1" applyFont="1" applyFill="1" applyBorder="1" applyAlignment="1">
      <alignment horizontal="center" vertical="center"/>
    </xf>
    <xf numFmtId="2" fontId="8878" fillId="8" borderId="1" xfId="0" applyNumberFormat="1" applyFont="1" applyFill="1" applyBorder="1" applyAlignment="1">
      <alignment horizontal="center" vertical="center"/>
    </xf>
    <xf numFmtId="2" fontId="8879" fillId="8" borderId="1" xfId="0" applyNumberFormat="1" applyFont="1" applyFill="1" applyBorder="1" applyAlignment="1">
      <alignment horizontal="center" vertical="center"/>
    </xf>
    <xf numFmtId="2" fontId="8880" fillId="8" borderId="1" xfId="0" applyNumberFormat="1" applyFont="1" applyFill="1" applyBorder="1" applyAlignment="1">
      <alignment horizontal="center" vertical="center"/>
    </xf>
    <xf numFmtId="2" fontId="8881" fillId="8" borderId="1" xfId="0" applyNumberFormat="1" applyFont="1" applyFill="1" applyBorder="1" applyAlignment="1">
      <alignment horizontal="center" vertical="center"/>
    </xf>
    <xf numFmtId="2" fontId="8882" fillId="8" borderId="1" xfId="0" applyNumberFormat="1" applyFont="1" applyFill="1" applyBorder="1" applyAlignment="1">
      <alignment horizontal="center" vertical="center"/>
    </xf>
    <xf numFmtId="2" fontId="8883" fillId="8" borderId="1" xfId="0" applyNumberFormat="1" applyFont="1" applyFill="1" applyBorder="1" applyAlignment="1">
      <alignment horizontal="center" vertical="center"/>
    </xf>
    <xf numFmtId="2" fontId="8884" fillId="8" borderId="1" xfId="0" applyNumberFormat="1" applyFont="1" applyFill="1" applyBorder="1" applyAlignment="1">
      <alignment horizontal="center" vertical="center"/>
    </xf>
    <xf numFmtId="2" fontId="8885" fillId="8" borderId="1" xfId="0" applyNumberFormat="1" applyFont="1" applyFill="1" applyBorder="1" applyAlignment="1">
      <alignment horizontal="center" vertical="center"/>
    </xf>
    <xf numFmtId="2" fontId="8886" fillId="8" borderId="1" xfId="0" applyNumberFormat="1" applyFont="1" applyFill="1" applyBorder="1" applyAlignment="1">
      <alignment horizontal="center" vertical="center"/>
    </xf>
    <xf numFmtId="2" fontId="8887" fillId="8" borderId="1" xfId="0" applyNumberFormat="1" applyFont="1" applyFill="1" applyBorder="1" applyAlignment="1">
      <alignment horizontal="center" vertical="center"/>
    </xf>
    <xf numFmtId="2" fontId="8888" fillId="8" borderId="1" xfId="0" applyNumberFormat="1" applyFont="1" applyFill="1" applyBorder="1" applyAlignment="1">
      <alignment horizontal="center" vertical="center"/>
    </xf>
    <xf numFmtId="2" fontId="8889" fillId="8" borderId="1" xfId="0" applyNumberFormat="1" applyFont="1" applyFill="1" applyBorder="1" applyAlignment="1">
      <alignment horizontal="center" vertical="center"/>
    </xf>
    <xf numFmtId="2" fontId="8890" fillId="8" borderId="1" xfId="0" applyNumberFormat="1" applyFont="1" applyFill="1" applyBorder="1" applyAlignment="1">
      <alignment horizontal="center" vertical="center"/>
    </xf>
    <xf numFmtId="2" fontId="8891" fillId="8" borderId="1" xfId="0" applyNumberFormat="1" applyFont="1" applyFill="1" applyBorder="1" applyAlignment="1">
      <alignment horizontal="center" vertical="center"/>
    </xf>
    <xf numFmtId="2" fontId="8892" fillId="8" borderId="1" xfId="0" applyNumberFormat="1" applyFont="1" applyFill="1" applyBorder="1" applyAlignment="1">
      <alignment horizontal="center" vertical="center"/>
    </xf>
    <xf numFmtId="0" fontId="8893" fillId="7" borderId="1" xfId="0" applyNumberFormat="1" applyFont="1" applyFill="1" applyBorder="1" applyAlignment="1">
      <alignment horizontal="left" vertical="center"/>
    </xf>
    <xf numFmtId="0" fontId="8894" fillId="8" borderId="1" xfId="0" applyNumberFormat="1" applyFont="1" applyFill="1" applyBorder="1" applyAlignment="1">
      <alignment horizontal="center" vertical="center"/>
    </xf>
    <xf numFmtId="164" fontId="8895" fillId="8" borderId="1" xfId="0" applyNumberFormat="1" applyFont="1" applyFill="1" applyBorder="1" applyAlignment="1">
      <alignment horizontal="center" vertical="center"/>
    </xf>
    <xf numFmtId="1" fontId="8896" fillId="8" borderId="1" xfId="0" applyNumberFormat="1" applyFont="1" applyFill="1" applyBorder="1" applyAlignment="1">
      <alignment horizontal="center" vertical="center"/>
    </xf>
    <xf numFmtId="1" fontId="8897" fillId="8" borderId="1" xfId="0" applyNumberFormat="1" applyFont="1" applyFill="1" applyBorder="1" applyAlignment="1">
      <alignment horizontal="center" vertical="center"/>
    </xf>
    <xf numFmtId="1" fontId="8898" fillId="8" borderId="1" xfId="0" applyNumberFormat="1" applyFont="1" applyFill="1" applyBorder="1" applyAlignment="1">
      <alignment horizontal="center" vertical="center"/>
    </xf>
    <xf numFmtId="1" fontId="8899" fillId="8" borderId="1" xfId="0" applyNumberFormat="1" applyFont="1" applyFill="1" applyBorder="1" applyAlignment="1">
      <alignment horizontal="center" vertical="center"/>
    </xf>
    <xf numFmtId="1" fontId="8900" fillId="8" borderId="1" xfId="0" applyNumberFormat="1" applyFont="1" applyFill="1" applyBorder="1" applyAlignment="1">
      <alignment horizontal="center" vertical="center"/>
    </xf>
    <xf numFmtId="1" fontId="8901" fillId="8" borderId="1" xfId="0" applyNumberFormat="1" applyFont="1" applyFill="1" applyBorder="1" applyAlignment="1">
      <alignment horizontal="center" vertical="center"/>
    </xf>
    <xf numFmtId="1" fontId="8902" fillId="8" borderId="1" xfId="0" applyNumberFormat="1" applyFont="1" applyFill="1" applyBorder="1" applyAlignment="1">
      <alignment horizontal="center" vertical="center"/>
    </xf>
    <xf numFmtId="0" fontId="8903" fillId="8" borderId="1" xfId="0" applyNumberFormat="1" applyFont="1" applyFill="1" applyBorder="1" applyAlignment="1">
      <alignment horizontal="center" vertical="center"/>
    </xf>
    <xf numFmtId="0" fontId="8904" fillId="8" borderId="1" xfId="0" applyNumberFormat="1" applyFont="1" applyFill="1" applyBorder="1" applyAlignment="1">
      <alignment horizontal="center" vertical="center"/>
    </xf>
    <xf numFmtId="1" fontId="8905" fillId="8" borderId="1" xfId="0" applyNumberFormat="1" applyFont="1" applyFill="1" applyBorder="1" applyAlignment="1">
      <alignment horizontal="center" vertical="center"/>
    </xf>
    <xf numFmtId="1" fontId="8906" fillId="8" borderId="1" xfId="0" applyNumberFormat="1" applyFont="1" applyFill="1" applyBorder="1" applyAlignment="1">
      <alignment horizontal="center" vertical="center"/>
    </xf>
    <xf numFmtId="1" fontId="8907" fillId="8" borderId="1" xfId="0" applyNumberFormat="1" applyFont="1" applyFill="1" applyBorder="1" applyAlignment="1">
      <alignment horizontal="center" vertical="center"/>
    </xf>
    <xf numFmtId="165" fontId="8908" fillId="8" borderId="1" xfId="0" applyNumberFormat="1" applyFont="1" applyFill="1" applyBorder="1" applyAlignment="1">
      <alignment horizontal="center" vertical="center"/>
    </xf>
    <xf numFmtId="1" fontId="8909" fillId="8" borderId="1" xfId="0" applyNumberFormat="1" applyFont="1" applyFill="1" applyBorder="1" applyAlignment="1">
      <alignment horizontal="center" vertical="center"/>
    </xf>
    <xf numFmtId="165" fontId="8910" fillId="8" borderId="1" xfId="0" applyNumberFormat="1" applyFont="1" applyFill="1" applyBorder="1" applyAlignment="1">
      <alignment horizontal="center" vertical="center"/>
    </xf>
    <xf numFmtId="1" fontId="8911" fillId="8" borderId="1" xfId="0" applyNumberFormat="1" applyFont="1" applyFill="1" applyBorder="1" applyAlignment="1">
      <alignment horizontal="center" vertical="center"/>
    </xf>
    <xf numFmtId="165" fontId="8912" fillId="8" borderId="1" xfId="0" applyNumberFormat="1" applyFont="1" applyFill="1" applyBorder="1" applyAlignment="1">
      <alignment horizontal="center" vertical="center"/>
    </xf>
    <xf numFmtId="1" fontId="8913" fillId="8" borderId="1" xfId="0" applyNumberFormat="1" applyFont="1" applyFill="1" applyBorder="1" applyAlignment="1">
      <alignment horizontal="center" vertical="center"/>
    </xf>
    <xf numFmtId="165" fontId="8914" fillId="8" borderId="1" xfId="0" applyNumberFormat="1" applyFont="1" applyFill="1" applyBorder="1" applyAlignment="1">
      <alignment horizontal="center" vertical="center"/>
    </xf>
    <xf numFmtId="165" fontId="8915" fillId="8" borderId="1" xfId="0" applyNumberFormat="1" applyFont="1" applyFill="1" applyBorder="1" applyAlignment="1">
      <alignment horizontal="center" vertical="center"/>
    </xf>
    <xf numFmtId="1" fontId="8916" fillId="8" borderId="1" xfId="0" applyNumberFormat="1" applyFont="1" applyFill="1" applyBorder="1" applyAlignment="1">
      <alignment horizontal="center" vertical="center"/>
    </xf>
    <xf numFmtId="1" fontId="8917" fillId="8" borderId="1" xfId="0" applyNumberFormat="1" applyFont="1" applyFill="1" applyBorder="1" applyAlignment="1">
      <alignment horizontal="center" vertical="center"/>
    </xf>
    <xf numFmtId="1" fontId="8918" fillId="8" borderId="1" xfId="0" applyNumberFormat="1" applyFont="1" applyFill="1" applyBorder="1" applyAlignment="1">
      <alignment horizontal="center" vertical="center"/>
    </xf>
    <xf numFmtId="165" fontId="8919" fillId="8" borderId="1" xfId="0" applyNumberFormat="1" applyFont="1" applyFill="1" applyBorder="1" applyAlignment="1">
      <alignment horizontal="center" vertical="center"/>
    </xf>
    <xf numFmtId="164" fontId="8920" fillId="8" borderId="1" xfId="0" applyNumberFormat="1" applyFont="1" applyFill="1" applyBorder="1" applyAlignment="1">
      <alignment horizontal="center" vertical="center"/>
    </xf>
    <xf numFmtId="164" fontId="8921" fillId="8" borderId="1" xfId="0" applyNumberFormat="1" applyFont="1" applyFill="1" applyBorder="1" applyAlignment="1">
      <alignment horizontal="center" vertical="center"/>
    </xf>
    <xf numFmtId="1" fontId="8922" fillId="8" borderId="1" xfId="0" applyNumberFormat="1" applyFont="1" applyFill="1" applyBorder="1" applyAlignment="1">
      <alignment horizontal="center" vertical="center"/>
    </xf>
    <xf numFmtId="1" fontId="8923" fillId="8" borderId="1" xfId="0" applyNumberFormat="1" applyFont="1" applyFill="1" applyBorder="1" applyAlignment="1">
      <alignment horizontal="center" vertical="center"/>
    </xf>
    <xf numFmtId="1" fontId="8924" fillId="8" borderId="1" xfId="0" applyNumberFormat="1" applyFont="1" applyFill="1" applyBorder="1" applyAlignment="1">
      <alignment horizontal="center" vertical="center"/>
    </xf>
    <xf numFmtId="165" fontId="8925" fillId="8" borderId="1" xfId="0" applyNumberFormat="1" applyFont="1" applyFill="1" applyBorder="1" applyAlignment="1">
      <alignment horizontal="center" vertical="center"/>
    </xf>
    <xf numFmtId="1" fontId="8926" fillId="8" borderId="1" xfId="0" applyNumberFormat="1" applyFont="1" applyFill="1" applyBorder="1" applyAlignment="1">
      <alignment horizontal="center" vertical="center"/>
    </xf>
    <xf numFmtId="165" fontId="8927" fillId="8" borderId="1" xfId="0" applyNumberFormat="1" applyFont="1" applyFill="1" applyBorder="1" applyAlignment="1">
      <alignment horizontal="center" vertical="center"/>
    </xf>
    <xf numFmtId="1" fontId="8928" fillId="8" borderId="1" xfId="0" applyNumberFormat="1" applyFont="1" applyFill="1" applyBorder="1" applyAlignment="1">
      <alignment horizontal="center" vertical="center"/>
    </xf>
    <xf numFmtId="1" fontId="8929" fillId="8" borderId="1" xfId="0" applyNumberFormat="1" applyFont="1" applyFill="1" applyBorder="1" applyAlignment="1">
      <alignment horizontal="center" vertical="center"/>
    </xf>
    <xf numFmtId="1" fontId="8930" fillId="8" borderId="1" xfId="0" applyNumberFormat="1" applyFont="1" applyFill="1" applyBorder="1" applyAlignment="1">
      <alignment horizontal="center" vertical="center"/>
    </xf>
    <xf numFmtId="1" fontId="8931" fillId="8" borderId="1" xfId="0" applyNumberFormat="1" applyFont="1" applyFill="1" applyBorder="1" applyAlignment="1">
      <alignment horizontal="center" vertical="center"/>
    </xf>
    <xf numFmtId="165" fontId="8932" fillId="8" borderId="1" xfId="0" applyNumberFormat="1" applyFont="1" applyFill="1" applyBorder="1" applyAlignment="1">
      <alignment horizontal="center" vertical="center"/>
    </xf>
    <xf numFmtId="1" fontId="8933" fillId="8" borderId="1" xfId="0" applyNumberFormat="1" applyFont="1" applyFill="1" applyBorder="1" applyAlignment="1">
      <alignment horizontal="center" vertical="center"/>
    </xf>
    <xf numFmtId="165" fontId="8934" fillId="8" borderId="1" xfId="0" applyNumberFormat="1" applyFont="1" applyFill="1" applyBorder="1" applyAlignment="1">
      <alignment horizontal="center" vertical="center"/>
    </xf>
    <xf numFmtId="1" fontId="8935" fillId="8" borderId="1" xfId="0" applyNumberFormat="1" applyFont="1" applyFill="1" applyBorder="1" applyAlignment="1">
      <alignment horizontal="center" vertical="center"/>
    </xf>
    <xf numFmtId="165" fontId="8936" fillId="8" borderId="1" xfId="0" applyNumberFormat="1" applyFont="1" applyFill="1" applyBorder="1" applyAlignment="1">
      <alignment horizontal="center" vertical="center"/>
    </xf>
    <xf numFmtId="2" fontId="8937" fillId="8" borderId="1" xfId="0" applyNumberFormat="1" applyFont="1" applyFill="1" applyBorder="1" applyAlignment="1">
      <alignment horizontal="center" vertical="center"/>
    </xf>
    <xf numFmtId="2" fontId="8938" fillId="8" borderId="1" xfId="0" applyNumberFormat="1" applyFont="1" applyFill="1" applyBorder="1" applyAlignment="1">
      <alignment horizontal="center" vertical="center"/>
    </xf>
    <xf numFmtId="2" fontId="8939" fillId="8" borderId="1" xfId="0" applyNumberFormat="1" applyFont="1" applyFill="1" applyBorder="1" applyAlignment="1">
      <alignment horizontal="center" vertical="center"/>
    </xf>
    <xf numFmtId="2" fontId="8940" fillId="8" borderId="1" xfId="0" applyNumberFormat="1" applyFont="1" applyFill="1" applyBorder="1" applyAlignment="1">
      <alignment horizontal="center" vertical="center"/>
    </xf>
    <xf numFmtId="2" fontId="8941" fillId="8" borderId="1" xfId="0" applyNumberFormat="1" applyFont="1" applyFill="1" applyBorder="1" applyAlignment="1">
      <alignment horizontal="center" vertical="center"/>
    </xf>
    <xf numFmtId="2" fontId="8942" fillId="8" borderId="1" xfId="0" applyNumberFormat="1" applyFont="1" applyFill="1" applyBorder="1" applyAlignment="1">
      <alignment horizontal="center" vertical="center"/>
    </xf>
    <xf numFmtId="2" fontId="8943" fillId="8" borderId="1" xfId="0" applyNumberFormat="1" applyFont="1" applyFill="1" applyBorder="1" applyAlignment="1">
      <alignment horizontal="center" vertical="center"/>
    </xf>
    <xf numFmtId="2" fontId="8944" fillId="8" borderId="1" xfId="0" applyNumberFormat="1" applyFont="1" applyFill="1" applyBorder="1" applyAlignment="1">
      <alignment horizontal="center" vertical="center"/>
    </xf>
    <xf numFmtId="2" fontId="8945" fillId="8" borderId="1" xfId="0" applyNumberFormat="1" applyFont="1" applyFill="1" applyBorder="1" applyAlignment="1">
      <alignment horizontal="center" vertical="center"/>
    </xf>
    <xf numFmtId="2" fontId="8946" fillId="8" borderId="1" xfId="0" applyNumberFormat="1" applyFont="1" applyFill="1" applyBorder="1" applyAlignment="1">
      <alignment horizontal="center" vertical="center"/>
    </xf>
    <xf numFmtId="2" fontId="8947" fillId="8" borderId="1" xfId="0" applyNumberFormat="1" applyFont="1" applyFill="1" applyBorder="1" applyAlignment="1">
      <alignment horizontal="center" vertical="center"/>
    </xf>
    <xf numFmtId="2" fontId="8948" fillId="8" borderId="1" xfId="0" applyNumberFormat="1" applyFont="1" applyFill="1" applyBorder="1" applyAlignment="1">
      <alignment horizontal="center" vertical="center"/>
    </xf>
    <xf numFmtId="2" fontId="8949" fillId="8" borderId="1" xfId="0" applyNumberFormat="1" applyFont="1" applyFill="1" applyBorder="1" applyAlignment="1">
      <alignment horizontal="center" vertical="center"/>
    </xf>
    <xf numFmtId="2" fontId="8950" fillId="8" borderId="1" xfId="0" applyNumberFormat="1" applyFont="1" applyFill="1" applyBorder="1" applyAlignment="1">
      <alignment horizontal="center" vertical="center"/>
    </xf>
    <xf numFmtId="2" fontId="8951" fillId="8" borderId="1" xfId="0" applyNumberFormat="1" applyFont="1" applyFill="1" applyBorder="1" applyAlignment="1">
      <alignment horizontal="center" vertical="center"/>
    </xf>
    <xf numFmtId="2" fontId="8952" fillId="8" borderId="1" xfId="0" applyNumberFormat="1" applyFont="1" applyFill="1" applyBorder="1" applyAlignment="1">
      <alignment horizontal="center" vertical="center"/>
    </xf>
    <xf numFmtId="2" fontId="8953" fillId="8" borderId="1" xfId="0" applyNumberFormat="1" applyFont="1" applyFill="1" applyBorder="1" applyAlignment="1">
      <alignment horizontal="center" vertical="center"/>
    </xf>
    <xf numFmtId="2" fontId="8954" fillId="8" borderId="1" xfId="0" applyNumberFormat="1" applyFont="1" applyFill="1" applyBorder="1" applyAlignment="1">
      <alignment horizontal="center" vertical="center"/>
    </xf>
    <xf numFmtId="2" fontId="8955" fillId="8" borderId="1" xfId="0" applyNumberFormat="1" applyFont="1" applyFill="1" applyBorder="1" applyAlignment="1">
      <alignment horizontal="center" vertical="center"/>
    </xf>
    <xf numFmtId="2" fontId="8956" fillId="8" borderId="1" xfId="0" applyNumberFormat="1" applyFont="1" applyFill="1" applyBorder="1" applyAlignment="1">
      <alignment horizontal="center" vertical="center"/>
    </xf>
    <xf numFmtId="2" fontId="8957" fillId="8" borderId="1" xfId="0" applyNumberFormat="1" applyFont="1" applyFill="1" applyBorder="1" applyAlignment="1">
      <alignment horizontal="center" vertical="center"/>
    </xf>
    <xf numFmtId="2" fontId="8958" fillId="8" borderId="1" xfId="0" applyNumberFormat="1" applyFont="1" applyFill="1" applyBorder="1" applyAlignment="1">
      <alignment horizontal="center" vertical="center"/>
    </xf>
    <xf numFmtId="2" fontId="8959" fillId="8" borderId="1" xfId="0" applyNumberFormat="1" applyFont="1" applyFill="1" applyBorder="1" applyAlignment="1">
      <alignment horizontal="center" vertical="center"/>
    </xf>
    <xf numFmtId="2" fontId="8960" fillId="8" borderId="1" xfId="0" applyNumberFormat="1" applyFont="1" applyFill="1" applyBorder="1" applyAlignment="1">
      <alignment horizontal="center" vertical="center"/>
    </xf>
    <xf numFmtId="2" fontId="8961" fillId="8" borderId="1" xfId="0" applyNumberFormat="1" applyFont="1" applyFill="1" applyBorder="1" applyAlignment="1">
      <alignment horizontal="center" vertical="center"/>
    </xf>
    <xf numFmtId="2" fontId="8962" fillId="8" borderId="1" xfId="0" applyNumberFormat="1" applyFont="1" applyFill="1" applyBorder="1" applyAlignment="1">
      <alignment horizontal="center" vertical="center"/>
    </xf>
    <xf numFmtId="2" fontId="8963" fillId="8" borderId="1" xfId="0" applyNumberFormat="1" applyFont="1" applyFill="1" applyBorder="1" applyAlignment="1">
      <alignment horizontal="center" vertical="center"/>
    </xf>
    <xf numFmtId="2" fontId="8964" fillId="8" borderId="1" xfId="0" applyNumberFormat="1" applyFont="1" applyFill="1" applyBorder="1" applyAlignment="1">
      <alignment horizontal="center" vertical="center"/>
    </xf>
    <xf numFmtId="2" fontId="8965" fillId="8" borderId="1" xfId="0" applyNumberFormat="1" applyFont="1" applyFill="1" applyBorder="1" applyAlignment="1">
      <alignment horizontal="center" vertical="center"/>
    </xf>
    <xf numFmtId="2" fontId="8966" fillId="8" borderId="1" xfId="0" applyNumberFormat="1" applyFont="1" applyFill="1" applyBorder="1" applyAlignment="1">
      <alignment horizontal="center" vertical="center"/>
    </xf>
    <xf numFmtId="2" fontId="8967" fillId="8" borderId="1" xfId="0" applyNumberFormat="1" applyFont="1" applyFill="1" applyBorder="1" applyAlignment="1">
      <alignment horizontal="center" vertical="center"/>
    </xf>
    <xf numFmtId="2" fontId="8968" fillId="8" borderId="1" xfId="0" applyNumberFormat="1" applyFont="1" applyFill="1" applyBorder="1" applyAlignment="1">
      <alignment horizontal="center" vertical="center"/>
    </xf>
    <xf numFmtId="2" fontId="8969" fillId="8" borderId="1" xfId="0" applyNumberFormat="1" applyFont="1" applyFill="1" applyBorder="1" applyAlignment="1">
      <alignment horizontal="center" vertical="center"/>
    </xf>
    <xf numFmtId="2" fontId="8970" fillId="8" borderId="1" xfId="0" applyNumberFormat="1" applyFont="1" applyFill="1" applyBorder="1" applyAlignment="1">
      <alignment horizontal="center" vertical="center"/>
    </xf>
    <xf numFmtId="0" fontId="8971" fillId="7" borderId="1" xfId="0" applyNumberFormat="1" applyFont="1" applyFill="1" applyBorder="1" applyAlignment="1">
      <alignment horizontal="left" vertical="center"/>
    </xf>
    <xf numFmtId="0" fontId="8972" fillId="8" borderId="1" xfId="0" applyNumberFormat="1" applyFont="1" applyFill="1" applyBorder="1" applyAlignment="1">
      <alignment horizontal="center" vertical="center"/>
    </xf>
    <xf numFmtId="164" fontId="8973" fillId="8" borderId="1" xfId="0" applyNumberFormat="1" applyFont="1" applyFill="1" applyBorder="1" applyAlignment="1">
      <alignment horizontal="center" vertical="center"/>
    </xf>
    <xf numFmtId="1" fontId="8974" fillId="8" borderId="1" xfId="0" applyNumberFormat="1" applyFont="1" applyFill="1" applyBorder="1" applyAlignment="1">
      <alignment horizontal="center" vertical="center"/>
    </xf>
    <xf numFmtId="1" fontId="8975" fillId="8" borderId="1" xfId="0" applyNumberFormat="1" applyFont="1" applyFill="1" applyBorder="1" applyAlignment="1">
      <alignment horizontal="center" vertical="center"/>
    </xf>
    <xf numFmtId="1" fontId="8976" fillId="8" borderId="1" xfId="0" applyNumberFormat="1" applyFont="1" applyFill="1" applyBorder="1" applyAlignment="1">
      <alignment horizontal="center" vertical="center"/>
    </xf>
    <xf numFmtId="1" fontId="8977" fillId="8" borderId="1" xfId="0" applyNumberFormat="1" applyFont="1" applyFill="1" applyBorder="1" applyAlignment="1">
      <alignment horizontal="center" vertical="center"/>
    </xf>
    <xf numFmtId="1" fontId="8978" fillId="8" borderId="1" xfId="0" applyNumberFormat="1" applyFont="1" applyFill="1" applyBorder="1" applyAlignment="1">
      <alignment horizontal="center" vertical="center"/>
    </xf>
    <xf numFmtId="1" fontId="8979" fillId="8" borderId="1" xfId="0" applyNumberFormat="1" applyFont="1" applyFill="1" applyBorder="1" applyAlignment="1">
      <alignment horizontal="center" vertical="center"/>
    </xf>
    <xf numFmtId="1" fontId="8980" fillId="8" borderId="1" xfId="0" applyNumberFormat="1" applyFont="1" applyFill="1" applyBorder="1" applyAlignment="1">
      <alignment horizontal="center" vertical="center"/>
    </xf>
    <xf numFmtId="0" fontId="8981" fillId="8" borderId="1" xfId="0" applyNumberFormat="1" applyFont="1" applyFill="1" applyBorder="1" applyAlignment="1">
      <alignment horizontal="center" vertical="center"/>
    </xf>
    <xf numFmtId="0" fontId="8982" fillId="8" borderId="1" xfId="0" applyNumberFormat="1" applyFont="1" applyFill="1" applyBorder="1" applyAlignment="1">
      <alignment horizontal="center" vertical="center"/>
    </xf>
    <xf numFmtId="1" fontId="8983" fillId="8" borderId="1" xfId="0" applyNumberFormat="1" applyFont="1" applyFill="1" applyBorder="1" applyAlignment="1">
      <alignment horizontal="center" vertical="center"/>
    </xf>
    <xf numFmtId="1" fontId="8984" fillId="8" borderId="1" xfId="0" applyNumberFormat="1" applyFont="1" applyFill="1" applyBorder="1" applyAlignment="1">
      <alignment horizontal="center" vertical="center"/>
    </xf>
    <xf numFmtId="1" fontId="8985" fillId="8" borderId="1" xfId="0" applyNumberFormat="1" applyFont="1" applyFill="1" applyBorder="1" applyAlignment="1">
      <alignment horizontal="center" vertical="center"/>
    </xf>
    <xf numFmtId="165" fontId="8986" fillId="8" borderId="1" xfId="0" applyNumberFormat="1" applyFont="1" applyFill="1" applyBorder="1" applyAlignment="1">
      <alignment horizontal="center" vertical="center"/>
    </xf>
    <xf numFmtId="1" fontId="8987" fillId="8" borderId="1" xfId="0" applyNumberFormat="1" applyFont="1" applyFill="1" applyBorder="1" applyAlignment="1">
      <alignment horizontal="center" vertical="center"/>
    </xf>
    <xf numFmtId="165" fontId="8988" fillId="8" borderId="1" xfId="0" applyNumberFormat="1" applyFont="1" applyFill="1" applyBorder="1" applyAlignment="1">
      <alignment horizontal="center" vertical="center"/>
    </xf>
    <xf numFmtId="1" fontId="8989" fillId="8" borderId="1" xfId="0" applyNumberFormat="1" applyFont="1" applyFill="1" applyBorder="1" applyAlignment="1">
      <alignment horizontal="center" vertical="center"/>
    </xf>
    <xf numFmtId="165" fontId="8990" fillId="8" borderId="1" xfId="0" applyNumberFormat="1" applyFont="1" applyFill="1" applyBorder="1" applyAlignment="1">
      <alignment horizontal="center" vertical="center"/>
    </xf>
    <xf numFmtId="1" fontId="8991" fillId="8" borderId="1" xfId="0" applyNumberFormat="1" applyFont="1" applyFill="1" applyBorder="1" applyAlignment="1">
      <alignment horizontal="center" vertical="center"/>
    </xf>
    <xf numFmtId="165" fontId="8992" fillId="8" borderId="1" xfId="0" applyNumberFormat="1" applyFont="1" applyFill="1" applyBorder="1" applyAlignment="1">
      <alignment horizontal="center" vertical="center"/>
    </xf>
    <xf numFmtId="165" fontId="8993" fillId="8" borderId="1" xfId="0" applyNumberFormat="1" applyFont="1" applyFill="1" applyBorder="1" applyAlignment="1">
      <alignment horizontal="center" vertical="center"/>
    </xf>
    <xf numFmtId="1" fontId="8994" fillId="8" borderId="1" xfId="0" applyNumberFormat="1" applyFont="1" applyFill="1" applyBorder="1" applyAlignment="1">
      <alignment horizontal="center" vertical="center"/>
    </xf>
    <xf numFmtId="1" fontId="8995" fillId="8" borderId="1" xfId="0" applyNumberFormat="1" applyFont="1" applyFill="1" applyBorder="1" applyAlignment="1">
      <alignment horizontal="center" vertical="center"/>
    </xf>
    <xf numFmtId="1" fontId="8996" fillId="8" borderId="1" xfId="0" applyNumberFormat="1" applyFont="1" applyFill="1" applyBorder="1" applyAlignment="1">
      <alignment horizontal="center" vertical="center"/>
    </xf>
    <xf numFmtId="165" fontId="8997" fillId="8" borderId="1" xfId="0" applyNumberFormat="1" applyFont="1" applyFill="1" applyBorder="1" applyAlignment="1">
      <alignment horizontal="center" vertical="center"/>
    </xf>
    <xf numFmtId="164" fontId="8998" fillId="8" borderId="1" xfId="0" applyNumberFormat="1" applyFont="1" applyFill="1" applyBorder="1" applyAlignment="1">
      <alignment horizontal="center" vertical="center"/>
    </xf>
    <xf numFmtId="164" fontId="8999" fillId="8" borderId="1" xfId="0" applyNumberFormat="1" applyFont="1" applyFill="1" applyBorder="1" applyAlignment="1">
      <alignment horizontal="center" vertical="center"/>
    </xf>
    <xf numFmtId="1" fontId="9000" fillId="8" borderId="1" xfId="0" applyNumberFormat="1" applyFont="1" applyFill="1" applyBorder="1" applyAlignment="1">
      <alignment horizontal="center" vertical="center"/>
    </xf>
    <xf numFmtId="1" fontId="9001" fillId="8" borderId="1" xfId="0" applyNumberFormat="1" applyFont="1" applyFill="1" applyBorder="1" applyAlignment="1">
      <alignment horizontal="center" vertical="center"/>
    </xf>
    <xf numFmtId="1" fontId="9002" fillId="8" borderId="1" xfId="0" applyNumberFormat="1" applyFont="1" applyFill="1" applyBorder="1" applyAlignment="1">
      <alignment horizontal="center" vertical="center"/>
    </xf>
    <xf numFmtId="165" fontId="9003" fillId="8" borderId="1" xfId="0" applyNumberFormat="1" applyFont="1" applyFill="1" applyBorder="1" applyAlignment="1">
      <alignment horizontal="center" vertical="center"/>
    </xf>
    <xf numFmtId="1" fontId="9004" fillId="8" borderId="1" xfId="0" applyNumberFormat="1" applyFont="1" applyFill="1" applyBorder="1" applyAlignment="1">
      <alignment horizontal="center" vertical="center"/>
    </xf>
    <xf numFmtId="165" fontId="9005" fillId="8" borderId="1" xfId="0" applyNumberFormat="1" applyFont="1" applyFill="1" applyBorder="1" applyAlignment="1">
      <alignment horizontal="center" vertical="center"/>
    </xf>
    <xf numFmtId="1" fontId="9006" fillId="8" borderId="1" xfId="0" applyNumberFormat="1" applyFont="1" applyFill="1" applyBorder="1" applyAlignment="1">
      <alignment horizontal="center" vertical="center"/>
    </xf>
    <xf numFmtId="1" fontId="9007" fillId="8" borderId="1" xfId="0" applyNumberFormat="1" applyFont="1" applyFill="1" applyBorder="1" applyAlignment="1">
      <alignment horizontal="center" vertical="center"/>
    </xf>
    <xf numFmtId="1" fontId="9008" fillId="8" borderId="1" xfId="0" applyNumberFormat="1" applyFont="1" applyFill="1" applyBorder="1" applyAlignment="1">
      <alignment horizontal="center" vertical="center"/>
    </xf>
    <xf numFmtId="1" fontId="9009" fillId="8" borderId="1" xfId="0" applyNumberFormat="1" applyFont="1" applyFill="1" applyBorder="1" applyAlignment="1">
      <alignment horizontal="center" vertical="center"/>
    </xf>
    <xf numFmtId="165" fontId="9010" fillId="8" borderId="1" xfId="0" applyNumberFormat="1" applyFont="1" applyFill="1" applyBorder="1" applyAlignment="1">
      <alignment horizontal="center" vertical="center"/>
    </xf>
    <xf numFmtId="1" fontId="9011" fillId="8" borderId="1" xfId="0" applyNumberFormat="1" applyFont="1" applyFill="1" applyBorder="1" applyAlignment="1">
      <alignment horizontal="center" vertical="center"/>
    </xf>
    <xf numFmtId="165" fontId="9012" fillId="8" borderId="1" xfId="0" applyNumberFormat="1" applyFont="1" applyFill="1" applyBorder="1" applyAlignment="1">
      <alignment horizontal="center" vertical="center"/>
    </xf>
    <xf numFmtId="1" fontId="9013" fillId="8" borderId="1" xfId="0" applyNumberFormat="1" applyFont="1" applyFill="1" applyBorder="1" applyAlignment="1">
      <alignment horizontal="center" vertical="center"/>
    </xf>
    <xf numFmtId="165" fontId="9014" fillId="8" borderId="1" xfId="0" applyNumberFormat="1" applyFont="1" applyFill="1" applyBorder="1" applyAlignment="1">
      <alignment horizontal="center" vertical="center"/>
    </xf>
    <xf numFmtId="2" fontId="9015" fillId="8" borderId="1" xfId="0" applyNumberFormat="1" applyFont="1" applyFill="1" applyBorder="1" applyAlignment="1">
      <alignment horizontal="center" vertical="center"/>
    </xf>
    <xf numFmtId="2" fontId="9016" fillId="8" borderId="1" xfId="0" applyNumberFormat="1" applyFont="1" applyFill="1" applyBorder="1" applyAlignment="1">
      <alignment horizontal="center" vertical="center"/>
    </xf>
    <xf numFmtId="2" fontId="9017" fillId="8" borderId="1" xfId="0" applyNumberFormat="1" applyFont="1" applyFill="1" applyBorder="1" applyAlignment="1">
      <alignment horizontal="center" vertical="center"/>
    </xf>
    <xf numFmtId="2" fontId="9018" fillId="8" borderId="1" xfId="0" applyNumberFormat="1" applyFont="1" applyFill="1" applyBorder="1" applyAlignment="1">
      <alignment horizontal="center" vertical="center"/>
    </xf>
    <xf numFmtId="2" fontId="9019" fillId="8" borderId="1" xfId="0" applyNumberFormat="1" applyFont="1" applyFill="1" applyBorder="1" applyAlignment="1">
      <alignment horizontal="center" vertical="center"/>
    </xf>
    <xf numFmtId="2" fontId="9020" fillId="8" borderId="1" xfId="0" applyNumberFormat="1" applyFont="1" applyFill="1" applyBorder="1" applyAlignment="1">
      <alignment horizontal="center" vertical="center"/>
    </xf>
    <xf numFmtId="2" fontId="9021" fillId="8" borderId="1" xfId="0" applyNumberFormat="1" applyFont="1" applyFill="1" applyBorder="1" applyAlignment="1">
      <alignment horizontal="center" vertical="center"/>
    </xf>
    <xf numFmtId="2" fontId="9022" fillId="8" borderId="1" xfId="0" applyNumberFormat="1" applyFont="1" applyFill="1" applyBorder="1" applyAlignment="1">
      <alignment horizontal="center" vertical="center"/>
    </xf>
    <xf numFmtId="2" fontId="9023" fillId="8" borderId="1" xfId="0" applyNumberFormat="1" applyFont="1" applyFill="1" applyBorder="1" applyAlignment="1">
      <alignment horizontal="center" vertical="center"/>
    </xf>
    <xf numFmtId="2" fontId="9024" fillId="8" borderId="1" xfId="0" applyNumberFormat="1" applyFont="1" applyFill="1" applyBorder="1" applyAlignment="1">
      <alignment horizontal="center" vertical="center"/>
    </xf>
    <xf numFmtId="2" fontId="9025" fillId="8" borderId="1" xfId="0" applyNumberFormat="1" applyFont="1" applyFill="1" applyBorder="1" applyAlignment="1">
      <alignment horizontal="center" vertical="center"/>
    </xf>
    <xf numFmtId="2" fontId="9026" fillId="8" borderId="1" xfId="0" applyNumberFormat="1" applyFont="1" applyFill="1" applyBorder="1" applyAlignment="1">
      <alignment horizontal="center" vertical="center"/>
    </xf>
    <xf numFmtId="2" fontId="9027" fillId="8" borderId="1" xfId="0" applyNumberFormat="1" applyFont="1" applyFill="1" applyBorder="1" applyAlignment="1">
      <alignment horizontal="center" vertical="center"/>
    </xf>
    <xf numFmtId="2" fontId="9028" fillId="8" borderId="1" xfId="0" applyNumberFormat="1" applyFont="1" applyFill="1" applyBorder="1" applyAlignment="1">
      <alignment horizontal="center" vertical="center"/>
    </xf>
    <xf numFmtId="2" fontId="9029" fillId="8" borderId="1" xfId="0" applyNumberFormat="1" applyFont="1" applyFill="1" applyBorder="1" applyAlignment="1">
      <alignment horizontal="center" vertical="center"/>
    </xf>
    <xf numFmtId="2" fontId="9030" fillId="8" borderId="1" xfId="0" applyNumberFormat="1" applyFont="1" applyFill="1" applyBorder="1" applyAlignment="1">
      <alignment horizontal="center" vertical="center"/>
    </xf>
    <xf numFmtId="2" fontId="9031" fillId="8" borderId="1" xfId="0" applyNumberFormat="1" applyFont="1" applyFill="1" applyBorder="1" applyAlignment="1">
      <alignment horizontal="center" vertical="center"/>
    </xf>
    <xf numFmtId="2" fontId="9032" fillId="8" borderId="1" xfId="0" applyNumberFormat="1" applyFont="1" applyFill="1" applyBorder="1" applyAlignment="1">
      <alignment horizontal="center" vertical="center"/>
    </xf>
    <xf numFmtId="2" fontId="9033" fillId="8" borderId="1" xfId="0" applyNumberFormat="1" applyFont="1" applyFill="1" applyBorder="1" applyAlignment="1">
      <alignment horizontal="center" vertical="center"/>
    </xf>
    <xf numFmtId="2" fontId="9034" fillId="8" borderId="1" xfId="0" applyNumberFormat="1" applyFont="1" applyFill="1" applyBorder="1" applyAlignment="1">
      <alignment horizontal="center" vertical="center"/>
    </xf>
    <xf numFmtId="2" fontId="9035" fillId="8" borderId="1" xfId="0" applyNumberFormat="1" applyFont="1" applyFill="1" applyBorder="1" applyAlignment="1">
      <alignment horizontal="center" vertical="center"/>
    </xf>
    <xf numFmtId="2" fontId="9036" fillId="8" borderId="1" xfId="0" applyNumberFormat="1" applyFont="1" applyFill="1" applyBorder="1" applyAlignment="1">
      <alignment horizontal="center" vertical="center"/>
    </xf>
    <xf numFmtId="2" fontId="9037" fillId="8" borderId="1" xfId="0" applyNumberFormat="1" applyFont="1" applyFill="1" applyBorder="1" applyAlignment="1">
      <alignment horizontal="center" vertical="center"/>
    </xf>
    <xf numFmtId="2" fontId="9038" fillId="8" borderId="1" xfId="0" applyNumberFormat="1" applyFont="1" applyFill="1" applyBorder="1" applyAlignment="1">
      <alignment horizontal="center" vertical="center"/>
    </xf>
    <xf numFmtId="2" fontId="9039" fillId="8" borderId="1" xfId="0" applyNumberFormat="1" applyFont="1" applyFill="1" applyBorder="1" applyAlignment="1">
      <alignment horizontal="center" vertical="center"/>
    </xf>
    <xf numFmtId="2" fontId="9040" fillId="8" borderId="1" xfId="0" applyNumberFormat="1" applyFont="1" applyFill="1" applyBorder="1" applyAlignment="1">
      <alignment horizontal="center" vertical="center"/>
    </xf>
    <xf numFmtId="2" fontId="9041" fillId="8" borderId="1" xfId="0" applyNumberFormat="1" applyFont="1" applyFill="1" applyBorder="1" applyAlignment="1">
      <alignment horizontal="center" vertical="center"/>
    </xf>
    <xf numFmtId="2" fontId="9042" fillId="8" borderId="1" xfId="0" applyNumberFormat="1" applyFont="1" applyFill="1" applyBorder="1" applyAlignment="1">
      <alignment horizontal="center" vertical="center"/>
    </xf>
    <xf numFmtId="2" fontId="9043" fillId="8" borderId="1" xfId="0" applyNumberFormat="1" applyFont="1" applyFill="1" applyBorder="1" applyAlignment="1">
      <alignment horizontal="center" vertical="center"/>
    </xf>
    <xf numFmtId="2" fontId="9044" fillId="8" borderId="1" xfId="0" applyNumberFormat="1" applyFont="1" applyFill="1" applyBorder="1" applyAlignment="1">
      <alignment horizontal="center" vertical="center"/>
    </xf>
    <xf numFmtId="2" fontId="9045" fillId="8" borderId="1" xfId="0" applyNumberFormat="1" applyFont="1" applyFill="1" applyBorder="1" applyAlignment="1">
      <alignment horizontal="center" vertical="center"/>
    </xf>
    <xf numFmtId="2" fontId="9046" fillId="8" borderId="1" xfId="0" applyNumberFormat="1" applyFont="1" applyFill="1" applyBorder="1" applyAlignment="1">
      <alignment horizontal="center" vertical="center"/>
    </xf>
    <xf numFmtId="2" fontId="9047" fillId="8" borderId="1" xfId="0" applyNumberFormat="1" applyFont="1" applyFill="1" applyBorder="1" applyAlignment="1">
      <alignment horizontal="center" vertical="center"/>
    </xf>
    <xf numFmtId="2" fontId="9048" fillId="8" borderId="1" xfId="0" applyNumberFormat="1" applyFont="1" applyFill="1" applyBorder="1" applyAlignment="1">
      <alignment horizontal="center" vertical="center"/>
    </xf>
    <xf numFmtId="0" fontId="9049" fillId="7" borderId="1" xfId="0" applyNumberFormat="1" applyFont="1" applyFill="1" applyBorder="1" applyAlignment="1">
      <alignment horizontal="left" vertical="center"/>
    </xf>
    <xf numFmtId="0" fontId="9050" fillId="8" borderId="1" xfId="0" applyNumberFormat="1" applyFont="1" applyFill="1" applyBorder="1" applyAlignment="1">
      <alignment horizontal="center" vertical="center"/>
    </xf>
    <xf numFmtId="164" fontId="9051" fillId="8" borderId="1" xfId="0" applyNumberFormat="1" applyFont="1" applyFill="1" applyBorder="1" applyAlignment="1">
      <alignment horizontal="center" vertical="center"/>
    </xf>
    <xf numFmtId="1" fontId="9052" fillId="8" borderId="1" xfId="0" applyNumberFormat="1" applyFont="1" applyFill="1" applyBorder="1" applyAlignment="1">
      <alignment horizontal="center" vertical="center"/>
    </xf>
    <xf numFmtId="1" fontId="9053" fillId="8" borderId="1" xfId="0" applyNumberFormat="1" applyFont="1" applyFill="1" applyBorder="1" applyAlignment="1">
      <alignment horizontal="center" vertical="center"/>
    </xf>
    <xf numFmtId="1" fontId="9054" fillId="8" borderId="1" xfId="0" applyNumberFormat="1" applyFont="1" applyFill="1" applyBorder="1" applyAlignment="1">
      <alignment horizontal="center" vertical="center"/>
    </xf>
    <xf numFmtId="1" fontId="9055" fillId="8" borderId="1" xfId="0" applyNumberFormat="1" applyFont="1" applyFill="1" applyBorder="1" applyAlignment="1">
      <alignment horizontal="center" vertical="center"/>
    </xf>
    <xf numFmtId="1" fontId="9056" fillId="8" borderId="1" xfId="0" applyNumberFormat="1" applyFont="1" applyFill="1" applyBorder="1" applyAlignment="1">
      <alignment horizontal="center" vertical="center"/>
    </xf>
    <xf numFmtId="1" fontId="9057" fillId="8" borderId="1" xfId="0" applyNumberFormat="1" applyFont="1" applyFill="1" applyBorder="1" applyAlignment="1">
      <alignment horizontal="center" vertical="center"/>
    </xf>
    <xf numFmtId="1" fontId="9058" fillId="8" borderId="1" xfId="0" applyNumberFormat="1" applyFont="1" applyFill="1" applyBorder="1" applyAlignment="1">
      <alignment horizontal="center" vertical="center"/>
    </xf>
    <xf numFmtId="0" fontId="9059" fillId="8" borderId="1" xfId="0" applyNumberFormat="1" applyFont="1" applyFill="1" applyBorder="1" applyAlignment="1">
      <alignment horizontal="center" vertical="center"/>
    </xf>
    <xf numFmtId="0" fontId="9060" fillId="8" borderId="1" xfId="0" applyNumberFormat="1" applyFont="1" applyFill="1" applyBorder="1" applyAlignment="1">
      <alignment horizontal="center" vertical="center"/>
    </xf>
    <xf numFmtId="1" fontId="9061" fillId="8" borderId="1" xfId="0" applyNumberFormat="1" applyFont="1" applyFill="1" applyBorder="1" applyAlignment="1">
      <alignment horizontal="center" vertical="center"/>
    </xf>
    <xf numFmtId="1" fontId="9062" fillId="8" borderId="1" xfId="0" applyNumberFormat="1" applyFont="1" applyFill="1" applyBorder="1" applyAlignment="1">
      <alignment horizontal="center" vertical="center"/>
    </xf>
    <xf numFmtId="1" fontId="9063" fillId="8" borderId="1" xfId="0" applyNumberFormat="1" applyFont="1" applyFill="1" applyBorder="1" applyAlignment="1">
      <alignment horizontal="center" vertical="center"/>
    </xf>
    <xf numFmtId="165" fontId="9064" fillId="8" borderId="1" xfId="0" applyNumberFormat="1" applyFont="1" applyFill="1" applyBorder="1" applyAlignment="1">
      <alignment horizontal="center" vertical="center"/>
    </xf>
    <xf numFmtId="1" fontId="9065" fillId="8" borderId="1" xfId="0" applyNumberFormat="1" applyFont="1" applyFill="1" applyBorder="1" applyAlignment="1">
      <alignment horizontal="center" vertical="center"/>
    </xf>
    <xf numFmtId="165" fontId="9066" fillId="8" borderId="1" xfId="0" applyNumberFormat="1" applyFont="1" applyFill="1" applyBorder="1" applyAlignment="1">
      <alignment horizontal="center" vertical="center"/>
    </xf>
    <xf numFmtId="1" fontId="9067" fillId="8" borderId="1" xfId="0" applyNumberFormat="1" applyFont="1" applyFill="1" applyBorder="1" applyAlignment="1">
      <alignment horizontal="center" vertical="center"/>
    </xf>
    <xf numFmtId="165" fontId="9068" fillId="8" borderId="1" xfId="0" applyNumberFormat="1" applyFont="1" applyFill="1" applyBorder="1" applyAlignment="1">
      <alignment horizontal="center" vertical="center"/>
    </xf>
    <xf numFmtId="1" fontId="9069" fillId="8" borderId="1" xfId="0" applyNumberFormat="1" applyFont="1" applyFill="1" applyBorder="1" applyAlignment="1">
      <alignment horizontal="center" vertical="center"/>
    </xf>
    <xf numFmtId="165" fontId="9070" fillId="8" borderId="1" xfId="0" applyNumberFormat="1" applyFont="1" applyFill="1" applyBorder="1" applyAlignment="1">
      <alignment horizontal="center" vertical="center"/>
    </xf>
    <xf numFmtId="165" fontId="9071" fillId="8" borderId="1" xfId="0" applyNumberFormat="1" applyFont="1" applyFill="1" applyBorder="1" applyAlignment="1">
      <alignment horizontal="center" vertical="center"/>
    </xf>
    <xf numFmtId="1" fontId="9072" fillId="8" borderId="1" xfId="0" applyNumberFormat="1" applyFont="1" applyFill="1" applyBorder="1" applyAlignment="1">
      <alignment horizontal="center" vertical="center"/>
    </xf>
    <xf numFmtId="1" fontId="9073" fillId="8" borderId="1" xfId="0" applyNumberFormat="1" applyFont="1" applyFill="1" applyBorder="1" applyAlignment="1">
      <alignment horizontal="center" vertical="center"/>
    </xf>
    <xf numFmtId="1" fontId="9074" fillId="8" borderId="1" xfId="0" applyNumberFormat="1" applyFont="1" applyFill="1" applyBorder="1" applyAlignment="1">
      <alignment horizontal="center" vertical="center"/>
    </xf>
    <xf numFmtId="165" fontId="9075" fillId="8" borderId="1" xfId="0" applyNumberFormat="1" applyFont="1" applyFill="1" applyBorder="1" applyAlignment="1">
      <alignment horizontal="center" vertical="center"/>
    </xf>
    <xf numFmtId="164" fontId="9076" fillId="8" borderId="1" xfId="0" applyNumberFormat="1" applyFont="1" applyFill="1" applyBorder="1" applyAlignment="1">
      <alignment horizontal="center" vertical="center"/>
    </xf>
    <xf numFmtId="164" fontId="9077" fillId="8" borderId="1" xfId="0" applyNumberFormat="1" applyFont="1" applyFill="1" applyBorder="1" applyAlignment="1">
      <alignment horizontal="center" vertical="center"/>
    </xf>
    <xf numFmtId="1" fontId="9078" fillId="8" borderId="1" xfId="0" applyNumberFormat="1" applyFont="1" applyFill="1" applyBorder="1" applyAlignment="1">
      <alignment horizontal="center" vertical="center"/>
    </xf>
    <xf numFmtId="1" fontId="9079" fillId="8" borderId="1" xfId="0" applyNumberFormat="1" applyFont="1" applyFill="1" applyBorder="1" applyAlignment="1">
      <alignment horizontal="center" vertical="center"/>
    </xf>
    <xf numFmtId="1" fontId="9080" fillId="8" borderId="1" xfId="0" applyNumberFormat="1" applyFont="1" applyFill="1" applyBorder="1" applyAlignment="1">
      <alignment horizontal="center" vertical="center"/>
    </xf>
    <xf numFmtId="165" fontId="9081" fillId="8" borderId="1" xfId="0" applyNumberFormat="1" applyFont="1" applyFill="1" applyBorder="1" applyAlignment="1">
      <alignment horizontal="center" vertical="center"/>
    </xf>
    <xf numFmtId="1" fontId="9082" fillId="8" borderId="1" xfId="0" applyNumberFormat="1" applyFont="1" applyFill="1" applyBorder="1" applyAlignment="1">
      <alignment horizontal="center" vertical="center"/>
    </xf>
    <xf numFmtId="165" fontId="9083" fillId="8" borderId="1" xfId="0" applyNumberFormat="1" applyFont="1" applyFill="1" applyBorder="1" applyAlignment="1">
      <alignment horizontal="center" vertical="center"/>
    </xf>
    <xf numFmtId="1" fontId="9084" fillId="8" borderId="1" xfId="0" applyNumberFormat="1" applyFont="1" applyFill="1" applyBorder="1" applyAlignment="1">
      <alignment horizontal="center" vertical="center"/>
    </xf>
    <xf numFmtId="1" fontId="9085" fillId="8" borderId="1" xfId="0" applyNumberFormat="1" applyFont="1" applyFill="1" applyBorder="1" applyAlignment="1">
      <alignment horizontal="center" vertical="center"/>
    </xf>
    <xf numFmtId="1" fontId="9086" fillId="8" borderId="1" xfId="0" applyNumberFormat="1" applyFont="1" applyFill="1" applyBorder="1" applyAlignment="1">
      <alignment horizontal="center" vertical="center"/>
    </xf>
    <xf numFmtId="1" fontId="9087" fillId="8" borderId="1" xfId="0" applyNumberFormat="1" applyFont="1" applyFill="1" applyBorder="1" applyAlignment="1">
      <alignment horizontal="center" vertical="center"/>
    </xf>
    <xf numFmtId="165" fontId="9088" fillId="8" borderId="1" xfId="0" applyNumberFormat="1" applyFont="1" applyFill="1" applyBorder="1" applyAlignment="1">
      <alignment horizontal="center" vertical="center"/>
    </xf>
    <xf numFmtId="1" fontId="9089" fillId="8" borderId="1" xfId="0" applyNumberFormat="1" applyFont="1" applyFill="1" applyBorder="1" applyAlignment="1">
      <alignment horizontal="center" vertical="center"/>
    </xf>
    <xf numFmtId="165" fontId="9090" fillId="8" borderId="1" xfId="0" applyNumberFormat="1" applyFont="1" applyFill="1" applyBorder="1" applyAlignment="1">
      <alignment horizontal="center" vertical="center"/>
    </xf>
    <xf numFmtId="1" fontId="9091" fillId="8" borderId="1" xfId="0" applyNumberFormat="1" applyFont="1" applyFill="1" applyBorder="1" applyAlignment="1">
      <alignment horizontal="center" vertical="center"/>
    </xf>
    <xf numFmtId="165" fontId="9092" fillId="8" borderId="1" xfId="0" applyNumberFormat="1" applyFont="1" applyFill="1" applyBorder="1" applyAlignment="1">
      <alignment horizontal="center" vertical="center"/>
    </xf>
    <xf numFmtId="2" fontId="9093" fillId="8" borderId="1" xfId="0" applyNumberFormat="1" applyFont="1" applyFill="1" applyBorder="1" applyAlignment="1">
      <alignment horizontal="center" vertical="center"/>
    </xf>
    <xf numFmtId="2" fontId="9094" fillId="8" borderId="1" xfId="0" applyNumberFormat="1" applyFont="1" applyFill="1" applyBorder="1" applyAlignment="1">
      <alignment horizontal="center" vertical="center"/>
    </xf>
    <xf numFmtId="2" fontId="9095" fillId="8" borderId="1" xfId="0" applyNumberFormat="1" applyFont="1" applyFill="1" applyBorder="1" applyAlignment="1">
      <alignment horizontal="center" vertical="center"/>
    </xf>
    <xf numFmtId="2" fontId="9096" fillId="8" borderId="1" xfId="0" applyNumberFormat="1" applyFont="1" applyFill="1" applyBorder="1" applyAlignment="1">
      <alignment horizontal="center" vertical="center"/>
    </xf>
    <xf numFmtId="2" fontId="9097" fillId="8" borderId="1" xfId="0" applyNumberFormat="1" applyFont="1" applyFill="1" applyBorder="1" applyAlignment="1">
      <alignment horizontal="center" vertical="center"/>
    </xf>
    <xf numFmtId="2" fontId="9098" fillId="8" borderId="1" xfId="0" applyNumberFormat="1" applyFont="1" applyFill="1" applyBorder="1" applyAlignment="1">
      <alignment horizontal="center" vertical="center"/>
    </xf>
    <xf numFmtId="2" fontId="9099" fillId="8" borderId="1" xfId="0" applyNumberFormat="1" applyFont="1" applyFill="1" applyBorder="1" applyAlignment="1">
      <alignment horizontal="center" vertical="center"/>
    </xf>
    <xf numFmtId="2" fontId="9100" fillId="8" borderId="1" xfId="0" applyNumberFormat="1" applyFont="1" applyFill="1" applyBorder="1" applyAlignment="1">
      <alignment horizontal="center" vertical="center"/>
    </xf>
    <xf numFmtId="2" fontId="9101" fillId="8" borderId="1" xfId="0" applyNumberFormat="1" applyFont="1" applyFill="1" applyBorder="1" applyAlignment="1">
      <alignment horizontal="center" vertical="center"/>
    </xf>
    <xf numFmtId="2" fontId="9102" fillId="8" borderId="1" xfId="0" applyNumberFormat="1" applyFont="1" applyFill="1" applyBorder="1" applyAlignment="1">
      <alignment horizontal="center" vertical="center"/>
    </xf>
    <xf numFmtId="2" fontId="9103" fillId="8" borderId="1" xfId="0" applyNumberFormat="1" applyFont="1" applyFill="1" applyBorder="1" applyAlignment="1">
      <alignment horizontal="center" vertical="center"/>
    </xf>
    <xf numFmtId="2" fontId="9104" fillId="8" borderId="1" xfId="0" applyNumberFormat="1" applyFont="1" applyFill="1" applyBorder="1" applyAlignment="1">
      <alignment horizontal="center" vertical="center"/>
    </xf>
    <xf numFmtId="2" fontId="9105" fillId="8" borderId="1" xfId="0" applyNumberFormat="1" applyFont="1" applyFill="1" applyBorder="1" applyAlignment="1">
      <alignment horizontal="center" vertical="center"/>
    </xf>
    <xf numFmtId="2" fontId="9106" fillId="8" borderId="1" xfId="0" applyNumberFormat="1" applyFont="1" applyFill="1" applyBorder="1" applyAlignment="1">
      <alignment horizontal="center" vertical="center"/>
    </xf>
    <xf numFmtId="2" fontId="9107" fillId="8" borderId="1" xfId="0" applyNumberFormat="1" applyFont="1" applyFill="1" applyBorder="1" applyAlignment="1">
      <alignment horizontal="center" vertical="center"/>
    </xf>
    <xf numFmtId="2" fontId="9108" fillId="8" borderId="1" xfId="0" applyNumberFormat="1" applyFont="1" applyFill="1" applyBorder="1" applyAlignment="1">
      <alignment horizontal="center" vertical="center"/>
    </xf>
    <xf numFmtId="2" fontId="9109" fillId="8" borderId="1" xfId="0" applyNumberFormat="1" applyFont="1" applyFill="1" applyBorder="1" applyAlignment="1">
      <alignment horizontal="center" vertical="center"/>
    </xf>
    <xf numFmtId="2" fontId="9110" fillId="8" borderId="1" xfId="0" applyNumberFormat="1" applyFont="1" applyFill="1" applyBorder="1" applyAlignment="1">
      <alignment horizontal="center" vertical="center"/>
    </xf>
    <xf numFmtId="2" fontId="9111" fillId="8" borderId="1" xfId="0" applyNumberFormat="1" applyFont="1" applyFill="1" applyBorder="1" applyAlignment="1">
      <alignment horizontal="center" vertical="center"/>
    </xf>
    <xf numFmtId="2" fontId="9112" fillId="8" borderId="1" xfId="0" applyNumberFormat="1" applyFont="1" applyFill="1" applyBorder="1" applyAlignment="1">
      <alignment horizontal="center" vertical="center"/>
    </xf>
    <xf numFmtId="2" fontId="9113" fillId="8" borderId="1" xfId="0" applyNumberFormat="1" applyFont="1" applyFill="1" applyBorder="1" applyAlignment="1">
      <alignment horizontal="center" vertical="center"/>
    </xf>
    <xf numFmtId="2" fontId="9114" fillId="8" borderId="1" xfId="0" applyNumberFormat="1" applyFont="1" applyFill="1" applyBorder="1" applyAlignment="1">
      <alignment horizontal="center" vertical="center"/>
    </xf>
    <xf numFmtId="2" fontId="9115" fillId="8" borderId="1" xfId="0" applyNumberFormat="1" applyFont="1" applyFill="1" applyBorder="1" applyAlignment="1">
      <alignment horizontal="center" vertical="center"/>
    </xf>
    <xf numFmtId="2" fontId="9116" fillId="8" borderId="1" xfId="0" applyNumberFormat="1" applyFont="1" applyFill="1" applyBorder="1" applyAlignment="1">
      <alignment horizontal="center" vertical="center"/>
    </xf>
    <xf numFmtId="2" fontId="9117" fillId="8" borderId="1" xfId="0" applyNumberFormat="1" applyFont="1" applyFill="1" applyBorder="1" applyAlignment="1">
      <alignment horizontal="center" vertical="center"/>
    </xf>
    <xf numFmtId="2" fontId="9118" fillId="8" borderId="1" xfId="0" applyNumberFormat="1" applyFont="1" applyFill="1" applyBorder="1" applyAlignment="1">
      <alignment horizontal="center" vertical="center"/>
    </xf>
    <xf numFmtId="2" fontId="9119" fillId="8" borderId="1" xfId="0" applyNumberFormat="1" applyFont="1" applyFill="1" applyBorder="1" applyAlignment="1">
      <alignment horizontal="center" vertical="center"/>
    </xf>
    <xf numFmtId="2" fontId="9120" fillId="8" borderId="1" xfId="0" applyNumberFormat="1" applyFont="1" applyFill="1" applyBorder="1" applyAlignment="1">
      <alignment horizontal="center" vertical="center"/>
    </xf>
    <xf numFmtId="2" fontId="9121" fillId="8" borderId="1" xfId="0" applyNumberFormat="1" applyFont="1" applyFill="1" applyBorder="1" applyAlignment="1">
      <alignment horizontal="center" vertical="center"/>
    </xf>
    <xf numFmtId="2" fontId="9122" fillId="8" borderId="1" xfId="0" applyNumberFormat="1" applyFont="1" applyFill="1" applyBorder="1" applyAlignment="1">
      <alignment horizontal="center" vertical="center"/>
    </xf>
    <xf numFmtId="2" fontId="9123" fillId="8" borderId="1" xfId="0" applyNumberFormat="1" applyFont="1" applyFill="1" applyBorder="1" applyAlignment="1">
      <alignment horizontal="center" vertical="center"/>
    </xf>
    <xf numFmtId="2" fontId="9124" fillId="8" borderId="1" xfId="0" applyNumberFormat="1" applyFont="1" applyFill="1" applyBorder="1" applyAlignment="1">
      <alignment horizontal="center" vertical="center"/>
    </xf>
    <xf numFmtId="2" fontId="9125" fillId="8" borderId="1" xfId="0" applyNumberFormat="1" applyFont="1" applyFill="1" applyBorder="1" applyAlignment="1">
      <alignment horizontal="center" vertical="center"/>
    </xf>
    <xf numFmtId="2" fontId="9126" fillId="8" borderId="1" xfId="0" applyNumberFormat="1" applyFont="1" applyFill="1" applyBorder="1" applyAlignment="1">
      <alignment horizontal="center" vertical="center"/>
    </xf>
    <xf numFmtId="0" fontId="9127" fillId="7" borderId="1" xfId="0" applyNumberFormat="1" applyFont="1" applyFill="1" applyBorder="1" applyAlignment="1">
      <alignment horizontal="left" vertical="center"/>
    </xf>
    <xf numFmtId="0" fontId="9128" fillId="8" borderId="1" xfId="0" applyNumberFormat="1" applyFont="1" applyFill="1" applyBorder="1" applyAlignment="1">
      <alignment horizontal="center" vertical="center"/>
    </xf>
    <xf numFmtId="164" fontId="9129" fillId="8" borderId="1" xfId="0" applyNumberFormat="1" applyFont="1" applyFill="1" applyBorder="1" applyAlignment="1">
      <alignment horizontal="center" vertical="center"/>
    </xf>
    <xf numFmtId="1" fontId="9130" fillId="8" borderId="1" xfId="0" applyNumberFormat="1" applyFont="1" applyFill="1" applyBorder="1" applyAlignment="1">
      <alignment horizontal="center" vertical="center"/>
    </xf>
    <xf numFmtId="1" fontId="9131" fillId="8" borderId="1" xfId="0" applyNumberFormat="1" applyFont="1" applyFill="1" applyBorder="1" applyAlignment="1">
      <alignment horizontal="center" vertical="center"/>
    </xf>
    <xf numFmtId="1" fontId="9132" fillId="8" borderId="1" xfId="0" applyNumberFormat="1" applyFont="1" applyFill="1" applyBorder="1" applyAlignment="1">
      <alignment horizontal="center" vertical="center"/>
    </xf>
    <xf numFmtId="1" fontId="9133" fillId="8" borderId="1" xfId="0" applyNumberFormat="1" applyFont="1" applyFill="1" applyBorder="1" applyAlignment="1">
      <alignment horizontal="center" vertical="center"/>
    </xf>
    <xf numFmtId="1" fontId="9134" fillId="8" borderId="1" xfId="0" applyNumberFormat="1" applyFont="1" applyFill="1" applyBorder="1" applyAlignment="1">
      <alignment horizontal="center" vertical="center"/>
    </xf>
    <xf numFmtId="1" fontId="9135" fillId="8" borderId="1" xfId="0" applyNumberFormat="1" applyFont="1" applyFill="1" applyBorder="1" applyAlignment="1">
      <alignment horizontal="center" vertical="center"/>
    </xf>
    <xf numFmtId="1" fontId="9136" fillId="8" borderId="1" xfId="0" applyNumberFormat="1" applyFont="1" applyFill="1" applyBorder="1" applyAlignment="1">
      <alignment horizontal="center" vertical="center"/>
    </xf>
    <xf numFmtId="0" fontId="9137" fillId="8" borderId="1" xfId="0" applyNumberFormat="1" applyFont="1" applyFill="1" applyBorder="1" applyAlignment="1">
      <alignment horizontal="center" vertical="center"/>
    </xf>
    <xf numFmtId="0" fontId="9138" fillId="8" borderId="1" xfId="0" applyNumberFormat="1" applyFont="1" applyFill="1" applyBorder="1" applyAlignment="1">
      <alignment horizontal="center" vertical="center"/>
    </xf>
    <xf numFmtId="1" fontId="9139" fillId="8" borderId="1" xfId="0" applyNumberFormat="1" applyFont="1" applyFill="1" applyBorder="1" applyAlignment="1">
      <alignment horizontal="center" vertical="center"/>
    </xf>
    <xf numFmtId="1" fontId="9140" fillId="8" borderId="1" xfId="0" applyNumberFormat="1" applyFont="1" applyFill="1" applyBorder="1" applyAlignment="1">
      <alignment horizontal="center" vertical="center"/>
    </xf>
    <xf numFmtId="1" fontId="9141" fillId="8" borderId="1" xfId="0" applyNumberFormat="1" applyFont="1" applyFill="1" applyBorder="1" applyAlignment="1">
      <alignment horizontal="center" vertical="center"/>
    </xf>
    <xf numFmtId="165" fontId="9142" fillId="8" borderId="1" xfId="0" applyNumberFormat="1" applyFont="1" applyFill="1" applyBorder="1" applyAlignment="1">
      <alignment horizontal="center" vertical="center"/>
    </xf>
    <xf numFmtId="1" fontId="9143" fillId="8" borderId="1" xfId="0" applyNumberFormat="1" applyFont="1" applyFill="1" applyBorder="1" applyAlignment="1">
      <alignment horizontal="center" vertical="center"/>
    </xf>
    <xf numFmtId="165" fontId="9144" fillId="8" borderId="1" xfId="0" applyNumberFormat="1" applyFont="1" applyFill="1" applyBorder="1" applyAlignment="1">
      <alignment horizontal="center" vertical="center"/>
    </xf>
    <xf numFmtId="1" fontId="9145" fillId="8" borderId="1" xfId="0" applyNumberFormat="1" applyFont="1" applyFill="1" applyBorder="1" applyAlignment="1">
      <alignment horizontal="center" vertical="center"/>
    </xf>
    <xf numFmtId="165" fontId="9146" fillId="8" borderId="1" xfId="0" applyNumberFormat="1" applyFont="1" applyFill="1" applyBorder="1" applyAlignment="1">
      <alignment horizontal="center" vertical="center"/>
    </xf>
    <xf numFmtId="1" fontId="9147" fillId="8" borderId="1" xfId="0" applyNumberFormat="1" applyFont="1" applyFill="1" applyBorder="1" applyAlignment="1">
      <alignment horizontal="center" vertical="center"/>
    </xf>
    <xf numFmtId="165" fontId="9148" fillId="8" borderId="1" xfId="0" applyNumberFormat="1" applyFont="1" applyFill="1" applyBorder="1" applyAlignment="1">
      <alignment horizontal="center" vertical="center"/>
    </xf>
    <xf numFmtId="165" fontId="9149" fillId="8" borderId="1" xfId="0" applyNumberFormat="1" applyFont="1" applyFill="1" applyBorder="1" applyAlignment="1">
      <alignment horizontal="center" vertical="center"/>
    </xf>
    <xf numFmtId="1" fontId="9150" fillId="8" borderId="1" xfId="0" applyNumberFormat="1" applyFont="1" applyFill="1" applyBorder="1" applyAlignment="1">
      <alignment horizontal="center" vertical="center"/>
    </xf>
    <xf numFmtId="1" fontId="9151" fillId="8" borderId="1" xfId="0" applyNumberFormat="1" applyFont="1" applyFill="1" applyBorder="1" applyAlignment="1">
      <alignment horizontal="center" vertical="center"/>
    </xf>
    <xf numFmtId="1" fontId="9152" fillId="8" borderId="1" xfId="0" applyNumberFormat="1" applyFont="1" applyFill="1" applyBorder="1" applyAlignment="1">
      <alignment horizontal="center" vertical="center"/>
    </xf>
    <xf numFmtId="165" fontId="9153" fillId="8" borderId="1" xfId="0" applyNumberFormat="1" applyFont="1" applyFill="1" applyBorder="1" applyAlignment="1">
      <alignment horizontal="center" vertical="center"/>
    </xf>
    <xf numFmtId="164" fontId="9154" fillId="8" borderId="1" xfId="0" applyNumberFormat="1" applyFont="1" applyFill="1" applyBorder="1" applyAlignment="1">
      <alignment horizontal="center" vertical="center"/>
    </xf>
    <xf numFmtId="164" fontId="9155" fillId="8" borderId="1" xfId="0" applyNumberFormat="1" applyFont="1" applyFill="1" applyBorder="1" applyAlignment="1">
      <alignment horizontal="center" vertical="center"/>
    </xf>
    <xf numFmtId="1" fontId="9156" fillId="8" borderId="1" xfId="0" applyNumberFormat="1" applyFont="1" applyFill="1" applyBorder="1" applyAlignment="1">
      <alignment horizontal="center" vertical="center"/>
    </xf>
    <xf numFmtId="1" fontId="9157" fillId="8" borderId="1" xfId="0" applyNumberFormat="1" applyFont="1" applyFill="1" applyBorder="1" applyAlignment="1">
      <alignment horizontal="center" vertical="center"/>
    </xf>
    <xf numFmtId="1" fontId="9158" fillId="8" borderId="1" xfId="0" applyNumberFormat="1" applyFont="1" applyFill="1" applyBorder="1" applyAlignment="1">
      <alignment horizontal="center" vertical="center"/>
    </xf>
    <xf numFmtId="165" fontId="9159" fillId="8" borderId="1" xfId="0" applyNumberFormat="1" applyFont="1" applyFill="1" applyBorder="1" applyAlignment="1">
      <alignment horizontal="center" vertical="center"/>
    </xf>
    <xf numFmtId="1" fontId="9160" fillId="8" borderId="1" xfId="0" applyNumberFormat="1" applyFont="1" applyFill="1" applyBorder="1" applyAlignment="1">
      <alignment horizontal="center" vertical="center"/>
    </xf>
    <xf numFmtId="165" fontId="9161" fillId="8" borderId="1" xfId="0" applyNumberFormat="1" applyFont="1" applyFill="1" applyBorder="1" applyAlignment="1">
      <alignment horizontal="center" vertical="center"/>
    </xf>
    <xf numFmtId="1" fontId="9162" fillId="8" borderId="1" xfId="0" applyNumberFormat="1" applyFont="1" applyFill="1" applyBorder="1" applyAlignment="1">
      <alignment horizontal="center" vertical="center"/>
    </xf>
    <xf numFmtId="1" fontId="9163" fillId="8" borderId="1" xfId="0" applyNumberFormat="1" applyFont="1" applyFill="1" applyBorder="1" applyAlignment="1">
      <alignment horizontal="center" vertical="center"/>
    </xf>
    <xf numFmtId="1" fontId="9164" fillId="8" borderId="1" xfId="0" applyNumberFormat="1" applyFont="1" applyFill="1" applyBorder="1" applyAlignment="1">
      <alignment horizontal="center" vertical="center"/>
    </xf>
    <xf numFmtId="1" fontId="9165" fillId="8" borderId="1" xfId="0" applyNumberFormat="1" applyFont="1" applyFill="1" applyBorder="1" applyAlignment="1">
      <alignment horizontal="center" vertical="center"/>
    </xf>
    <xf numFmtId="165" fontId="9166" fillId="8" borderId="1" xfId="0" applyNumberFormat="1" applyFont="1" applyFill="1" applyBorder="1" applyAlignment="1">
      <alignment horizontal="center" vertical="center"/>
    </xf>
    <xf numFmtId="1" fontId="9167" fillId="8" borderId="1" xfId="0" applyNumberFormat="1" applyFont="1" applyFill="1" applyBorder="1" applyAlignment="1">
      <alignment horizontal="center" vertical="center"/>
    </xf>
    <xf numFmtId="165" fontId="9168" fillId="8" borderId="1" xfId="0" applyNumberFormat="1" applyFont="1" applyFill="1" applyBorder="1" applyAlignment="1">
      <alignment horizontal="center" vertical="center"/>
    </xf>
    <xf numFmtId="1" fontId="9169" fillId="8" borderId="1" xfId="0" applyNumberFormat="1" applyFont="1" applyFill="1" applyBorder="1" applyAlignment="1">
      <alignment horizontal="center" vertical="center"/>
    </xf>
    <xf numFmtId="165" fontId="9170" fillId="8" borderId="1" xfId="0" applyNumberFormat="1" applyFont="1" applyFill="1" applyBorder="1" applyAlignment="1">
      <alignment horizontal="center" vertical="center"/>
    </xf>
    <xf numFmtId="2" fontId="9171" fillId="8" borderId="1" xfId="0" applyNumberFormat="1" applyFont="1" applyFill="1" applyBorder="1" applyAlignment="1">
      <alignment horizontal="center" vertical="center"/>
    </xf>
    <xf numFmtId="2" fontId="9172" fillId="8" borderId="1" xfId="0" applyNumberFormat="1" applyFont="1" applyFill="1" applyBorder="1" applyAlignment="1">
      <alignment horizontal="center" vertical="center"/>
    </xf>
    <xf numFmtId="2" fontId="9173" fillId="8" borderId="1" xfId="0" applyNumberFormat="1" applyFont="1" applyFill="1" applyBorder="1" applyAlignment="1">
      <alignment horizontal="center" vertical="center"/>
    </xf>
    <xf numFmtId="2" fontId="9174" fillId="8" borderId="1" xfId="0" applyNumberFormat="1" applyFont="1" applyFill="1" applyBorder="1" applyAlignment="1">
      <alignment horizontal="center" vertical="center"/>
    </xf>
    <xf numFmtId="2" fontId="9175" fillId="8" borderId="1" xfId="0" applyNumberFormat="1" applyFont="1" applyFill="1" applyBorder="1" applyAlignment="1">
      <alignment horizontal="center" vertical="center"/>
    </xf>
    <xf numFmtId="2" fontId="9176" fillId="8" borderId="1" xfId="0" applyNumberFormat="1" applyFont="1" applyFill="1" applyBorder="1" applyAlignment="1">
      <alignment horizontal="center" vertical="center"/>
    </xf>
    <xf numFmtId="2" fontId="9177" fillId="8" borderId="1" xfId="0" applyNumberFormat="1" applyFont="1" applyFill="1" applyBorder="1" applyAlignment="1">
      <alignment horizontal="center" vertical="center"/>
    </xf>
    <xf numFmtId="2" fontId="9178" fillId="8" borderId="1" xfId="0" applyNumberFormat="1" applyFont="1" applyFill="1" applyBorder="1" applyAlignment="1">
      <alignment horizontal="center" vertical="center"/>
    </xf>
    <xf numFmtId="2" fontId="9179" fillId="8" borderId="1" xfId="0" applyNumberFormat="1" applyFont="1" applyFill="1" applyBorder="1" applyAlignment="1">
      <alignment horizontal="center" vertical="center"/>
    </xf>
    <xf numFmtId="2" fontId="9180" fillId="8" borderId="1" xfId="0" applyNumberFormat="1" applyFont="1" applyFill="1" applyBorder="1" applyAlignment="1">
      <alignment horizontal="center" vertical="center"/>
    </xf>
    <xf numFmtId="2" fontId="9181" fillId="8" borderId="1" xfId="0" applyNumberFormat="1" applyFont="1" applyFill="1" applyBorder="1" applyAlignment="1">
      <alignment horizontal="center" vertical="center"/>
    </xf>
    <xf numFmtId="2" fontId="9182" fillId="8" borderId="1" xfId="0" applyNumberFormat="1" applyFont="1" applyFill="1" applyBorder="1" applyAlignment="1">
      <alignment horizontal="center" vertical="center"/>
    </xf>
    <xf numFmtId="2" fontId="9183" fillId="8" borderId="1" xfId="0" applyNumberFormat="1" applyFont="1" applyFill="1" applyBorder="1" applyAlignment="1">
      <alignment horizontal="center" vertical="center"/>
    </xf>
    <xf numFmtId="2" fontId="9184" fillId="8" borderId="1" xfId="0" applyNumberFormat="1" applyFont="1" applyFill="1" applyBorder="1" applyAlignment="1">
      <alignment horizontal="center" vertical="center"/>
    </xf>
    <xf numFmtId="2" fontId="9185" fillId="8" borderId="1" xfId="0" applyNumberFormat="1" applyFont="1" applyFill="1" applyBorder="1" applyAlignment="1">
      <alignment horizontal="center" vertical="center"/>
    </xf>
    <xf numFmtId="2" fontId="9186" fillId="8" borderId="1" xfId="0" applyNumberFormat="1" applyFont="1" applyFill="1" applyBorder="1" applyAlignment="1">
      <alignment horizontal="center" vertical="center"/>
    </xf>
    <xf numFmtId="2" fontId="9187" fillId="8" borderId="1" xfId="0" applyNumberFormat="1" applyFont="1" applyFill="1" applyBorder="1" applyAlignment="1">
      <alignment horizontal="center" vertical="center"/>
    </xf>
    <xf numFmtId="2" fontId="9188" fillId="8" borderId="1" xfId="0" applyNumberFormat="1" applyFont="1" applyFill="1" applyBorder="1" applyAlignment="1">
      <alignment horizontal="center" vertical="center"/>
    </xf>
    <xf numFmtId="2" fontId="9189" fillId="8" borderId="1" xfId="0" applyNumberFormat="1" applyFont="1" applyFill="1" applyBorder="1" applyAlignment="1">
      <alignment horizontal="center" vertical="center"/>
    </xf>
    <xf numFmtId="2" fontId="9190" fillId="8" borderId="1" xfId="0" applyNumberFormat="1" applyFont="1" applyFill="1" applyBorder="1" applyAlignment="1">
      <alignment horizontal="center" vertical="center"/>
    </xf>
    <xf numFmtId="2" fontId="9191" fillId="8" borderId="1" xfId="0" applyNumberFormat="1" applyFont="1" applyFill="1" applyBorder="1" applyAlignment="1">
      <alignment horizontal="center" vertical="center"/>
    </xf>
    <xf numFmtId="2" fontId="9192" fillId="8" borderId="1" xfId="0" applyNumberFormat="1" applyFont="1" applyFill="1" applyBorder="1" applyAlignment="1">
      <alignment horizontal="center" vertical="center"/>
    </xf>
    <xf numFmtId="2" fontId="9193" fillId="8" borderId="1" xfId="0" applyNumberFormat="1" applyFont="1" applyFill="1" applyBorder="1" applyAlignment="1">
      <alignment horizontal="center" vertical="center"/>
    </xf>
    <xf numFmtId="2" fontId="9194" fillId="8" borderId="1" xfId="0" applyNumberFormat="1" applyFont="1" applyFill="1" applyBorder="1" applyAlignment="1">
      <alignment horizontal="center" vertical="center"/>
    </xf>
    <xf numFmtId="2" fontId="9195" fillId="8" borderId="1" xfId="0" applyNumberFormat="1" applyFont="1" applyFill="1" applyBorder="1" applyAlignment="1">
      <alignment horizontal="center" vertical="center"/>
    </xf>
    <xf numFmtId="2" fontId="9196" fillId="8" borderId="1" xfId="0" applyNumberFormat="1" applyFont="1" applyFill="1" applyBorder="1" applyAlignment="1">
      <alignment horizontal="center" vertical="center"/>
    </xf>
    <xf numFmtId="2" fontId="9197" fillId="8" borderId="1" xfId="0" applyNumberFormat="1" applyFont="1" applyFill="1" applyBorder="1" applyAlignment="1">
      <alignment horizontal="center" vertical="center"/>
    </xf>
    <xf numFmtId="2" fontId="9198" fillId="8" borderId="1" xfId="0" applyNumberFormat="1" applyFont="1" applyFill="1" applyBorder="1" applyAlignment="1">
      <alignment horizontal="center" vertical="center"/>
    </xf>
    <xf numFmtId="2" fontId="9199" fillId="8" borderId="1" xfId="0" applyNumberFormat="1" applyFont="1" applyFill="1" applyBorder="1" applyAlignment="1">
      <alignment horizontal="center" vertical="center"/>
    </xf>
    <xf numFmtId="2" fontId="9200" fillId="8" borderId="1" xfId="0" applyNumberFormat="1" applyFont="1" applyFill="1" applyBorder="1" applyAlignment="1">
      <alignment horizontal="center" vertical="center"/>
    </xf>
    <xf numFmtId="2" fontId="9201" fillId="8" borderId="1" xfId="0" applyNumberFormat="1" applyFont="1" applyFill="1" applyBorder="1" applyAlignment="1">
      <alignment horizontal="center" vertical="center"/>
    </xf>
    <xf numFmtId="2" fontId="9202" fillId="8" borderId="1" xfId="0" applyNumberFormat="1" applyFont="1" applyFill="1" applyBorder="1" applyAlignment="1">
      <alignment horizontal="center" vertical="center"/>
    </xf>
    <xf numFmtId="2" fontId="9203" fillId="8" borderId="1" xfId="0" applyNumberFormat="1" applyFont="1" applyFill="1" applyBorder="1" applyAlignment="1">
      <alignment horizontal="center" vertical="center"/>
    </xf>
    <xf numFmtId="2" fontId="9204" fillId="8" borderId="1" xfId="0" applyNumberFormat="1" applyFont="1" applyFill="1" applyBorder="1" applyAlignment="1">
      <alignment horizontal="center" vertical="center"/>
    </xf>
    <xf numFmtId="0" fontId="9205" fillId="7" borderId="1" xfId="0" applyNumberFormat="1" applyFont="1" applyFill="1" applyBorder="1" applyAlignment="1">
      <alignment horizontal="left" vertical="center"/>
    </xf>
    <xf numFmtId="0" fontId="9206" fillId="8" borderId="1" xfId="0" applyNumberFormat="1" applyFont="1" applyFill="1" applyBorder="1" applyAlignment="1">
      <alignment horizontal="center" vertical="center"/>
    </xf>
    <xf numFmtId="164" fontId="9207" fillId="8" borderId="1" xfId="0" applyNumberFormat="1" applyFont="1" applyFill="1" applyBorder="1" applyAlignment="1">
      <alignment horizontal="center" vertical="center"/>
    </xf>
    <xf numFmtId="1" fontId="9208" fillId="8" borderId="1" xfId="0" applyNumberFormat="1" applyFont="1" applyFill="1" applyBorder="1" applyAlignment="1">
      <alignment horizontal="center" vertical="center"/>
    </xf>
    <xf numFmtId="1" fontId="9209" fillId="8" borderId="1" xfId="0" applyNumberFormat="1" applyFont="1" applyFill="1" applyBorder="1" applyAlignment="1">
      <alignment horizontal="center" vertical="center"/>
    </xf>
    <xf numFmtId="1" fontId="9210" fillId="8" borderId="1" xfId="0" applyNumberFormat="1" applyFont="1" applyFill="1" applyBorder="1" applyAlignment="1">
      <alignment horizontal="center" vertical="center"/>
    </xf>
    <xf numFmtId="1" fontId="9211" fillId="8" borderId="1" xfId="0" applyNumberFormat="1" applyFont="1" applyFill="1" applyBorder="1" applyAlignment="1">
      <alignment horizontal="center" vertical="center"/>
    </xf>
    <xf numFmtId="1" fontId="9212" fillId="8" borderId="1" xfId="0" applyNumberFormat="1" applyFont="1" applyFill="1" applyBorder="1" applyAlignment="1">
      <alignment horizontal="center" vertical="center"/>
    </xf>
    <xf numFmtId="1" fontId="9213" fillId="8" borderId="1" xfId="0" applyNumberFormat="1" applyFont="1" applyFill="1" applyBorder="1" applyAlignment="1">
      <alignment horizontal="center" vertical="center"/>
    </xf>
    <xf numFmtId="1" fontId="9214" fillId="8" borderId="1" xfId="0" applyNumberFormat="1" applyFont="1" applyFill="1" applyBorder="1" applyAlignment="1">
      <alignment horizontal="center" vertical="center"/>
    </xf>
    <xf numFmtId="0" fontId="9215" fillId="8" borderId="1" xfId="0" applyNumberFormat="1" applyFont="1" applyFill="1" applyBorder="1" applyAlignment="1">
      <alignment horizontal="center" vertical="center"/>
    </xf>
    <xf numFmtId="0" fontId="9216" fillId="8" borderId="1" xfId="0" applyNumberFormat="1" applyFont="1" applyFill="1" applyBorder="1" applyAlignment="1">
      <alignment horizontal="center" vertical="center"/>
    </xf>
    <xf numFmtId="1" fontId="9217" fillId="8" borderId="1" xfId="0" applyNumberFormat="1" applyFont="1" applyFill="1" applyBorder="1" applyAlignment="1">
      <alignment horizontal="center" vertical="center"/>
    </xf>
    <xf numFmtId="1" fontId="9218" fillId="8" borderId="1" xfId="0" applyNumberFormat="1" applyFont="1" applyFill="1" applyBorder="1" applyAlignment="1">
      <alignment horizontal="center" vertical="center"/>
    </xf>
    <xf numFmtId="1" fontId="9219" fillId="8" borderId="1" xfId="0" applyNumberFormat="1" applyFont="1" applyFill="1" applyBorder="1" applyAlignment="1">
      <alignment horizontal="center" vertical="center"/>
    </xf>
    <xf numFmtId="165" fontId="9220" fillId="8" borderId="1" xfId="0" applyNumberFormat="1" applyFont="1" applyFill="1" applyBorder="1" applyAlignment="1">
      <alignment horizontal="center" vertical="center"/>
    </xf>
    <xf numFmtId="1" fontId="9221" fillId="8" borderId="1" xfId="0" applyNumberFormat="1" applyFont="1" applyFill="1" applyBorder="1" applyAlignment="1">
      <alignment horizontal="center" vertical="center"/>
    </xf>
    <xf numFmtId="165" fontId="9222" fillId="8" borderId="1" xfId="0" applyNumberFormat="1" applyFont="1" applyFill="1" applyBorder="1" applyAlignment="1">
      <alignment horizontal="center" vertical="center"/>
    </xf>
    <xf numFmtId="1" fontId="9223" fillId="8" borderId="1" xfId="0" applyNumberFormat="1" applyFont="1" applyFill="1" applyBorder="1" applyAlignment="1">
      <alignment horizontal="center" vertical="center"/>
    </xf>
    <xf numFmtId="165" fontId="9224" fillId="8" borderId="1" xfId="0" applyNumberFormat="1" applyFont="1" applyFill="1" applyBorder="1" applyAlignment="1">
      <alignment horizontal="center" vertical="center"/>
    </xf>
    <xf numFmtId="1" fontId="9225" fillId="8" borderId="1" xfId="0" applyNumberFormat="1" applyFont="1" applyFill="1" applyBorder="1" applyAlignment="1">
      <alignment horizontal="center" vertical="center"/>
    </xf>
    <xf numFmtId="165" fontId="9226" fillId="8" borderId="1" xfId="0" applyNumberFormat="1" applyFont="1" applyFill="1" applyBorder="1" applyAlignment="1">
      <alignment horizontal="center" vertical="center"/>
    </xf>
    <xf numFmtId="165" fontId="9227" fillId="8" borderId="1" xfId="0" applyNumberFormat="1" applyFont="1" applyFill="1" applyBorder="1" applyAlignment="1">
      <alignment horizontal="center" vertical="center"/>
    </xf>
    <xf numFmtId="1" fontId="9228" fillId="8" borderId="1" xfId="0" applyNumberFormat="1" applyFont="1" applyFill="1" applyBorder="1" applyAlignment="1">
      <alignment horizontal="center" vertical="center"/>
    </xf>
    <xf numFmtId="1" fontId="9229" fillId="8" borderId="1" xfId="0" applyNumberFormat="1" applyFont="1" applyFill="1" applyBorder="1" applyAlignment="1">
      <alignment horizontal="center" vertical="center"/>
    </xf>
    <xf numFmtId="1" fontId="9230" fillId="8" borderId="1" xfId="0" applyNumberFormat="1" applyFont="1" applyFill="1" applyBorder="1" applyAlignment="1">
      <alignment horizontal="center" vertical="center"/>
    </xf>
    <xf numFmtId="165" fontId="9231" fillId="8" borderId="1" xfId="0" applyNumberFormat="1" applyFont="1" applyFill="1" applyBorder="1" applyAlignment="1">
      <alignment horizontal="center" vertical="center"/>
    </xf>
    <xf numFmtId="164" fontId="9232" fillId="8" borderId="1" xfId="0" applyNumberFormat="1" applyFont="1" applyFill="1" applyBorder="1" applyAlignment="1">
      <alignment horizontal="center" vertical="center"/>
    </xf>
    <xf numFmtId="164" fontId="9233" fillId="8" borderId="1" xfId="0" applyNumberFormat="1" applyFont="1" applyFill="1" applyBorder="1" applyAlignment="1">
      <alignment horizontal="center" vertical="center"/>
    </xf>
    <xf numFmtId="1" fontId="9234" fillId="8" borderId="1" xfId="0" applyNumberFormat="1" applyFont="1" applyFill="1" applyBorder="1" applyAlignment="1">
      <alignment horizontal="center" vertical="center"/>
    </xf>
    <xf numFmtId="1" fontId="9235" fillId="8" borderId="1" xfId="0" applyNumberFormat="1" applyFont="1" applyFill="1" applyBorder="1" applyAlignment="1">
      <alignment horizontal="center" vertical="center"/>
    </xf>
    <xf numFmtId="1" fontId="9236" fillId="8" borderId="1" xfId="0" applyNumberFormat="1" applyFont="1" applyFill="1" applyBorder="1" applyAlignment="1">
      <alignment horizontal="center" vertical="center"/>
    </xf>
    <xf numFmtId="165" fontId="9237" fillId="8" borderId="1" xfId="0" applyNumberFormat="1" applyFont="1" applyFill="1" applyBorder="1" applyAlignment="1">
      <alignment horizontal="center" vertical="center"/>
    </xf>
    <xf numFmtId="1" fontId="9238" fillId="8" borderId="1" xfId="0" applyNumberFormat="1" applyFont="1" applyFill="1" applyBorder="1" applyAlignment="1">
      <alignment horizontal="center" vertical="center"/>
    </xf>
    <xf numFmtId="165" fontId="9239" fillId="8" borderId="1" xfId="0" applyNumberFormat="1" applyFont="1" applyFill="1" applyBorder="1" applyAlignment="1">
      <alignment horizontal="center" vertical="center"/>
    </xf>
    <xf numFmtId="1" fontId="9240" fillId="8" borderId="1" xfId="0" applyNumberFormat="1" applyFont="1" applyFill="1" applyBorder="1" applyAlignment="1">
      <alignment horizontal="center" vertical="center"/>
    </xf>
    <xf numFmtId="1" fontId="9241" fillId="8" borderId="1" xfId="0" applyNumberFormat="1" applyFont="1" applyFill="1" applyBorder="1" applyAlignment="1">
      <alignment horizontal="center" vertical="center"/>
    </xf>
    <xf numFmtId="1" fontId="9242" fillId="8" borderId="1" xfId="0" applyNumberFormat="1" applyFont="1" applyFill="1" applyBorder="1" applyAlignment="1">
      <alignment horizontal="center" vertical="center"/>
    </xf>
    <xf numFmtId="1" fontId="9243" fillId="8" borderId="1" xfId="0" applyNumberFormat="1" applyFont="1" applyFill="1" applyBorder="1" applyAlignment="1">
      <alignment horizontal="center" vertical="center"/>
    </xf>
    <xf numFmtId="165" fontId="9244" fillId="8" borderId="1" xfId="0" applyNumberFormat="1" applyFont="1" applyFill="1" applyBorder="1" applyAlignment="1">
      <alignment horizontal="center" vertical="center"/>
    </xf>
    <xf numFmtId="1" fontId="9245" fillId="8" borderId="1" xfId="0" applyNumberFormat="1" applyFont="1" applyFill="1" applyBorder="1" applyAlignment="1">
      <alignment horizontal="center" vertical="center"/>
    </xf>
    <xf numFmtId="165" fontId="9246" fillId="8" borderId="1" xfId="0" applyNumberFormat="1" applyFont="1" applyFill="1" applyBorder="1" applyAlignment="1">
      <alignment horizontal="center" vertical="center"/>
    </xf>
    <xf numFmtId="1" fontId="9247" fillId="8" borderId="1" xfId="0" applyNumberFormat="1" applyFont="1" applyFill="1" applyBorder="1" applyAlignment="1">
      <alignment horizontal="center" vertical="center"/>
    </xf>
    <xf numFmtId="165" fontId="9248" fillId="8" borderId="1" xfId="0" applyNumberFormat="1" applyFont="1" applyFill="1" applyBorder="1" applyAlignment="1">
      <alignment horizontal="center" vertical="center"/>
    </xf>
    <xf numFmtId="2" fontId="9249" fillId="8" borderId="1" xfId="0" applyNumberFormat="1" applyFont="1" applyFill="1" applyBorder="1" applyAlignment="1">
      <alignment horizontal="center" vertical="center"/>
    </xf>
    <xf numFmtId="2" fontId="9250" fillId="8" borderId="1" xfId="0" applyNumberFormat="1" applyFont="1" applyFill="1" applyBorder="1" applyAlignment="1">
      <alignment horizontal="center" vertical="center"/>
    </xf>
    <xf numFmtId="2" fontId="9251" fillId="8" borderId="1" xfId="0" applyNumberFormat="1" applyFont="1" applyFill="1" applyBorder="1" applyAlignment="1">
      <alignment horizontal="center" vertical="center"/>
    </xf>
    <xf numFmtId="2" fontId="9252" fillId="8" borderId="1" xfId="0" applyNumberFormat="1" applyFont="1" applyFill="1" applyBorder="1" applyAlignment="1">
      <alignment horizontal="center" vertical="center"/>
    </xf>
    <xf numFmtId="2" fontId="9253" fillId="8" borderId="1" xfId="0" applyNumberFormat="1" applyFont="1" applyFill="1" applyBorder="1" applyAlignment="1">
      <alignment horizontal="center" vertical="center"/>
    </xf>
    <xf numFmtId="2" fontId="9254" fillId="8" borderId="1" xfId="0" applyNumberFormat="1" applyFont="1" applyFill="1" applyBorder="1" applyAlignment="1">
      <alignment horizontal="center" vertical="center"/>
    </xf>
    <xf numFmtId="2" fontId="9255" fillId="8" borderId="1" xfId="0" applyNumberFormat="1" applyFont="1" applyFill="1" applyBorder="1" applyAlignment="1">
      <alignment horizontal="center" vertical="center"/>
    </xf>
    <xf numFmtId="2" fontId="9256" fillId="8" borderId="1" xfId="0" applyNumberFormat="1" applyFont="1" applyFill="1" applyBorder="1" applyAlignment="1">
      <alignment horizontal="center" vertical="center"/>
    </xf>
    <xf numFmtId="2" fontId="9257" fillId="8" borderId="1" xfId="0" applyNumberFormat="1" applyFont="1" applyFill="1" applyBorder="1" applyAlignment="1">
      <alignment horizontal="center" vertical="center"/>
    </xf>
    <xf numFmtId="2" fontId="9258" fillId="8" borderId="1" xfId="0" applyNumberFormat="1" applyFont="1" applyFill="1" applyBorder="1" applyAlignment="1">
      <alignment horizontal="center" vertical="center"/>
    </xf>
    <xf numFmtId="2" fontId="9259" fillId="8" borderId="1" xfId="0" applyNumberFormat="1" applyFont="1" applyFill="1" applyBorder="1" applyAlignment="1">
      <alignment horizontal="center" vertical="center"/>
    </xf>
    <xf numFmtId="2" fontId="9260" fillId="8" borderId="1" xfId="0" applyNumberFormat="1" applyFont="1" applyFill="1" applyBorder="1" applyAlignment="1">
      <alignment horizontal="center" vertical="center"/>
    </xf>
    <xf numFmtId="2" fontId="9261" fillId="8" borderId="1" xfId="0" applyNumberFormat="1" applyFont="1" applyFill="1" applyBorder="1" applyAlignment="1">
      <alignment horizontal="center" vertical="center"/>
    </xf>
    <xf numFmtId="2" fontId="9262" fillId="8" borderId="1" xfId="0" applyNumberFormat="1" applyFont="1" applyFill="1" applyBorder="1" applyAlignment="1">
      <alignment horizontal="center" vertical="center"/>
    </xf>
    <xf numFmtId="2" fontId="9263" fillId="8" borderId="1" xfId="0" applyNumberFormat="1" applyFont="1" applyFill="1" applyBorder="1" applyAlignment="1">
      <alignment horizontal="center" vertical="center"/>
    </xf>
    <xf numFmtId="2" fontId="9264" fillId="8" borderId="1" xfId="0" applyNumberFormat="1" applyFont="1" applyFill="1" applyBorder="1" applyAlignment="1">
      <alignment horizontal="center" vertical="center"/>
    </xf>
    <xf numFmtId="2" fontId="9265" fillId="8" borderId="1" xfId="0" applyNumberFormat="1" applyFont="1" applyFill="1" applyBorder="1" applyAlignment="1">
      <alignment horizontal="center" vertical="center"/>
    </xf>
    <xf numFmtId="2" fontId="9266" fillId="8" borderId="1" xfId="0" applyNumberFormat="1" applyFont="1" applyFill="1" applyBorder="1" applyAlignment="1">
      <alignment horizontal="center" vertical="center"/>
    </xf>
    <xf numFmtId="2" fontId="9267" fillId="8" borderId="1" xfId="0" applyNumberFormat="1" applyFont="1" applyFill="1" applyBorder="1" applyAlignment="1">
      <alignment horizontal="center" vertical="center"/>
    </xf>
    <xf numFmtId="2" fontId="9268" fillId="8" borderId="1" xfId="0" applyNumberFormat="1" applyFont="1" applyFill="1" applyBorder="1" applyAlignment="1">
      <alignment horizontal="center" vertical="center"/>
    </xf>
    <xf numFmtId="2" fontId="9269" fillId="8" borderId="1" xfId="0" applyNumberFormat="1" applyFont="1" applyFill="1" applyBorder="1" applyAlignment="1">
      <alignment horizontal="center" vertical="center"/>
    </xf>
    <xf numFmtId="2" fontId="9270" fillId="8" borderId="1" xfId="0" applyNumberFormat="1" applyFont="1" applyFill="1" applyBorder="1" applyAlignment="1">
      <alignment horizontal="center" vertical="center"/>
    </xf>
    <xf numFmtId="2" fontId="9271" fillId="8" borderId="1" xfId="0" applyNumberFormat="1" applyFont="1" applyFill="1" applyBorder="1" applyAlignment="1">
      <alignment horizontal="center" vertical="center"/>
    </xf>
    <xf numFmtId="2" fontId="9272" fillId="8" borderId="1" xfId="0" applyNumberFormat="1" applyFont="1" applyFill="1" applyBorder="1" applyAlignment="1">
      <alignment horizontal="center" vertical="center"/>
    </xf>
    <xf numFmtId="2" fontId="9273" fillId="8" borderId="1" xfId="0" applyNumberFormat="1" applyFont="1" applyFill="1" applyBorder="1" applyAlignment="1">
      <alignment horizontal="center" vertical="center"/>
    </xf>
    <xf numFmtId="2" fontId="9274" fillId="8" borderId="1" xfId="0" applyNumberFormat="1" applyFont="1" applyFill="1" applyBorder="1" applyAlignment="1">
      <alignment horizontal="center" vertical="center"/>
    </xf>
    <xf numFmtId="2" fontId="9275" fillId="8" borderId="1" xfId="0" applyNumberFormat="1" applyFont="1" applyFill="1" applyBorder="1" applyAlignment="1">
      <alignment horizontal="center" vertical="center"/>
    </xf>
    <xf numFmtId="2" fontId="9276" fillId="8" borderId="1" xfId="0" applyNumberFormat="1" applyFont="1" applyFill="1" applyBorder="1" applyAlignment="1">
      <alignment horizontal="center" vertical="center"/>
    </xf>
    <xf numFmtId="2" fontId="9277" fillId="8" borderId="1" xfId="0" applyNumberFormat="1" applyFont="1" applyFill="1" applyBorder="1" applyAlignment="1">
      <alignment horizontal="center" vertical="center"/>
    </xf>
    <xf numFmtId="2" fontId="9278" fillId="8" borderId="1" xfId="0" applyNumberFormat="1" applyFont="1" applyFill="1" applyBorder="1" applyAlignment="1">
      <alignment horizontal="center" vertical="center"/>
    </xf>
    <xf numFmtId="2" fontId="9279" fillId="8" borderId="1" xfId="0" applyNumberFormat="1" applyFont="1" applyFill="1" applyBorder="1" applyAlignment="1">
      <alignment horizontal="center" vertical="center"/>
    </xf>
    <xf numFmtId="2" fontId="9280" fillId="8" borderId="1" xfId="0" applyNumberFormat="1" applyFont="1" applyFill="1" applyBorder="1" applyAlignment="1">
      <alignment horizontal="center" vertical="center"/>
    </xf>
    <xf numFmtId="2" fontId="9281" fillId="8" borderId="1" xfId="0" applyNumberFormat="1" applyFont="1" applyFill="1" applyBorder="1" applyAlignment="1">
      <alignment horizontal="center" vertical="center"/>
    </xf>
    <xf numFmtId="2" fontId="9282" fillId="8" borderId="1" xfId="0" applyNumberFormat="1" applyFont="1" applyFill="1" applyBorder="1" applyAlignment="1">
      <alignment horizontal="center" vertical="center"/>
    </xf>
    <xf numFmtId="0" fontId="9283" fillId="7" borderId="1" xfId="0" applyNumberFormat="1" applyFont="1" applyFill="1" applyBorder="1" applyAlignment="1">
      <alignment horizontal="left" vertical="center"/>
    </xf>
    <xf numFmtId="0" fontId="9284" fillId="8" borderId="1" xfId="0" applyNumberFormat="1" applyFont="1" applyFill="1" applyBorder="1" applyAlignment="1">
      <alignment horizontal="center" vertical="center"/>
    </xf>
    <xf numFmtId="164" fontId="9285" fillId="8" borderId="1" xfId="0" applyNumberFormat="1" applyFont="1" applyFill="1" applyBorder="1" applyAlignment="1">
      <alignment horizontal="center" vertical="center"/>
    </xf>
    <xf numFmtId="1" fontId="9286" fillId="8" borderId="1" xfId="0" applyNumberFormat="1" applyFont="1" applyFill="1" applyBorder="1" applyAlignment="1">
      <alignment horizontal="center" vertical="center"/>
    </xf>
    <xf numFmtId="1" fontId="9287" fillId="8" borderId="1" xfId="0" applyNumberFormat="1" applyFont="1" applyFill="1" applyBorder="1" applyAlignment="1">
      <alignment horizontal="center" vertical="center"/>
    </xf>
    <xf numFmtId="1" fontId="9288" fillId="8" borderId="1" xfId="0" applyNumberFormat="1" applyFont="1" applyFill="1" applyBorder="1" applyAlignment="1">
      <alignment horizontal="center" vertical="center"/>
    </xf>
    <xf numFmtId="1" fontId="9289" fillId="8" borderId="1" xfId="0" applyNumberFormat="1" applyFont="1" applyFill="1" applyBorder="1" applyAlignment="1">
      <alignment horizontal="center" vertical="center"/>
    </xf>
    <xf numFmtId="1" fontId="9290" fillId="8" borderId="1" xfId="0" applyNumberFormat="1" applyFont="1" applyFill="1" applyBorder="1" applyAlignment="1">
      <alignment horizontal="center" vertical="center"/>
    </xf>
    <xf numFmtId="1" fontId="9291" fillId="8" borderId="1" xfId="0" applyNumberFormat="1" applyFont="1" applyFill="1" applyBorder="1" applyAlignment="1">
      <alignment horizontal="center" vertical="center"/>
    </xf>
    <xf numFmtId="1" fontId="9292" fillId="8" borderId="1" xfId="0" applyNumberFormat="1" applyFont="1" applyFill="1" applyBorder="1" applyAlignment="1">
      <alignment horizontal="center" vertical="center"/>
    </xf>
    <xf numFmtId="0" fontId="9293" fillId="8" borderId="1" xfId="0" applyNumberFormat="1" applyFont="1" applyFill="1" applyBorder="1" applyAlignment="1">
      <alignment horizontal="center" vertical="center"/>
    </xf>
    <xf numFmtId="0" fontId="9294" fillId="8" borderId="1" xfId="0" applyNumberFormat="1" applyFont="1" applyFill="1" applyBorder="1" applyAlignment="1">
      <alignment horizontal="center" vertical="center"/>
    </xf>
    <xf numFmtId="1" fontId="9295" fillId="8" borderId="1" xfId="0" applyNumberFormat="1" applyFont="1" applyFill="1" applyBorder="1" applyAlignment="1">
      <alignment horizontal="center" vertical="center"/>
    </xf>
    <xf numFmtId="1" fontId="9296" fillId="8" borderId="1" xfId="0" applyNumberFormat="1" applyFont="1" applyFill="1" applyBorder="1" applyAlignment="1">
      <alignment horizontal="center" vertical="center"/>
    </xf>
    <xf numFmtId="1" fontId="9297" fillId="8" borderId="1" xfId="0" applyNumberFormat="1" applyFont="1" applyFill="1" applyBorder="1" applyAlignment="1">
      <alignment horizontal="center" vertical="center"/>
    </xf>
    <xf numFmtId="165" fontId="9298" fillId="8" borderId="1" xfId="0" applyNumberFormat="1" applyFont="1" applyFill="1" applyBorder="1" applyAlignment="1">
      <alignment horizontal="center" vertical="center"/>
    </xf>
    <xf numFmtId="1" fontId="9299" fillId="8" borderId="1" xfId="0" applyNumberFormat="1" applyFont="1" applyFill="1" applyBorder="1" applyAlignment="1">
      <alignment horizontal="center" vertical="center"/>
    </xf>
    <xf numFmtId="165" fontId="9300" fillId="8" borderId="1" xfId="0" applyNumberFormat="1" applyFont="1" applyFill="1" applyBorder="1" applyAlignment="1">
      <alignment horizontal="center" vertical="center"/>
    </xf>
    <xf numFmtId="1" fontId="9301" fillId="8" borderId="1" xfId="0" applyNumberFormat="1" applyFont="1" applyFill="1" applyBorder="1" applyAlignment="1">
      <alignment horizontal="center" vertical="center"/>
    </xf>
    <xf numFmtId="165" fontId="9302" fillId="8" borderId="1" xfId="0" applyNumberFormat="1" applyFont="1" applyFill="1" applyBorder="1" applyAlignment="1">
      <alignment horizontal="center" vertical="center"/>
    </xf>
    <xf numFmtId="1" fontId="9303" fillId="8" borderId="1" xfId="0" applyNumberFormat="1" applyFont="1" applyFill="1" applyBorder="1" applyAlignment="1">
      <alignment horizontal="center" vertical="center"/>
    </xf>
    <xf numFmtId="165" fontId="9304" fillId="8" borderId="1" xfId="0" applyNumberFormat="1" applyFont="1" applyFill="1" applyBorder="1" applyAlignment="1">
      <alignment horizontal="center" vertical="center"/>
    </xf>
    <xf numFmtId="165" fontId="9305" fillId="8" borderId="1" xfId="0" applyNumberFormat="1" applyFont="1" applyFill="1" applyBorder="1" applyAlignment="1">
      <alignment horizontal="center" vertical="center"/>
    </xf>
    <xf numFmtId="1" fontId="9306" fillId="8" borderId="1" xfId="0" applyNumberFormat="1" applyFont="1" applyFill="1" applyBorder="1" applyAlignment="1">
      <alignment horizontal="center" vertical="center"/>
    </xf>
    <xf numFmtId="1" fontId="9307" fillId="8" borderId="1" xfId="0" applyNumberFormat="1" applyFont="1" applyFill="1" applyBorder="1" applyAlignment="1">
      <alignment horizontal="center" vertical="center"/>
    </xf>
    <xf numFmtId="1" fontId="9308" fillId="8" borderId="1" xfId="0" applyNumberFormat="1" applyFont="1" applyFill="1" applyBorder="1" applyAlignment="1">
      <alignment horizontal="center" vertical="center"/>
    </xf>
    <xf numFmtId="165" fontId="9309" fillId="8" borderId="1" xfId="0" applyNumberFormat="1" applyFont="1" applyFill="1" applyBorder="1" applyAlignment="1">
      <alignment horizontal="center" vertical="center"/>
    </xf>
    <xf numFmtId="164" fontId="9310" fillId="8" borderId="1" xfId="0" applyNumberFormat="1" applyFont="1" applyFill="1" applyBorder="1" applyAlignment="1">
      <alignment horizontal="center" vertical="center"/>
    </xf>
    <xf numFmtId="164" fontId="9311" fillId="8" borderId="1" xfId="0" applyNumberFormat="1" applyFont="1" applyFill="1" applyBorder="1" applyAlignment="1">
      <alignment horizontal="center" vertical="center"/>
    </xf>
    <xf numFmtId="1" fontId="9312" fillId="8" borderId="1" xfId="0" applyNumberFormat="1" applyFont="1" applyFill="1" applyBorder="1" applyAlignment="1">
      <alignment horizontal="center" vertical="center"/>
    </xf>
    <xf numFmtId="1" fontId="9313" fillId="8" borderId="1" xfId="0" applyNumberFormat="1" applyFont="1" applyFill="1" applyBorder="1" applyAlignment="1">
      <alignment horizontal="center" vertical="center"/>
    </xf>
    <xf numFmtId="1" fontId="9314" fillId="8" borderId="1" xfId="0" applyNumberFormat="1" applyFont="1" applyFill="1" applyBorder="1" applyAlignment="1">
      <alignment horizontal="center" vertical="center"/>
    </xf>
    <xf numFmtId="165" fontId="9315" fillId="8" borderId="1" xfId="0" applyNumberFormat="1" applyFont="1" applyFill="1" applyBorder="1" applyAlignment="1">
      <alignment horizontal="center" vertical="center"/>
    </xf>
    <xf numFmtId="1" fontId="9316" fillId="8" borderId="1" xfId="0" applyNumberFormat="1" applyFont="1" applyFill="1" applyBorder="1" applyAlignment="1">
      <alignment horizontal="center" vertical="center"/>
    </xf>
    <xf numFmtId="165" fontId="9317" fillId="8" borderId="1" xfId="0" applyNumberFormat="1" applyFont="1" applyFill="1" applyBorder="1" applyAlignment="1">
      <alignment horizontal="center" vertical="center"/>
    </xf>
    <xf numFmtId="1" fontId="9318" fillId="8" borderId="1" xfId="0" applyNumberFormat="1" applyFont="1" applyFill="1" applyBorder="1" applyAlignment="1">
      <alignment horizontal="center" vertical="center"/>
    </xf>
    <xf numFmtId="1" fontId="9319" fillId="8" borderId="1" xfId="0" applyNumberFormat="1" applyFont="1" applyFill="1" applyBorder="1" applyAlignment="1">
      <alignment horizontal="center" vertical="center"/>
    </xf>
    <xf numFmtId="1" fontId="9320" fillId="8" borderId="1" xfId="0" applyNumberFormat="1" applyFont="1" applyFill="1" applyBorder="1" applyAlignment="1">
      <alignment horizontal="center" vertical="center"/>
    </xf>
    <xf numFmtId="1" fontId="9321" fillId="8" borderId="1" xfId="0" applyNumberFormat="1" applyFont="1" applyFill="1" applyBorder="1" applyAlignment="1">
      <alignment horizontal="center" vertical="center"/>
    </xf>
    <xf numFmtId="165" fontId="9322" fillId="8" borderId="1" xfId="0" applyNumberFormat="1" applyFont="1" applyFill="1" applyBorder="1" applyAlignment="1">
      <alignment horizontal="center" vertical="center"/>
    </xf>
    <xf numFmtId="1" fontId="9323" fillId="8" borderId="1" xfId="0" applyNumberFormat="1" applyFont="1" applyFill="1" applyBorder="1" applyAlignment="1">
      <alignment horizontal="center" vertical="center"/>
    </xf>
    <xf numFmtId="165" fontId="9324" fillId="8" borderId="1" xfId="0" applyNumberFormat="1" applyFont="1" applyFill="1" applyBorder="1" applyAlignment="1">
      <alignment horizontal="center" vertical="center"/>
    </xf>
    <xf numFmtId="1" fontId="9325" fillId="8" borderId="1" xfId="0" applyNumberFormat="1" applyFont="1" applyFill="1" applyBorder="1" applyAlignment="1">
      <alignment horizontal="center" vertical="center"/>
    </xf>
    <xf numFmtId="165" fontId="9326" fillId="8" borderId="1" xfId="0" applyNumberFormat="1" applyFont="1" applyFill="1" applyBorder="1" applyAlignment="1">
      <alignment horizontal="center" vertical="center"/>
    </xf>
    <xf numFmtId="2" fontId="9327" fillId="8" borderId="1" xfId="0" applyNumberFormat="1" applyFont="1" applyFill="1" applyBorder="1" applyAlignment="1">
      <alignment horizontal="center" vertical="center"/>
    </xf>
    <xf numFmtId="2" fontId="9328" fillId="8" borderId="1" xfId="0" applyNumberFormat="1" applyFont="1" applyFill="1" applyBorder="1" applyAlignment="1">
      <alignment horizontal="center" vertical="center"/>
    </xf>
    <xf numFmtId="2" fontId="9329" fillId="8" borderId="1" xfId="0" applyNumberFormat="1" applyFont="1" applyFill="1" applyBorder="1" applyAlignment="1">
      <alignment horizontal="center" vertical="center"/>
    </xf>
    <xf numFmtId="2" fontId="9330" fillId="8" borderId="1" xfId="0" applyNumberFormat="1" applyFont="1" applyFill="1" applyBorder="1" applyAlignment="1">
      <alignment horizontal="center" vertical="center"/>
    </xf>
    <xf numFmtId="2" fontId="9331" fillId="8" borderId="1" xfId="0" applyNumberFormat="1" applyFont="1" applyFill="1" applyBorder="1" applyAlignment="1">
      <alignment horizontal="center" vertical="center"/>
    </xf>
    <xf numFmtId="2" fontId="9332" fillId="8" borderId="1" xfId="0" applyNumberFormat="1" applyFont="1" applyFill="1" applyBorder="1" applyAlignment="1">
      <alignment horizontal="center" vertical="center"/>
    </xf>
    <xf numFmtId="2" fontId="9333" fillId="8" borderId="1" xfId="0" applyNumberFormat="1" applyFont="1" applyFill="1" applyBorder="1" applyAlignment="1">
      <alignment horizontal="center" vertical="center"/>
    </xf>
    <xf numFmtId="2" fontId="9334" fillId="8" borderId="1" xfId="0" applyNumberFormat="1" applyFont="1" applyFill="1" applyBorder="1" applyAlignment="1">
      <alignment horizontal="center" vertical="center"/>
    </xf>
    <xf numFmtId="2" fontId="9335" fillId="8" borderId="1" xfId="0" applyNumberFormat="1" applyFont="1" applyFill="1" applyBorder="1" applyAlignment="1">
      <alignment horizontal="center" vertical="center"/>
    </xf>
    <xf numFmtId="2" fontId="9336" fillId="8" borderId="1" xfId="0" applyNumberFormat="1" applyFont="1" applyFill="1" applyBorder="1" applyAlignment="1">
      <alignment horizontal="center" vertical="center"/>
    </xf>
    <xf numFmtId="2" fontId="9337" fillId="8" borderId="1" xfId="0" applyNumberFormat="1" applyFont="1" applyFill="1" applyBorder="1" applyAlignment="1">
      <alignment horizontal="center" vertical="center"/>
    </xf>
    <xf numFmtId="2" fontId="9338" fillId="8" borderId="1" xfId="0" applyNumberFormat="1" applyFont="1" applyFill="1" applyBorder="1" applyAlignment="1">
      <alignment horizontal="center" vertical="center"/>
    </xf>
    <xf numFmtId="2" fontId="9339" fillId="8" borderId="1" xfId="0" applyNumberFormat="1" applyFont="1" applyFill="1" applyBorder="1" applyAlignment="1">
      <alignment horizontal="center" vertical="center"/>
    </xf>
    <xf numFmtId="2" fontId="9340" fillId="8" borderId="1" xfId="0" applyNumberFormat="1" applyFont="1" applyFill="1" applyBorder="1" applyAlignment="1">
      <alignment horizontal="center" vertical="center"/>
    </xf>
    <xf numFmtId="2" fontId="9341" fillId="8" borderId="1" xfId="0" applyNumberFormat="1" applyFont="1" applyFill="1" applyBorder="1" applyAlignment="1">
      <alignment horizontal="center" vertical="center"/>
    </xf>
    <xf numFmtId="2" fontId="9342" fillId="8" borderId="1" xfId="0" applyNumberFormat="1" applyFont="1" applyFill="1" applyBorder="1" applyAlignment="1">
      <alignment horizontal="center" vertical="center"/>
    </xf>
    <xf numFmtId="2" fontId="9343" fillId="8" borderId="1" xfId="0" applyNumberFormat="1" applyFont="1" applyFill="1" applyBorder="1" applyAlignment="1">
      <alignment horizontal="center" vertical="center"/>
    </xf>
    <xf numFmtId="2" fontId="9344" fillId="8" borderId="1" xfId="0" applyNumberFormat="1" applyFont="1" applyFill="1" applyBorder="1" applyAlignment="1">
      <alignment horizontal="center" vertical="center"/>
    </xf>
    <xf numFmtId="2" fontId="9345" fillId="8" borderId="1" xfId="0" applyNumberFormat="1" applyFont="1" applyFill="1" applyBorder="1" applyAlignment="1">
      <alignment horizontal="center" vertical="center"/>
    </xf>
    <xf numFmtId="2" fontId="9346" fillId="8" borderId="1" xfId="0" applyNumberFormat="1" applyFont="1" applyFill="1" applyBorder="1" applyAlignment="1">
      <alignment horizontal="center" vertical="center"/>
    </xf>
    <xf numFmtId="2" fontId="9347" fillId="8" borderId="1" xfId="0" applyNumberFormat="1" applyFont="1" applyFill="1" applyBorder="1" applyAlignment="1">
      <alignment horizontal="center" vertical="center"/>
    </xf>
    <xf numFmtId="2" fontId="9348" fillId="8" borderId="1" xfId="0" applyNumberFormat="1" applyFont="1" applyFill="1" applyBorder="1" applyAlignment="1">
      <alignment horizontal="center" vertical="center"/>
    </xf>
    <xf numFmtId="2" fontId="9349" fillId="8" borderId="1" xfId="0" applyNumberFormat="1" applyFont="1" applyFill="1" applyBorder="1" applyAlignment="1">
      <alignment horizontal="center" vertical="center"/>
    </xf>
    <xf numFmtId="2" fontId="9350" fillId="8" borderId="1" xfId="0" applyNumberFormat="1" applyFont="1" applyFill="1" applyBorder="1" applyAlignment="1">
      <alignment horizontal="center" vertical="center"/>
    </xf>
    <xf numFmtId="2" fontId="9351" fillId="8" borderId="1" xfId="0" applyNumberFormat="1" applyFont="1" applyFill="1" applyBorder="1" applyAlignment="1">
      <alignment horizontal="center" vertical="center"/>
    </xf>
    <xf numFmtId="2" fontId="9352" fillId="8" borderId="1" xfId="0" applyNumberFormat="1" applyFont="1" applyFill="1" applyBorder="1" applyAlignment="1">
      <alignment horizontal="center" vertical="center"/>
    </xf>
    <xf numFmtId="2" fontId="9353" fillId="8" borderId="1" xfId="0" applyNumberFormat="1" applyFont="1" applyFill="1" applyBorder="1" applyAlignment="1">
      <alignment horizontal="center" vertical="center"/>
    </xf>
    <xf numFmtId="2" fontId="9354" fillId="8" borderId="1" xfId="0" applyNumberFormat="1" applyFont="1" applyFill="1" applyBorder="1" applyAlignment="1">
      <alignment horizontal="center" vertical="center"/>
    </xf>
    <xf numFmtId="2" fontId="9355" fillId="8" borderId="1" xfId="0" applyNumberFormat="1" applyFont="1" applyFill="1" applyBorder="1" applyAlignment="1">
      <alignment horizontal="center" vertical="center"/>
    </xf>
    <xf numFmtId="2" fontId="9356" fillId="8" borderId="1" xfId="0" applyNumberFormat="1" applyFont="1" applyFill="1" applyBorder="1" applyAlignment="1">
      <alignment horizontal="center" vertical="center"/>
    </xf>
    <xf numFmtId="2" fontId="9357" fillId="8" borderId="1" xfId="0" applyNumberFormat="1" applyFont="1" applyFill="1" applyBorder="1" applyAlignment="1">
      <alignment horizontal="center" vertical="center"/>
    </xf>
    <xf numFmtId="2" fontId="9358" fillId="8" borderId="1" xfId="0" applyNumberFormat="1" applyFont="1" applyFill="1" applyBorder="1" applyAlignment="1">
      <alignment horizontal="center" vertical="center"/>
    </xf>
    <xf numFmtId="2" fontId="9359" fillId="8" borderId="1" xfId="0" applyNumberFormat="1" applyFont="1" applyFill="1" applyBorder="1" applyAlignment="1">
      <alignment horizontal="center" vertical="center"/>
    </xf>
    <xf numFmtId="2" fontId="9360" fillId="8" borderId="1" xfId="0" applyNumberFormat="1" applyFont="1" applyFill="1" applyBorder="1" applyAlignment="1">
      <alignment horizontal="center" vertical="center"/>
    </xf>
    <xf numFmtId="0" fontId="9361" fillId="7" borderId="1" xfId="0" applyNumberFormat="1" applyFont="1" applyFill="1" applyBorder="1" applyAlignment="1">
      <alignment horizontal="left" vertical="center"/>
    </xf>
    <xf numFmtId="0" fontId="9362" fillId="8" borderId="1" xfId="0" applyNumberFormat="1" applyFont="1" applyFill="1" applyBorder="1" applyAlignment="1">
      <alignment horizontal="center" vertical="center"/>
    </xf>
    <xf numFmtId="164" fontId="9363" fillId="8" borderId="1" xfId="0" applyNumberFormat="1" applyFont="1" applyFill="1" applyBorder="1" applyAlignment="1">
      <alignment horizontal="center" vertical="center"/>
    </xf>
    <xf numFmtId="1" fontId="9364" fillId="8" borderId="1" xfId="0" applyNumberFormat="1" applyFont="1" applyFill="1" applyBorder="1" applyAlignment="1">
      <alignment horizontal="center" vertical="center"/>
    </xf>
    <xf numFmtId="1" fontId="9365" fillId="8" borderId="1" xfId="0" applyNumberFormat="1" applyFont="1" applyFill="1" applyBorder="1" applyAlignment="1">
      <alignment horizontal="center" vertical="center"/>
    </xf>
    <xf numFmtId="1" fontId="9366" fillId="8" borderId="1" xfId="0" applyNumberFormat="1" applyFont="1" applyFill="1" applyBorder="1" applyAlignment="1">
      <alignment horizontal="center" vertical="center"/>
    </xf>
    <xf numFmtId="1" fontId="9367" fillId="8" borderId="1" xfId="0" applyNumberFormat="1" applyFont="1" applyFill="1" applyBorder="1" applyAlignment="1">
      <alignment horizontal="center" vertical="center"/>
    </xf>
    <xf numFmtId="1" fontId="9368" fillId="8" borderId="1" xfId="0" applyNumberFormat="1" applyFont="1" applyFill="1" applyBorder="1" applyAlignment="1">
      <alignment horizontal="center" vertical="center"/>
    </xf>
    <xf numFmtId="1" fontId="9369" fillId="8" borderId="1" xfId="0" applyNumberFormat="1" applyFont="1" applyFill="1" applyBorder="1" applyAlignment="1">
      <alignment horizontal="center" vertical="center"/>
    </xf>
    <xf numFmtId="1" fontId="9370" fillId="8" borderId="1" xfId="0" applyNumberFormat="1" applyFont="1" applyFill="1" applyBorder="1" applyAlignment="1">
      <alignment horizontal="center" vertical="center"/>
    </xf>
    <xf numFmtId="0" fontId="9371" fillId="8" borderId="1" xfId="0" applyNumberFormat="1" applyFont="1" applyFill="1" applyBorder="1" applyAlignment="1">
      <alignment horizontal="center" vertical="center"/>
    </xf>
    <xf numFmtId="0" fontId="9372" fillId="8" borderId="1" xfId="0" applyNumberFormat="1" applyFont="1" applyFill="1" applyBorder="1" applyAlignment="1">
      <alignment horizontal="center" vertical="center"/>
    </xf>
    <xf numFmtId="1" fontId="9373" fillId="8" borderId="1" xfId="0" applyNumberFormat="1" applyFont="1" applyFill="1" applyBorder="1" applyAlignment="1">
      <alignment horizontal="center" vertical="center"/>
    </xf>
    <xf numFmtId="1" fontId="9374" fillId="8" borderId="1" xfId="0" applyNumberFormat="1" applyFont="1" applyFill="1" applyBorder="1" applyAlignment="1">
      <alignment horizontal="center" vertical="center"/>
    </xf>
    <xf numFmtId="1" fontId="9375" fillId="8" borderId="1" xfId="0" applyNumberFormat="1" applyFont="1" applyFill="1" applyBorder="1" applyAlignment="1">
      <alignment horizontal="center" vertical="center"/>
    </xf>
    <xf numFmtId="165" fontId="9376" fillId="8" borderId="1" xfId="0" applyNumberFormat="1" applyFont="1" applyFill="1" applyBorder="1" applyAlignment="1">
      <alignment horizontal="center" vertical="center"/>
    </xf>
    <xf numFmtId="1" fontId="9377" fillId="8" borderId="1" xfId="0" applyNumberFormat="1" applyFont="1" applyFill="1" applyBorder="1" applyAlignment="1">
      <alignment horizontal="center" vertical="center"/>
    </xf>
    <xf numFmtId="165" fontId="9378" fillId="8" borderId="1" xfId="0" applyNumberFormat="1" applyFont="1" applyFill="1" applyBorder="1" applyAlignment="1">
      <alignment horizontal="center" vertical="center"/>
    </xf>
    <xf numFmtId="1" fontId="9379" fillId="8" borderId="1" xfId="0" applyNumberFormat="1" applyFont="1" applyFill="1" applyBorder="1" applyAlignment="1">
      <alignment horizontal="center" vertical="center"/>
    </xf>
    <xf numFmtId="165" fontId="9380" fillId="8" borderId="1" xfId="0" applyNumberFormat="1" applyFont="1" applyFill="1" applyBorder="1" applyAlignment="1">
      <alignment horizontal="center" vertical="center"/>
    </xf>
    <xf numFmtId="1" fontId="9381" fillId="8" borderId="1" xfId="0" applyNumberFormat="1" applyFont="1" applyFill="1" applyBorder="1" applyAlignment="1">
      <alignment horizontal="center" vertical="center"/>
    </xf>
    <xf numFmtId="165" fontId="9382" fillId="8" borderId="1" xfId="0" applyNumberFormat="1" applyFont="1" applyFill="1" applyBorder="1" applyAlignment="1">
      <alignment horizontal="center" vertical="center"/>
    </xf>
    <xf numFmtId="165" fontId="9383" fillId="8" borderId="1" xfId="0" applyNumberFormat="1" applyFont="1" applyFill="1" applyBorder="1" applyAlignment="1">
      <alignment horizontal="center" vertical="center"/>
    </xf>
    <xf numFmtId="1" fontId="9384" fillId="8" borderId="1" xfId="0" applyNumberFormat="1" applyFont="1" applyFill="1" applyBorder="1" applyAlignment="1">
      <alignment horizontal="center" vertical="center"/>
    </xf>
    <xf numFmtId="1" fontId="9385" fillId="8" borderId="1" xfId="0" applyNumberFormat="1" applyFont="1" applyFill="1" applyBorder="1" applyAlignment="1">
      <alignment horizontal="center" vertical="center"/>
    </xf>
    <xf numFmtId="1" fontId="9386" fillId="8" borderId="1" xfId="0" applyNumberFormat="1" applyFont="1" applyFill="1" applyBorder="1" applyAlignment="1">
      <alignment horizontal="center" vertical="center"/>
    </xf>
    <xf numFmtId="165" fontId="9387" fillId="8" borderId="1" xfId="0" applyNumberFormat="1" applyFont="1" applyFill="1" applyBorder="1" applyAlignment="1">
      <alignment horizontal="center" vertical="center"/>
    </xf>
    <xf numFmtId="164" fontId="9388" fillId="8" borderId="1" xfId="0" applyNumberFormat="1" applyFont="1" applyFill="1" applyBorder="1" applyAlignment="1">
      <alignment horizontal="center" vertical="center"/>
    </xf>
    <xf numFmtId="164" fontId="9389" fillId="8" borderId="1" xfId="0" applyNumberFormat="1" applyFont="1" applyFill="1" applyBorder="1" applyAlignment="1">
      <alignment horizontal="center" vertical="center"/>
    </xf>
    <xf numFmtId="1" fontId="9390" fillId="8" borderId="1" xfId="0" applyNumberFormat="1" applyFont="1" applyFill="1" applyBorder="1" applyAlignment="1">
      <alignment horizontal="center" vertical="center"/>
    </xf>
    <xf numFmtId="1" fontId="9391" fillId="8" borderId="1" xfId="0" applyNumberFormat="1" applyFont="1" applyFill="1" applyBorder="1" applyAlignment="1">
      <alignment horizontal="center" vertical="center"/>
    </xf>
    <xf numFmtId="1" fontId="9392" fillId="8" borderId="1" xfId="0" applyNumberFormat="1" applyFont="1" applyFill="1" applyBorder="1" applyAlignment="1">
      <alignment horizontal="center" vertical="center"/>
    </xf>
    <xf numFmtId="165" fontId="9393" fillId="8" borderId="1" xfId="0" applyNumberFormat="1" applyFont="1" applyFill="1" applyBorder="1" applyAlignment="1">
      <alignment horizontal="center" vertical="center"/>
    </xf>
    <xf numFmtId="1" fontId="9394" fillId="8" borderId="1" xfId="0" applyNumberFormat="1" applyFont="1" applyFill="1" applyBorder="1" applyAlignment="1">
      <alignment horizontal="center" vertical="center"/>
    </xf>
    <xf numFmtId="165" fontId="9395" fillId="8" borderId="1" xfId="0" applyNumberFormat="1" applyFont="1" applyFill="1" applyBorder="1" applyAlignment="1">
      <alignment horizontal="center" vertical="center"/>
    </xf>
    <xf numFmtId="1" fontId="9396" fillId="8" borderId="1" xfId="0" applyNumberFormat="1" applyFont="1" applyFill="1" applyBorder="1" applyAlignment="1">
      <alignment horizontal="center" vertical="center"/>
    </xf>
    <xf numFmtId="1" fontId="9397" fillId="8" borderId="1" xfId="0" applyNumberFormat="1" applyFont="1" applyFill="1" applyBorder="1" applyAlignment="1">
      <alignment horizontal="center" vertical="center"/>
    </xf>
    <xf numFmtId="1" fontId="9398" fillId="8" borderId="1" xfId="0" applyNumberFormat="1" applyFont="1" applyFill="1" applyBorder="1" applyAlignment="1">
      <alignment horizontal="center" vertical="center"/>
    </xf>
    <xf numFmtId="1" fontId="9399" fillId="8" borderId="1" xfId="0" applyNumberFormat="1" applyFont="1" applyFill="1" applyBorder="1" applyAlignment="1">
      <alignment horizontal="center" vertical="center"/>
    </xf>
    <xf numFmtId="165" fontId="9400" fillId="8" borderId="1" xfId="0" applyNumberFormat="1" applyFont="1" applyFill="1" applyBorder="1" applyAlignment="1">
      <alignment horizontal="center" vertical="center"/>
    </xf>
    <xf numFmtId="1" fontId="9401" fillId="8" borderId="1" xfId="0" applyNumberFormat="1" applyFont="1" applyFill="1" applyBorder="1" applyAlignment="1">
      <alignment horizontal="center" vertical="center"/>
    </xf>
    <xf numFmtId="165" fontId="9402" fillId="8" borderId="1" xfId="0" applyNumberFormat="1" applyFont="1" applyFill="1" applyBorder="1" applyAlignment="1">
      <alignment horizontal="center" vertical="center"/>
    </xf>
    <xf numFmtId="1" fontId="9403" fillId="8" borderId="1" xfId="0" applyNumberFormat="1" applyFont="1" applyFill="1" applyBorder="1" applyAlignment="1">
      <alignment horizontal="center" vertical="center"/>
    </xf>
    <xf numFmtId="165" fontId="9404" fillId="8" borderId="1" xfId="0" applyNumberFormat="1" applyFont="1" applyFill="1" applyBorder="1" applyAlignment="1">
      <alignment horizontal="center" vertical="center"/>
    </xf>
    <xf numFmtId="2" fontId="9405" fillId="8" borderId="1" xfId="0" applyNumberFormat="1" applyFont="1" applyFill="1" applyBorder="1" applyAlignment="1">
      <alignment horizontal="center" vertical="center"/>
    </xf>
    <xf numFmtId="2" fontId="9406" fillId="8" borderId="1" xfId="0" applyNumberFormat="1" applyFont="1" applyFill="1" applyBorder="1" applyAlignment="1">
      <alignment horizontal="center" vertical="center"/>
    </xf>
    <xf numFmtId="2" fontId="9407" fillId="8" borderId="1" xfId="0" applyNumberFormat="1" applyFont="1" applyFill="1" applyBorder="1" applyAlignment="1">
      <alignment horizontal="center" vertical="center"/>
    </xf>
    <xf numFmtId="2" fontId="9408" fillId="8" borderId="1" xfId="0" applyNumberFormat="1" applyFont="1" applyFill="1" applyBorder="1" applyAlignment="1">
      <alignment horizontal="center" vertical="center"/>
    </xf>
    <xf numFmtId="2" fontId="9409" fillId="8" borderId="1" xfId="0" applyNumberFormat="1" applyFont="1" applyFill="1" applyBorder="1" applyAlignment="1">
      <alignment horizontal="center" vertical="center"/>
    </xf>
    <xf numFmtId="2" fontId="9410" fillId="8" borderId="1" xfId="0" applyNumberFormat="1" applyFont="1" applyFill="1" applyBorder="1" applyAlignment="1">
      <alignment horizontal="center" vertical="center"/>
    </xf>
    <xf numFmtId="2" fontId="9411" fillId="8" borderId="1" xfId="0" applyNumberFormat="1" applyFont="1" applyFill="1" applyBorder="1" applyAlignment="1">
      <alignment horizontal="center" vertical="center"/>
    </xf>
    <xf numFmtId="2" fontId="9412" fillId="8" borderId="1" xfId="0" applyNumberFormat="1" applyFont="1" applyFill="1" applyBorder="1" applyAlignment="1">
      <alignment horizontal="center" vertical="center"/>
    </xf>
    <xf numFmtId="2" fontId="9413" fillId="8" borderId="1" xfId="0" applyNumberFormat="1" applyFont="1" applyFill="1" applyBorder="1" applyAlignment="1">
      <alignment horizontal="center" vertical="center"/>
    </xf>
    <xf numFmtId="2" fontId="9414" fillId="8" borderId="1" xfId="0" applyNumberFormat="1" applyFont="1" applyFill="1" applyBorder="1" applyAlignment="1">
      <alignment horizontal="center" vertical="center"/>
    </xf>
    <xf numFmtId="2" fontId="9415" fillId="8" borderId="1" xfId="0" applyNumberFormat="1" applyFont="1" applyFill="1" applyBorder="1" applyAlignment="1">
      <alignment horizontal="center" vertical="center"/>
    </xf>
    <xf numFmtId="2" fontId="9416" fillId="8" borderId="1" xfId="0" applyNumberFormat="1" applyFont="1" applyFill="1" applyBorder="1" applyAlignment="1">
      <alignment horizontal="center" vertical="center"/>
    </xf>
    <xf numFmtId="2" fontId="9417" fillId="8" borderId="1" xfId="0" applyNumberFormat="1" applyFont="1" applyFill="1" applyBorder="1" applyAlignment="1">
      <alignment horizontal="center" vertical="center"/>
    </xf>
    <xf numFmtId="2" fontId="9418" fillId="8" borderId="1" xfId="0" applyNumberFormat="1" applyFont="1" applyFill="1" applyBorder="1" applyAlignment="1">
      <alignment horizontal="center" vertical="center"/>
    </xf>
    <xf numFmtId="2" fontId="9419" fillId="8" borderId="1" xfId="0" applyNumberFormat="1" applyFont="1" applyFill="1" applyBorder="1" applyAlignment="1">
      <alignment horizontal="center" vertical="center"/>
    </xf>
    <xf numFmtId="2" fontId="9420" fillId="8" borderId="1" xfId="0" applyNumberFormat="1" applyFont="1" applyFill="1" applyBorder="1" applyAlignment="1">
      <alignment horizontal="center" vertical="center"/>
    </xf>
    <xf numFmtId="2" fontId="9421" fillId="8" borderId="1" xfId="0" applyNumberFormat="1" applyFont="1" applyFill="1" applyBorder="1" applyAlignment="1">
      <alignment horizontal="center" vertical="center"/>
    </xf>
    <xf numFmtId="2" fontId="9422" fillId="8" borderId="1" xfId="0" applyNumberFormat="1" applyFont="1" applyFill="1" applyBorder="1" applyAlignment="1">
      <alignment horizontal="center" vertical="center"/>
    </xf>
    <xf numFmtId="2" fontId="9423" fillId="8" borderId="1" xfId="0" applyNumberFormat="1" applyFont="1" applyFill="1" applyBorder="1" applyAlignment="1">
      <alignment horizontal="center" vertical="center"/>
    </xf>
    <xf numFmtId="2" fontId="9424" fillId="8" borderId="1" xfId="0" applyNumberFormat="1" applyFont="1" applyFill="1" applyBorder="1" applyAlignment="1">
      <alignment horizontal="center" vertical="center"/>
    </xf>
    <xf numFmtId="2" fontId="9425" fillId="8" borderId="1" xfId="0" applyNumberFormat="1" applyFont="1" applyFill="1" applyBorder="1" applyAlignment="1">
      <alignment horizontal="center" vertical="center"/>
    </xf>
    <xf numFmtId="2" fontId="9426" fillId="8" borderId="1" xfId="0" applyNumberFormat="1" applyFont="1" applyFill="1" applyBorder="1" applyAlignment="1">
      <alignment horizontal="center" vertical="center"/>
    </xf>
    <xf numFmtId="2" fontId="9427" fillId="8" borderId="1" xfId="0" applyNumberFormat="1" applyFont="1" applyFill="1" applyBorder="1" applyAlignment="1">
      <alignment horizontal="center" vertical="center"/>
    </xf>
    <xf numFmtId="2" fontId="9428" fillId="8" borderId="1" xfId="0" applyNumberFormat="1" applyFont="1" applyFill="1" applyBorder="1" applyAlignment="1">
      <alignment horizontal="center" vertical="center"/>
    </xf>
    <xf numFmtId="2" fontId="9429" fillId="8" borderId="1" xfId="0" applyNumberFormat="1" applyFont="1" applyFill="1" applyBorder="1" applyAlignment="1">
      <alignment horizontal="center" vertical="center"/>
    </xf>
    <xf numFmtId="2" fontId="9430" fillId="8" borderId="1" xfId="0" applyNumberFormat="1" applyFont="1" applyFill="1" applyBorder="1" applyAlignment="1">
      <alignment horizontal="center" vertical="center"/>
    </xf>
    <xf numFmtId="2" fontId="9431" fillId="8" borderId="1" xfId="0" applyNumberFormat="1" applyFont="1" applyFill="1" applyBorder="1" applyAlignment="1">
      <alignment horizontal="center" vertical="center"/>
    </xf>
    <xf numFmtId="2" fontId="9432" fillId="8" borderId="1" xfId="0" applyNumberFormat="1" applyFont="1" applyFill="1" applyBorder="1" applyAlignment="1">
      <alignment horizontal="center" vertical="center"/>
    </xf>
    <xf numFmtId="2" fontId="9433" fillId="8" borderId="1" xfId="0" applyNumberFormat="1" applyFont="1" applyFill="1" applyBorder="1" applyAlignment="1">
      <alignment horizontal="center" vertical="center"/>
    </xf>
    <xf numFmtId="2" fontId="9434" fillId="8" borderId="1" xfId="0" applyNumberFormat="1" applyFont="1" applyFill="1" applyBorder="1" applyAlignment="1">
      <alignment horizontal="center" vertical="center"/>
    </xf>
    <xf numFmtId="2" fontId="9435" fillId="8" borderId="1" xfId="0" applyNumberFormat="1" applyFont="1" applyFill="1" applyBorder="1" applyAlignment="1">
      <alignment horizontal="center" vertical="center"/>
    </xf>
    <xf numFmtId="2" fontId="9436" fillId="8" borderId="1" xfId="0" applyNumberFormat="1" applyFont="1" applyFill="1" applyBorder="1" applyAlignment="1">
      <alignment horizontal="center" vertical="center"/>
    </xf>
    <xf numFmtId="2" fontId="9437" fillId="8" borderId="1" xfId="0" applyNumberFormat="1" applyFont="1" applyFill="1" applyBorder="1" applyAlignment="1">
      <alignment horizontal="center" vertical="center"/>
    </xf>
    <xf numFmtId="2" fontId="9438" fillId="8" borderId="1" xfId="0" applyNumberFormat="1" applyFont="1" applyFill="1" applyBorder="1" applyAlignment="1">
      <alignment horizontal="center" vertical="center"/>
    </xf>
    <xf numFmtId="0" fontId="9439" fillId="7" borderId="1" xfId="0" applyNumberFormat="1" applyFont="1" applyFill="1" applyBorder="1" applyAlignment="1">
      <alignment horizontal="left" vertical="center"/>
    </xf>
    <xf numFmtId="0" fontId="9440" fillId="8" borderId="1" xfId="0" applyNumberFormat="1" applyFont="1" applyFill="1" applyBorder="1" applyAlignment="1">
      <alignment horizontal="center" vertical="center"/>
    </xf>
    <xf numFmtId="164" fontId="9441" fillId="8" borderId="1" xfId="0" applyNumberFormat="1" applyFont="1" applyFill="1" applyBorder="1" applyAlignment="1">
      <alignment horizontal="center" vertical="center"/>
    </xf>
    <xf numFmtId="1" fontId="9442" fillId="8" borderId="1" xfId="0" applyNumberFormat="1" applyFont="1" applyFill="1" applyBorder="1" applyAlignment="1">
      <alignment horizontal="center" vertical="center"/>
    </xf>
    <xf numFmtId="1" fontId="9443" fillId="8" borderId="1" xfId="0" applyNumberFormat="1" applyFont="1" applyFill="1" applyBorder="1" applyAlignment="1">
      <alignment horizontal="center" vertical="center"/>
    </xf>
    <xf numFmtId="1" fontId="9444" fillId="8" borderId="1" xfId="0" applyNumberFormat="1" applyFont="1" applyFill="1" applyBorder="1" applyAlignment="1">
      <alignment horizontal="center" vertical="center"/>
    </xf>
    <xf numFmtId="1" fontId="9445" fillId="8" borderId="1" xfId="0" applyNumberFormat="1" applyFont="1" applyFill="1" applyBorder="1" applyAlignment="1">
      <alignment horizontal="center" vertical="center"/>
    </xf>
    <xf numFmtId="1" fontId="9446" fillId="8" borderId="1" xfId="0" applyNumberFormat="1" applyFont="1" applyFill="1" applyBorder="1" applyAlignment="1">
      <alignment horizontal="center" vertical="center"/>
    </xf>
    <xf numFmtId="1" fontId="9447" fillId="8" borderId="1" xfId="0" applyNumberFormat="1" applyFont="1" applyFill="1" applyBorder="1" applyAlignment="1">
      <alignment horizontal="center" vertical="center"/>
    </xf>
    <xf numFmtId="1" fontId="9448" fillId="8" borderId="1" xfId="0" applyNumberFormat="1" applyFont="1" applyFill="1" applyBorder="1" applyAlignment="1">
      <alignment horizontal="center" vertical="center"/>
    </xf>
    <xf numFmtId="0" fontId="9449" fillId="8" borderId="1" xfId="0" applyNumberFormat="1" applyFont="1" applyFill="1" applyBorder="1" applyAlignment="1">
      <alignment horizontal="center" vertical="center"/>
    </xf>
    <xf numFmtId="0" fontId="9450" fillId="8" borderId="1" xfId="0" applyNumberFormat="1" applyFont="1" applyFill="1" applyBorder="1" applyAlignment="1">
      <alignment horizontal="center" vertical="center"/>
    </xf>
    <xf numFmtId="1" fontId="9451" fillId="8" borderId="1" xfId="0" applyNumberFormat="1" applyFont="1" applyFill="1" applyBorder="1" applyAlignment="1">
      <alignment horizontal="center" vertical="center"/>
    </xf>
    <xf numFmtId="1" fontId="9452" fillId="8" borderId="1" xfId="0" applyNumberFormat="1" applyFont="1" applyFill="1" applyBorder="1" applyAlignment="1">
      <alignment horizontal="center" vertical="center"/>
    </xf>
    <xf numFmtId="1" fontId="9453" fillId="8" borderId="1" xfId="0" applyNumberFormat="1" applyFont="1" applyFill="1" applyBorder="1" applyAlignment="1">
      <alignment horizontal="center" vertical="center"/>
    </xf>
    <xf numFmtId="165" fontId="9454" fillId="8" borderId="1" xfId="0" applyNumberFormat="1" applyFont="1" applyFill="1" applyBorder="1" applyAlignment="1">
      <alignment horizontal="center" vertical="center"/>
    </xf>
    <xf numFmtId="1" fontId="9455" fillId="8" borderId="1" xfId="0" applyNumberFormat="1" applyFont="1" applyFill="1" applyBorder="1" applyAlignment="1">
      <alignment horizontal="center" vertical="center"/>
    </xf>
    <xf numFmtId="165" fontId="9456" fillId="8" borderId="1" xfId="0" applyNumberFormat="1" applyFont="1" applyFill="1" applyBorder="1" applyAlignment="1">
      <alignment horizontal="center" vertical="center"/>
    </xf>
    <xf numFmtId="1" fontId="9457" fillId="8" borderId="1" xfId="0" applyNumberFormat="1" applyFont="1" applyFill="1" applyBorder="1" applyAlignment="1">
      <alignment horizontal="center" vertical="center"/>
    </xf>
    <xf numFmtId="165" fontId="9458" fillId="8" borderId="1" xfId="0" applyNumberFormat="1" applyFont="1" applyFill="1" applyBorder="1" applyAlignment="1">
      <alignment horizontal="center" vertical="center"/>
    </xf>
    <xf numFmtId="1" fontId="9459" fillId="8" borderId="1" xfId="0" applyNumberFormat="1" applyFont="1" applyFill="1" applyBorder="1" applyAlignment="1">
      <alignment horizontal="center" vertical="center"/>
    </xf>
    <xf numFmtId="165" fontId="9460" fillId="8" borderId="1" xfId="0" applyNumberFormat="1" applyFont="1" applyFill="1" applyBorder="1" applyAlignment="1">
      <alignment horizontal="center" vertical="center"/>
    </xf>
    <xf numFmtId="165" fontId="9461" fillId="8" borderId="1" xfId="0" applyNumberFormat="1" applyFont="1" applyFill="1" applyBorder="1" applyAlignment="1">
      <alignment horizontal="center" vertical="center"/>
    </xf>
    <xf numFmtId="1" fontId="9462" fillId="8" borderId="1" xfId="0" applyNumberFormat="1" applyFont="1" applyFill="1" applyBorder="1" applyAlignment="1">
      <alignment horizontal="center" vertical="center"/>
    </xf>
    <xf numFmtId="1" fontId="9463" fillId="8" borderId="1" xfId="0" applyNumberFormat="1" applyFont="1" applyFill="1" applyBorder="1" applyAlignment="1">
      <alignment horizontal="center" vertical="center"/>
    </xf>
    <xf numFmtId="1" fontId="9464" fillId="8" borderId="1" xfId="0" applyNumberFormat="1" applyFont="1" applyFill="1" applyBorder="1" applyAlignment="1">
      <alignment horizontal="center" vertical="center"/>
    </xf>
    <xf numFmtId="165" fontId="9465" fillId="8" borderId="1" xfId="0" applyNumberFormat="1" applyFont="1" applyFill="1" applyBorder="1" applyAlignment="1">
      <alignment horizontal="center" vertical="center"/>
    </xf>
    <xf numFmtId="164" fontId="9466" fillId="8" borderId="1" xfId="0" applyNumberFormat="1" applyFont="1" applyFill="1" applyBorder="1" applyAlignment="1">
      <alignment horizontal="center" vertical="center"/>
    </xf>
    <xf numFmtId="164" fontId="9467" fillId="8" borderId="1" xfId="0" applyNumberFormat="1" applyFont="1" applyFill="1" applyBorder="1" applyAlignment="1">
      <alignment horizontal="center" vertical="center"/>
    </xf>
    <xf numFmtId="1" fontId="9468" fillId="8" borderId="1" xfId="0" applyNumberFormat="1" applyFont="1" applyFill="1" applyBorder="1" applyAlignment="1">
      <alignment horizontal="center" vertical="center"/>
    </xf>
    <xf numFmtId="1" fontId="9469" fillId="8" borderId="1" xfId="0" applyNumberFormat="1" applyFont="1" applyFill="1" applyBorder="1" applyAlignment="1">
      <alignment horizontal="center" vertical="center"/>
    </xf>
    <xf numFmtId="1" fontId="9470" fillId="8" borderId="1" xfId="0" applyNumberFormat="1" applyFont="1" applyFill="1" applyBorder="1" applyAlignment="1">
      <alignment horizontal="center" vertical="center"/>
    </xf>
    <xf numFmtId="165" fontId="9471" fillId="8" borderId="1" xfId="0" applyNumberFormat="1" applyFont="1" applyFill="1" applyBorder="1" applyAlignment="1">
      <alignment horizontal="center" vertical="center"/>
    </xf>
    <xf numFmtId="1" fontId="9472" fillId="8" borderId="1" xfId="0" applyNumberFormat="1" applyFont="1" applyFill="1" applyBorder="1" applyAlignment="1">
      <alignment horizontal="center" vertical="center"/>
    </xf>
    <xf numFmtId="165" fontId="9473" fillId="8" borderId="1" xfId="0" applyNumberFormat="1" applyFont="1" applyFill="1" applyBorder="1" applyAlignment="1">
      <alignment horizontal="center" vertical="center"/>
    </xf>
    <xf numFmtId="1" fontId="9474" fillId="8" borderId="1" xfId="0" applyNumberFormat="1" applyFont="1" applyFill="1" applyBorder="1" applyAlignment="1">
      <alignment horizontal="center" vertical="center"/>
    </xf>
    <xf numFmtId="1" fontId="9475" fillId="8" borderId="1" xfId="0" applyNumberFormat="1" applyFont="1" applyFill="1" applyBorder="1" applyAlignment="1">
      <alignment horizontal="center" vertical="center"/>
    </xf>
    <xf numFmtId="1" fontId="9476" fillId="8" borderId="1" xfId="0" applyNumberFormat="1" applyFont="1" applyFill="1" applyBorder="1" applyAlignment="1">
      <alignment horizontal="center" vertical="center"/>
    </xf>
    <xf numFmtId="1" fontId="9477" fillId="8" borderId="1" xfId="0" applyNumberFormat="1" applyFont="1" applyFill="1" applyBorder="1" applyAlignment="1">
      <alignment horizontal="center" vertical="center"/>
    </xf>
    <xf numFmtId="165" fontId="9478" fillId="8" borderId="1" xfId="0" applyNumberFormat="1" applyFont="1" applyFill="1" applyBorder="1" applyAlignment="1">
      <alignment horizontal="center" vertical="center"/>
    </xf>
    <xf numFmtId="1" fontId="9479" fillId="8" borderId="1" xfId="0" applyNumberFormat="1" applyFont="1" applyFill="1" applyBorder="1" applyAlignment="1">
      <alignment horizontal="center" vertical="center"/>
    </xf>
    <xf numFmtId="165" fontId="9480" fillId="8" borderId="1" xfId="0" applyNumberFormat="1" applyFont="1" applyFill="1" applyBorder="1" applyAlignment="1">
      <alignment horizontal="center" vertical="center"/>
    </xf>
    <xf numFmtId="1" fontId="9481" fillId="8" borderId="1" xfId="0" applyNumberFormat="1" applyFont="1" applyFill="1" applyBorder="1" applyAlignment="1">
      <alignment horizontal="center" vertical="center"/>
    </xf>
    <xf numFmtId="165" fontId="9482" fillId="8" borderId="1" xfId="0" applyNumberFormat="1" applyFont="1" applyFill="1" applyBorder="1" applyAlignment="1">
      <alignment horizontal="center" vertical="center"/>
    </xf>
    <xf numFmtId="2" fontId="9483" fillId="8" borderId="1" xfId="0" applyNumberFormat="1" applyFont="1" applyFill="1" applyBorder="1" applyAlignment="1">
      <alignment horizontal="center" vertical="center"/>
    </xf>
    <xf numFmtId="2" fontId="9484" fillId="8" borderId="1" xfId="0" applyNumberFormat="1" applyFont="1" applyFill="1" applyBorder="1" applyAlignment="1">
      <alignment horizontal="center" vertical="center"/>
    </xf>
    <xf numFmtId="2" fontId="9485" fillId="8" borderId="1" xfId="0" applyNumberFormat="1" applyFont="1" applyFill="1" applyBorder="1" applyAlignment="1">
      <alignment horizontal="center" vertical="center"/>
    </xf>
    <xf numFmtId="2" fontId="9486" fillId="8" borderId="1" xfId="0" applyNumberFormat="1" applyFont="1" applyFill="1" applyBorder="1" applyAlignment="1">
      <alignment horizontal="center" vertical="center"/>
    </xf>
    <xf numFmtId="2" fontId="9487" fillId="8" borderId="1" xfId="0" applyNumberFormat="1" applyFont="1" applyFill="1" applyBorder="1" applyAlignment="1">
      <alignment horizontal="center" vertical="center"/>
    </xf>
    <xf numFmtId="2" fontId="9488" fillId="8" borderId="1" xfId="0" applyNumberFormat="1" applyFont="1" applyFill="1" applyBorder="1" applyAlignment="1">
      <alignment horizontal="center" vertical="center"/>
    </xf>
    <xf numFmtId="2" fontId="9489" fillId="8" borderId="1" xfId="0" applyNumberFormat="1" applyFont="1" applyFill="1" applyBorder="1" applyAlignment="1">
      <alignment horizontal="center" vertical="center"/>
    </xf>
    <xf numFmtId="2" fontId="9490" fillId="8" borderId="1" xfId="0" applyNumberFormat="1" applyFont="1" applyFill="1" applyBorder="1" applyAlignment="1">
      <alignment horizontal="center" vertical="center"/>
    </xf>
    <xf numFmtId="2" fontId="9491" fillId="8" borderId="1" xfId="0" applyNumberFormat="1" applyFont="1" applyFill="1" applyBorder="1" applyAlignment="1">
      <alignment horizontal="center" vertical="center"/>
    </xf>
    <xf numFmtId="2" fontId="9492" fillId="8" borderId="1" xfId="0" applyNumberFormat="1" applyFont="1" applyFill="1" applyBorder="1" applyAlignment="1">
      <alignment horizontal="center" vertical="center"/>
    </xf>
    <xf numFmtId="2" fontId="9493" fillId="8" borderId="1" xfId="0" applyNumberFormat="1" applyFont="1" applyFill="1" applyBorder="1" applyAlignment="1">
      <alignment horizontal="center" vertical="center"/>
    </xf>
    <xf numFmtId="2" fontId="9494" fillId="8" borderId="1" xfId="0" applyNumberFormat="1" applyFont="1" applyFill="1" applyBorder="1" applyAlignment="1">
      <alignment horizontal="center" vertical="center"/>
    </xf>
    <xf numFmtId="2" fontId="9495" fillId="8" borderId="1" xfId="0" applyNumberFormat="1" applyFont="1" applyFill="1" applyBorder="1" applyAlignment="1">
      <alignment horizontal="center" vertical="center"/>
    </xf>
    <xf numFmtId="2" fontId="9496" fillId="8" borderId="1" xfId="0" applyNumberFormat="1" applyFont="1" applyFill="1" applyBorder="1" applyAlignment="1">
      <alignment horizontal="center" vertical="center"/>
    </xf>
    <xf numFmtId="2" fontId="9497" fillId="8" borderId="1" xfId="0" applyNumberFormat="1" applyFont="1" applyFill="1" applyBorder="1" applyAlignment="1">
      <alignment horizontal="center" vertical="center"/>
    </xf>
    <xf numFmtId="2" fontId="9498" fillId="8" borderId="1" xfId="0" applyNumberFormat="1" applyFont="1" applyFill="1" applyBorder="1" applyAlignment="1">
      <alignment horizontal="center" vertical="center"/>
    </xf>
    <xf numFmtId="2" fontId="9499" fillId="8" borderId="1" xfId="0" applyNumberFormat="1" applyFont="1" applyFill="1" applyBorder="1" applyAlignment="1">
      <alignment horizontal="center" vertical="center"/>
    </xf>
    <xf numFmtId="2" fontId="9500" fillId="8" borderId="1" xfId="0" applyNumberFormat="1" applyFont="1" applyFill="1" applyBorder="1" applyAlignment="1">
      <alignment horizontal="center" vertical="center"/>
    </xf>
    <xf numFmtId="2" fontId="9501" fillId="8" borderId="1" xfId="0" applyNumberFormat="1" applyFont="1" applyFill="1" applyBorder="1" applyAlignment="1">
      <alignment horizontal="center" vertical="center"/>
    </xf>
    <xf numFmtId="2" fontId="9502" fillId="8" borderId="1" xfId="0" applyNumberFormat="1" applyFont="1" applyFill="1" applyBorder="1" applyAlignment="1">
      <alignment horizontal="center" vertical="center"/>
    </xf>
    <xf numFmtId="2" fontId="9503" fillId="8" borderId="1" xfId="0" applyNumberFormat="1" applyFont="1" applyFill="1" applyBorder="1" applyAlignment="1">
      <alignment horizontal="center" vertical="center"/>
    </xf>
    <xf numFmtId="2" fontId="9504" fillId="8" borderId="1" xfId="0" applyNumberFormat="1" applyFont="1" applyFill="1" applyBorder="1" applyAlignment="1">
      <alignment horizontal="center" vertical="center"/>
    </xf>
    <xf numFmtId="2" fontId="9505" fillId="8" borderId="1" xfId="0" applyNumberFormat="1" applyFont="1" applyFill="1" applyBorder="1" applyAlignment="1">
      <alignment horizontal="center" vertical="center"/>
    </xf>
    <xf numFmtId="2" fontId="9506" fillId="8" borderId="1" xfId="0" applyNumberFormat="1" applyFont="1" applyFill="1" applyBorder="1" applyAlignment="1">
      <alignment horizontal="center" vertical="center"/>
    </xf>
    <xf numFmtId="2" fontId="9507" fillId="8" borderId="1" xfId="0" applyNumberFormat="1" applyFont="1" applyFill="1" applyBorder="1" applyAlignment="1">
      <alignment horizontal="center" vertical="center"/>
    </xf>
    <xf numFmtId="2" fontId="9508" fillId="8" borderId="1" xfId="0" applyNumberFormat="1" applyFont="1" applyFill="1" applyBorder="1" applyAlignment="1">
      <alignment horizontal="center" vertical="center"/>
    </xf>
    <xf numFmtId="2" fontId="9509" fillId="8" borderId="1" xfId="0" applyNumberFormat="1" applyFont="1" applyFill="1" applyBorder="1" applyAlignment="1">
      <alignment horizontal="center" vertical="center"/>
    </xf>
    <xf numFmtId="2" fontId="9510" fillId="8" borderId="1" xfId="0" applyNumberFormat="1" applyFont="1" applyFill="1" applyBorder="1" applyAlignment="1">
      <alignment horizontal="center" vertical="center"/>
    </xf>
    <xf numFmtId="2" fontId="9511" fillId="8" borderId="1" xfId="0" applyNumberFormat="1" applyFont="1" applyFill="1" applyBorder="1" applyAlignment="1">
      <alignment horizontal="center" vertical="center"/>
    </xf>
    <xf numFmtId="2" fontId="9512" fillId="8" borderId="1" xfId="0" applyNumberFormat="1" applyFont="1" applyFill="1" applyBorder="1" applyAlignment="1">
      <alignment horizontal="center" vertical="center"/>
    </xf>
    <xf numFmtId="2" fontId="9513" fillId="8" borderId="1" xfId="0" applyNumberFormat="1" applyFont="1" applyFill="1" applyBorder="1" applyAlignment="1">
      <alignment horizontal="center" vertical="center"/>
    </xf>
    <xf numFmtId="2" fontId="9514" fillId="8" borderId="1" xfId="0" applyNumberFormat="1" applyFont="1" applyFill="1" applyBorder="1" applyAlignment="1">
      <alignment horizontal="center" vertical="center"/>
    </xf>
    <xf numFmtId="2" fontId="9515" fillId="8" borderId="1" xfId="0" applyNumberFormat="1" applyFont="1" applyFill="1" applyBorder="1" applyAlignment="1">
      <alignment horizontal="center" vertical="center"/>
    </xf>
    <xf numFmtId="2" fontId="9516" fillId="8" borderId="1" xfId="0" applyNumberFormat="1" applyFont="1" applyFill="1" applyBorder="1" applyAlignment="1">
      <alignment horizontal="center" vertical="center"/>
    </xf>
    <xf numFmtId="0" fontId="9517" fillId="7" borderId="1" xfId="0" applyNumberFormat="1" applyFont="1" applyFill="1" applyBorder="1" applyAlignment="1">
      <alignment horizontal="left" vertical="center"/>
    </xf>
    <xf numFmtId="0" fontId="9518" fillId="8" borderId="1" xfId="0" applyNumberFormat="1" applyFont="1" applyFill="1" applyBorder="1" applyAlignment="1">
      <alignment horizontal="center" vertical="center"/>
    </xf>
    <xf numFmtId="164" fontId="9519" fillId="8" borderId="1" xfId="0" applyNumberFormat="1" applyFont="1" applyFill="1" applyBorder="1" applyAlignment="1">
      <alignment horizontal="center" vertical="center"/>
    </xf>
    <xf numFmtId="1" fontId="9520" fillId="8" borderId="1" xfId="0" applyNumberFormat="1" applyFont="1" applyFill="1" applyBorder="1" applyAlignment="1">
      <alignment horizontal="center" vertical="center"/>
    </xf>
    <xf numFmtId="1" fontId="9521" fillId="8" borderId="1" xfId="0" applyNumberFormat="1" applyFont="1" applyFill="1" applyBorder="1" applyAlignment="1">
      <alignment horizontal="center" vertical="center"/>
    </xf>
    <xf numFmtId="1" fontId="9522" fillId="8" borderId="1" xfId="0" applyNumberFormat="1" applyFont="1" applyFill="1" applyBorder="1" applyAlignment="1">
      <alignment horizontal="center" vertical="center"/>
    </xf>
    <xf numFmtId="1" fontId="9523" fillId="8" borderId="1" xfId="0" applyNumberFormat="1" applyFont="1" applyFill="1" applyBorder="1" applyAlignment="1">
      <alignment horizontal="center" vertical="center"/>
    </xf>
    <xf numFmtId="1" fontId="9524" fillId="8" borderId="1" xfId="0" applyNumberFormat="1" applyFont="1" applyFill="1" applyBorder="1" applyAlignment="1">
      <alignment horizontal="center" vertical="center"/>
    </xf>
    <xf numFmtId="1" fontId="9525" fillId="8" borderId="1" xfId="0" applyNumberFormat="1" applyFont="1" applyFill="1" applyBorder="1" applyAlignment="1">
      <alignment horizontal="center" vertical="center"/>
    </xf>
    <xf numFmtId="1" fontId="9526" fillId="8" borderId="1" xfId="0" applyNumberFormat="1" applyFont="1" applyFill="1" applyBorder="1" applyAlignment="1">
      <alignment horizontal="center" vertical="center"/>
    </xf>
    <xf numFmtId="0" fontId="9527" fillId="8" borderId="1" xfId="0" applyNumberFormat="1" applyFont="1" applyFill="1" applyBorder="1" applyAlignment="1">
      <alignment horizontal="center" vertical="center"/>
    </xf>
    <xf numFmtId="0" fontId="9528" fillId="8" borderId="1" xfId="0" applyNumberFormat="1" applyFont="1" applyFill="1" applyBorder="1" applyAlignment="1">
      <alignment horizontal="center" vertical="center"/>
    </xf>
    <xf numFmtId="1" fontId="9529" fillId="8" borderId="1" xfId="0" applyNumberFormat="1" applyFont="1" applyFill="1" applyBorder="1" applyAlignment="1">
      <alignment horizontal="center" vertical="center"/>
    </xf>
    <xf numFmtId="1" fontId="9530" fillId="8" borderId="1" xfId="0" applyNumberFormat="1" applyFont="1" applyFill="1" applyBorder="1" applyAlignment="1">
      <alignment horizontal="center" vertical="center"/>
    </xf>
    <xf numFmtId="1" fontId="9531" fillId="8" borderId="1" xfId="0" applyNumberFormat="1" applyFont="1" applyFill="1" applyBorder="1" applyAlignment="1">
      <alignment horizontal="center" vertical="center"/>
    </xf>
    <xf numFmtId="165" fontId="9532" fillId="8" borderId="1" xfId="0" applyNumberFormat="1" applyFont="1" applyFill="1" applyBorder="1" applyAlignment="1">
      <alignment horizontal="center" vertical="center"/>
    </xf>
    <xf numFmtId="1" fontId="9533" fillId="8" borderId="1" xfId="0" applyNumberFormat="1" applyFont="1" applyFill="1" applyBorder="1" applyAlignment="1">
      <alignment horizontal="center" vertical="center"/>
    </xf>
    <xf numFmtId="165" fontId="9534" fillId="8" borderId="1" xfId="0" applyNumberFormat="1" applyFont="1" applyFill="1" applyBorder="1" applyAlignment="1">
      <alignment horizontal="center" vertical="center"/>
    </xf>
    <xf numFmtId="1" fontId="9535" fillId="8" borderId="1" xfId="0" applyNumberFormat="1" applyFont="1" applyFill="1" applyBorder="1" applyAlignment="1">
      <alignment horizontal="center" vertical="center"/>
    </xf>
    <xf numFmtId="165" fontId="9536" fillId="8" borderId="1" xfId="0" applyNumberFormat="1" applyFont="1" applyFill="1" applyBorder="1" applyAlignment="1">
      <alignment horizontal="center" vertical="center"/>
    </xf>
    <xf numFmtId="1" fontId="9537" fillId="8" borderId="1" xfId="0" applyNumberFormat="1" applyFont="1" applyFill="1" applyBorder="1" applyAlignment="1">
      <alignment horizontal="center" vertical="center"/>
    </xf>
    <xf numFmtId="165" fontId="9538" fillId="8" borderId="1" xfId="0" applyNumberFormat="1" applyFont="1" applyFill="1" applyBorder="1" applyAlignment="1">
      <alignment horizontal="center" vertical="center"/>
    </xf>
    <xf numFmtId="165" fontId="9539" fillId="8" borderId="1" xfId="0" applyNumberFormat="1" applyFont="1" applyFill="1" applyBorder="1" applyAlignment="1">
      <alignment horizontal="center" vertical="center"/>
    </xf>
    <xf numFmtId="1" fontId="9540" fillId="8" borderId="1" xfId="0" applyNumberFormat="1" applyFont="1" applyFill="1" applyBorder="1" applyAlignment="1">
      <alignment horizontal="center" vertical="center"/>
    </xf>
    <xf numFmtId="1" fontId="9541" fillId="8" borderId="1" xfId="0" applyNumberFormat="1" applyFont="1" applyFill="1" applyBorder="1" applyAlignment="1">
      <alignment horizontal="center" vertical="center"/>
    </xf>
    <xf numFmtId="1" fontId="9542" fillId="8" borderId="1" xfId="0" applyNumberFormat="1" applyFont="1" applyFill="1" applyBorder="1" applyAlignment="1">
      <alignment horizontal="center" vertical="center"/>
    </xf>
    <xf numFmtId="165" fontId="9543" fillId="8" borderId="1" xfId="0" applyNumberFormat="1" applyFont="1" applyFill="1" applyBorder="1" applyAlignment="1">
      <alignment horizontal="center" vertical="center"/>
    </xf>
    <xf numFmtId="164" fontId="9544" fillId="8" borderId="1" xfId="0" applyNumberFormat="1" applyFont="1" applyFill="1" applyBorder="1" applyAlignment="1">
      <alignment horizontal="center" vertical="center"/>
    </xf>
    <xf numFmtId="164" fontId="9545" fillId="8" borderId="1" xfId="0" applyNumberFormat="1" applyFont="1" applyFill="1" applyBorder="1" applyAlignment="1">
      <alignment horizontal="center" vertical="center"/>
    </xf>
    <xf numFmtId="1" fontId="9546" fillId="8" borderId="1" xfId="0" applyNumberFormat="1" applyFont="1" applyFill="1" applyBorder="1" applyAlignment="1">
      <alignment horizontal="center" vertical="center"/>
    </xf>
    <xf numFmtId="1" fontId="9547" fillId="8" borderId="1" xfId="0" applyNumberFormat="1" applyFont="1" applyFill="1" applyBorder="1" applyAlignment="1">
      <alignment horizontal="center" vertical="center"/>
    </xf>
    <xf numFmtId="1" fontId="9548" fillId="8" borderId="1" xfId="0" applyNumberFormat="1" applyFont="1" applyFill="1" applyBorder="1" applyAlignment="1">
      <alignment horizontal="center" vertical="center"/>
    </xf>
    <xf numFmtId="165" fontId="9549" fillId="8" borderId="1" xfId="0" applyNumberFormat="1" applyFont="1" applyFill="1" applyBorder="1" applyAlignment="1">
      <alignment horizontal="center" vertical="center"/>
    </xf>
    <xf numFmtId="1" fontId="9550" fillId="8" borderId="1" xfId="0" applyNumberFormat="1" applyFont="1" applyFill="1" applyBorder="1" applyAlignment="1">
      <alignment horizontal="center" vertical="center"/>
    </xf>
    <xf numFmtId="165" fontId="9551" fillId="8" borderId="1" xfId="0" applyNumberFormat="1" applyFont="1" applyFill="1" applyBorder="1" applyAlignment="1">
      <alignment horizontal="center" vertical="center"/>
    </xf>
    <xf numFmtId="1" fontId="9552" fillId="8" borderId="1" xfId="0" applyNumberFormat="1" applyFont="1" applyFill="1" applyBorder="1" applyAlignment="1">
      <alignment horizontal="center" vertical="center"/>
    </xf>
    <xf numFmtId="1" fontId="9553" fillId="8" borderId="1" xfId="0" applyNumberFormat="1" applyFont="1" applyFill="1" applyBorder="1" applyAlignment="1">
      <alignment horizontal="center" vertical="center"/>
    </xf>
    <xf numFmtId="1" fontId="9554" fillId="8" borderId="1" xfId="0" applyNumberFormat="1" applyFont="1" applyFill="1" applyBorder="1" applyAlignment="1">
      <alignment horizontal="center" vertical="center"/>
    </xf>
    <xf numFmtId="1" fontId="9555" fillId="8" borderId="1" xfId="0" applyNumberFormat="1" applyFont="1" applyFill="1" applyBorder="1" applyAlignment="1">
      <alignment horizontal="center" vertical="center"/>
    </xf>
    <xf numFmtId="165" fontId="9556" fillId="8" borderId="1" xfId="0" applyNumberFormat="1" applyFont="1" applyFill="1" applyBorder="1" applyAlignment="1">
      <alignment horizontal="center" vertical="center"/>
    </xf>
    <xf numFmtId="1" fontId="9557" fillId="8" borderId="1" xfId="0" applyNumberFormat="1" applyFont="1" applyFill="1" applyBorder="1" applyAlignment="1">
      <alignment horizontal="center" vertical="center"/>
    </xf>
    <xf numFmtId="165" fontId="9558" fillId="8" borderId="1" xfId="0" applyNumberFormat="1" applyFont="1" applyFill="1" applyBorder="1" applyAlignment="1">
      <alignment horizontal="center" vertical="center"/>
    </xf>
    <xf numFmtId="1" fontId="9559" fillId="8" borderId="1" xfId="0" applyNumberFormat="1" applyFont="1" applyFill="1" applyBorder="1" applyAlignment="1">
      <alignment horizontal="center" vertical="center"/>
    </xf>
    <xf numFmtId="165" fontId="9560" fillId="8" borderId="1" xfId="0" applyNumberFormat="1" applyFont="1" applyFill="1" applyBorder="1" applyAlignment="1">
      <alignment horizontal="center" vertical="center"/>
    </xf>
    <xf numFmtId="2" fontId="9561" fillId="8" borderId="1" xfId="0" applyNumberFormat="1" applyFont="1" applyFill="1" applyBorder="1" applyAlignment="1">
      <alignment horizontal="center" vertical="center"/>
    </xf>
    <xf numFmtId="2" fontId="9562" fillId="8" borderId="1" xfId="0" applyNumberFormat="1" applyFont="1" applyFill="1" applyBorder="1" applyAlignment="1">
      <alignment horizontal="center" vertical="center"/>
    </xf>
    <xf numFmtId="2" fontId="9563" fillId="8" borderId="1" xfId="0" applyNumberFormat="1" applyFont="1" applyFill="1" applyBorder="1" applyAlignment="1">
      <alignment horizontal="center" vertical="center"/>
    </xf>
    <xf numFmtId="2" fontId="9564" fillId="8" borderId="1" xfId="0" applyNumberFormat="1" applyFont="1" applyFill="1" applyBorder="1" applyAlignment="1">
      <alignment horizontal="center" vertical="center"/>
    </xf>
    <xf numFmtId="2" fontId="9565" fillId="8" borderId="1" xfId="0" applyNumberFormat="1" applyFont="1" applyFill="1" applyBorder="1" applyAlignment="1">
      <alignment horizontal="center" vertical="center"/>
    </xf>
    <xf numFmtId="2" fontId="9566" fillId="8" borderId="1" xfId="0" applyNumberFormat="1" applyFont="1" applyFill="1" applyBorder="1" applyAlignment="1">
      <alignment horizontal="center" vertical="center"/>
    </xf>
    <xf numFmtId="2" fontId="9567" fillId="8" borderId="1" xfId="0" applyNumberFormat="1" applyFont="1" applyFill="1" applyBorder="1" applyAlignment="1">
      <alignment horizontal="center" vertical="center"/>
    </xf>
    <xf numFmtId="2" fontId="9568" fillId="8" borderId="1" xfId="0" applyNumberFormat="1" applyFont="1" applyFill="1" applyBorder="1" applyAlignment="1">
      <alignment horizontal="center" vertical="center"/>
    </xf>
    <xf numFmtId="2" fontId="9569" fillId="8" borderId="1" xfId="0" applyNumberFormat="1" applyFont="1" applyFill="1" applyBorder="1" applyAlignment="1">
      <alignment horizontal="center" vertical="center"/>
    </xf>
    <xf numFmtId="2" fontId="9570" fillId="8" borderId="1" xfId="0" applyNumberFormat="1" applyFont="1" applyFill="1" applyBorder="1" applyAlignment="1">
      <alignment horizontal="center" vertical="center"/>
    </xf>
    <xf numFmtId="2" fontId="9571" fillId="8" borderId="1" xfId="0" applyNumberFormat="1" applyFont="1" applyFill="1" applyBorder="1" applyAlignment="1">
      <alignment horizontal="center" vertical="center"/>
    </xf>
    <xf numFmtId="2" fontId="9572" fillId="8" borderId="1" xfId="0" applyNumberFormat="1" applyFont="1" applyFill="1" applyBorder="1" applyAlignment="1">
      <alignment horizontal="center" vertical="center"/>
    </xf>
    <xf numFmtId="2" fontId="9573" fillId="8" borderId="1" xfId="0" applyNumberFormat="1" applyFont="1" applyFill="1" applyBorder="1" applyAlignment="1">
      <alignment horizontal="center" vertical="center"/>
    </xf>
    <xf numFmtId="2" fontId="9574" fillId="8" borderId="1" xfId="0" applyNumberFormat="1" applyFont="1" applyFill="1" applyBorder="1" applyAlignment="1">
      <alignment horizontal="center" vertical="center"/>
    </xf>
    <xf numFmtId="2" fontId="9575" fillId="8" borderId="1" xfId="0" applyNumberFormat="1" applyFont="1" applyFill="1" applyBorder="1" applyAlignment="1">
      <alignment horizontal="center" vertical="center"/>
    </xf>
    <xf numFmtId="2" fontId="9576" fillId="8" borderId="1" xfId="0" applyNumberFormat="1" applyFont="1" applyFill="1" applyBorder="1" applyAlignment="1">
      <alignment horizontal="center" vertical="center"/>
    </xf>
    <xf numFmtId="2" fontId="9577" fillId="8" borderId="1" xfId="0" applyNumberFormat="1" applyFont="1" applyFill="1" applyBorder="1" applyAlignment="1">
      <alignment horizontal="center" vertical="center"/>
    </xf>
    <xf numFmtId="2" fontId="9578" fillId="8" borderId="1" xfId="0" applyNumberFormat="1" applyFont="1" applyFill="1" applyBorder="1" applyAlignment="1">
      <alignment horizontal="center" vertical="center"/>
    </xf>
    <xf numFmtId="2" fontId="9579" fillId="8" borderId="1" xfId="0" applyNumberFormat="1" applyFont="1" applyFill="1" applyBorder="1" applyAlignment="1">
      <alignment horizontal="center" vertical="center"/>
    </xf>
    <xf numFmtId="2" fontId="9580" fillId="8" borderId="1" xfId="0" applyNumberFormat="1" applyFont="1" applyFill="1" applyBorder="1" applyAlignment="1">
      <alignment horizontal="center" vertical="center"/>
    </xf>
    <xf numFmtId="2" fontId="9581" fillId="8" borderId="1" xfId="0" applyNumberFormat="1" applyFont="1" applyFill="1" applyBorder="1" applyAlignment="1">
      <alignment horizontal="center" vertical="center"/>
    </xf>
    <xf numFmtId="2" fontId="9582" fillId="8" borderId="1" xfId="0" applyNumberFormat="1" applyFont="1" applyFill="1" applyBorder="1" applyAlignment="1">
      <alignment horizontal="center" vertical="center"/>
    </xf>
    <xf numFmtId="2" fontId="9583" fillId="8" borderId="1" xfId="0" applyNumberFormat="1" applyFont="1" applyFill="1" applyBorder="1" applyAlignment="1">
      <alignment horizontal="center" vertical="center"/>
    </xf>
    <xf numFmtId="2" fontId="9584" fillId="8" borderId="1" xfId="0" applyNumberFormat="1" applyFont="1" applyFill="1" applyBorder="1" applyAlignment="1">
      <alignment horizontal="center" vertical="center"/>
    </xf>
    <xf numFmtId="2" fontId="9585" fillId="8" borderId="1" xfId="0" applyNumberFormat="1" applyFont="1" applyFill="1" applyBorder="1" applyAlignment="1">
      <alignment horizontal="center" vertical="center"/>
    </xf>
    <xf numFmtId="2" fontId="9586" fillId="8" borderId="1" xfId="0" applyNumberFormat="1" applyFont="1" applyFill="1" applyBorder="1" applyAlignment="1">
      <alignment horizontal="center" vertical="center"/>
    </xf>
    <xf numFmtId="2" fontId="9587" fillId="8" borderId="1" xfId="0" applyNumberFormat="1" applyFont="1" applyFill="1" applyBorder="1" applyAlignment="1">
      <alignment horizontal="center" vertical="center"/>
    </xf>
    <xf numFmtId="2" fontId="9588" fillId="8" borderId="1" xfId="0" applyNumberFormat="1" applyFont="1" applyFill="1" applyBorder="1" applyAlignment="1">
      <alignment horizontal="center" vertical="center"/>
    </xf>
    <xf numFmtId="2" fontId="9589" fillId="8" borderId="1" xfId="0" applyNumberFormat="1" applyFont="1" applyFill="1" applyBorder="1" applyAlignment="1">
      <alignment horizontal="center" vertical="center"/>
    </xf>
    <xf numFmtId="2" fontId="9590" fillId="8" borderId="1" xfId="0" applyNumberFormat="1" applyFont="1" applyFill="1" applyBorder="1" applyAlignment="1">
      <alignment horizontal="center" vertical="center"/>
    </xf>
    <xf numFmtId="2" fontId="9591" fillId="8" borderId="1" xfId="0" applyNumberFormat="1" applyFont="1" applyFill="1" applyBorder="1" applyAlignment="1">
      <alignment horizontal="center" vertical="center"/>
    </xf>
    <xf numFmtId="2" fontId="9592" fillId="8" borderId="1" xfId="0" applyNumberFormat="1" applyFont="1" applyFill="1" applyBorder="1" applyAlignment="1">
      <alignment horizontal="center" vertical="center"/>
    </xf>
    <xf numFmtId="2" fontId="9593" fillId="8" borderId="1" xfId="0" applyNumberFormat="1" applyFont="1" applyFill="1" applyBorder="1" applyAlignment="1">
      <alignment horizontal="center" vertical="center"/>
    </xf>
    <xf numFmtId="2" fontId="9594" fillId="8" borderId="1" xfId="0" applyNumberFormat="1" applyFont="1" applyFill="1" applyBorder="1" applyAlignment="1">
      <alignment horizontal="center" vertical="center"/>
    </xf>
    <xf numFmtId="0" fontId="9595" fillId="7" borderId="1" xfId="0" applyNumberFormat="1" applyFont="1" applyFill="1" applyBorder="1" applyAlignment="1">
      <alignment horizontal="left" vertical="center"/>
    </xf>
    <xf numFmtId="0" fontId="9596" fillId="8" borderId="1" xfId="0" applyNumberFormat="1" applyFont="1" applyFill="1" applyBorder="1" applyAlignment="1">
      <alignment horizontal="center" vertical="center"/>
    </xf>
    <xf numFmtId="164" fontId="9597" fillId="8" borderId="1" xfId="0" applyNumberFormat="1" applyFont="1" applyFill="1" applyBorder="1" applyAlignment="1">
      <alignment horizontal="center" vertical="center"/>
    </xf>
    <xf numFmtId="1" fontId="9598" fillId="8" borderId="1" xfId="0" applyNumberFormat="1" applyFont="1" applyFill="1" applyBorder="1" applyAlignment="1">
      <alignment horizontal="center" vertical="center"/>
    </xf>
    <xf numFmtId="1" fontId="9599" fillId="8" borderId="1" xfId="0" applyNumberFormat="1" applyFont="1" applyFill="1" applyBorder="1" applyAlignment="1">
      <alignment horizontal="center" vertical="center"/>
    </xf>
    <xf numFmtId="1" fontId="9600" fillId="8" borderId="1" xfId="0" applyNumberFormat="1" applyFont="1" applyFill="1" applyBorder="1" applyAlignment="1">
      <alignment horizontal="center" vertical="center"/>
    </xf>
    <xf numFmtId="1" fontId="9601" fillId="8" borderId="1" xfId="0" applyNumberFormat="1" applyFont="1" applyFill="1" applyBorder="1" applyAlignment="1">
      <alignment horizontal="center" vertical="center"/>
    </xf>
    <xf numFmtId="1" fontId="9602" fillId="8" borderId="1" xfId="0" applyNumberFormat="1" applyFont="1" applyFill="1" applyBorder="1" applyAlignment="1">
      <alignment horizontal="center" vertical="center"/>
    </xf>
    <xf numFmtId="1" fontId="9603" fillId="8" borderId="1" xfId="0" applyNumberFormat="1" applyFont="1" applyFill="1" applyBorder="1" applyAlignment="1">
      <alignment horizontal="center" vertical="center"/>
    </xf>
    <xf numFmtId="1" fontId="9604" fillId="8" borderId="1" xfId="0" applyNumberFormat="1" applyFont="1" applyFill="1" applyBorder="1" applyAlignment="1">
      <alignment horizontal="center" vertical="center"/>
    </xf>
    <xf numFmtId="0" fontId="9605" fillId="8" borderId="1" xfId="0" applyNumberFormat="1" applyFont="1" applyFill="1" applyBorder="1" applyAlignment="1">
      <alignment horizontal="center" vertical="center"/>
    </xf>
    <xf numFmtId="0" fontId="9606" fillId="8" borderId="1" xfId="0" applyNumberFormat="1" applyFont="1" applyFill="1" applyBorder="1" applyAlignment="1">
      <alignment horizontal="center" vertical="center"/>
    </xf>
    <xf numFmtId="1" fontId="9607" fillId="8" borderId="1" xfId="0" applyNumberFormat="1" applyFont="1" applyFill="1" applyBorder="1" applyAlignment="1">
      <alignment horizontal="center" vertical="center"/>
    </xf>
    <xf numFmtId="1" fontId="9608" fillId="8" borderId="1" xfId="0" applyNumberFormat="1" applyFont="1" applyFill="1" applyBorder="1" applyAlignment="1">
      <alignment horizontal="center" vertical="center"/>
    </xf>
    <xf numFmtId="1" fontId="9609" fillId="8" borderId="1" xfId="0" applyNumberFormat="1" applyFont="1" applyFill="1" applyBorder="1" applyAlignment="1">
      <alignment horizontal="center" vertical="center"/>
    </xf>
    <xf numFmtId="165" fontId="9610" fillId="8" borderId="1" xfId="0" applyNumberFormat="1" applyFont="1" applyFill="1" applyBorder="1" applyAlignment="1">
      <alignment horizontal="center" vertical="center"/>
    </xf>
    <xf numFmtId="1" fontId="9611" fillId="8" borderId="1" xfId="0" applyNumberFormat="1" applyFont="1" applyFill="1" applyBorder="1" applyAlignment="1">
      <alignment horizontal="center" vertical="center"/>
    </xf>
    <xf numFmtId="165" fontId="9612" fillId="8" borderId="1" xfId="0" applyNumberFormat="1" applyFont="1" applyFill="1" applyBorder="1" applyAlignment="1">
      <alignment horizontal="center" vertical="center"/>
    </xf>
    <xf numFmtId="1" fontId="9613" fillId="8" borderId="1" xfId="0" applyNumberFormat="1" applyFont="1" applyFill="1" applyBorder="1" applyAlignment="1">
      <alignment horizontal="center" vertical="center"/>
    </xf>
    <xf numFmtId="165" fontId="9614" fillId="8" borderId="1" xfId="0" applyNumberFormat="1" applyFont="1" applyFill="1" applyBorder="1" applyAlignment="1">
      <alignment horizontal="center" vertical="center"/>
    </xf>
    <xf numFmtId="1" fontId="9615" fillId="8" borderId="1" xfId="0" applyNumberFormat="1" applyFont="1" applyFill="1" applyBorder="1" applyAlignment="1">
      <alignment horizontal="center" vertical="center"/>
    </xf>
    <xf numFmtId="165" fontId="9616" fillId="8" borderId="1" xfId="0" applyNumberFormat="1" applyFont="1" applyFill="1" applyBorder="1" applyAlignment="1">
      <alignment horizontal="center" vertical="center"/>
    </xf>
    <xf numFmtId="165" fontId="9617" fillId="8" borderId="1" xfId="0" applyNumberFormat="1" applyFont="1" applyFill="1" applyBorder="1" applyAlignment="1">
      <alignment horizontal="center" vertical="center"/>
    </xf>
    <xf numFmtId="1" fontId="9618" fillId="8" borderId="1" xfId="0" applyNumberFormat="1" applyFont="1" applyFill="1" applyBorder="1" applyAlignment="1">
      <alignment horizontal="center" vertical="center"/>
    </xf>
    <xf numFmtId="1" fontId="9619" fillId="8" borderId="1" xfId="0" applyNumberFormat="1" applyFont="1" applyFill="1" applyBorder="1" applyAlignment="1">
      <alignment horizontal="center" vertical="center"/>
    </xf>
    <xf numFmtId="1" fontId="9620" fillId="8" borderId="1" xfId="0" applyNumberFormat="1" applyFont="1" applyFill="1" applyBorder="1" applyAlignment="1">
      <alignment horizontal="center" vertical="center"/>
    </xf>
    <xf numFmtId="165" fontId="9621" fillId="8" borderId="1" xfId="0" applyNumberFormat="1" applyFont="1" applyFill="1" applyBorder="1" applyAlignment="1">
      <alignment horizontal="center" vertical="center"/>
    </xf>
    <xf numFmtId="164" fontId="9622" fillId="8" borderId="1" xfId="0" applyNumberFormat="1" applyFont="1" applyFill="1" applyBorder="1" applyAlignment="1">
      <alignment horizontal="center" vertical="center"/>
    </xf>
    <xf numFmtId="164" fontId="9623" fillId="8" borderId="1" xfId="0" applyNumberFormat="1" applyFont="1" applyFill="1" applyBorder="1" applyAlignment="1">
      <alignment horizontal="center" vertical="center"/>
    </xf>
    <xf numFmtId="1" fontId="9624" fillId="8" borderId="1" xfId="0" applyNumberFormat="1" applyFont="1" applyFill="1" applyBorder="1" applyAlignment="1">
      <alignment horizontal="center" vertical="center"/>
    </xf>
    <xf numFmtId="1" fontId="9625" fillId="8" borderId="1" xfId="0" applyNumberFormat="1" applyFont="1" applyFill="1" applyBorder="1" applyAlignment="1">
      <alignment horizontal="center" vertical="center"/>
    </xf>
    <xf numFmtId="1" fontId="9626" fillId="8" borderId="1" xfId="0" applyNumberFormat="1" applyFont="1" applyFill="1" applyBorder="1" applyAlignment="1">
      <alignment horizontal="center" vertical="center"/>
    </xf>
    <xf numFmtId="165" fontId="9627" fillId="8" borderId="1" xfId="0" applyNumberFormat="1" applyFont="1" applyFill="1" applyBorder="1" applyAlignment="1">
      <alignment horizontal="center" vertical="center"/>
    </xf>
    <xf numFmtId="1" fontId="9628" fillId="8" borderId="1" xfId="0" applyNumberFormat="1" applyFont="1" applyFill="1" applyBorder="1" applyAlignment="1">
      <alignment horizontal="center" vertical="center"/>
    </xf>
    <xf numFmtId="165" fontId="9629" fillId="8" borderId="1" xfId="0" applyNumberFormat="1" applyFont="1" applyFill="1" applyBorder="1" applyAlignment="1">
      <alignment horizontal="center" vertical="center"/>
    </xf>
    <xf numFmtId="1" fontId="9630" fillId="8" borderId="1" xfId="0" applyNumberFormat="1" applyFont="1" applyFill="1" applyBorder="1" applyAlignment="1">
      <alignment horizontal="center" vertical="center"/>
    </xf>
    <xf numFmtId="1" fontId="9631" fillId="8" borderId="1" xfId="0" applyNumberFormat="1" applyFont="1" applyFill="1" applyBorder="1" applyAlignment="1">
      <alignment horizontal="center" vertical="center"/>
    </xf>
    <xf numFmtId="1" fontId="9632" fillId="8" borderId="1" xfId="0" applyNumberFormat="1" applyFont="1" applyFill="1" applyBorder="1" applyAlignment="1">
      <alignment horizontal="center" vertical="center"/>
    </xf>
    <xf numFmtId="1" fontId="9633" fillId="8" borderId="1" xfId="0" applyNumberFormat="1" applyFont="1" applyFill="1" applyBorder="1" applyAlignment="1">
      <alignment horizontal="center" vertical="center"/>
    </xf>
    <xf numFmtId="165" fontId="9634" fillId="8" borderId="1" xfId="0" applyNumberFormat="1" applyFont="1" applyFill="1" applyBorder="1" applyAlignment="1">
      <alignment horizontal="center" vertical="center"/>
    </xf>
    <xf numFmtId="1" fontId="9635" fillId="8" borderId="1" xfId="0" applyNumberFormat="1" applyFont="1" applyFill="1" applyBorder="1" applyAlignment="1">
      <alignment horizontal="center" vertical="center"/>
    </xf>
    <xf numFmtId="165" fontId="9636" fillId="8" borderId="1" xfId="0" applyNumberFormat="1" applyFont="1" applyFill="1" applyBorder="1" applyAlignment="1">
      <alignment horizontal="center" vertical="center"/>
    </xf>
    <xf numFmtId="1" fontId="9637" fillId="8" borderId="1" xfId="0" applyNumberFormat="1" applyFont="1" applyFill="1" applyBorder="1" applyAlignment="1">
      <alignment horizontal="center" vertical="center"/>
    </xf>
    <xf numFmtId="165" fontId="9638" fillId="8" borderId="1" xfId="0" applyNumberFormat="1" applyFont="1" applyFill="1" applyBorder="1" applyAlignment="1">
      <alignment horizontal="center" vertical="center"/>
    </xf>
    <xf numFmtId="2" fontId="9639" fillId="8" borderId="1" xfId="0" applyNumberFormat="1" applyFont="1" applyFill="1" applyBorder="1" applyAlignment="1">
      <alignment horizontal="center" vertical="center"/>
    </xf>
    <xf numFmtId="2" fontId="9640" fillId="8" borderId="1" xfId="0" applyNumberFormat="1" applyFont="1" applyFill="1" applyBorder="1" applyAlignment="1">
      <alignment horizontal="center" vertical="center"/>
    </xf>
    <xf numFmtId="2" fontId="9641" fillId="8" borderId="1" xfId="0" applyNumberFormat="1" applyFont="1" applyFill="1" applyBorder="1" applyAlignment="1">
      <alignment horizontal="center" vertical="center"/>
    </xf>
    <xf numFmtId="2" fontId="9642" fillId="8" borderId="1" xfId="0" applyNumberFormat="1" applyFont="1" applyFill="1" applyBorder="1" applyAlignment="1">
      <alignment horizontal="center" vertical="center"/>
    </xf>
    <xf numFmtId="2" fontId="9643" fillId="8" borderId="1" xfId="0" applyNumberFormat="1" applyFont="1" applyFill="1" applyBorder="1" applyAlignment="1">
      <alignment horizontal="center" vertical="center"/>
    </xf>
    <xf numFmtId="2" fontId="9644" fillId="8" borderId="1" xfId="0" applyNumberFormat="1" applyFont="1" applyFill="1" applyBorder="1" applyAlignment="1">
      <alignment horizontal="center" vertical="center"/>
    </xf>
    <xf numFmtId="2" fontId="9645" fillId="8" borderId="1" xfId="0" applyNumberFormat="1" applyFont="1" applyFill="1" applyBorder="1" applyAlignment="1">
      <alignment horizontal="center" vertical="center"/>
    </xf>
    <xf numFmtId="2" fontId="9646" fillId="8" borderId="1" xfId="0" applyNumberFormat="1" applyFont="1" applyFill="1" applyBorder="1" applyAlignment="1">
      <alignment horizontal="center" vertical="center"/>
    </xf>
    <xf numFmtId="2" fontId="9647" fillId="8" borderId="1" xfId="0" applyNumberFormat="1" applyFont="1" applyFill="1" applyBorder="1" applyAlignment="1">
      <alignment horizontal="center" vertical="center"/>
    </xf>
    <xf numFmtId="2" fontId="9648" fillId="8" borderId="1" xfId="0" applyNumberFormat="1" applyFont="1" applyFill="1" applyBorder="1" applyAlignment="1">
      <alignment horizontal="center" vertical="center"/>
    </xf>
    <xf numFmtId="2" fontId="9649" fillId="8" borderId="1" xfId="0" applyNumberFormat="1" applyFont="1" applyFill="1" applyBorder="1" applyAlignment="1">
      <alignment horizontal="center" vertical="center"/>
    </xf>
    <xf numFmtId="2" fontId="9650" fillId="8" borderId="1" xfId="0" applyNumberFormat="1" applyFont="1" applyFill="1" applyBorder="1" applyAlignment="1">
      <alignment horizontal="center" vertical="center"/>
    </xf>
    <xf numFmtId="2" fontId="9651" fillId="8" borderId="1" xfId="0" applyNumberFormat="1" applyFont="1" applyFill="1" applyBorder="1" applyAlignment="1">
      <alignment horizontal="center" vertical="center"/>
    </xf>
    <xf numFmtId="2" fontId="9652" fillId="8" borderId="1" xfId="0" applyNumberFormat="1" applyFont="1" applyFill="1" applyBorder="1" applyAlignment="1">
      <alignment horizontal="center" vertical="center"/>
    </xf>
    <xf numFmtId="2" fontId="9653" fillId="8" borderId="1" xfId="0" applyNumberFormat="1" applyFont="1" applyFill="1" applyBorder="1" applyAlignment="1">
      <alignment horizontal="center" vertical="center"/>
    </xf>
    <xf numFmtId="2" fontId="9654" fillId="8" borderId="1" xfId="0" applyNumberFormat="1" applyFont="1" applyFill="1" applyBorder="1" applyAlignment="1">
      <alignment horizontal="center" vertical="center"/>
    </xf>
    <xf numFmtId="2" fontId="9655" fillId="8" borderId="1" xfId="0" applyNumberFormat="1" applyFont="1" applyFill="1" applyBorder="1" applyAlignment="1">
      <alignment horizontal="center" vertical="center"/>
    </xf>
    <xf numFmtId="2" fontId="9656" fillId="8" borderId="1" xfId="0" applyNumberFormat="1" applyFont="1" applyFill="1" applyBorder="1" applyAlignment="1">
      <alignment horizontal="center" vertical="center"/>
    </xf>
    <xf numFmtId="2" fontId="9657" fillId="8" borderId="1" xfId="0" applyNumberFormat="1" applyFont="1" applyFill="1" applyBorder="1" applyAlignment="1">
      <alignment horizontal="center" vertical="center"/>
    </xf>
    <xf numFmtId="2" fontId="9658" fillId="8" borderId="1" xfId="0" applyNumberFormat="1" applyFont="1" applyFill="1" applyBorder="1" applyAlignment="1">
      <alignment horizontal="center" vertical="center"/>
    </xf>
    <xf numFmtId="2" fontId="9659" fillId="8" borderId="1" xfId="0" applyNumberFormat="1" applyFont="1" applyFill="1" applyBorder="1" applyAlignment="1">
      <alignment horizontal="center" vertical="center"/>
    </xf>
    <xf numFmtId="2" fontId="9660" fillId="8" borderId="1" xfId="0" applyNumberFormat="1" applyFont="1" applyFill="1" applyBorder="1" applyAlignment="1">
      <alignment horizontal="center" vertical="center"/>
    </xf>
    <xf numFmtId="2" fontId="9661" fillId="8" borderId="1" xfId="0" applyNumberFormat="1" applyFont="1" applyFill="1" applyBorder="1" applyAlignment="1">
      <alignment horizontal="center" vertical="center"/>
    </xf>
    <xf numFmtId="2" fontId="9662" fillId="8" borderId="1" xfId="0" applyNumberFormat="1" applyFont="1" applyFill="1" applyBorder="1" applyAlignment="1">
      <alignment horizontal="center" vertical="center"/>
    </xf>
    <xf numFmtId="2" fontId="9663" fillId="8" borderId="1" xfId="0" applyNumberFormat="1" applyFont="1" applyFill="1" applyBorder="1" applyAlignment="1">
      <alignment horizontal="center" vertical="center"/>
    </xf>
    <xf numFmtId="2" fontId="9664" fillId="8" borderId="1" xfId="0" applyNumberFormat="1" applyFont="1" applyFill="1" applyBorder="1" applyAlignment="1">
      <alignment horizontal="center" vertical="center"/>
    </xf>
    <xf numFmtId="2" fontId="9665" fillId="8" borderId="1" xfId="0" applyNumberFormat="1" applyFont="1" applyFill="1" applyBorder="1" applyAlignment="1">
      <alignment horizontal="center" vertical="center"/>
    </xf>
    <xf numFmtId="2" fontId="9666" fillId="8" borderId="1" xfId="0" applyNumberFormat="1" applyFont="1" applyFill="1" applyBorder="1" applyAlignment="1">
      <alignment horizontal="center" vertical="center"/>
    </xf>
    <xf numFmtId="2" fontId="9667" fillId="8" borderId="1" xfId="0" applyNumberFormat="1" applyFont="1" applyFill="1" applyBorder="1" applyAlignment="1">
      <alignment horizontal="center" vertical="center"/>
    </xf>
    <xf numFmtId="2" fontId="9668" fillId="8" borderId="1" xfId="0" applyNumberFormat="1" applyFont="1" applyFill="1" applyBorder="1" applyAlignment="1">
      <alignment horizontal="center" vertical="center"/>
    </xf>
    <xf numFmtId="2" fontId="9669" fillId="8" borderId="1" xfId="0" applyNumberFormat="1" applyFont="1" applyFill="1" applyBorder="1" applyAlignment="1">
      <alignment horizontal="center" vertical="center"/>
    </xf>
    <xf numFmtId="2" fontId="9670" fillId="8" borderId="1" xfId="0" applyNumberFormat="1" applyFont="1" applyFill="1" applyBorder="1" applyAlignment="1">
      <alignment horizontal="center" vertical="center"/>
    </xf>
    <xf numFmtId="2" fontId="9671" fillId="8" borderId="1" xfId="0" applyNumberFormat="1" applyFont="1" applyFill="1" applyBorder="1" applyAlignment="1">
      <alignment horizontal="center" vertical="center"/>
    </xf>
    <xf numFmtId="2" fontId="9672" fillId="8" borderId="1" xfId="0" applyNumberFormat="1" applyFont="1" applyFill="1" applyBorder="1" applyAlignment="1">
      <alignment horizontal="center" vertical="center"/>
    </xf>
    <xf numFmtId="0" fontId="9673" fillId="7" borderId="1" xfId="0" applyNumberFormat="1" applyFont="1" applyFill="1" applyBorder="1" applyAlignment="1">
      <alignment horizontal="left" vertical="center"/>
    </xf>
    <xf numFmtId="0" fontId="9674" fillId="8" borderId="1" xfId="0" applyNumberFormat="1" applyFont="1" applyFill="1" applyBorder="1" applyAlignment="1">
      <alignment horizontal="center" vertical="center"/>
    </xf>
    <xf numFmtId="164" fontId="9675" fillId="8" borderId="1" xfId="0" applyNumberFormat="1" applyFont="1" applyFill="1" applyBorder="1" applyAlignment="1">
      <alignment horizontal="center" vertical="center"/>
    </xf>
    <xf numFmtId="1" fontId="9676" fillId="8" borderId="1" xfId="0" applyNumberFormat="1" applyFont="1" applyFill="1" applyBorder="1" applyAlignment="1">
      <alignment horizontal="center" vertical="center"/>
    </xf>
    <xf numFmtId="1" fontId="9677" fillId="8" borderId="1" xfId="0" applyNumberFormat="1" applyFont="1" applyFill="1" applyBorder="1" applyAlignment="1">
      <alignment horizontal="center" vertical="center"/>
    </xf>
    <xf numFmtId="1" fontId="9678" fillId="8" borderId="1" xfId="0" applyNumberFormat="1" applyFont="1" applyFill="1" applyBorder="1" applyAlignment="1">
      <alignment horizontal="center" vertical="center"/>
    </xf>
    <xf numFmtId="1" fontId="9679" fillId="8" borderId="1" xfId="0" applyNumberFormat="1" applyFont="1" applyFill="1" applyBorder="1" applyAlignment="1">
      <alignment horizontal="center" vertical="center"/>
    </xf>
    <xf numFmtId="1" fontId="9680" fillId="8" borderId="1" xfId="0" applyNumberFormat="1" applyFont="1" applyFill="1" applyBorder="1" applyAlignment="1">
      <alignment horizontal="center" vertical="center"/>
    </xf>
    <xf numFmtId="1" fontId="9681" fillId="8" borderId="1" xfId="0" applyNumberFormat="1" applyFont="1" applyFill="1" applyBorder="1" applyAlignment="1">
      <alignment horizontal="center" vertical="center"/>
    </xf>
    <xf numFmtId="1" fontId="9682" fillId="8" borderId="1" xfId="0" applyNumberFormat="1" applyFont="1" applyFill="1" applyBorder="1" applyAlignment="1">
      <alignment horizontal="center" vertical="center"/>
    </xf>
    <xf numFmtId="0" fontId="9683" fillId="8" borderId="1" xfId="0" applyNumberFormat="1" applyFont="1" applyFill="1" applyBorder="1" applyAlignment="1">
      <alignment horizontal="center" vertical="center"/>
    </xf>
    <xf numFmtId="0" fontId="9684" fillId="8" borderId="1" xfId="0" applyNumberFormat="1" applyFont="1" applyFill="1" applyBorder="1" applyAlignment="1">
      <alignment horizontal="center" vertical="center"/>
    </xf>
    <xf numFmtId="1" fontId="9685" fillId="8" borderId="1" xfId="0" applyNumberFormat="1" applyFont="1" applyFill="1" applyBorder="1" applyAlignment="1">
      <alignment horizontal="center" vertical="center"/>
    </xf>
    <xf numFmtId="1" fontId="9686" fillId="8" borderId="1" xfId="0" applyNumberFormat="1" applyFont="1" applyFill="1" applyBorder="1" applyAlignment="1">
      <alignment horizontal="center" vertical="center"/>
    </xf>
    <xf numFmtId="1" fontId="9687" fillId="8" borderId="1" xfId="0" applyNumberFormat="1" applyFont="1" applyFill="1" applyBorder="1" applyAlignment="1">
      <alignment horizontal="center" vertical="center"/>
    </xf>
    <xf numFmtId="165" fontId="9688" fillId="8" borderId="1" xfId="0" applyNumberFormat="1" applyFont="1" applyFill="1" applyBorder="1" applyAlignment="1">
      <alignment horizontal="center" vertical="center"/>
    </xf>
    <xf numFmtId="1" fontId="9689" fillId="8" borderId="1" xfId="0" applyNumberFormat="1" applyFont="1" applyFill="1" applyBorder="1" applyAlignment="1">
      <alignment horizontal="center" vertical="center"/>
    </xf>
    <xf numFmtId="165" fontId="9690" fillId="8" borderId="1" xfId="0" applyNumberFormat="1" applyFont="1" applyFill="1" applyBorder="1" applyAlignment="1">
      <alignment horizontal="center" vertical="center"/>
    </xf>
    <xf numFmtId="1" fontId="9691" fillId="8" borderId="1" xfId="0" applyNumberFormat="1" applyFont="1" applyFill="1" applyBorder="1" applyAlignment="1">
      <alignment horizontal="center" vertical="center"/>
    </xf>
    <xf numFmtId="165" fontId="9692" fillId="8" borderId="1" xfId="0" applyNumberFormat="1" applyFont="1" applyFill="1" applyBorder="1" applyAlignment="1">
      <alignment horizontal="center" vertical="center"/>
    </xf>
    <xf numFmtId="1" fontId="9693" fillId="8" borderId="1" xfId="0" applyNumberFormat="1" applyFont="1" applyFill="1" applyBorder="1" applyAlignment="1">
      <alignment horizontal="center" vertical="center"/>
    </xf>
    <xf numFmtId="165" fontId="9694" fillId="8" borderId="1" xfId="0" applyNumberFormat="1" applyFont="1" applyFill="1" applyBorder="1" applyAlignment="1">
      <alignment horizontal="center" vertical="center"/>
    </xf>
    <xf numFmtId="165" fontId="9695" fillId="8" borderId="1" xfId="0" applyNumberFormat="1" applyFont="1" applyFill="1" applyBorder="1" applyAlignment="1">
      <alignment horizontal="center" vertical="center"/>
    </xf>
    <xf numFmtId="1" fontId="9696" fillId="8" borderId="1" xfId="0" applyNumberFormat="1" applyFont="1" applyFill="1" applyBorder="1" applyAlignment="1">
      <alignment horizontal="center" vertical="center"/>
    </xf>
    <xf numFmtId="1" fontId="9697" fillId="8" borderId="1" xfId="0" applyNumberFormat="1" applyFont="1" applyFill="1" applyBorder="1" applyAlignment="1">
      <alignment horizontal="center" vertical="center"/>
    </xf>
    <xf numFmtId="1" fontId="9698" fillId="8" borderId="1" xfId="0" applyNumberFormat="1" applyFont="1" applyFill="1" applyBorder="1" applyAlignment="1">
      <alignment horizontal="center" vertical="center"/>
    </xf>
    <xf numFmtId="165" fontId="9699" fillId="8" borderId="1" xfId="0" applyNumberFormat="1" applyFont="1" applyFill="1" applyBorder="1" applyAlignment="1">
      <alignment horizontal="center" vertical="center"/>
    </xf>
    <xf numFmtId="164" fontId="9700" fillId="8" borderId="1" xfId="0" applyNumberFormat="1" applyFont="1" applyFill="1" applyBorder="1" applyAlignment="1">
      <alignment horizontal="center" vertical="center"/>
    </xf>
    <xf numFmtId="164" fontId="9701" fillId="8" borderId="1" xfId="0" applyNumberFormat="1" applyFont="1" applyFill="1" applyBorder="1" applyAlignment="1">
      <alignment horizontal="center" vertical="center"/>
    </xf>
    <xf numFmtId="1" fontId="9702" fillId="8" borderId="1" xfId="0" applyNumberFormat="1" applyFont="1" applyFill="1" applyBorder="1" applyAlignment="1">
      <alignment horizontal="center" vertical="center"/>
    </xf>
    <xf numFmtId="1" fontId="9703" fillId="8" borderId="1" xfId="0" applyNumberFormat="1" applyFont="1" applyFill="1" applyBorder="1" applyAlignment="1">
      <alignment horizontal="center" vertical="center"/>
    </xf>
    <xf numFmtId="1" fontId="9704" fillId="8" borderId="1" xfId="0" applyNumberFormat="1" applyFont="1" applyFill="1" applyBorder="1" applyAlignment="1">
      <alignment horizontal="center" vertical="center"/>
    </xf>
    <xf numFmtId="165" fontId="9705" fillId="8" borderId="1" xfId="0" applyNumberFormat="1" applyFont="1" applyFill="1" applyBorder="1" applyAlignment="1">
      <alignment horizontal="center" vertical="center"/>
    </xf>
    <xf numFmtId="1" fontId="9706" fillId="8" borderId="1" xfId="0" applyNumberFormat="1" applyFont="1" applyFill="1" applyBorder="1" applyAlignment="1">
      <alignment horizontal="center" vertical="center"/>
    </xf>
    <xf numFmtId="165" fontId="9707" fillId="8" borderId="1" xfId="0" applyNumberFormat="1" applyFont="1" applyFill="1" applyBorder="1" applyAlignment="1">
      <alignment horizontal="center" vertical="center"/>
    </xf>
    <xf numFmtId="1" fontId="9708" fillId="8" borderId="1" xfId="0" applyNumberFormat="1" applyFont="1" applyFill="1" applyBorder="1" applyAlignment="1">
      <alignment horizontal="center" vertical="center"/>
    </xf>
    <xf numFmtId="1" fontId="9709" fillId="8" borderId="1" xfId="0" applyNumberFormat="1" applyFont="1" applyFill="1" applyBorder="1" applyAlignment="1">
      <alignment horizontal="center" vertical="center"/>
    </xf>
    <xf numFmtId="1" fontId="9710" fillId="8" borderId="1" xfId="0" applyNumberFormat="1" applyFont="1" applyFill="1" applyBorder="1" applyAlignment="1">
      <alignment horizontal="center" vertical="center"/>
    </xf>
    <xf numFmtId="1" fontId="9711" fillId="8" borderId="1" xfId="0" applyNumberFormat="1" applyFont="1" applyFill="1" applyBorder="1" applyAlignment="1">
      <alignment horizontal="center" vertical="center"/>
    </xf>
    <xf numFmtId="165" fontId="9712" fillId="8" borderId="1" xfId="0" applyNumberFormat="1" applyFont="1" applyFill="1" applyBorder="1" applyAlignment="1">
      <alignment horizontal="center" vertical="center"/>
    </xf>
    <xf numFmtId="1" fontId="9713" fillId="8" borderId="1" xfId="0" applyNumberFormat="1" applyFont="1" applyFill="1" applyBorder="1" applyAlignment="1">
      <alignment horizontal="center" vertical="center"/>
    </xf>
    <xf numFmtId="165" fontId="9714" fillId="8" borderId="1" xfId="0" applyNumberFormat="1" applyFont="1" applyFill="1" applyBorder="1" applyAlignment="1">
      <alignment horizontal="center" vertical="center"/>
    </xf>
    <xf numFmtId="1" fontId="9715" fillId="8" borderId="1" xfId="0" applyNumberFormat="1" applyFont="1" applyFill="1" applyBorder="1" applyAlignment="1">
      <alignment horizontal="center" vertical="center"/>
    </xf>
    <xf numFmtId="165" fontId="9716" fillId="8" borderId="1" xfId="0" applyNumberFormat="1" applyFont="1" applyFill="1" applyBorder="1" applyAlignment="1">
      <alignment horizontal="center" vertical="center"/>
    </xf>
    <xf numFmtId="2" fontId="9717" fillId="8" borderId="1" xfId="0" applyNumberFormat="1" applyFont="1" applyFill="1" applyBorder="1" applyAlignment="1">
      <alignment horizontal="center" vertical="center"/>
    </xf>
    <xf numFmtId="2" fontId="9718" fillId="8" borderId="1" xfId="0" applyNumberFormat="1" applyFont="1" applyFill="1" applyBorder="1" applyAlignment="1">
      <alignment horizontal="center" vertical="center"/>
    </xf>
    <xf numFmtId="2" fontId="9719" fillId="8" borderId="1" xfId="0" applyNumberFormat="1" applyFont="1" applyFill="1" applyBorder="1" applyAlignment="1">
      <alignment horizontal="center" vertical="center"/>
    </xf>
    <xf numFmtId="2" fontId="9720" fillId="8" borderId="1" xfId="0" applyNumberFormat="1" applyFont="1" applyFill="1" applyBorder="1" applyAlignment="1">
      <alignment horizontal="center" vertical="center"/>
    </xf>
    <xf numFmtId="2" fontId="9721" fillId="8" borderId="1" xfId="0" applyNumberFormat="1" applyFont="1" applyFill="1" applyBorder="1" applyAlignment="1">
      <alignment horizontal="center" vertical="center"/>
    </xf>
    <xf numFmtId="2" fontId="9722" fillId="8" borderId="1" xfId="0" applyNumberFormat="1" applyFont="1" applyFill="1" applyBorder="1" applyAlignment="1">
      <alignment horizontal="center" vertical="center"/>
    </xf>
    <xf numFmtId="2" fontId="9723" fillId="8" borderId="1" xfId="0" applyNumberFormat="1" applyFont="1" applyFill="1" applyBorder="1" applyAlignment="1">
      <alignment horizontal="center" vertical="center"/>
    </xf>
    <xf numFmtId="2" fontId="9724" fillId="8" borderId="1" xfId="0" applyNumberFormat="1" applyFont="1" applyFill="1" applyBorder="1" applyAlignment="1">
      <alignment horizontal="center" vertical="center"/>
    </xf>
    <xf numFmtId="2" fontId="9725" fillId="8" borderId="1" xfId="0" applyNumberFormat="1" applyFont="1" applyFill="1" applyBorder="1" applyAlignment="1">
      <alignment horizontal="center" vertical="center"/>
    </xf>
    <xf numFmtId="2" fontId="9726" fillId="8" borderId="1" xfId="0" applyNumberFormat="1" applyFont="1" applyFill="1" applyBorder="1" applyAlignment="1">
      <alignment horizontal="center" vertical="center"/>
    </xf>
    <xf numFmtId="2" fontId="9727" fillId="8" borderId="1" xfId="0" applyNumberFormat="1" applyFont="1" applyFill="1" applyBorder="1" applyAlignment="1">
      <alignment horizontal="center" vertical="center"/>
    </xf>
    <xf numFmtId="2" fontId="9728" fillId="8" borderId="1" xfId="0" applyNumberFormat="1" applyFont="1" applyFill="1" applyBorder="1" applyAlignment="1">
      <alignment horizontal="center" vertical="center"/>
    </xf>
    <xf numFmtId="2" fontId="9729" fillId="8" borderId="1" xfId="0" applyNumberFormat="1" applyFont="1" applyFill="1" applyBorder="1" applyAlignment="1">
      <alignment horizontal="center" vertical="center"/>
    </xf>
    <xf numFmtId="2" fontId="9730" fillId="8" borderId="1" xfId="0" applyNumberFormat="1" applyFont="1" applyFill="1" applyBorder="1" applyAlignment="1">
      <alignment horizontal="center" vertical="center"/>
    </xf>
    <xf numFmtId="2" fontId="9731" fillId="8" borderId="1" xfId="0" applyNumberFormat="1" applyFont="1" applyFill="1" applyBorder="1" applyAlignment="1">
      <alignment horizontal="center" vertical="center"/>
    </xf>
    <xf numFmtId="2" fontId="9732" fillId="8" borderId="1" xfId="0" applyNumberFormat="1" applyFont="1" applyFill="1" applyBorder="1" applyAlignment="1">
      <alignment horizontal="center" vertical="center"/>
    </xf>
    <xf numFmtId="2" fontId="9733" fillId="8" borderId="1" xfId="0" applyNumberFormat="1" applyFont="1" applyFill="1" applyBorder="1" applyAlignment="1">
      <alignment horizontal="center" vertical="center"/>
    </xf>
    <xf numFmtId="2" fontId="9734" fillId="8" borderId="1" xfId="0" applyNumberFormat="1" applyFont="1" applyFill="1" applyBorder="1" applyAlignment="1">
      <alignment horizontal="center" vertical="center"/>
    </xf>
    <xf numFmtId="2" fontId="9735" fillId="8" borderId="1" xfId="0" applyNumberFormat="1" applyFont="1" applyFill="1" applyBorder="1" applyAlignment="1">
      <alignment horizontal="center" vertical="center"/>
    </xf>
    <xf numFmtId="2" fontId="9736" fillId="8" borderId="1" xfId="0" applyNumberFormat="1" applyFont="1" applyFill="1" applyBorder="1" applyAlignment="1">
      <alignment horizontal="center" vertical="center"/>
    </xf>
    <xf numFmtId="2" fontId="9737" fillId="8" borderId="1" xfId="0" applyNumberFormat="1" applyFont="1" applyFill="1" applyBorder="1" applyAlignment="1">
      <alignment horizontal="center" vertical="center"/>
    </xf>
    <xf numFmtId="2" fontId="9738" fillId="8" borderId="1" xfId="0" applyNumberFormat="1" applyFont="1" applyFill="1" applyBorder="1" applyAlignment="1">
      <alignment horizontal="center" vertical="center"/>
    </xf>
    <xf numFmtId="2" fontId="9739" fillId="8" borderId="1" xfId="0" applyNumberFormat="1" applyFont="1" applyFill="1" applyBorder="1" applyAlignment="1">
      <alignment horizontal="center" vertical="center"/>
    </xf>
    <xf numFmtId="2" fontId="9740" fillId="8" borderId="1" xfId="0" applyNumberFormat="1" applyFont="1" applyFill="1" applyBorder="1" applyAlignment="1">
      <alignment horizontal="center" vertical="center"/>
    </xf>
    <xf numFmtId="2" fontId="9741" fillId="8" borderId="1" xfId="0" applyNumberFormat="1" applyFont="1" applyFill="1" applyBorder="1" applyAlignment="1">
      <alignment horizontal="center" vertical="center"/>
    </xf>
    <xf numFmtId="2" fontId="9742" fillId="8" borderId="1" xfId="0" applyNumberFormat="1" applyFont="1" applyFill="1" applyBorder="1" applyAlignment="1">
      <alignment horizontal="center" vertical="center"/>
    </xf>
    <xf numFmtId="2" fontId="9743" fillId="8" borderId="1" xfId="0" applyNumberFormat="1" applyFont="1" applyFill="1" applyBorder="1" applyAlignment="1">
      <alignment horizontal="center" vertical="center"/>
    </xf>
    <xf numFmtId="2" fontId="9744" fillId="8" borderId="1" xfId="0" applyNumberFormat="1" applyFont="1" applyFill="1" applyBorder="1" applyAlignment="1">
      <alignment horizontal="center" vertical="center"/>
    </xf>
    <xf numFmtId="2" fontId="9745" fillId="8" borderId="1" xfId="0" applyNumberFormat="1" applyFont="1" applyFill="1" applyBorder="1" applyAlignment="1">
      <alignment horizontal="center" vertical="center"/>
    </xf>
    <xf numFmtId="2" fontId="9746" fillId="8" borderId="1" xfId="0" applyNumberFormat="1" applyFont="1" applyFill="1" applyBorder="1" applyAlignment="1">
      <alignment horizontal="center" vertical="center"/>
    </xf>
    <xf numFmtId="2" fontId="9747" fillId="8" borderId="1" xfId="0" applyNumberFormat="1" applyFont="1" applyFill="1" applyBorder="1" applyAlignment="1">
      <alignment horizontal="center" vertical="center"/>
    </xf>
    <xf numFmtId="2" fontId="9748" fillId="8" borderId="1" xfId="0" applyNumberFormat="1" applyFont="1" applyFill="1" applyBorder="1" applyAlignment="1">
      <alignment horizontal="center" vertical="center"/>
    </xf>
    <xf numFmtId="2" fontId="9749" fillId="8" borderId="1" xfId="0" applyNumberFormat="1" applyFont="1" applyFill="1" applyBorder="1" applyAlignment="1">
      <alignment horizontal="center" vertical="center"/>
    </xf>
    <xf numFmtId="2" fontId="9750" fillId="8" borderId="1" xfId="0" applyNumberFormat="1" applyFont="1" applyFill="1" applyBorder="1" applyAlignment="1">
      <alignment horizontal="center" vertical="center"/>
    </xf>
    <xf numFmtId="0" fontId="9751" fillId="7" borderId="1" xfId="0" applyNumberFormat="1" applyFont="1" applyFill="1" applyBorder="1" applyAlignment="1">
      <alignment horizontal="left" vertical="center"/>
    </xf>
    <xf numFmtId="0" fontId="9752" fillId="8" borderId="1" xfId="0" applyNumberFormat="1" applyFont="1" applyFill="1" applyBorder="1" applyAlignment="1">
      <alignment horizontal="center" vertical="center"/>
    </xf>
    <xf numFmtId="164" fontId="9753" fillId="8" borderId="1" xfId="0" applyNumberFormat="1" applyFont="1" applyFill="1" applyBorder="1" applyAlignment="1">
      <alignment horizontal="center" vertical="center"/>
    </xf>
    <xf numFmtId="1" fontId="9754" fillId="8" borderId="1" xfId="0" applyNumberFormat="1" applyFont="1" applyFill="1" applyBorder="1" applyAlignment="1">
      <alignment horizontal="center" vertical="center"/>
    </xf>
    <xf numFmtId="1" fontId="9755" fillId="8" borderId="1" xfId="0" applyNumberFormat="1" applyFont="1" applyFill="1" applyBorder="1" applyAlignment="1">
      <alignment horizontal="center" vertical="center"/>
    </xf>
    <xf numFmtId="1" fontId="9756" fillId="8" borderId="1" xfId="0" applyNumberFormat="1" applyFont="1" applyFill="1" applyBorder="1" applyAlignment="1">
      <alignment horizontal="center" vertical="center"/>
    </xf>
    <xf numFmtId="1" fontId="9757" fillId="8" borderId="1" xfId="0" applyNumberFormat="1" applyFont="1" applyFill="1" applyBorder="1" applyAlignment="1">
      <alignment horizontal="center" vertical="center"/>
    </xf>
    <xf numFmtId="1" fontId="9758" fillId="8" borderId="1" xfId="0" applyNumberFormat="1" applyFont="1" applyFill="1" applyBorder="1" applyAlignment="1">
      <alignment horizontal="center" vertical="center"/>
    </xf>
    <xf numFmtId="1" fontId="9759" fillId="8" borderId="1" xfId="0" applyNumberFormat="1" applyFont="1" applyFill="1" applyBorder="1" applyAlignment="1">
      <alignment horizontal="center" vertical="center"/>
    </xf>
    <xf numFmtId="1" fontId="9760" fillId="8" borderId="1" xfId="0" applyNumberFormat="1" applyFont="1" applyFill="1" applyBorder="1" applyAlignment="1">
      <alignment horizontal="center" vertical="center"/>
    </xf>
    <xf numFmtId="0" fontId="9761" fillId="8" borderId="1" xfId="0" applyNumberFormat="1" applyFont="1" applyFill="1" applyBorder="1" applyAlignment="1">
      <alignment horizontal="center" vertical="center"/>
    </xf>
    <xf numFmtId="0" fontId="9762" fillId="8" borderId="1" xfId="0" applyNumberFormat="1" applyFont="1" applyFill="1" applyBorder="1" applyAlignment="1">
      <alignment horizontal="center" vertical="center"/>
    </xf>
    <xf numFmtId="1" fontId="9763" fillId="8" borderId="1" xfId="0" applyNumberFormat="1" applyFont="1" applyFill="1" applyBorder="1" applyAlignment="1">
      <alignment horizontal="center" vertical="center"/>
    </xf>
    <xf numFmtId="1" fontId="9764" fillId="8" borderId="1" xfId="0" applyNumberFormat="1" applyFont="1" applyFill="1" applyBorder="1" applyAlignment="1">
      <alignment horizontal="center" vertical="center"/>
    </xf>
    <xf numFmtId="1" fontId="9765" fillId="8" borderId="1" xfId="0" applyNumberFormat="1" applyFont="1" applyFill="1" applyBorder="1" applyAlignment="1">
      <alignment horizontal="center" vertical="center"/>
    </xf>
    <xf numFmtId="165" fontId="9766" fillId="8" borderId="1" xfId="0" applyNumberFormat="1" applyFont="1" applyFill="1" applyBorder="1" applyAlignment="1">
      <alignment horizontal="center" vertical="center"/>
    </xf>
    <xf numFmtId="1" fontId="9767" fillId="8" borderId="1" xfId="0" applyNumberFormat="1" applyFont="1" applyFill="1" applyBorder="1" applyAlignment="1">
      <alignment horizontal="center" vertical="center"/>
    </xf>
    <xf numFmtId="165" fontId="9768" fillId="8" borderId="1" xfId="0" applyNumberFormat="1" applyFont="1" applyFill="1" applyBorder="1" applyAlignment="1">
      <alignment horizontal="center" vertical="center"/>
    </xf>
    <xf numFmtId="1" fontId="9769" fillId="8" borderId="1" xfId="0" applyNumberFormat="1" applyFont="1" applyFill="1" applyBorder="1" applyAlignment="1">
      <alignment horizontal="center" vertical="center"/>
    </xf>
    <xf numFmtId="165" fontId="9770" fillId="8" borderId="1" xfId="0" applyNumberFormat="1" applyFont="1" applyFill="1" applyBorder="1" applyAlignment="1">
      <alignment horizontal="center" vertical="center"/>
    </xf>
    <xf numFmtId="1" fontId="9771" fillId="8" borderId="1" xfId="0" applyNumberFormat="1" applyFont="1" applyFill="1" applyBorder="1" applyAlignment="1">
      <alignment horizontal="center" vertical="center"/>
    </xf>
    <xf numFmtId="165" fontId="9772" fillId="8" borderId="1" xfId="0" applyNumberFormat="1" applyFont="1" applyFill="1" applyBorder="1" applyAlignment="1">
      <alignment horizontal="center" vertical="center"/>
    </xf>
    <xf numFmtId="165" fontId="9773" fillId="8" borderId="1" xfId="0" applyNumberFormat="1" applyFont="1" applyFill="1" applyBorder="1" applyAlignment="1">
      <alignment horizontal="center" vertical="center"/>
    </xf>
    <xf numFmtId="1" fontId="9774" fillId="8" borderId="1" xfId="0" applyNumberFormat="1" applyFont="1" applyFill="1" applyBorder="1" applyAlignment="1">
      <alignment horizontal="center" vertical="center"/>
    </xf>
    <xf numFmtId="1" fontId="9775" fillId="8" borderId="1" xfId="0" applyNumberFormat="1" applyFont="1" applyFill="1" applyBorder="1" applyAlignment="1">
      <alignment horizontal="center" vertical="center"/>
    </xf>
    <xf numFmtId="1" fontId="9776" fillId="8" borderId="1" xfId="0" applyNumberFormat="1" applyFont="1" applyFill="1" applyBorder="1" applyAlignment="1">
      <alignment horizontal="center" vertical="center"/>
    </xf>
    <xf numFmtId="165" fontId="9777" fillId="8" borderId="1" xfId="0" applyNumberFormat="1" applyFont="1" applyFill="1" applyBorder="1" applyAlignment="1">
      <alignment horizontal="center" vertical="center"/>
    </xf>
    <xf numFmtId="164" fontId="9778" fillId="8" borderId="1" xfId="0" applyNumberFormat="1" applyFont="1" applyFill="1" applyBorder="1" applyAlignment="1">
      <alignment horizontal="center" vertical="center"/>
    </xf>
    <xf numFmtId="164" fontId="9779" fillId="8" borderId="1" xfId="0" applyNumberFormat="1" applyFont="1" applyFill="1" applyBorder="1" applyAlignment="1">
      <alignment horizontal="center" vertical="center"/>
    </xf>
    <xf numFmtId="1" fontId="9780" fillId="8" borderId="1" xfId="0" applyNumberFormat="1" applyFont="1" applyFill="1" applyBorder="1" applyAlignment="1">
      <alignment horizontal="center" vertical="center"/>
    </xf>
    <xf numFmtId="1" fontId="9781" fillId="8" borderId="1" xfId="0" applyNumberFormat="1" applyFont="1" applyFill="1" applyBorder="1" applyAlignment="1">
      <alignment horizontal="center" vertical="center"/>
    </xf>
    <xf numFmtId="1" fontId="9782" fillId="8" borderId="1" xfId="0" applyNumberFormat="1" applyFont="1" applyFill="1" applyBorder="1" applyAlignment="1">
      <alignment horizontal="center" vertical="center"/>
    </xf>
    <xf numFmtId="165" fontId="9783" fillId="8" borderId="1" xfId="0" applyNumberFormat="1" applyFont="1" applyFill="1" applyBorder="1" applyAlignment="1">
      <alignment horizontal="center" vertical="center"/>
    </xf>
    <xf numFmtId="1" fontId="9784" fillId="8" borderId="1" xfId="0" applyNumberFormat="1" applyFont="1" applyFill="1" applyBorder="1" applyAlignment="1">
      <alignment horizontal="center" vertical="center"/>
    </xf>
    <xf numFmtId="165" fontId="9785" fillId="8" borderId="1" xfId="0" applyNumberFormat="1" applyFont="1" applyFill="1" applyBorder="1" applyAlignment="1">
      <alignment horizontal="center" vertical="center"/>
    </xf>
    <xf numFmtId="1" fontId="9786" fillId="8" borderId="1" xfId="0" applyNumberFormat="1" applyFont="1" applyFill="1" applyBorder="1" applyAlignment="1">
      <alignment horizontal="center" vertical="center"/>
    </xf>
    <xf numFmtId="1" fontId="9787" fillId="8" borderId="1" xfId="0" applyNumberFormat="1" applyFont="1" applyFill="1" applyBorder="1" applyAlignment="1">
      <alignment horizontal="center" vertical="center"/>
    </xf>
    <xf numFmtId="1" fontId="9788" fillId="8" borderId="1" xfId="0" applyNumberFormat="1" applyFont="1" applyFill="1" applyBorder="1" applyAlignment="1">
      <alignment horizontal="center" vertical="center"/>
    </xf>
    <xf numFmtId="1" fontId="9789" fillId="8" borderId="1" xfId="0" applyNumberFormat="1" applyFont="1" applyFill="1" applyBorder="1" applyAlignment="1">
      <alignment horizontal="center" vertical="center"/>
    </xf>
    <xf numFmtId="165" fontId="9790" fillId="8" borderId="1" xfId="0" applyNumberFormat="1" applyFont="1" applyFill="1" applyBorder="1" applyAlignment="1">
      <alignment horizontal="center" vertical="center"/>
    </xf>
    <xf numFmtId="1" fontId="9791" fillId="8" borderId="1" xfId="0" applyNumberFormat="1" applyFont="1" applyFill="1" applyBorder="1" applyAlignment="1">
      <alignment horizontal="center" vertical="center"/>
    </xf>
    <xf numFmtId="165" fontId="9792" fillId="8" borderId="1" xfId="0" applyNumberFormat="1" applyFont="1" applyFill="1" applyBorder="1" applyAlignment="1">
      <alignment horizontal="center" vertical="center"/>
    </xf>
    <xf numFmtId="1" fontId="9793" fillId="8" borderId="1" xfId="0" applyNumberFormat="1" applyFont="1" applyFill="1" applyBorder="1" applyAlignment="1">
      <alignment horizontal="center" vertical="center"/>
    </xf>
    <xf numFmtId="165" fontId="9794" fillId="8" borderId="1" xfId="0" applyNumberFormat="1" applyFont="1" applyFill="1" applyBorder="1" applyAlignment="1">
      <alignment horizontal="center" vertical="center"/>
    </xf>
    <xf numFmtId="2" fontId="9795" fillId="8" borderId="1" xfId="0" applyNumberFormat="1" applyFont="1" applyFill="1" applyBorder="1" applyAlignment="1">
      <alignment horizontal="center" vertical="center"/>
    </xf>
    <xf numFmtId="2" fontId="9796" fillId="8" borderId="1" xfId="0" applyNumberFormat="1" applyFont="1" applyFill="1" applyBorder="1" applyAlignment="1">
      <alignment horizontal="center" vertical="center"/>
    </xf>
    <xf numFmtId="2" fontId="9797" fillId="8" borderId="1" xfId="0" applyNumberFormat="1" applyFont="1" applyFill="1" applyBorder="1" applyAlignment="1">
      <alignment horizontal="center" vertical="center"/>
    </xf>
    <xf numFmtId="2" fontId="9798" fillId="8" borderId="1" xfId="0" applyNumberFormat="1" applyFont="1" applyFill="1" applyBorder="1" applyAlignment="1">
      <alignment horizontal="center" vertical="center"/>
    </xf>
    <xf numFmtId="2" fontId="9799" fillId="8" borderId="1" xfId="0" applyNumberFormat="1" applyFont="1" applyFill="1" applyBorder="1" applyAlignment="1">
      <alignment horizontal="center" vertical="center"/>
    </xf>
    <xf numFmtId="2" fontId="9800" fillId="8" borderId="1" xfId="0" applyNumberFormat="1" applyFont="1" applyFill="1" applyBorder="1" applyAlignment="1">
      <alignment horizontal="center" vertical="center"/>
    </xf>
    <xf numFmtId="2" fontId="9801" fillId="8" borderId="1" xfId="0" applyNumberFormat="1" applyFont="1" applyFill="1" applyBorder="1" applyAlignment="1">
      <alignment horizontal="center" vertical="center"/>
    </xf>
    <xf numFmtId="2" fontId="9802" fillId="8" borderId="1" xfId="0" applyNumberFormat="1" applyFont="1" applyFill="1" applyBorder="1" applyAlignment="1">
      <alignment horizontal="center" vertical="center"/>
    </xf>
    <xf numFmtId="2" fontId="9803" fillId="8" borderId="1" xfId="0" applyNumberFormat="1" applyFont="1" applyFill="1" applyBorder="1" applyAlignment="1">
      <alignment horizontal="center" vertical="center"/>
    </xf>
    <xf numFmtId="2" fontId="9804" fillId="8" borderId="1" xfId="0" applyNumberFormat="1" applyFont="1" applyFill="1" applyBorder="1" applyAlignment="1">
      <alignment horizontal="center" vertical="center"/>
    </xf>
    <xf numFmtId="2" fontId="9805" fillId="8" borderId="1" xfId="0" applyNumberFormat="1" applyFont="1" applyFill="1" applyBorder="1" applyAlignment="1">
      <alignment horizontal="center" vertical="center"/>
    </xf>
    <xf numFmtId="2" fontId="9806" fillId="8" borderId="1" xfId="0" applyNumberFormat="1" applyFont="1" applyFill="1" applyBorder="1" applyAlignment="1">
      <alignment horizontal="center" vertical="center"/>
    </xf>
    <xf numFmtId="2" fontId="9807" fillId="8" borderId="1" xfId="0" applyNumberFormat="1" applyFont="1" applyFill="1" applyBorder="1" applyAlignment="1">
      <alignment horizontal="center" vertical="center"/>
    </xf>
    <xf numFmtId="2" fontId="9808" fillId="8" borderId="1" xfId="0" applyNumberFormat="1" applyFont="1" applyFill="1" applyBorder="1" applyAlignment="1">
      <alignment horizontal="center" vertical="center"/>
    </xf>
    <xf numFmtId="2" fontId="9809" fillId="8" borderId="1" xfId="0" applyNumberFormat="1" applyFont="1" applyFill="1" applyBorder="1" applyAlignment="1">
      <alignment horizontal="center" vertical="center"/>
    </xf>
    <xf numFmtId="2" fontId="9810" fillId="8" borderId="1" xfId="0" applyNumberFormat="1" applyFont="1" applyFill="1" applyBorder="1" applyAlignment="1">
      <alignment horizontal="center" vertical="center"/>
    </xf>
    <xf numFmtId="2" fontId="9811" fillId="8" borderId="1" xfId="0" applyNumberFormat="1" applyFont="1" applyFill="1" applyBorder="1" applyAlignment="1">
      <alignment horizontal="center" vertical="center"/>
    </xf>
    <xf numFmtId="2" fontId="9812" fillId="8" borderId="1" xfId="0" applyNumberFormat="1" applyFont="1" applyFill="1" applyBorder="1" applyAlignment="1">
      <alignment horizontal="center" vertical="center"/>
    </xf>
    <xf numFmtId="2" fontId="9813" fillId="8" borderId="1" xfId="0" applyNumberFormat="1" applyFont="1" applyFill="1" applyBorder="1" applyAlignment="1">
      <alignment horizontal="center" vertical="center"/>
    </xf>
    <xf numFmtId="2" fontId="9814" fillId="8" borderId="1" xfId="0" applyNumberFormat="1" applyFont="1" applyFill="1" applyBorder="1" applyAlignment="1">
      <alignment horizontal="center" vertical="center"/>
    </xf>
    <xf numFmtId="2" fontId="9815" fillId="8" borderId="1" xfId="0" applyNumberFormat="1" applyFont="1" applyFill="1" applyBorder="1" applyAlignment="1">
      <alignment horizontal="center" vertical="center"/>
    </xf>
    <xf numFmtId="2" fontId="9816" fillId="8" borderId="1" xfId="0" applyNumberFormat="1" applyFont="1" applyFill="1" applyBorder="1" applyAlignment="1">
      <alignment horizontal="center" vertical="center"/>
    </xf>
    <xf numFmtId="2" fontId="9817" fillId="8" borderId="1" xfId="0" applyNumberFormat="1" applyFont="1" applyFill="1" applyBorder="1" applyAlignment="1">
      <alignment horizontal="center" vertical="center"/>
    </xf>
    <xf numFmtId="2" fontId="9818" fillId="8" borderId="1" xfId="0" applyNumberFormat="1" applyFont="1" applyFill="1" applyBorder="1" applyAlignment="1">
      <alignment horizontal="center" vertical="center"/>
    </xf>
    <xf numFmtId="2" fontId="9819" fillId="8" borderId="1" xfId="0" applyNumberFormat="1" applyFont="1" applyFill="1" applyBorder="1" applyAlignment="1">
      <alignment horizontal="center" vertical="center"/>
    </xf>
    <xf numFmtId="2" fontId="9820" fillId="8" borderId="1" xfId="0" applyNumberFormat="1" applyFont="1" applyFill="1" applyBorder="1" applyAlignment="1">
      <alignment horizontal="center" vertical="center"/>
    </xf>
    <xf numFmtId="2" fontId="9821" fillId="8" borderId="1" xfId="0" applyNumberFormat="1" applyFont="1" applyFill="1" applyBorder="1" applyAlignment="1">
      <alignment horizontal="center" vertical="center"/>
    </xf>
    <xf numFmtId="2" fontId="9822" fillId="8" borderId="1" xfId="0" applyNumberFormat="1" applyFont="1" applyFill="1" applyBorder="1" applyAlignment="1">
      <alignment horizontal="center" vertical="center"/>
    </xf>
    <xf numFmtId="2" fontId="9823" fillId="8" borderId="1" xfId="0" applyNumberFormat="1" applyFont="1" applyFill="1" applyBorder="1" applyAlignment="1">
      <alignment horizontal="center" vertical="center"/>
    </xf>
    <xf numFmtId="2" fontId="9824" fillId="8" borderId="1" xfId="0" applyNumberFormat="1" applyFont="1" applyFill="1" applyBorder="1" applyAlignment="1">
      <alignment horizontal="center" vertical="center"/>
    </xf>
    <xf numFmtId="2" fontId="9825" fillId="8" borderId="1" xfId="0" applyNumberFormat="1" applyFont="1" applyFill="1" applyBorder="1" applyAlignment="1">
      <alignment horizontal="center" vertical="center"/>
    </xf>
    <xf numFmtId="2" fontId="9826" fillId="8" borderId="1" xfId="0" applyNumberFormat="1" applyFont="1" applyFill="1" applyBorder="1" applyAlignment="1">
      <alignment horizontal="center" vertical="center"/>
    </xf>
    <xf numFmtId="2" fontId="9827" fillId="8" borderId="1" xfId="0" applyNumberFormat="1" applyFont="1" applyFill="1" applyBorder="1" applyAlignment="1">
      <alignment horizontal="center" vertical="center"/>
    </xf>
    <xf numFmtId="2" fontId="9828" fillId="8" borderId="1" xfId="0" applyNumberFormat="1" applyFont="1" applyFill="1" applyBorder="1" applyAlignment="1">
      <alignment horizontal="center" vertical="center"/>
    </xf>
    <xf numFmtId="0" fontId="9829" fillId="7" borderId="1" xfId="0" applyNumberFormat="1" applyFont="1" applyFill="1" applyBorder="1" applyAlignment="1">
      <alignment horizontal="left" vertical="center"/>
    </xf>
    <xf numFmtId="0" fontId="9830" fillId="8" borderId="1" xfId="0" applyNumberFormat="1" applyFont="1" applyFill="1" applyBorder="1" applyAlignment="1">
      <alignment horizontal="center" vertical="center"/>
    </xf>
    <xf numFmtId="164" fontId="9831" fillId="8" borderId="1" xfId="0" applyNumberFormat="1" applyFont="1" applyFill="1" applyBorder="1" applyAlignment="1">
      <alignment horizontal="center" vertical="center"/>
    </xf>
    <xf numFmtId="1" fontId="9832" fillId="8" borderId="1" xfId="0" applyNumberFormat="1" applyFont="1" applyFill="1" applyBorder="1" applyAlignment="1">
      <alignment horizontal="center" vertical="center"/>
    </xf>
    <xf numFmtId="1" fontId="9833" fillId="8" borderId="1" xfId="0" applyNumberFormat="1" applyFont="1" applyFill="1" applyBorder="1" applyAlignment="1">
      <alignment horizontal="center" vertical="center"/>
    </xf>
    <xf numFmtId="1" fontId="9834" fillId="8" borderId="1" xfId="0" applyNumberFormat="1" applyFont="1" applyFill="1" applyBorder="1" applyAlignment="1">
      <alignment horizontal="center" vertical="center"/>
    </xf>
    <xf numFmtId="1" fontId="9835" fillId="8" borderId="1" xfId="0" applyNumberFormat="1" applyFont="1" applyFill="1" applyBorder="1" applyAlignment="1">
      <alignment horizontal="center" vertical="center"/>
    </xf>
    <xf numFmtId="1" fontId="9836" fillId="8" borderId="1" xfId="0" applyNumberFormat="1" applyFont="1" applyFill="1" applyBorder="1" applyAlignment="1">
      <alignment horizontal="center" vertical="center"/>
    </xf>
    <xf numFmtId="1" fontId="9837" fillId="8" borderId="1" xfId="0" applyNumberFormat="1" applyFont="1" applyFill="1" applyBorder="1" applyAlignment="1">
      <alignment horizontal="center" vertical="center"/>
    </xf>
    <xf numFmtId="1" fontId="9838" fillId="8" borderId="1" xfId="0" applyNumberFormat="1" applyFont="1" applyFill="1" applyBorder="1" applyAlignment="1">
      <alignment horizontal="center" vertical="center"/>
    </xf>
    <xf numFmtId="0" fontId="9839" fillId="8" borderId="1" xfId="0" applyNumberFormat="1" applyFont="1" applyFill="1" applyBorder="1" applyAlignment="1">
      <alignment horizontal="center" vertical="center"/>
    </xf>
    <xf numFmtId="0" fontId="9840" fillId="8" borderId="1" xfId="0" applyNumberFormat="1" applyFont="1" applyFill="1" applyBorder="1" applyAlignment="1">
      <alignment horizontal="center" vertical="center"/>
    </xf>
    <xf numFmtId="1" fontId="9841" fillId="8" borderId="1" xfId="0" applyNumberFormat="1" applyFont="1" applyFill="1" applyBorder="1" applyAlignment="1">
      <alignment horizontal="center" vertical="center"/>
    </xf>
    <xf numFmtId="1" fontId="9842" fillId="8" borderId="1" xfId="0" applyNumberFormat="1" applyFont="1" applyFill="1" applyBorder="1" applyAlignment="1">
      <alignment horizontal="center" vertical="center"/>
    </xf>
    <xf numFmtId="1" fontId="9843" fillId="8" borderId="1" xfId="0" applyNumberFormat="1" applyFont="1" applyFill="1" applyBorder="1" applyAlignment="1">
      <alignment horizontal="center" vertical="center"/>
    </xf>
    <xf numFmtId="165" fontId="9844" fillId="8" borderId="1" xfId="0" applyNumberFormat="1" applyFont="1" applyFill="1" applyBorder="1" applyAlignment="1">
      <alignment horizontal="center" vertical="center"/>
    </xf>
    <xf numFmtId="1" fontId="9845" fillId="8" borderId="1" xfId="0" applyNumberFormat="1" applyFont="1" applyFill="1" applyBorder="1" applyAlignment="1">
      <alignment horizontal="center" vertical="center"/>
    </xf>
    <xf numFmtId="165" fontId="9846" fillId="8" borderId="1" xfId="0" applyNumberFormat="1" applyFont="1" applyFill="1" applyBorder="1" applyAlignment="1">
      <alignment horizontal="center" vertical="center"/>
    </xf>
    <xf numFmtId="1" fontId="9847" fillId="8" borderId="1" xfId="0" applyNumberFormat="1" applyFont="1" applyFill="1" applyBorder="1" applyAlignment="1">
      <alignment horizontal="center" vertical="center"/>
    </xf>
    <xf numFmtId="165" fontId="9848" fillId="8" borderId="1" xfId="0" applyNumberFormat="1" applyFont="1" applyFill="1" applyBorder="1" applyAlignment="1">
      <alignment horizontal="center" vertical="center"/>
    </xf>
    <xf numFmtId="1" fontId="9849" fillId="8" borderId="1" xfId="0" applyNumberFormat="1" applyFont="1" applyFill="1" applyBorder="1" applyAlignment="1">
      <alignment horizontal="center" vertical="center"/>
    </xf>
    <xf numFmtId="165" fontId="9850" fillId="8" borderId="1" xfId="0" applyNumberFormat="1" applyFont="1" applyFill="1" applyBorder="1" applyAlignment="1">
      <alignment horizontal="center" vertical="center"/>
    </xf>
    <xf numFmtId="165" fontId="9851" fillId="8" borderId="1" xfId="0" applyNumberFormat="1" applyFont="1" applyFill="1" applyBorder="1" applyAlignment="1">
      <alignment horizontal="center" vertical="center"/>
    </xf>
    <xf numFmtId="1" fontId="9852" fillId="8" borderId="1" xfId="0" applyNumberFormat="1" applyFont="1" applyFill="1" applyBorder="1" applyAlignment="1">
      <alignment horizontal="center" vertical="center"/>
    </xf>
    <xf numFmtId="1" fontId="9853" fillId="8" borderId="1" xfId="0" applyNumberFormat="1" applyFont="1" applyFill="1" applyBorder="1" applyAlignment="1">
      <alignment horizontal="center" vertical="center"/>
    </xf>
    <xf numFmtId="1" fontId="9854" fillId="8" borderId="1" xfId="0" applyNumberFormat="1" applyFont="1" applyFill="1" applyBorder="1" applyAlignment="1">
      <alignment horizontal="center" vertical="center"/>
    </xf>
    <xf numFmtId="165" fontId="9855" fillId="8" borderId="1" xfId="0" applyNumberFormat="1" applyFont="1" applyFill="1" applyBorder="1" applyAlignment="1">
      <alignment horizontal="center" vertical="center"/>
    </xf>
    <xf numFmtId="164" fontId="9856" fillId="8" borderId="1" xfId="0" applyNumberFormat="1" applyFont="1" applyFill="1" applyBorder="1" applyAlignment="1">
      <alignment horizontal="center" vertical="center"/>
    </xf>
    <xf numFmtId="164" fontId="9857" fillId="8" borderId="1" xfId="0" applyNumberFormat="1" applyFont="1" applyFill="1" applyBorder="1" applyAlignment="1">
      <alignment horizontal="center" vertical="center"/>
    </xf>
    <xf numFmtId="1" fontId="9858" fillId="8" borderId="1" xfId="0" applyNumberFormat="1" applyFont="1" applyFill="1" applyBorder="1" applyAlignment="1">
      <alignment horizontal="center" vertical="center"/>
    </xf>
    <xf numFmtId="1" fontId="9859" fillId="8" borderId="1" xfId="0" applyNumberFormat="1" applyFont="1" applyFill="1" applyBorder="1" applyAlignment="1">
      <alignment horizontal="center" vertical="center"/>
    </xf>
    <xf numFmtId="1" fontId="9860" fillId="8" borderId="1" xfId="0" applyNumberFormat="1" applyFont="1" applyFill="1" applyBorder="1" applyAlignment="1">
      <alignment horizontal="center" vertical="center"/>
    </xf>
    <xf numFmtId="165" fontId="9861" fillId="8" borderId="1" xfId="0" applyNumberFormat="1" applyFont="1" applyFill="1" applyBorder="1" applyAlignment="1">
      <alignment horizontal="center" vertical="center"/>
    </xf>
    <xf numFmtId="1" fontId="9862" fillId="8" borderId="1" xfId="0" applyNumberFormat="1" applyFont="1" applyFill="1" applyBorder="1" applyAlignment="1">
      <alignment horizontal="center" vertical="center"/>
    </xf>
    <xf numFmtId="165" fontId="9863" fillId="8" borderId="1" xfId="0" applyNumberFormat="1" applyFont="1" applyFill="1" applyBorder="1" applyAlignment="1">
      <alignment horizontal="center" vertical="center"/>
    </xf>
    <xf numFmtId="1" fontId="9864" fillId="8" borderId="1" xfId="0" applyNumberFormat="1" applyFont="1" applyFill="1" applyBorder="1" applyAlignment="1">
      <alignment horizontal="center" vertical="center"/>
    </xf>
    <xf numFmtId="1" fontId="9865" fillId="8" borderId="1" xfId="0" applyNumberFormat="1" applyFont="1" applyFill="1" applyBorder="1" applyAlignment="1">
      <alignment horizontal="center" vertical="center"/>
    </xf>
    <xf numFmtId="1" fontId="9866" fillId="8" borderId="1" xfId="0" applyNumberFormat="1" applyFont="1" applyFill="1" applyBorder="1" applyAlignment="1">
      <alignment horizontal="center" vertical="center"/>
    </xf>
    <xf numFmtId="1" fontId="9867" fillId="8" borderId="1" xfId="0" applyNumberFormat="1" applyFont="1" applyFill="1" applyBorder="1" applyAlignment="1">
      <alignment horizontal="center" vertical="center"/>
    </xf>
    <xf numFmtId="165" fontId="9868" fillId="8" borderId="1" xfId="0" applyNumberFormat="1" applyFont="1" applyFill="1" applyBorder="1" applyAlignment="1">
      <alignment horizontal="center" vertical="center"/>
    </xf>
    <xf numFmtId="1" fontId="9869" fillId="8" borderId="1" xfId="0" applyNumberFormat="1" applyFont="1" applyFill="1" applyBorder="1" applyAlignment="1">
      <alignment horizontal="center" vertical="center"/>
    </xf>
    <xf numFmtId="165" fontId="9870" fillId="8" borderId="1" xfId="0" applyNumberFormat="1" applyFont="1" applyFill="1" applyBorder="1" applyAlignment="1">
      <alignment horizontal="center" vertical="center"/>
    </xf>
    <xf numFmtId="1" fontId="9871" fillId="8" borderId="1" xfId="0" applyNumberFormat="1" applyFont="1" applyFill="1" applyBorder="1" applyAlignment="1">
      <alignment horizontal="center" vertical="center"/>
    </xf>
    <xf numFmtId="165" fontId="9872" fillId="8" borderId="1" xfId="0" applyNumberFormat="1" applyFont="1" applyFill="1" applyBorder="1" applyAlignment="1">
      <alignment horizontal="center" vertical="center"/>
    </xf>
    <xf numFmtId="2" fontId="9873" fillId="8" borderId="1" xfId="0" applyNumberFormat="1" applyFont="1" applyFill="1" applyBorder="1" applyAlignment="1">
      <alignment horizontal="center" vertical="center"/>
    </xf>
    <xf numFmtId="2" fontId="9874" fillId="8" borderId="1" xfId="0" applyNumberFormat="1" applyFont="1" applyFill="1" applyBorder="1" applyAlignment="1">
      <alignment horizontal="center" vertical="center"/>
    </xf>
    <xf numFmtId="2" fontId="9875" fillId="8" borderId="1" xfId="0" applyNumberFormat="1" applyFont="1" applyFill="1" applyBorder="1" applyAlignment="1">
      <alignment horizontal="center" vertical="center"/>
    </xf>
    <xf numFmtId="2" fontId="9876" fillId="8" borderId="1" xfId="0" applyNumberFormat="1" applyFont="1" applyFill="1" applyBorder="1" applyAlignment="1">
      <alignment horizontal="center" vertical="center"/>
    </xf>
    <xf numFmtId="2" fontId="9877" fillId="8" borderId="1" xfId="0" applyNumberFormat="1" applyFont="1" applyFill="1" applyBorder="1" applyAlignment="1">
      <alignment horizontal="center" vertical="center"/>
    </xf>
    <xf numFmtId="2" fontId="9878" fillId="8" borderId="1" xfId="0" applyNumberFormat="1" applyFont="1" applyFill="1" applyBorder="1" applyAlignment="1">
      <alignment horizontal="center" vertical="center"/>
    </xf>
    <xf numFmtId="2" fontId="9879" fillId="8" borderId="1" xfId="0" applyNumberFormat="1" applyFont="1" applyFill="1" applyBorder="1" applyAlignment="1">
      <alignment horizontal="center" vertical="center"/>
    </xf>
    <xf numFmtId="2" fontId="9880" fillId="8" borderId="1" xfId="0" applyNumberFormat="1" applyFont="1" applyFill="1" applyBorder="1" applyAlignment="1">
      <alignment horizontal="center" vertical="center"/>
    </xf>
    <xf numFmtId="2" fontId="9881" fillId="8" borderId="1" xfId="0" applyNumberFormat="1" applyFont="1" applyFill="1" applyBorder="1" applyAlignment="1">
      <alignment horizontal="center" vertical="center"/>
    </xf>
    <xf numFmtId="2" fontId="9882" fillId="8" borderId="1" xfId="0" applyNumberFormat="1" applyFont="1" applyFill="1" applyBorder="1" applyAlignment="1">
      <alignment horizontal="center" vertical="center"/>
    </xf>
    <xf numFmtId="2" fontId="9883" fillId="8" borderId="1" xfId="0" applyNumberFormat="1" applyFont="1" applyFill="1" applyBorder="1" applyAlignment="1">
      <alignment horizontal="center" vertical="center"/>
    </xf>
    <xf numFmtId="2" fontId="9884" fillId="8" borderId="1" xfId="0" applyNumberFormat="1" applyFont="1" applyFill="1" applyBorder="1" applyAlignment="1">
      <alignment horizontal="center" vertical="center"/>
    </xf>
    <xf numFmtId="2" fontId="9885" fillId="8" borderId="1" xfId="0" applyNumberFormat="1" applyFont="1" applyFill="1" applyBorder="1" applyAlignment="1">
      <alignment horizontal="center" vertical="center"/>
    </xf>
    <xf numFmtId="2" fontId="9886" fillId="8" borderId="1" xfId="0" applyNumberFormat="1" applyFont="1" applyFill="1" applyBorder="1" applyAlignment="1">
      <alignment horizontal="center" vertical="center"/>
    </xf>
    <xf numFmtId="2" fontId="9887" fillId="8" borderId="1" xfId="0" applyNumberFormat="1" applyFont="1" applyFill="1" applyBorder="1" applyAlignment="1">
      <alignment horizontal="center" vertical="center"/>
    </xf>
    <xf numFmtId="2" fontId="9888" fillId="8" borderId="1" xfId="0" applyNumberFormat="1" applyFont="1" applyFill="1" applyBorder="1" applyAlignment="1">
      <alignment horizontal="center" vertical="center"/>
    </xf>
    <xf numFmtId="2" fontId="9889" fillId="8" borderId="1" xfId="0" applyNumberFormat="1" applyFont="1" applyFill="1" applyBorder="1" applyAlignment="1">
      <alignment horizontal="center" vertical="center"/>
    </xf>
    <xf numFmtId="2" fontId="9890" fillId="8" borderId="1" xfId="0" applyNumberFormat="1" applyFont="1" applyFill="1" applyBorder="1" applyAlignment="1">
      <alignment horizontal="center" vertical="center"/>
    </xf>
    <xf numFmtId="2" fontId="9891" fillId="8" borderId="1" xfId="0" applyNumberFormat="1" applyFont="1" applyFill="1" applyBorder="1" applyAlignment="1">
      <alignment horizontal="center" vertical="center"/>
    </xf>
    <xf numFmtId="2" fontId="9892" fillId="8" borderId="1" xfId="0" applyNumberFormat="1" applyFont="1" applyFill="1" applyBorder="1" applyAlignment="1">
      <alignment horizontal="center" vertical="center"/>
    </xf>
    <xf numFmtId="2" fontId="9893" fillId="8" borderId="1" xfId="0" applyNumberFormat="1" applyFont="1" applyFill="1" applyBorder="1" applyAlignment="1">
      <alignment horizontal="center" vertical="center"/>
    </xf>
    <xf numFmtId="2" fontId="9894" fillId="8" borderId="1" xfId="0" applyNumberFormat="1" applyFont="1" applyFill="1" applyBorder="1" applyAlignment="1">
      <alignment horizontal="center" vertical="center"/>
    </xf>
    <xf numFmtId="2" fontId="9895" fillId="8" borderId="1" xfId="0" applyNumberFormat="1" applyFont="1" applyFill="1" applyBorder="1" applyAlignment="1">
      <alignment horizontal="center" vertical="center"/>
    </xf>
    <xf numFmtId="2" fontId="9896" fillId="8" borderId="1" xfId="0" applyNumberFormat="1" applyFont="1" applyFill="1" applyBorder="1" applyAlignment="1">
      <alignment horizontal="center" vertical="center"/>
    </xf>
    <xf numFmtId="2" fontId="9897" fillId="8" borderId="1" xfId="0" applyNumberFormat="1" applyFont="1" applyFill="1" applyBorder="1" applyAlignment="1">
      <alignment horizontal="center" vertical="center"/>
    </xf>
    <xf numFmtId="2" fontId="9898" fillId="8" borderId="1" xfId="0" applyNumberFormat="1" applyFont="1" applyFill="1" applyBorder="1" applyAlignment="1">
      <alignment horizontal="center" vertical="center"/>
    </xf>
    <xf numFmtId="2" fontId="9899" fillId="8" borderId="1" xfId="0" applyNumberFormat="1" applyFont="1" applyFill="1" applyBorder="1" applyAlignment="1">
      <alignment horizontal="center" vertical="center"/>
    </xf>
    <xf numFmtId="2" fontId="9900" fillId="8" borderId="1" xfId="0" applyNumberFormat="1" applyFont="1" applyFill="1" applyBorder="1" applyAlignment="1">
      <alignment horizontal="center" vertical="center"/>
    </xf>
    <xf numFmtId="2" fontId="9901" fillId="8" borderId="1" xfId="0" applyNumberFormat="1" applyFont="1" applyFill="1" applyBorder="1" applyAlignment="1">
      <alignment horizontal="center" vertical="center"/>
    </xf>
    <xf numFmtId="2" fontId="9902" fillId="8" borderId="1" xfId="0" applyNumberFormat="1" applyFont="1" applyFill="1" applyBorder="1" applyAlignment="1">
      <alignment horizontal="center" vertical="center"/>
    </xf>
    <xf numFmtId="2" fontId="9903" fillId="8" borderId="1" xfId="0" applyNumberFormat="1" applyFont="1" applyFill="1" applyBorder="1" applyAlignment="1">
      <alignment horizontal="center" vertical="center"/>
    </xf>
    <xf numFmtId="2" fontId="9904" fillId="8" borderId="1" xfId="0" applyNumberFormat="1" applyFont="1" applyFill="1" applyBorder="1" applyAlignment="1">
      <alignment horizontal="center" vertical="center"/>
    </xf>
    <xf numFmtId="2" fontId="9905" fillId="8" borderId="1" xfId="0" applyNumberFormat="1" applyFont="1" applyFill="1" applyBorder="1" applyAlignment="1">
      <alignment horizontal="center" vertical="center"/>
    </xf>
    <xf numFmtId="2" fontId="9906" fillId="8" borderId="1" xfId="0" applyNumberFormat="1" applyFont="1" applyFill="1" applyBorder="1" applyAlignment="1">
      <alignment horizontal="center" vertical="center"/>
    </xf>
    <xf numFmtId="0" fontId="9907" fillId="7" borderId="1" xfId="0" applyNumberFormat="1" applyFont="1" applyFill="1" applyBorder="1" applyAlignment="1">
      <alignment horizontal="left" vertical="center"/>
    </xf>
    <xf numFmtId="0" fontId="9908" fillId="8" borderId="1" xfId="0" applyNumberFormat="1" applyFont="1" applyFill="1" applyBorder="1" applyAlignment="1">
      <alignment horizontal="center" vertical="center"/>
    </xf>
    <xf numFmtId="164" fontId="9909" fillId="8" borderId="1" xfId="0" applyNumberFormat="1" applyFont="1" applyFill="1" applyBorder="1" applyAlignment="1">
      <alignment horizontal="center" vertical="center"/>
    </xf>
    <xf numFmtId="1" fontId="9910" fillId="8" borderId="1" xfId="0" applyNumberFormat="1" applyFont="1" applyFill="1" applyBorder="1" applyAlignment="1">
      <alignment horizontal="center" vertical="center"/>
    </xf>
    <xf numFmtId="1" fontId="9911" fillId="8" borderId="1" xfId="0" applyNumberFormat="1" applyFont="1" applyFill="1" applyBorder="1" applyAlignment="1">
      <alignment horizontal="center" vertical="center"/>
    </xf>
    <xf numFmtId="1" fontId="9912" fillId="8" borderId="1" xfId="0" applyNumberFormat="1" applyFont="1" applyFill="1" applyBorder="1" applyAlignment="1">
      <alignment horizontal="center" vertical="center"/>
    </xf>
    <xf numFmtId="1" fontId="9913" fillId="8" borderId="1" xfId="0" applyNumberFormat="1" applyFont="1" applyFill="1" applyBorder="1" applyAlignment="1">
      <alignment horizontal="center" vertical="center"/>
    </xf>
    <xf numFmtId="1" fontId="9914" fillId="8" borderId="1" xfId="0" applyNumberFormat="1" applyFont="1" applyFill="1" applyBorder="1" applyAlignment="1">
      <alignment horizontal="center" vertical="center"/>
    </xf>
    <xf numFmtId="1" fontId="9915" fillId="8" borderId="1" xfId="0" applyNumberFormat="1" applyFont="1" applyFill="1" applyBorder="1" applyAlignment="1">
      <alignment horizontal="center" vertical="center"/>
    </xf>
    <xf numFmtId="1" fontId="9916" fillId="8" borderId="1" xfId="0" applyNumberFormat="1" applyFont="1" applyFill="1" applyBorder="1" applyAlignment="1">
      <alignment horizontal="center" vertical="center"/>
    </xf>
    <xf numFmtId="0" fontId="9917" fillId="8" borderId="1" xfId="0" applyNumberFormat="1" applyFont="1" applyFill="1" applyBorder="1" applyAlignment="1">
      <alignment horizontal="center" vertical="center"/>
    </xf>
    <xf numFmtId="0" fontId="9918" fillId="8" borderId="1" xfId="0" applyNumberFormat="1" applyFont="1" applyFill="1" applyBorder="1" applyAlignment="1">
      <alignment horizontal="center" vertical="center"/>
    </xf>
    <xf numFmtId="1" fontId="9919" fillId="8" borderId="1" xfId="0" applyNumberFormat="1" applyFont="1" applyFill="1" applyBorder="1" applyAlignment="1">
      <alignment horizontal="center" vertical="center"/>
    </xf>
    <xf numFmtId="1" fontId="9920" fillId="8" borderId="1" xfId="0" applyNumberFormat="1" applyFont="1" applyFill="1" applyBorder="1" applyAlignment="1">
      <alignment horizontal="center" vertical="center"/>
    </xf>
    <xf numFmtId="1" fontId="9921" fillId="8" borderId="1" xfId="0" applyNumberFormat="1" applyFont="1" applyFill="1" applyBorder="1" applyAlignment="1">
      <alignment horizontal="center" vertical="center"/>
    </xf>
    <xf numFmtId="165" fontId="9922" fillId="8" borderId="1" xfId="0" applyNumberFormat="1" applyFont="1" applyFill="1" applyBorder="1" applyAlignment="1">
      <alignment horizontal="center" vertical="center"/>
    </xf>
    <xf numFmtId="1" fontId="9923" fillId="8" borderId="1" xfId="0" applyNumberFormat="1" applyFont="1" applyFill="1" applyBorder="1" applyAlignment="1">
      <alignment horizontal="center" vertical="center"/>
    </xf>
    <xf numFmtId="165" fontId="9924" fillId="8" borderId="1" xfId="0" applyNumberFormat="1" applyFont="1" applyFill="1" applyBorder="1" applyAlignment="1">
      <alignment horizontal="center" vertical="center"/>
    </xf>
    <xf numFmtId="1" fontId="9925" fillId="8" borderId="1" xfId="0" applyNumberFormat="1" applyFont="1" applyFill="1" applyBorder="1" applyAlignment="1">
      <alignment horizontal="center" vertical="center"/>
    </xf>
    <xf numFmtId="165" fontId="9926" fillId="8" borderId="1" xfId="0" applyNumberFormat="1" applyFont="1" applyFill="1" applyBorder="1" applyAlignment="1">
      <alignment horizontal="center" vertical="center"/>
    </xf>
    <xf numFmtId="1" fontId="9927" fillId="8" borderId="1" xfId="0" applyNumberFormat="1" applyFont="1" applyFill="1" applyBorder="1" applyAlignment="1">
      <alignment horizontal="center" vertical="center"/>
    </xf>
    <xf numFmtId="165" fontId="9928" fillId="8" borderId="1" xfId="0" applyNumberFormat="1" applyFont="1" applyFill="1" applyBorder="1" applyAlignment="1">
      <alignment horizontal="center" vertical="center"/>
    </xf>
    <xf numFmtId="165" fontId="9929" fillId="8" borderId="1" xfId="0" applyNumberFormat="1" applyFont="1" applyFill="1" applyBorder="1" applyAlignment="1">
      <alignment horizontal="center" vertical="center"/>
    </xf>
    <xf numFmtId="1" fontId="9930" fillId="8" borderId="1" xfId="0" applyNumberFormat="1" applyFont="1" applyFill="1" applyBorder="1" applyAlignment="1">
      <alignment horizontal="center" vertical="center"/>
    </xf>
    <xf numFmtId="1" fontId="9931" fillId="8" borderId="1" xfId="0" applyNumberFormat="1" applyFont="1" applyFill="1" applyBorder="1" applyAlignment="1">
      <alignment horizontal="center" vertical="center"/>
    </xf>
    <xf numFmtId="1" fontId="9932" fillId="8" borderId="1" xfId="0" applyNumberFormat="1" applyFont="1" applyFill="1" applyBorder="1" applyAlignment="1">
      <alignment horizontal="center" vertical="center"/>
    </xf>
    <xf numFmtId="165" fontId="9933" fillId="8" borderId="1" xfId="0" applyNumberFormat="1" applyFont="1" applyFill="1" applyBorder="1" applyAlignment="1">
      <alignment horizontal="center" vertical="center"/>
    </xf>
    <xf numFmtId="164" fontId="9934" fillId="8" borderId="1" xfId="0" applyNumberFormat="1" applyFont="1" applyFill="1" applyBorder="1" applyAlignment="1">
      <alignment horizontal="center" vertical="center"/>
    </xf>
    <xf numFmtId="164" fontId="9935" fillId="8" borderId="1" xfId="0" applyNumberFormat="1" applyFont="1" applyFill="1" applyBorder="1" applyAlignment="1">
      <alignment horizontal="center" vertical="center"/>
    </xf>
    <xf numFmtId="1" fontId="9936" fillId="8" borderId="1" xfId="0" applyNumberFormat="1" applyFont="1" applyFill="1" applyBorder="1" applyAlignment="1">
      <alignment horizontal="center" vertical="center"/>
    </xf>
    <xf numFmtId="1" fontId="9937" fillId="8" borderId="1" xfId="0" applyNumberFormat="1" applyFont="1" applyFill="1" applyBorder="1" applyAlignment="1">
      <alignment horizontal="center" vertical="center"/>
    </xf>
    <xf numFmtId="1" fontId="9938" fillId="8" borderId="1" xfId="0" applyNumberFormat="1" applyFont="1" applyFill="1" applyBorder="1" applyAlignment="1">
      <alignment horizontal="center" vertical="center"/>
    </xf>
    <xf numFmtId="165" fontId="9939" fillId="8" borderId="1" xfId="0" applyNumberFormat="1" applyFont="1" applyFill="1" applyBorder="1" applyAlignment="1">
      <alignment horizontal="center" vertical="center"/>
    </xf>
    <xf numFmtId="1" fontId="9940" fillId="8" borderId="1" xfId="0" applyNumberFormat="1" applyFont="1" applyFill="1" applyBorder="1" applyAlignment="1">
      <alignment horizontal="center" vertical="center"/>
    </xf>
    <xf numFmtId="165" fontId="9941" fillId="8" borderId="1" xfId="0" applyNumberFormat="1" applyFont="1" applyFill="1" applyBorder="1" applyAlignment="1">
      <alignment horizontal="center" vertical="center"/>
    </xf>
    <xf numFmtId="1" fontId="9942" fillId="8" borderId="1" xfId="0" applyNumberFormat="1" applyFont="1" applyFill="1" applyBorder="1" applyAlignment="1">
      <alignment horizontal="center" vertical="center"/>
    </xf>
    <xf numFmtId="1" fontId="9943" fillId="8" borderId="1" xfId="0" applyNumberFormat="1" applyFont="1" applyFill="1" applyBorder="1" applyAlignment="1">
      <alignment horizontal="center" vertical="center"/>
    </xf>
    <xf numFmtId="1" fontId="9944" fillId="8" borderId="1" xfId="0" applyNumberFormat="1" applyFont="1" applyFill="1" applyBorder="1" applyAlignment="1">
      <alignment horizontal="center" vertical="center"/>
    </xf>
    <xf numFmtId="1" fontId="9945" fillId="8" borderId="1" xfId="0" applyNumberFormat="1" applyFont="1" applyFill="1" applyBorder="1" applyAlignment="1">
      <alignment horizontal="center" vertical="center"/>
    </xf>
    <xf numFmtId="165" fontId="9946" fillId="8" borderId="1" xfId="0" applyNumberFormat="1" applyFont="1" applyFill="1" applyBorder="1" applyAlignment="1">
      <alignment horizontal="center" vertical="center"/>
    </xf>
    <xf numFmtId="1" fontId="9947" fillId="8" borderId="1" xfId="0" applyNumberFormat="1" applyFont="1" applyFill="1" applyBorder="1" applyAlignment="1">
      <alignment horizontal="center" vertical="center"/>
    </xf>
    <xf numFmtId="165" fontId="9948" fillId="8" borderId="1" xfId="0" applyNumberFormat="1" applyFont="1" applyFill="1" applyBorder="1" applyAlignment="1">
      <alignment horizontal="center" vertical="center"/>
    </xf>
    <xf numFmtId="1" fontId="9949" fillId="8" borderId="1" xfId="0" applyNumberFormat="1" applyFont="1" applyFill="1" applyBorder="1" applyAlignment="1">
      <alignment horizontal="center" vertical="center"/>
    </xf>
    <xf numFmtId="165" fontId="9950" fillId="8" borderId="1" xfId="0" applyNumberFormat="1" applyFont="1" applyFill="1" applyBorder="1" applyAlignment="1">
      <alignment horizontal="center" vertical="center"/>
    </xf>
    <xf numFmtId="2" fontId="9951" fillId="8" borderId="1" xfId="0" applyNumberFormat="1" applyFont="1" applyFill="1" applyBorder="1" applyAlignment="1">
      <alignment horizontal="center" vertical="center"/>
    </xf>
    <xf numFmtId="2" fontId="9952" fillId="8" borderId="1" xfId="0" applyNumberFormat="1" applyFont="1" applyFill="1" applyBorder="1" applyAlignment="1">
      <alignment horizontal="center" vertical="center"/>
    </xf>
    <xf numFmtId="2" fontId="9953" fillId="8" borderId="1" xfId="0" applyNumberFormat="1" applyFont="1" applyFill="1" applyBorder="1" applyAlignment="1">
      <alignment horizontal="center" vertical="center"/>
    </xf>
    <xf numFmtId="2" fontId="9954" fillId="8" borderId="1" xfId="0" applyNumberFormat="1" applyFont="1" applyFill="1" applyBorder="1" applyAlignment="1">
      <alignment horizontal="center" vertical="center"/>
    </xf>
    <xf numFmtId="2" fontId="9955" fillId="8" borderId="1" xfId="0" applyNumberFormat="1" applyFont="1" applyFill="1" applyBorder="1" applyAlignment="1">
      <alignment horizontal="center" vertical="center"/>
    </xf>
    <xf numFmtId="2" fontId="9956" fillId="8" borderId="1" xfId="0" applyNumberFormat="1" applyFont="1" applyFill="1" applyBorder="1" applyAlignment="1">
      <alignment horizontal="center" vertical="center"/>
    </xf>
    <xf numFmtId="2" fontId="9957" fillId="8" borderId="1" xfId="0" applyNumberFormat="1" applyFont="1" applyFill="1" applyBorder="1" applyAlignment="1">
      <alignment horizontal="center" vertical="center"/>
    </xf>
    <xf numFmtId="2" fontId="9958" fillId="8" borderId="1" xfId="0" applyNumberFormat="1" applyFont="1" applyFill="1" applyBorder="1" applyAlignment="1">
      <alignment horizontal="center" vertical="center"/>
    </xf>
    <xf numFmtId="2" fontId="9959" fillId="8" borderId="1" xfId="0" applyNumberFormat="1" applyFont="1" applyFill="1" applyBorder="1" applyAlignment="1">
      <alignment horizontal="center" vertical="center"/>
    </xf>
    <xf numFmtId="2" fontId="9960" fillId="8" borderId="1" xfId="0" applyNumberFormat="1" applyFont="1" applyFill="1" applyBorder="1" applyAlignment="1">
      <alignment horizontal="center" vertical="center"/>
    </xf>
    <xf numFmtId="2" fontId="9961" fillId="8" borderId="1" xfId="0" applyNumberFormat="1" applyFont="1" applyFill="1" applyBorder="1" applyAlignment="1">
      <alignment horizontal="center" vertical="center"/>
    </xf>
    <xf numFmtId="2" fontId="9962" fillId="8" borderId="1" xfId="0" applyNumberFormat="1" applyFont="1" applyFill="1" applyBorder="1" applyAlignment="1">
      <alignment horizontal="center" vertical="center"/>
    </xf>
    <xf numFmtId="2" fontId="9963" fillId="8" borderId="1" xfId="0" applyNumberFormat="1" applyFont="1" applyFill="1" applyBorder="1" applyAlignment="1">
      <alignment horizontal="center" vertical="center"/>
    </xf>
    <xf numFmtId="2" fontId="9964" fillId="8" borderId="1" xfId="0" applyNumberFormat="1" applyFont="1" applyFill="1" applyBorder="1" applyAlignment="1">
      <alignment horizontal="center" vertical="center"/>
    </xf>
    <xf numFmtId="2" fontId="9965" fillId="8" borderId="1" xfId="0" applyNumberFormat="1" applyFont="1" applyFill="1" applyBorder="1" applyAlignment="1">
      <alignment horizontal="center" vertical="center"/>
    </xf>
    <xf numFmtId="2" fontId="9966" fillId="8" borderId="1" xfId="0" applyNumberFormat="1" applyFont="1" applyFill="1" applyBorder="1" applyAlignment="1">
      <alignment horizontal="center" vertical="center"/>
    </xf>
    <xf numFmtId="2" fontId="9967" fillId="8" borderId="1" xfId="0" applyNumberFormat="1" applyFont="1" applyFill="1" applyBorder="1" applyAlignment="1">
      <alignment horizontal="center" vertical="center"/>
    </xf>
    <xf numFmtId="2" fontId="9968" fillId="8" borderId="1" xfId="0" applyNumberFormat="1" applyFont="1" applyFill="1" applyBorder="1" applyAlignment="1">
      <alignment horizontal="center" vertical="center"/>
    </xf>
    <xf numFmtId="2" fontId="9969" fillId="8" borderId="1" xfId="0" applyNumberFormat="1" applyFont="1" applyFill="1" applyBorder="1" applyAlignment="1">
      <alignment horizontal="center" vertical="center"/>
    </xf>
    <xf numFmtId="2" fontId="9970" fillId="8" borderId="1" xfId="0" applyNumberFormat="1" applyFont="1" applyFill="1" applyBorder="1" applyAlignment="1">
      <alignment horizontal="center" vertical="center"/>
    </xf>
    <xf numFmtId="2" fontId="9971" fillId="8" borderId="1" xfId="0" applyNumberFormat="1" applyFont="1" applyFill="1" applyBorder="1" applyAlignment="1">
      <alignment horizontal="center" vertical="center"/>
    </xf>
    <xf numFmtId="2" fontId="9972" fillId="8" borderId="1" xfId="0" applyNumberFormat="1" applyFont="1" applyFill="1" applyBorder="1" applyAlignment="1">
      <alignment horizontal="center" vertical="center"/>
    </xf>
    <xf numFmtId="2" fontId="9973" fillId="8" borderId="1" xfId="0" applyNumberFormat="1" applyFont="1" applyFill="1" applyBorder="1" applyAlignment="1">
      <alignment horizontal="center" vertical="center"/>
    </xf>
    <xf numFmtId="2" fontId="9974" fillId="8" borderId="1" xfId="0" applyNumberFormat="1" applyFont="1" applyFill="1" applyBorder="1" applyAlignment="1">
      <alignment horizontal="center" vertical="center"/>
    </xf>
    <xf numFmtId="2" fontId="9975" fillId="8" borderId="1" xfId="0" applyNumberFormat="1" applyFont="1" applyFill="1" applyBorder="1" applyAlignment="1">
      <alignment horizontal="center" vertical="center"/>
    </xf>
    <xf numFmtId="2" fontId="9976" fillId="8" borderId="1" xfId="0" applyNumberFormat="1" applyFont="1" applyFill="1" applyBorder="1" applyAlignment="1">
      <alignment horizontal="center" vertical="center"/>
    </xf>
    <xf numFmtId="2" fontId="9977" fillId="8" borderId="1" xfId="0" applyNumberFormat="1" applyFont="1" applyFill="1" applyBorder="1" applyAlignment="1">
      <alignment horizontal="center" vertical="center"/>
    </xf>
    <xf numFmtId="2" fontId="9978" fillId="8" borderId="1" xfId="0" applyNumberFormat="1" applyFont="1" applyFill="1" applyBorder="1" applyAlignment="1">
      <alignment horizontal="center" vertical="center"/>
    </xf>
    <xf numFmtId="2" fontId="9979" fillId="8" borderId="1" xfId="0" applyNumberFormat="1" applyFont="1" applyFill="1" applyBorder="1" applyAlignment="1">
      <alignment horizontal="center" vertical="center"/>
    </xf>
    <xf numFmtId="2" fontId="9980" fillId="8" borderId="1" xfId="0" applyNumberFormat="1" applyFont="1" applyFill="1" applyBorder="1" applyAlignment="1">
      <alignment horizontal="center" vertical="center"/>
    </xf>
    <xf numFmtId="2" fontId="9981" fillId="8" borderId="1" xfId="0" applyNumberFormat="1" applyFont="1" applyFill="1" applyBorder="1" applyAlignment="1">
      <alignment horizontal="center" vertical="center"/>
    </xf>
    <xf numFmtId="2" fontId="9982" fillId="8" borderId="1" xfId="0" applyNumberFormat="1" applyFont="1" applyFill="1" applyBorder="1" applyAlignment="1">
      <alignment horizontal="center" vertical="center"/>
    </xf>
    <xf numFmtId="2" fontId="9983" fillId="8" borderId="1" xfId="0" applyNumberFormat="1" applyFont="1" applyFill="1" applyBorder="1" applyAlignment="1">
      <alignment horizontal="center" vertical="center"/>
    </xf>
    <xf numFmtId="2" fontId="9984" fillId="8" borderId="1" xfId="0" applyNumberFormat="1" applyFont="1" applyFill="1" applyBorder="1" applyAlignment="1">
      <alignment horizontal="center" vertical="center"/>
    </xf>
    <xf numFmtId="0" fontId="9985" fillId="7" borderId="1" xfId="0" applyNumberFormat="1" applyFont="1" applyFill="1" applyBorder="1" applyAlignment="1">
      <alignment horizontal="left" vertical="center"/>
    </xf>
    <xf numFmtId="0" fontId="9986" fillId="8" borderId="1" xfId="0" applyNumberFormat="1" applyFont="1" applyFill="1" applyBorder="1" applyAlignment="1">
      <alignment horizontal="center" vertical="center"/>
    </xf>
    <xf numFmtId="164" fontId="9987" fillId="8" borderId="1" xfId="0" applyNumberFormat="1" applyFont="1" applyFill="1" applyBorder="1" applyAlignment="1">
      <alignment horizontal="center" vertical="center"/>
    </xf>
    <xf numFmtId="1" fontId="9988" fillId="8" borderId="1" xfId="0" applyNumberFormat="1" applyFont="1" applyFill="1" applyBorder="1" applyAlignment="1">
      <alignment horizontal="center" vertical="center"/>
    </xf>
    <xf numFmtId="1" fontId="9989" fillId="8" borderId="1" xfId="0" applyNumberFormat="1" applyFont="1" applyFill="1" applyBorder="1" applyAlignment="1">
      <alignment horizontal="center" vertical="center"/>
    </xf>
    <xf numFmtId="1" fontId="9990" fillId="8" borderId="1" xfId="0" applyNumberFormat="1" applyFont="1" applyFill="1" applyBorder="1" applyAlignment="1">
      <alignment horizontal="center" vertical="center"/>
    </xf>
    <xf numFmtId="1" fontId="9991" fillId="8" borderId="1" xfId="0" applyNumberFormat="1" applyFont="1" applyFill="1" applyBorder="1" applyAlignment="1">
      <alignment horizontal="center" vertical="center"/>
    </xf>
    <xf numFmtId="1" fontId="9992" fillId="8" borderId="1" xfId="0" applyNumberFormat="1" applyFont="1" applyFill="1" applyBorder="1" applyAlignment="1">
      <alignment horizontal="center" vertical="center"/>
    </xf>
    <xf numFmtId="1" fontId="9993" fillId="8" borderId="1" xfId="0" applyNumberFormat="1" applyFont="1" applyFill="1" applyBorder="1" applyAlignment="1">
      <alignment horizontal="center" vertical="center"/>
    </xf>
    <xf numFmtId="1" fontId="9994" fillId="8" borderId="1" xfId="0" applyNumberFormat="1" applyFont="1" applyFill="1" applyBorder="1" applyAlignment="1">
      <alignment horizontal="center" vertical="center"/>
    </xf>
    <xf numFmtId="0" fontId="9995" fillId="8" borderId="1" xfId="0" applyNumberFormat="1" applyFont="1" applyFill="1" applyBorder="1" applyAlignment="1">
      <alignment horizontal="center" vertical="center"/>
    </xf>
    <xf numFmtId="0" fontId="9996" fillId="8" borderId="1" xfId="0" applyNumberFormat="1" applyFont="1" applyFill="1" applyBorder="1" applyAlignment="1">
      <alignment horizontal="center" vertical="center"/>
    </xf>
    <xf numFmtId="1" fontId="9997" fillId="8" borderId="1" xfId="0" applyNumberFormat="1" applyFont="1" applyFill="1" applyBorder="1" applyAlignment="1">
      <alignment horizontal="center" vertical="center"/>
    </xf>
    <xf numFmtId="1" fontId="9998" fillId="8" borderId="1" xfId="0" applyNumberFormat="1" applyFont="1" applyFill="1" applyBorder="1" applyAlignment="1">
      <alignment horizontal="center" vertical="center"/>
    </xf>
    <xf numFmtId="1" fontId="9999" fillId="8" borderId="1" xfId="0" applyNumberFormat="1" applyFont="1" applyFill="1" applyBorder="1" applyAlignment="1">
      <alignment horizontal="center" vertical="center"/>
    </xf>
    <xf numFmtId="165" fontId="10000" fillId="8" borderId="1" xfId="0" applyNumberFormat="1" applyFont="1" applyFill="1" applyBorder="1" applyAlignment="1">
      <alignment horizontal="center" vertical="center"/>
    </xf>
    <xf numFmtId="1" fontId="10001" fillId="8" borderId="1" xfId="0" applyNumberFormat="1" applyFont="1" applyFill="1" applyBorder="1" applyAlignment="1">
      <alignment horizontal="center" vertical="center"/>
    </xf>
    <xf numFmtId="165" fontId="10002" fillId="8" borderId="1" xfId="0" applyNumberFormat="1" applyFont="1" applyFill="1" applyBorder="1" applyAlignment="1">
      <alignment horizontal="center" vertical="center"/>
    </xf>
    <xf numFmtId="1" fontId="10003" fillId="8" borderId="1" xfId="0" applyNumberFormat="1" applyFont="1" applyFill="1" applyBorder="1" applyAlignment="1">
      <alignment horizontal="center" vertical="center"/>
    </xf>
    <xf numFmtId="165" fontId="10004" fillId="8" borderId="1" xfId="0" applyNumberFormat="1" applyFont="1" applyFill="1" applyBorder="1" applyAlignment="1">
      <alignment horizontal="center" vertical="center"/>
    </xf>
    <xf numFmtId="1" fontId="10005" fillId="8" borderId="1" xfId="0" applyNumberFormat="1" applyFont="1" applyFill="1" applyBorder="1" applyAlignment="1">
      <alignment horizontal="center" vertical="center"/>
    </xf>
    <xf numFmtId="165" fontId="10006" fillId="8" borderId="1" xfId="0" applyNumberFormat="1" applyFont="1" applyFill="1" applyBorder="1" applyAlignment="1">
      <alignment horizontal="center" vertical="center"/>
    </xf>
    <xf numFmtId="165" fontId="10007" fillId="8" borderId="1" xfId="0" applyNumberFormat="1" applyFont="1" applyFill="1" applyBorder="1" applyAlignment="1">
      <alignment horizontal="center" vertical="center"/>
    </xf>
    <xf numFmtId="1" fontId="10008" fillId="8" borderId="1" xfId="0" applyNumberFormat="1" applyFont="1" applyFill="1" applyBorder="1" applyAlignment="1">
      <alignment horizontal="center" vertical="center"/>
    </xf>
    <xf numFmtId="1" fontId="10009" fillId="8" borderId="1" xfId="0" applyNumberFormat="1" applyFont="1" applyFill="1" applyBorder="1" applyAlignment="1">
      <alignment horizontal="center" vertical="center"/>
    </xf>
    <xf numFmtId="1" fontId="10010" fillId="8" borderId="1" xfId="0" applyNumberFormat="1" applyFont="1" applyFill="1" applyBorder="1" applyAlignment="1">
      <alignment horizontal="center" vertical="center"/>
    </xf>
    <xf numFmtId="165" fontId="10011" fillId="8" borderId="1" xfId="0" applyNumberFormat="1" applyFont="1" applyFill="1" applyBorder="1" applyAlignment="1">
      <alignment horizontal="center" vertical="center"/>
    </xf>
    <xf numFmtId="164" fontId="10012" fillId="8" borderId="1" xfId="0" applyNumberFormat="1" applyFont="1" applyFill="1" applyBorder="1" applyAlignment="1">
      <alignment horizontal="center" vertical="center"/>
    </xf>
    <xf numFmtId="164" fontId="10013" fillId="8" borderId="1" xfId="0" applyNumberFormat="1" applyFont="1" applyFill="1" applyBorder="1" applyAlignment="1">
      <alignment horizontal="center" vertical="center"/>
    </xf>
    <xf numFmtId="1" fontId="10014" fillId="8" borderId="1" xfId="0" applyNumberFormat="1" applyFont="1" applyFill="1" applyBorder="1" applyAlignment="1">
      <alignment horizontal="center" vertical="center"/>
    </xf>
    <xf numFmtId="1" fontId="10015" fillId="8" borderId="1" xfId="0" applyNumberFormat="1" applyFont="1" applyFill="1" applyBorder="1" applyAlignment="1">
      <alignment horizontal="center" vertical="center"/>
    </xf>
    <xf numFmtId="1" fontId="10016" fillId="8" borderId="1" xfId="0" applyNumberFormat="1" applyFont="1" applyFill="1" applyBorder="1" applyAlignment="1">
      <alignment horizontal="center" vertical="center"/>
    </xf>
    <xf numFmtId="165" fontId="10017" fillId="8" borderId="1" xfId="0" applyNumberFormat="1" applyFont="1" applyFill="1" applyBorder="1" applyAlignment="1">
      <alignment horizontal="center" vertical="center"/>
    </xf>
    <xf numFmtId="1" fontId="10018" fillId="8" borderId="1" xfId="0" applyNumberFormat="1" applyFont="1" applyFill="1" applyBorder="1" applyAlignment="1">
      <alignment horizontal="center" vertical="center"/>
    </xf>
    <xf numFmtId="165" fontId="10019" fillId="8" borderId="1" xfId="0" applyNumberFormat="1" applyFont="1" applyFill="1" applyBorder="1" applyAlignment="1">
      <alignment horizontal="center" vertical="center"/>
    </xf>
    <xf numFmtId="1" fontId="10020" fillId="8" borderId="1" xfId="0" applyNumberFormat="1" applyFont="1" applyFill="1" applyBorder="1" applyAlignment="1">
      <alignment horizontal="center" vertical="center"/>
    </xf>
    <xf numFmtId="1" fontId="10021" fillId="8" borderId="1" xfId="0" applyNumberFormat="1" applyFont="1" applyFill="1" applyBorder="1" applyAlignment="1">
      <alignment horizontal="center" vertical="center"/>
    </xf>
    <xf numFmtId="1" fontId="10022" fillId="8" borderId="1" xfId="0" applyNumberFormat="1" applyFont="1" applyFill="1" applyBorder="1" applyAlignment="1">
      <alignment horizontal="center" vertical="center"/>
    </xf>
    <xf numFmtId="1" fontId="10023" fillId="8" borderId="1" xfId="0" applyNumberFormat="1" applyFont="1" applyFill="1" applyBorder="1" applyAlignment="1">
      <alignment horizontal="center" vertical="center"/>
    </xf>
    <xf numFmtId="165" fontId="10024" fillId="8" borderId="1" xfId="0" applyNumberFormat="1" applyFont="1" applyFill="1" applyBorder="1" applyAlignment="1">
      <alignment horizontal="center" vertical="center"/>
    </xf>
    <xf numFmtId="1" fontId="10025" fillId="8" borderId="1" xfId="0" applyNumberFormat="1" applyFont="1" applyFill="1" applyBorder="1" applyAlignment="1">
      <alignment horizontal="center" vertical="center"/>
    </xf>
    <xf numFmtId="165" fontId="10026" fillId="8" borderId="1" xfId="0" applyNumberFormat="1" applyFont="1" applyFill="1" applyBorder="1" applyAlignment="1">
      <alignment horizontal="center" vertical="center"/>
    </xf>
    <xf numFmtId="1" fontId="10027" fillId="8" borderId="1" xfId="0" applyNumberFormat="1" applyFont="1" applyFill="1" applyBorder="1" applyAlignment="1">
      <alignment horizontal="center" vertical="center"/>
    </xf>
    <xf numFmtId="165" fontId="10028" fillId="8" borderId="1" xfId="0" applyNumberFormat="1" applyFont="1" applyFill="1" applyBorder="1" applyAlignment="1">
      <alignment horizontal="center" vertical="center"/>
    </xf>
    <xf numFmtId="2" fontId="10029" fillId="8" borderId="1" xfId="0" applyNumberFormat="1" applyFont="1" applyFill="1" applyBorder="1" applyAlignment="1">
      <alignment horizontal="center" vertical="center"/>
    </xf>
    <xf numFmtId="2" fontId="10030" fillId="8" borderId="1" xfId="0" applyNumberFormat="1" applyFont="1" applyFill="1" applyBorder="1" applyAlignment="1">
      <alignment horizontal="center" vertical="center"/>
    </xf>
    <xf numFmtId="2" fontId="10031" fillId="8" borderId="1" xfId="0" applyNumberFormat="1" applyFont="1" applyFill="1" applyBorder="1" applyAlignment="1">
      <alignment horizontal="center" vertical="center"/>
    </xf>
    <xf numFmtId="2" fontId="10032" fillId="8" borderId="1" xfId="0" applyNumberFormat="1" applyFont="1" applyFill="1" applyBorder="1" applyAlignment="1">
      <alignment horizontal="center" vertical="center"/>
    </xf>
    <xf numFmtId="2" fontId="10033" fillId="8" borderId="1" xfId="0" applyNumberFormat="1" applyFont="1" applyFill="1" applyBorder="1" applyAlignment="1">
      <alignment horizontal="center" vertical="center"/>
    </xf>
    <xf numFmtId="2" fontId="10034" fillId="8" borderId="1" xfId="0" applyNumberFormat="1" applyFont="1" applyFill="1" applyBorder="1" applyAlignment="1">
      <alignment horizontal="center" vertical="center"/>
    </xf>
    <xf numFmtId="2" fontId="10035" fillId="8" borderId="1" xfId="0" applyNumberFormat="1" applyFont="1" applyFill="1" applyBorder="1" applyAlignment="1">
      <alignment horizontal="center" vertical="center"/>
    </xf>
    <xf numFmtId="2" fontId="10036" fillId="8" borderId="1" xfId="0" applyNumberFormat="1" applyFont="1" applyFill="1" applyBorder="1" applyAlignment="1">
      <alignment horizontal="center" vertical="center"/>
    </xf>
    <xf numFmtId="2" fontId="10037" fillId="8" borderId="1" xfId="0" applyNumberFormat="1" applyFont="1" applyFill="1" applyBorder="1" applyAlignment="1">
      <alignment horizontal="center" vertical="center"/>
    </xf>
    <xf numFmtId="2" fontId="10038" fillId="8" borderId="1" xfId="0" applyNumberFormat="1" applyFont="1" applyFill="1" applyBorder="1" applyAlignment="1">
      <alignment horizontal="center" vertical="center"/>
    </xf>
    <xf numFmtId="2" fontId="10039" fillId="8" borderId="1" xfId="0" applyNumberFormat="1" applyFont="1" applyFill="1" applyBorder="1" applyAlignment="1">
      <alignment horizontal="center" vertical="center"/>
    </xf>
    <xf numFmtId="2" fontId="10040" fillId="8" borderId="1" xfId="0" applyNumberFormat="1" applyFont="1" applyFill="1" applyBorder="1" applyAlignment="1">
      <alignment horizontal="center" vertical="center"/>
    </xf>
    <xf numFmtId="2" fontId="10041" fillId="8" borderId="1" xfId="0" applyNumberFormat="1" applyFont="1" applyFill="1" applyBorder="1" applyAlignment="1">
      <alignment horizontal="center" vertical="center"/>
    </xf>
    <xf numFmtId="2" fontId="10042" fillId="8" borderId="1" xfId="0" applyNumberFormat="1" applyFont="1" applyFill="1" applyBorder="1" applyAlignment="1">
      <alignment horizontal="center" vertical="center"/>
    </xf>
    <xf numFmtId="2" fontId="10043" fillId="8" borderId="1" xfId="0" applyNumberFormat="1" applyFont="1" applyFill="1" applyBorder="1" applyAlignment="1">
      <alignment horizontal="center" vertical="center"/>
    </xf>
    <xf numFmtId="2" fontId="10044" fillId="8" borderId="1" xfId="0" applyNumberFormat="1" applyFont="1" applyFill="1" applyBorder="1" applyAlignment="1">
      <alignment horizontal="center" vertical="center"/>
    </xf>
    <xf numFmtId="2" fontId="10045" fillId="8" borderId="1" xfId="0" applyNumberFormat="1" applyFont="1" applyFill="1" applyBorder="1" applyAlignment="1">
      <alignment horizontal="center" vertical="center"/>
    </xf>
    <xf numFmtId="2" fontId="10046" fillId="8" borderId="1" xfId="0" applyNumberFormat="1" applyFont="1" applyFill="1" applyBorder="1" applyAlignment="1">
      <alignment horizontal="center" vertical="center"/>
    </xf>
    <xf numFmtId="2" fontId="10047" fillId="8" borderId="1" xfId="0" applyNumberFormat="1" applyFont="1" applyFill="1" applyBorder="1" applyAlignment="1">
      <alignment horizontal="center" vertical="center"/>
    </xf>
    <xf numFmtId="2" fontId="10048" fillId="8" borderId="1" xfId="0" applyNumberFormat="1" applyFont="1" applyFill="1" applyBorder="1" applyAlignment="1">
      <alignment horizontal="center" vertical="center"/>
    </xf>
    <xf numFmtId="2" fontId="10049" fillId="8" borderId="1" xfId="0" applyNumberFormat="1" applyFont="1" applyFill="1" applyBorder="1" applyAlignment="1">
      <alignment horizontal="center" vertical="center"/>
    </xf>
    <xf numFmtId="2" fontId="10050" fillId="8" borderId="1" xfId="0" applyNumberFormat="1" applyFont="1" applyFill="1" applyBorder="1" applyAlignment="1">
      <alignment horizontal="center" vertical="center"/>
    </xf>
    <xf numFmtId="2" fontId="10051" fillId="8" borderId="1" xfId="0" applyNumberFormat="1" applyFont="1" applyFill="1" applyBorder="1" applyAlignment="1">
      <alignment horizontal="center" vertical="center"/>
    </xf>
    <xf numFmtId="2" fontId="10052" fillId="8" borderId="1" xfId="0" applyNumberFormat="1" applyFont="1" applyFill="1" applyBorder="1" applyAlignment="1">
      <alignment horizontal="center" vertical="center"/>
    </xf>
    <xf numFmtId="2" fontId="10053" fillId="8" borderId="1" xfId="0" applyNumberFormat="1" applyFont="1" applyFill="1" applyBorder="1" applyAlignment="1">
      <alignment horizontal="center" vertical="center"/>
    </xf>
    <xf numFmtId="2" fontId="10054" fillId="8" borderId="1" xfId="0" applyNumberFormat="1" applyFont="1" applyFill="1" applyBorder="1" applyAlignment="1">
      <alignment horizontal="center" vertical="center"/>
    </xf>
    <xf numFmtId="2" fontId="10055" fillId="8" borderId="1" xfId="0" applyNumberFormat="1" applyFont="1" applyFill="1" applyBorder="1" applyAlignment="1">
      <alignment horizontal="center" vertical="center"/>
    </xf>
    <xf numFmtId="2" fontId="10056" fillId="8" borderId="1" xfId="0" applyNumberFormat="1" applyFont="1" applyFill="1" applyBorder="1" applyAlignment="1">
      <alignment horizontal="center" vertical="center"/>
    </xf>
    <xf numFmtId="2" fontId="10057" fillId="8" borderId="1" xfId="0" applyNumberFormat="1" applyFont="1" applyFill="1" applyBorder="1" applyAlignment="1">
      <alignment horizontal="center" vertical="center"/>
    </xf>
    <xf numFmtId="2" fontId="10058" fillId="8" borderId="1" xfId="0" applyNumberFormat="1" applyFont="1" applyFill="1" applyBorder="1" applyAlignment="1">
      <alignment horizontal="center" vertical="center"/>
    </xf>
    <xf numFmtId="2" fontId="10059" fillId="8" borderId="1" xfId="0" applyNumberFormat="1" applyFont="1" applyFill="1" applyBorder="1" applyAlignment="1">
      <alignment horizontal="center" vertical="center"/>
    </xf>
    <xf numFmtId="2" fontId="10060" fillId="8" borderId="1" xfId="0" applyNumberFormat="1" applyFont="1" applyFill="1" applyBorder="1" applyAlignment="1">
      <alignment horizontal="center" vertical="center"/>
    </xf>
    <xf numFmtId="2" fontId="10061" fillId="8" borderId="1" xfId="0" applyNumberFormat="1" applyFont="1" applyFill="1" applyBorder="1" applyAlignment="1">
      <alignment horizontal="center" vertical="center"/>
    </xf>
    <xf numFmtId="2" fontId="10062" fillId="8" borderId="1" xfId="0" applyNumberFormat="1" applyFont="1" applyFill="1" applyBorder="1" applyAlignment="1">
      <alignment horizontal="center" vertical="center"/>
    </xf>
    <xf numFmtId="0" fontId="10063" fillId="7" borderId="1" xfId="0" applyNumberFormat="1" applyFont="1" applyFill="1" applyBorder="1" applyAlignment="1">
      <alignment horizontal="left" vertical="center"/>
    </xf>
    <xf numFmtId="0" fontId="10064" fillId="8" borderId="1" xfId="0" applyNumberFormat="1" applyFont="1" applyFill="1" applyBorder="1" applyAlignment="1">
      <alignment horizontal="center" vertical="center"/>
    </xf>
    <xf numFmtId="164" fontId="10065" fillId="8" borderId="1" xfId="0" applyNumberFormat="1" applyFont="1" applyFill="1" applyBorder="1" applyAlignment="1">
      <alignment horizontal="center" vertical="center"/>
    </xf>
    <xf numFmtId="1" fontId="10066" fillId="8" borderId="1" xfId="0" applyNumberFormat="1" applyFont="1" applyFill="1" applyBorder="1" applyAlignment="1">
      <alignment horizontal="center" vertical="center"/>
    </xf>
    <xf numFmtId="1" fontId="10067" fillId="8" borderId="1" xfId="0" applyNumberFormat="1" applyFont="1" applyFill="1" applyBorder="1" applyAlignment="1">
      <alignment horizontal="center" vertical="center"/>
    </xf>
    <xf numFmtId="1" fontId="10068" fillId="8" borderId="1" xfId="0" applyNumberFormat="1" applyFont="1" applyFill="1" applyBorder="1" applyAlignment="1">
      <alignment horizontal="center" vertical="center"/>
    </xf>
    <xf numFmtId="1" fontId="10069" fillId="8" borderId="1" xfId="0" applyNumberFormat="1" applyFont="1" applyFill="1" applyBorder="1" applyAlignment="1">
      <alignment horizontal="center" vertical="center"/>
    </xf>
    <xf numFmtId="1" fontId="10070" fillId="8" borderId="1" xfId="0" applyNumberFormat="1" applyFont="1" applyFill="1" applyBorder="1" applyAlignment="1">
      <alignment horizontal="center" vertical="center"/>
    </xf>
    <xf numFmtId="1" fontId="10071" fillId="8" borderId="1" xfId="0" applyNumberFormat="1" applyFont="1" applyFill="1" applyBorder="1" applyAlignment="1">
      <alignment horizontal="center" vertical="center"/>
    </xf>
    <xf numFmtId="1" fontId="10072" fillId="8" borderId="1" xfId="0" applyNumberFormat="1" applyFont="1" applyFill="1" applyBorder="1" applyAlignment="1">
      <alignment horizontal="center" vertical="center"/>
    </xf>
    <xf numFmtId="0" fontId="10073" fillId="8" borderId="1" xfId="0" applyNumberFormat="1" applyFont="1" applyFill="1" applyBorder="1" applyAlignment="1">
      <alignment horizontal="center" vertical="center"/>
    </xf>
    <xf numFmtId="0" fontId="10074" fillId="8" borderId="1" xfId="0" applyNumberFormat="1" applyFont="1" applyFill="1" applyBorder="1" applyAlignment="1">
      <alignment horizontal="center" vertical="center"/>
    </xf>
    <xf numFmtId="1" fontId="10075" fillId="8" borderId="1" xfId="0" applyNumberFormat="1" applyFont="1" applyFill="1" applyBorder="1" applyAlignment="1">
      <alignment horizontal="center" vertical="center"/>
    </xf>
    <xf numFmtId="1" fontId="10076" fillId="8" borderId="1" xfId="0" applyNumberFormat="1" applyFont="1" applyFill="1" applyBorder="1" applyAlignment="1">
      <alignment horizontal="center" vertical="center"/>
    </xf>
    <xf numFmtId="1" fontId="10077" fillId="8" borderId="1" xfId="0" applyNumberFormat="1" applyFont="1" applyFill="1" applyBorder="1" applyAlignment="1">
      <alignment horizontal="center" vertical="center"/>
    </xf>
    <xf numFmtId="165" fontId="10078" fillId="8" borderId="1" xfId="0" applyNumberFormat="1" applyFont="1" applyFill="1" applyBorder="1" applyAlignment="1">
      <alignment horizontal="center" vertical="center"/>
    </xf>
    <xf numFmtId="1" fontId="10079" fillId="8" borderId="1" xfId="0" applyNumberFormat="1" applyFont="1" applyFill="1" applyBorder="1" applyAlignment="1">
      <alignment horizontal="center" vertical="center"/>
    </xf>
    <xf numFmtId="165" fontId="10080" fillId="8" borderId="1" xfId="0" applyNumberFormat="1" applyFont="1" applyFill="1" applyBorder="1" applyAlignment="1">
      <alignment horizontal="center" vertical="center"/>
    </xf>
    <xf numFmtId="1" fontId="10081" fillId="8" borderId="1" xfId="0" applyNumberFormat="1" applyFont="1" applyFill="1" applyBorder="1" applyAlignment="1">
      <alignment horizontal="center" vertical="center"/>
    </xf>
    <xf numFmtId="165" fontId="10082" fillId="8" borderId="1" xfId="0" applyNumberFormat="1" applyFont="1" applyFill="1" applyBorder="1" applyAlignment="1">
      <alignment horizontal="center" vertical="center"/>
    </xf>
    <xf numFmtId="1" fontId="10083" fillId="8" borderId="1" xfId="0" applyNumberFormat="1" applyFont="1" applyFill="1" applyBorder="1" applyAlignment="1">
      <alignment horizontal="center" vertical="center"/>
    </xf>
    <xf numFmtId="165" fontId="10084" fillId="8" borderId="1" xfId="0" applyNumberFormat="1" applyFont="1" applyFill="1" applyBorder="1" applyAlignment="1">
      <alignment horizontal="center" vertical="center"/>
    </xf>
    <xf numFmtId="165" fontId="10085" fillId="8" borderId="1" xfId="0" applyNumberFormat="1" applyFont="1" applyFill="1" applyBorder="1" applyAlignment="1">
      <alignment horizontal="center" vertical="center"/>
    </xf>
    <xf numFmtId="1" fontId="10086" fillId="8" borderId="1" xfId="0" applyNumberFormat="1" applyFont="1" applyFill="1" applyBorder="1" applyAlignment="1">
      <alignment horizontal="center" vertical="center"/>
    </xf>
    <xf numFmtId="1" fontId="10087" fillId="8" borderId="1" xfId="0" applyNumberFormat="1" applyFont="1" applyFill="1" applyBorder="1" applyAlignment="1">
      <alignment horizontal="center" vertical="center"/>
    </xf>
    <xf numFmtId="1" fontId="10088" fillId="8" borderId="1" xfId="0" applyNumberFormat="1" applyFont="1" applyFill="1" applyBorder="1" applyAlignment="1">
      <alignment horizontal="center" vertical="center"/>
    </xf>
    <xf numFmtId="165" fontId="10089" fillId="8" borderId="1" xfId="0" applyNumberFormat="1" applyFont="1" applyFill="1" applyBorder="1" applyAlignment="1">
      <alignment horizontal="center" vertical="center"/>
    </xf>
    <xf numFmtId="164" fontId="10090" fillId="8" borderId="1" xfId="0" applyNumberFormat="1" applyFont="1" applyFill="1" applyBorder="1" applyAlignment="1">
      <alignment horizontal="center" vertical="center"/>
    </xf>
    <xf numFmtId="164" fontId="10091" fillId="8" borderId="1" xfId="0" applyNumberFormat="1" applyFont="1" applyFill="1" applyBorder="1" applyAlignment="1">
      <alignment horizontal="center" vertical="center"/>
    </xf>
    <xf numFmtId="1" fontId="10092" fillId="8" borderId="1" xfId="0" applyNumberFormat="1" applyFont="1" applyFill="1" applyBorder="1" applyAlignment="1">
      <alignment horizontal="center" vertical="center"/>
    </xf>
    <xf numFmtId="1" fontId="10093" fillId="8" borderId="1" xfId="0" applyNumberFormat="1" applyFont="1" applyFill="1" applyBorder="1" applyAlignment="1">
      <alignment horizontal="center" vertical="center"/>
    </xf>
    <xf numFmtId="1" fontId="10094" fillId="8" borderId="1" xfId="0" applyNumberFormat="1" applyFont="1" applyFill="1" applyBorder="1" applyAlignment="1">
      <alignment horizontal="center" vertical="center"/>
    </xf>
    <xf numFmtId="165" fontId="10095" fillId="8" borderId="1" xfId="0" applyNumberFormat="1" applyFont="1" applyFill="1" applyBorder="1" applyAlignment="1">
      <alignment horizontal="center" vertical="center"/>
    </xf>
    <xf numFmtId="1" fontId="10096" fillId="8" borderId="1" xfId="0" applyNumberFormat="1" applyFont="1" applyFill="1" applyBorder="1" applyAlignment="1">
      <alignment horizontal="center" vertical="center"/>
    </xf>
    <xf numFmtId="165" fontId="10097" fillId="8" borderId="1" xfId="0" applyNumberFormat="1" applyFont="1" applyFill="1" applyBorder="1" applyAlignment="1">
      <alignment horizontal="center" vertical="center"/>
    </xf>
    <xf numFmtId="1" fontId="10098" fillId="8" borderId="1" xfId="0" applyNumberFormat="1" applyFont="1" applyFill="1" applyBorder="1" applyAlignment="1">
      <alignment horizontal="center" vertical="center"/>
    </xf>
    <xf numFmtId="1" fontId="10099" fillId="8" borderId="1" xfId="0" applyNumberFormat="1" applyFont="1" applyFill="1" applyBorder="1" applyAlignment="1">
      <alignment horizontal="center" vertical="center"/>
    </xf>
    <xf numFmtId="1" fontId="10100" fillId="8" borderId="1" xfId="0" applyNumberFormat="1" applyFont="1" applyFill="1" applyBorder="1" applyAlignment="1">
      <alignment horizontal="center" vertical="center"/>
    </xf>
    <xf numFmtId="1" fontId="10101" fillId="8" borderId="1" xfId="0" applyNumberFormat="1" applyFont="1" applyFill="1" applyBorder="1" applyAlignment="1">
      <alignment horizontal="center" vertical="center"/>
    </xf>
    <xf numFmtId="165" fontId="10102" fillId="8" borderId="1" xfId="0" applyNumberFormat="1" applyFont="1" applyFill="1" applyBorder="1" applyAlignment="1">
      <alignment horizontal="center" vertical="center"/>
    </xf>
    <xf numFmtId="1" fontId="10103" fillId="8" borderId="1" xfId="0" applyNumberFormat="1" applyFont="1" applyFill="1" applyBorder="1" applyAlignment="1">
      <alignment horizontal="center" vertical="center"/>
    </xf>
    <xf numFmtId="165" fontId="10104" fillId="8" borderId="1" xfId="0" applyNumberFormat="1" applyFont="1" applyFill="1" applyBorder="1" applyAlignment="1">
      <alignment horizontal="center" vertical="center"/>
    </xf>
    <xf numFmtId="1" fontId="10105" fillId="8" borderId="1" xfId="0" applyNumberFormat="1" applyFont="1" applyFill="1" applyBorder="1" applyAlignment="1">
      <alignment horizontal="center" vertical="center"/>
    </xf>
    <xf numFmtId="165" fontId="10106" fillId="8" borderId="1" xfId="0" applyNumberFormat="1" applyFont="1" applyFill="1" applyBorder="1" applyAlignment="1">
      <alignment horizontal="center" vertical="center"/>
    </xf>
    <xf numFmtId="2" fontId="10107" fillId="8" borderId="1" xfId="0" applyNumberFormat="1" applyFont="1" applyFill="1" applyBorder="1" applyAlignment="1">
      <alignment horizontal="center" vertical="center"/>
    </xf>
    <xf numFmtId="2" fontId="10108" fillId="8" borderId="1" xfId="0" applyNumberFormat="1" applyFont="1" applyFill="1" applyBorder="1" applyAlignment="1">
      <alignment horizontal="center" vertical="center"/>
    </xf>
    <xf numFmtId="2" fontId="10109" fillId="8" borderId="1" xfId="0" applyNumberFormat="1" applyFont="1" applyFill="1" applyBorder="1" applyAlignment="1">
      <alignment horizontal="center" vertical="center"/>
    </xf>
    <xf numFmtId="2" fontId="10110" fillId="8" borderId="1" xfId="0" applyNumberFormat="1" applyFont="1" applyFill="1" applyBorder="1" applyAlignment="1">
      <alignment horizontal="center" vertical="center"/>
    </xf>
    <xf numFmtId="2" fontId="10111" fillId="8" borderId="1" xfId="0" applyNumberFormat="1" applyFont="1" applyFill="1" applyBorder="1" applyAlignment="1">
      <alignment horizontal="center" vertical="center"/>
    </xf>
    <xf numFmtId="2" fontId="10112" fillId="8" borderId="1" xfId="0" applyNumberFormat="1" applyFont="1" applyFill="1" applyBorder="1" applyAlignment="1">
      <alignment horizontal="center" vertical="center"/>
    </xf>
    <xf numFmtId="2" fontId="10113" fillId="8" borderId="1" xfId="0" applyNumberFormat="1" applyFont="1" applyFill="1" applyBorder="1" applyAlignment="1">
      <alignment horizontal="center" vertical="center"/>
    </xf>
    <xf numFmtId="2" fontId="10114" fillId="8" borderId="1" xfId="0" applyNumberFormat="1" applyFont="1" applyFill="1" applyBorder="1" applyAlignment="1">
      <alignment horizontal="center" vertical="center"/>
    </xf>
    <xf numFmtId="2" fontId="10115" fillId="8" borderId="1" xfId="0" applyNumberFormat="1" applyFont="1" applyFill="1" applyBorder="1" applyAlignment="1">
      <alignment horizontal="center" vertical="center"/>
    </xf>
    <xf numFmtId="2" fontId="10116" fillId="8" borderId="1" xfId="0" applyNumberFormat="1" applyFont="1" applyFill="1" applyBorder="1" applyAlignment="1">
      <alignment horizontal="center" vertical="center"/>
    </xf>
    <xf numFmtId="2" fontId="10117" fillId="8" borderId="1" xfId="0" applyNumberFormat="1" applyFont="1" applyFill="1" applyBorder="1" applyAlignment="1">
      <alignment horizontal="center" vertical="center"/>
    </xf>
    <xf numFmtId="2" fontId="10118" fillId="8" borderId="1" xfId="0" applyNumberFormat="1" applyFont="1" applyFill="1" applyBorder="1" applyAlignment="1">
      <alignment horizontal="center" vertical="center"/>
    </xf>
    <xf numFmtId="2" fontId="10119" fillId="8" borderId="1" xfId="0" applyNumberFormat="1" applyFont="1" applyFill="1" applyBorder="1" applyAlignment="1">
      <alignment horizontal="center" vertical="center"/>
    </xf>
    <xf numFmtId="2" fontId="10120" fillId="8" borderId="1" xfId="0" applyNumberFormat="1" applyFont="1" applyFill="1" applyBorder="1" applyAlignment="1">
      <alignment horizontal="center" vertical="center"/>
    </xf>
    <xf numFmtId="2" fontId="10121" fillId="8" borderId="1" xfId="0" applyNumberFormat="1" applyFont="1" applyFill="1" applyBorder="1" applyAlignment="1">
      <alignment horizontal="center" vertical="center"/>
    </xf>
    <xf numFmtId="2" fontId="10122" fillId="8" borderId="1" xfId="0" applyNumberFormat="1" applyFont="1" applyFill="1" applyBorder="1" applyAlignment="1">
      <alignment horizontal="center" vertical="center"/>
    </xf>
    <xf numFmtId="2" fontId="10123" fillId="8" borderId="1" xfId="0" applyNumberFormat="1" applyFont="1" applyFill="1" applyBorder="1" applyAlignment="1">
      <alignment horizontal="center" vertical="center"/>
    </xf>
    <xf numFmtId="2" fontId="10124" fillId="8" borderId="1" xfId="0" applyNumberFormat="1" applyFont="1" applyFill="1" applyBorder="1" applyAlignment="1">
      <alignment horizontal="center" vertical="center"/>
    </xf>
    <xf numFmtId="2" fontId="10125" fillId="8" borderId="1" xfId="0" applyNumberFormat="1" applyFont="1" applyFill="1" applyBorder="1" applyAlignment="1">
      <alignment horizontal="center" vertical="center"/>
    </xf>
    <xf numFmtId="2" fontId="10126" fillId="8" borderId="1" xfId="0" applyNumberFormat="1" applyFont="1" applyFill="1" applyBorder="1" applyAlignment="1">
      <alignment horizontal="center" vertical="center"/>
    </xf>
    <xf numFmtId="2" fontId="10127" fillId="8" borderId="1" xfId="0" applyNumberFormat="1" applyFont="1" applyFill="1" applyBorder="1" applyAlignment="1">
      <alignment horizontal="center" vertical="center"/>
    </xf>
    <xf numFmtId="2" fontId="10128" fillId="8" borderId="1" xfId="0" applyNumberFormat="1" applyFont="1" applyFill="1" applyBorder="1" applyAlignment="1">
      <alignment horizontal="center" vertical="center"/>
    </xf>
    <xf numFmtId="2" fontId="10129" fillId="8" borderId="1" xfId="0" applyNumberFormat="1" applyFont="1" applyFill="1" applyBorder="1" applyAlignment="1">
      <alignment horizontal="center" vertical="center"/>
    </xf>
    <xf numFmtId="2" fontId="10130" fillId="8" borderId="1" xfId="0" applyNumberFormat="1" applyFont="1" applyFill="1" applyBorder="1" applyAlignment="1">
      <alignment horizontal="center" vertical="center"/>
    </xf>
    <xf numFmtId="2" fontId="10131" fillId="8" borderId="1" xfId="0" applyNumberFormat="1" applyFont="1" applyFill="1" applyBorder="1" applyAlignment="1">
      <alignment horizontal="center" vertical="center"/>
    </xf>
    <xf numFmtId="2" fontId="10132" fillId="8" borderId="1" xfId="0" applyNumberFormat="1" applyFont="1" applyFill="1" applyBorder="1" applyAlignment="1">
      <alignment horizontal="center" vertical="center"/>
    </xf>
    <xf numFmtId="2" fontId="10133" fillId="8" borderId="1" xfId="0" applyNumberFormat="1" applyFont="1" applyFill="1" applyBorder="1" applyAlignment="1">
      <alignment horizontal="center" vertical="center"/>
    </xf>
    <xf numFmtId="2" fontId="10134" fillId="8" borderId="1" xfId="0" applyNumberFormat="1" applyFont="1" applyFill="1" applyBorder="1" applyAlignment="1">
      <alignment horizontal="center" vertical="center"/>
    </xf>
    <xf numFmtId="2" fontId="10135" fillId="8" borderId="1" xfId="0" applyNumberFormat="1" applyFont="1" applyFill="1" applyBorder="1" applyAlignment="1">
      <alignment horizontal="center" vertical="center"/>
    </xf>
    <xf numFmtId="2" fontId="10136" fillId="8" borderId="1" xfId="0" applyNumberFormat="1" applyFont="1" applyFill="1" applyBorder="1" applyAlignment="1">
      <alignment horizontal="center" vertical="center"/>
    </xf>
    <xf numFmtId="2" fontId="10137" fillId="8" borderId="1" xfId="0" applyNumberFormat="1" applyFont="1" applyFill="1" applyBorder="1" applyAlignment="1">
      <alignment horizontal="center" vertical="center"/>
    </xf>
    <xf numFmtId="2" fontId="10138" fillId="8" borderId="1" xfId="0" applyNumberFormat="1" applyFont="1" applyFill="1" applyBorder="1" applyAlignment="1">
      <alignment horizontal="center" vertical="center"/>
    </xf>
    <xf numFmtId="2" fontId="10139" fillId="8" borderId="1" xfId="0" applyNumberFormat="1" applyFont="1" applyFill="1" applyBorder="1" applyAlignment="1">
      <alignment horizontal="center" vertical="center"/>
    </xf>
    <xf numFmtId="2" fontId="10140" fillId="8" borderId="1" xfId="0" applyNumberFormat="1" applyFont="1" applyFill="1" applyBorder="1" applyAlignment="1">
      <alignment horizontal="center" vertical="center"/>
    </xf>
    <xf numFmtId="0" fontId="10141" fillId="7" borderId="1" xfId="0" applyNumberFormat="1" applyFont="1" applyFill="1" applyBorder="1" applyAlignment="1">
      <alignment horizontal="left" vertical="center"/>
    </xf>
    <xf numFmtId="0" fontId="10142" fillId="8" borderId="1" xfId="0" applyNumberFormat="1" applyFont="1" applyFill="1" applyBorder="1" applyAlignment="1">
      <alignment horizontal="center" vertical="center"/>
    </xf>
    <xf numFmtId="164" fontId="10143" fillId="8" borderId="1" xfId="0" applyNumberFormat="1" applyFont="1" applyFill="1" applyBorder="1" applyAlignment="1">
      <alignment horizontal="center" vertical="center"/>
    </xf>
    <xf numFmtId="1" fontId="10144" fillId="8" borderId="1" xfId="0" applyNumberFormat="1" applyFont="1" applyFill="1" applyBorder="1" applyAlignment="1">
      <alignment horizontal="center" vertical="center"/>
    </xf>
    <xf numFmtId="1" fontId="10145" fillId="8" borderId="1" xfId="0" applyNumberFormat="1" applyFont="1" applyFill="1" applyBorder="1" applyAlignment="1">
      <alignment horizontal="center" vertical="center"/>
    </xf>
    <xf numFmtId="1" fontId="10146" fillId="8" borderId="1" xfId="0" applyNumberFormat="1" applyFont="1" applyFill="1" applyBorder="1" applyAlignment="1">
      <alignment horizontal="center" vertical="center"/>
    </xf>
    <xf numFmtId="1" fontId="10147" fillId="8" borderId="1" xfId="0" applyNumberFormat="1" applyFont="1" applyFill="1" applyBorder="1" applyAlignment="1">
      <alignment horizontal="center" vertical="center"/>
    </xf>
    <xf numFmtId="1" fontId="10148" fillId="8" borderId="1" xfId="0" applyNumberFormat="1" applyFont="1" applyFill="1" applyBorder="1" applyAlignment="1">
      <alignment horizontal="center" vertical="center"/>
    </xf>
    <xf numFmtId="1" fontId="10149" fillId="8" borderId="1" xfId="0" applyNumberFormat="1" applyFont="1" applyFill="1" applyBorder="1" applyAlignment="1">
      <alignment horizontal="center" vertical="center"/>
    </xf>
    <xf numFmtId="1" fontId="10150" fillId="8" borderId="1" xfId="0" applyNumberFormat="1" applyFont="1" applyFill="1" applyBorder="1" applyAlignment="1">
      <alignment horizontal="center" vertical="center"/>
    </xf>
    <xf numFmtId="0" fontId="10151" fillId="8" borderId="1" xfId="0" applyNumberFormat="1" applyFont="1" applyFill="1" applyBorder="1" applyAlignment="1">
      <alignment horizontal="center" vertical="center"/>
    </xf>
    <xf numFmtId="0" fontId="10152" fillId="8" borderId="1" xfId="0" applyNumberFormat="1" applyFont="1" applyFill="1" applyBorder="1" applyAlignment="1">
      <alignment horizontal="center" vertical="center"/>
    </xf>
    <xf numFmtId="1" fontId="10153" fillId="8" borderId="1" xfId="0" applyNumberFormat="1" applyFont="1" applyFill="1" applyBorder="1" applyAlignment="1">
      <alignment horizontal="center" vertical="center"/>
    </xf>
    <xf numFmtId="1" fontId="10154" fillId="8" borderId="1" xfId="0" applyNumberFormat="1" applyFont="1" applyFill="1" applyBorder="1" applyAlignment="1">
      <alignment horizontal="center" vertical="center"/>
    </xf>
    <xf numFmtId="1" fontId="10155" fillId="8" borderId="1" xfId="0" applyNumberFormat="1" applyFont="1" applyFill="1" applyBorder="1" applyAlignment="1">
      <alignment horizontal="center" vertical="center"/>
    </xf>
    <xf numFmtId="165" fontId="10156" fillId="8" borderId="1" xfId="0" applyNumberFormat="1" applyFont="1" applyFill="1" applyBorder="1" applyAlignment="1">
      <alignment horizontal="center" vertical="center"/>
    </xf>
    <xf numFmtId="1" fontId="10157" fillId="8" borderId="1" xfId="0" applyNumberFormat="1" applyFont="1" applyFill="1" applyBorder="1" applyAlignment="1">
      <alignment horizontal="center" vertical="center"/>
    </xf>
    <xf numFmtId="165" fontId="10158" fillId="8" borderId="1" xfId="0" applyNumberFormat="1" applyFont="1" applyFill="1" applyBorder="1" applyAlignment="1">
      <alignment horizontal="center" vertical="center"/>
    </xf>
    <xf numFmtId="1" fontId="10159" fillId="8" borderId="1" xfId="0" applyNumberFormat="1" applyFont="1" applyFill="1" applyBorder="1" applyAlignment="1">
      <alignment horizontal="center" vertical="center"/>
    </xf>
    <xf numFmtId="165" fontId="10160" fillId="8" borderId="1" xfId="0" applyNumberFormat="1" applyFont="1" applyFill="1" applyBorder="1" applyAlignment="1">
      <alignment horizontal="center" vertical="center"/>
    </xf>
    <xf numFmtId="1" fontId="10161" fillId="8" borderId="1" xfId="0" applyNumberFormat="1" applyFont="1" applyFill="1" applyBorder="1" applyAlignment="1">
      <alignment horizontal="center" vertical="center"/>
    </xf>
    <xf numFmtId="165" fontId="10162" fillId="8" borderId="1" xfId="0" applyNumberFormat="1" applyFont="1" applyFill="1" applyBorder="1" applyAlignment="1">
      <alignment horizontal="center" vertical="center"/>
    </xf>
    <xf numFmtId="165" fontId="10163" fillId="8" borderId="1" xfId="0" applyNumberFormat="1" applyFont="1" applyFill="1" applyBorder="1" applyAlignment="1">
      <alignment horizontal="center" vertical="center"/>
    </xf>
    <xf numFmtId="1" fontId="10164" fillId="8" borderId="1" xfId="0" applyNumberFormat="1" applyFont="1" applyFill="1" applyBorder="1" applyAlignment="1">
      <alignment horizontal="center" vertical="center"/>
    </xf>
    <xf numFmtId="1" fontId="10165" fillId="8" borderId="1" xfId="0" applyNumberFormat="1" applyFont="1" applyFill="1" applyBorder="1" applyAlignment="1">
      <alignment horizontal="center" vertical="center"/>
    </xf>
    <xf numFmtId="1" fontId="10166" fillId="8" borderId="1" xfId="0" applyNumberFormat="1" applyFont="1" applyFill="1" applyBorder="1" applyAlignment="1">
      <alignment horizontal="center" vertical="center"/>
    </xf>
    <xf numFmtId="165" fontId="10167" fillId="8" borderId="1" xfId="0" applyNumberFormat="1" applyFont="1" applyFill="1" applyBorder="1" applyAlignment="1">
      <alignment horizontal="center" vertical="center"/>
    </xf>
    <xf numFmtId="164" fontId="10168" fillId="8" borderId="1" xfId="0" applyNumberFormat="1" applyFont="1" applyFill="1" applyBorder="1" applyAlignment="1">
      <alignment horizontal="center" vertical="center"/>
    </xf>
    <xf numFmtId="164" fontId="10169" fillId="8" borderId="1" xfId="0" applyNumberFormat="1" applyFont="1" applyFill="1" applyBorder="1" applyAlignment="1">
      <alignment horizontal="center" vertical="center"/>
    </xf>
    <xf numFmtId="1" fontId="10170" fillId="8" borderId="1" xfId="0" applyNumberFormat="1" applyFont="1" applyFill="1" applyBorder="1" applyAlignment="1">
      <alignment horizontal="center" vertical="center"/>
    </xf>
    <xf numFmtId="1" fontId="10171" fillId="8" borderId="1" xfId="0" applyNumberFormat="1" applyFont="1" applyFill="1" applyBorder="1" applyAlignment="1">
      <alignment horizontal="center" vertical="center"/>
    </xf>
    <xf numFmtId="1" fontId="10172" fillId="8" borderId="1" xfId="0" applyNumberFormat="1" applyFont="1" applyFill="1" applyBorder="1" applyAlignment="1">
      <alignment horizontal="center" vertical="center"/>
    </xf>
    <xf numFmtId="165" fontId="10173" fillId="8" borderId="1" xfId="0" applyNumberFormat="1" applyFont="1" applyFill="1" applyBorder="1" applyAlignment="1">
      <alignment horizontal="center" vertical="center"/>
    </xf>
    <xf numFmtId="1" fontId="10174" fillId="8" borderId="1" xfId="0" applyNumberFormat="1" applyFont="1" applyFill="1" applyBorder="1" applyAlignment="1">
      <alignment horizontal="center" vertical="center"/>
    </xf>
    <xf numFmtId="165" fontId="10175" fillId="8" borderId="1" xfId="0" applyNumberFormat="1" applyFont="1" applyFill="1" applyBorder="1" applyAlignment="1">
      <alignment horizontal="center" vertical="center"/>
    </xf>
    <xf numFmtId="1" fontId="10176" fillId="8" borderId="1" xfId="0" applyNumberFormat="1" applyFont="1" applyFill="1" applyBorder="1" applyAlignment="1">
      <alignment horizontal="center" vertical="center"/>
    </xf>
    <xf numFmtId="1" fontId="10177" fillId="8" borderId="1" xfId="0" applyNumberFormat="1" applyFont="1" applyFill="1" applyBorder="1" applyAlignment="1">
      <alignment horizontal="center" vertical="center"/>
    </xf>
    <xf numFmtId="1" fontId="10178" fillId="8" borderId="1" xfId="0" applyNumberFormat="1" applyFont="1" applyFill="1" applyBorder="1" applyAlignment="1">
      <alignment horizontal="center" vertical="center"/>
    </xf>
    <xf numFmtId="1" fontId="10179" fillId="8" borderId="1" xfId="0" applyNumberFormat="1" applyFont="1" applyFill="1" applyBorder="1" applyAlignment="1">
      <alignment horizontal="center" vertical="center"/>
    </xf>
    <xf numFmtId="165" fontId="10180" fillId="8" borderId="1" xfId="0" applyNumberFormat="1" applyFont="1" applyFill="1" applyBorder="1" applyAlignment="1">
      <alignment horizontal="center" vertical="center"/>
    </xf>
    <xf numFmtId="1" fontId="10181" fillId="8" borderId="1" xfId="0" applyNumberFormat="1" applyFont="1" applyFill="1" applyBorder="1" applyAlignment="1">
      <alignment horizontal="center" vertical="center"/>
    </xf>
    <xf numFmtId="165" fontId="10182" fillId="8" borderId="1" xfId="0" applyNumberFormat="1" applyFont="1" applyFill="1" applyBorder="1" applyAlignment="1">
      <alignment horizontal="center" vertical="center"/>
    </xf>
    <xf numFmtId="1" fontId="10183" fillId="8" borderId="1" xfId="0" applyNumberFormat="1" applyFont="1" applyFill="1" applyBorder="1" applyAlignment="1">
      <alignment horizontal="center" vertical="center"/>
    </xf>
    <xf numFmtId="165" fontId="10184" fillId="8" borderId="1" xfId="0" applyNumberFormat="1" applyFont="1" applyFill="1" applyBorder="1" applyAlignment="1">
      <alignment horizontal="center" vertical="center"/>
    </xf>
    <xf numFmtId="2" fontId="10185" fillId="8" borderId="1" xfId="0" applyNumberFormat="1" applyFont="1" applyFill="1" applyBorder="1" applyAlignment="1">
      <alignment horizontal="center" vertical="center"/>
    </xf>
    <xf numFmtId="2" fontId="10186" fillId="8" borderId="1" xfId="0" applyNumberFormat="1" applyFont="1" applyFill="1" applyBorder="1" applyAlignment="1">
      <alignment horizontal="center" vertical="center"/>
    </xf>
    <xf numFmtId="2" fontId="10187" fillId="8" borderId="1" xfId="0" applyNumberFormat="1" applyFont="1" applyFill="1" applyBorder="1" applyAlignment="1">
      <alignment horizontal="center" vertical="center"/>
    </xf>
    <xf numFmtId="2" fontId="10188" fillId="8" borderId="1" xfId="0" applyNumberFormat="1" applyFont="1" applyFill="1" applyBorder="1" applyAlignment="1">
      <alignment horizontal="center" vertical="center"/>
    </xf>
    <xf numFmtId="2" fontId="10189" fillId="8" borderId="1" xfId="0" applyNumberFormat="1" applyFont="1" applyFill="1" applyBorder="1" applyAlignment="1">
      <alignment horizontal="center" vertical="center"/>
    </xf>
    <xf numFmtId="2" fontId="10190" fillId="8" borderId="1" xfId="0" applyNumberFormat="1" applyFont="1" applyFill="1" applyBorder="1" applyAlignment="1">
      <alignment horizontal="center" vertical="center"/>
    </xf>
    <xf numFmtId="2" fontId="10191" fillId="8" borderId="1" xfId="0" applyNumberFormat="1" applyFont="1" applyFill="1" applyBorder="1" applyAlignment="1">
      <alignment horizontal="center" vertical="center"/>
    </xf>
    <xf numFmtId="2" fontId="10192" fillId="8" borderId="1" xfId="0" applyNumberFormat="1" applyFont="1" applyFill="1" applyBorder="1" applyAlignment="1">
      <alignment horizontal="center" vertical="center"/>
    </xf>
    <xf numFmtId="2" fontId="10193" fillId="8" borderId="1" xfId="0" applyNumberFormat="1" applyFont="1" applyFill="1" applyBorder="1" applyAlignment="1">
      <alignment horizontal="center" vertical="center"/>
    </xf>
    <xf numFmtId="2" fontId="10194" fillId="8" borderId="1" xfId="0" applyNumberFormat="1" applyFont="1" applyFill="1" applyBorder="1" applyAlignment="1">
      <alignment horizontal="center" vertical="center"/>
    </xf>
    <xf numFmtId="2" fontId="10195" fillId="8" borderId="1" xfId="0" applyNumberFormat="1" applyFont="1" applyFill="1" applyBorder="1" applyAlignment="1">
      <alignment horizontal="center" vertical="center"/>
    </xf>
    <xf numFmtId="2" fontId="10196" fillId="8" borderId="1" xfId="0" applyNumberFormat="1" applyFont="1" applyFill="1" applyBorder="1" applyAlignment="1">
      <alignment horizontal="center" vertical="center"/>
    </xf>
    <xf numFmtId="2" fontId="10197" fillId="8" borderId="1" xfId="0" applyNumberFormat="1" applyFont="1" applyFill="1" applyBorder="1" applyAlignment="1">
      <alignment horizontal="center" vertical="center"/>
    </xf>
    <xf numFmtId="2" fontId="10198" fillId="8" borderId="1" xfId="0" applyNumberFormat="1" applyFont="1" applyFill="1" applyBorder="1" applyAlignment="1">
      <alignment horizontal="center" vertical="center"/>
    </xf>
    <xf numFmtId="2" fontId="10199" fillId="8" borderId="1" xfId="0" applyNumberFormat="1" applyFont="1" applyFill="1" applyBorder="1" applyAlignment="1">
      <alignment horizontal="center" vertical="center"/>
    </xf>
    <xf numFmtId="2" fontId="10200" fillId="8" borderId="1" xfId="0" applyNumberFormat="1" applyFont="1" applyFill="1" applyBorder="1" applyAlignment="1">
      <alignment horizontal="center" vertical="center"/>
    </xf>
    <xf numFmtId="2" fontId="10201" fillId="8" borderId="1" xfId="0" applyNumberFormat="1" applyFont="1" applyFill="1" applyBorder="1" applyAlignment="1">
      <alignment horizontal="center" vertical="center"/>
    </xf>
    <xf numFmtId="2" fontId="10202" fillId="8" borderId="1" xfId="0" applyNumberFormat="1" applyFont="1" applyFill="1" applyBorder="1" applyAlignment="1">
      <alignment horizontal="center" vertical="center"/>
    </xf>
    <xf numFmtId="2" fontId="10203" fillId="8" borderId="1" xfId="0" applyNumberFormat="1" applyFont="1" applyFill="1" applyBorder="1" applyAlignment="1">
      <alignment horizontal="center" vertical="center"/>
    </xf>
    <xf numFmtId="2" fontId="10204" fillId="8" borderId="1" xfId="0" applyNumberFormat="1" applyFont="1" applyFill="1" applyBorder="1" applyAlignment="1">
      <alignment horizontal="center" vertical="center"/>
    </xf>
    <xf numFmtId="2" fontId="10205" fillId="8" borderId="1" xfId="0" applyNumberFormat="1" applyFont="1" applyFill="1" applyBorder="1" applyAlignment="1">
      <alignment horizontal="center" vertical="center"/>
    </xf>
    <xf numFmtId="2" fontId="10206" fillId="8" borderId="1" xfId="0" applyNumberFormat="1" applyFont="1" applyFill="1" applyBorder="1" applyAlignment="1">
      <alignment horizontal="center" vertical="center"/>
    </xf>
    <xf numFmtId="2" fontId="10207" fillId="8" borderId="1" xfId="0" applyNumberFormat="1" applyFont="1" applyFill="1" applyBorder="1" applyAlignment="1">
      <alignment horizontal="center" vertical="center"/>
    </xf>
    <xf numFmtId="2" fontId="10208" fillId="8" borderId="1" xfId="0" applyNumberFormat="1" applyFont="1" applyFill="1" applyBorder="1" applyAlignment="1">
      <alignment horizontal="center" vertical="center"/>
    </xf>
    <xf numFmtId="2" fontId="10209" fillId="8" borderId="1" xfId="0" applyNumberFormat="1" applyFont="1" applyFill="1" applyBorder="1" applyAlignment="1">
      <alignment horizontal="center" vertical="center"/>
    </xf>
    <xf numFmtId="2" fontId="10210" fillId="8" borderId="1" xfId="0" applyNumberFormat="1" applyFont="1" applyFill="1" applyBorder="1" applyAlignment="1">
      <alignment horizontal="center" vertical="center"/>
    </xf>
    <xf numFmtId="2" fontId="10211" fillId="8" borderId="1" xfId="0" applyNumberFormat="1" applyFont="1" applyFill="1" applyBorder="1" applyAlignment="1">
      <alignment horizontal="center" vertical="center"/>
    </xf>
    <xf numFmtId="2" fontId="10212" fillId="8" borderId="1" xfId="0" applyNumberFormat="1" applyFont="1" applyFill="1" applyBorder="1" applyAlignment="1">
      <alignment horizontal="center" vertical="center"/>
    </xf>
    <xf numFmtId="2" fontId="10213" fillId="8" borderId="1" xfId="0" applyNumberFormat="1" applyFont="1" applyFill="1" applyBorder="1" applyAlignment="1">
      <alignment horizontal="center" vertical="center"/>
    </xf>
    <xf numFmtId="2" fontId="10214" fillId="8" borderId="1" xfId="0" applyNumberFormat="1" applyFont="1" applyFill="1" applyBorder="1" applyAlignment="1">
      <alignment horizontal="center" vertical="center"/>
    </xf>
    <xf numFmtId="2" fontId="10215" fillId="8" borderId="1" xfId="0" applyNumberFormat="1" applyFont="1" applyFill="1" applyBorder="1" applyAlignment="1">
      <alignment horizontal="center" vertical="center"/>
    </xf>
    <xf numFmtId="2" fontId="10216" fillId="8" borderId="1" xfId="0" applyNumberFormat="1" applyFont="1" applyFill="1" applyBorder="1" applyAlignment="1">
      <alignment horizontal="center" vertical="center"/>
    </xf>
    <xf numFmtId="2" fontId="10217" fillId="8" borderId="1" xfId="0" applyNumberFormat="1" applyFont="1" applyFill="1" applyBorder="1" applyAlignment="1">
      <alignment horizontal="center" vertical="center"/>
    </xf>
    <xf numFmtId="2" fontId="10218" fillId="8" borderId="1" xfId="0" applyNumberFormat="1" applyFont="1" applyFill="1" applyBorder="1" applyAlignment="1">
      <alignment horizontal="center" vertical="center"/>
    </xf>
    <xf numFmtId="0" fontId="10219" fillId="7" borderId="1" xfId="0" applyNumberFormat="1" applyFont="1" applyFill="1" applyBorder="1" applyAlignment="1">
      <alignment horizontal="left" vertical="center"/>
    </xf>
    <xf numFmtId="0" fontId="10220" fillId="8" borderId="1" xfId="0" applyNumberFormat="1" applyFont="1" applyFill="1" applyBorder="1" applyAlignment="1">
      <alignment horizontal="center" vertical="center"/>
    </xf>
    <xf numFmtId="164" fontId="10221" fillId="8" borderId="1" xfId="0" applyNumberFormat="1" applyFont="1" applyFill="1" applyBorder="1" applyAlignment="1">
      <alignment horizontal="center" vertical="center"/>
    </xf>
    <xf numFmtId="1" fontId="10222" fillId="8" borderId="1" xfId="0" applyNumberFormat="1" applyFont="1" applyFill="1" applyBorder="1" applyAlignment="1">
      <alignment horizontal="center" vertical="center"/>
    </xf>
    <xf numFmtId="1" fontId="10223" fillId="8" borderId="1" xfId="0" applyNumberFormat="1" applyFont="1" applyFill="1" applyBorder="1" applyAlignment="1">
      <alignment horizontal="center" vertical="center"/>
    </xf>
    <xf numFmtId="1" fontId="10224" fillId="8" borderId="1" xfId="0" applyNumberFormat="1" applyFont="1" applyFill="1" applyBorder="1" applyAlignment="1">
      <alignment horizontal="center" vertical="center"/>
    </xf>
    <xf numFmtId="1" fontId="10225" fillId="8" borderId="1" xfId="0" applyNumberFormat="1" applyFont="1" applyFill="1" applyBorder="1" applyAlignment="1">
      <alignment horizontal="center" vertical="center"/>
    </xf>
    <xf numFmtId="1" fontId="10226" fillId="8" borderId="1" xfId="0" applyNumberFormat="1" applyFont="1" applyFill="1" applyBorder="1" applyAlignment="1">
      <alignment horizontal="center" vertical="center"/>
    </xf>
    <xf numFmtId="1" fontId="10227" fillId="8" borderId="1" xfId="0" applyNumberFormat="1" applyFont="1" applyFill="1" applyBorder="1" applyAlignment="1">
      <alignment horizontal="center" vertical="center"/>
    </xf>
    <xf numFmtId="1" fontId="10228" fillId="8" borderId="1" xfId="0" applyNumberFormat="1" applyFont="1" applyFill="1" applyBorder="1" applyAlignment="1">
      <alignment horizontal="center" vertical="center"/>
    </xf>
    <xf numFmtId="0" fontId="10229" fillId="8" borderId="1" xfId="0" applyNumberFormat="1" applyFont="1" applyFill="1" applyBorder="1" applyAlignment="1">
      <alignment horizontal="center" vertical="center"/>
    </xf>
    <xf numFmtId="0" fontId="10230" fillId="8" borderId="1" xfId="0" applyNumberFormat="1" applyFont="1" applyFill="1" applyBorder="1" applyAlignment="1">
      <alignment horizontal="center" vertical="center"/>
    </xf>
    <xf numFmtId="1" fontId="10231" fillId="8" borderId="1" xfId="0" applyNumberFormat="1" applyFont="1" applyFill="1" applyBorder="1" applyAlignment="1">
      <alignment horizontal="center" vertical="center"/>
    </xf>
    <xf numFmtId="1" fontId="10232" fillId="8" borderId="1" xfId="0" applyNumberFormat="1" applyFont="1" applyFill="1" applyBorder="1" applyAlignment="1">
      <alignment horizontal="center" vertical="center"/>
    </xf>
    <xf numFmtId="1" fontId="10233" fillId="8" borderId="1" xfId="0" applyNumberFormat="1" applyFont="1" applyFill="1" applyBorder="1" applyAlignment="1">
      <alignment horizontal="center" vertical="center"/>
    </xf>
    <xf numFmtId="165" fontId="10234" fillId="8" borderId="1" xfId="0" applyNumberFormat="1" applyFont="1" applyFill="1" applyBorder="1" applyAlignment="1">
      <alignment horizontal="center" vertical="center"/>
    </xf>
    <xf numFmtId="1" fontId="10235" fillId="8" borderId="1" xfId="0" applyNumberFormat="1" applyFont="1" applyFill="1" applyBorder="1" applyAlignment="1">
      <alignment horizontal="center" vertical="center"/>
    </xf>
    <xf numFmtId="165" fontId="10236" fillId="8" borderId="1" xfId="0" applyNumberFormat="1" applyFont="1" applyFill="1" applyBorder="1" applyAlignment="1">
      <alignment horizontal="center" vertical="center"/>
    </xf>
    <xf numFmtId="1" fontId="10237" fillId="8" borderId="1" xfId="0" applyNumberFormat="1" applyFont="1" applyFill="1" applyBorder="1" applyAlignment="1">
      <alignment horizontal="center" vertical="center"/>
    </xf>
    <xf numFmtId="165" fontId="10238" fillId="8" borderId="1" xfId="0" applyNumberFormat="1" applyFont="1" applyFill="1" applyBorder="1" applyAlignment="1">
      <alignment horizontal="center" vertical="center"/>
    </xf>
    <xf numFmtId="1" fontId="10239" fillId="8" borderId="1" xfId="0" applyNumberFormat="1" applyFont="1" applyFill="1" applyBorder="1" applyAlignment="1">
      <alignment horizontal="center" vertical="center"/>
    </xf>
    <xf numFmtId="165" fontId="10240" fillId="8" borderId="1" xfId="0" applyNumberFormat="1" applyFont="1" applyFill="1" applyBorder="1" applyAlignment="1">
      <alignment horizontal="center" vertical="center"/>
    </xf>
    <xf numFmtId="165" fontId="10241" fillId="8" borderId="1" xfId="0" applyNumberFormat="1" applyFont="1" applyFill="1" applyBorder="1" applyAlignment="1">
      <alignment horizontal="center" vertical="center"/>
    </xf>
    <xf numFmtId="1" fontId="10242" fillId="8" borderId="1" xfId="0" applyNumberFormat="1" applyFont="1" applyFill="1" applyBorder="1" applyAlignment="1">
      <alignment horizontal="center" vertical="center"/>
    </xf>
    <xf numFmtId="1" fontId="10243" fillId="8" borderId="1" xfId="0" applyNumberFormat="1" applyFont="1" applyFill="1" applyBorder="1" applyAlignment="1">
      <alignment horizontal="center" vertical="center"/>
    </xf>
    <xf numFmtId="1" fontId="10244" fillId="8" borderId="1" xfId="0" applyNumberFormat="1" applyFont="1" applyFill="1" applyBorder="1" applyAlignment="1">
      <alignment horizontal="center" vertical="center"/>
    </xf>
    <xf numFmtId="165" fontId="10245" fillId="8" borderId="1" xfId="0" applyNumberFormat="1" applyFont="1" applyFill="1" applyBorder="1" applyAlignment="1">
      <alignment horizontal="center" vertical="center"/>
    </xf>
    <xf numFmtId="164" fontId="10246" fillId="8" borderId="1" xfId="0" applyNumberFormat="1" applyFont="1" applyFill="1" applyBorder="1" applyAlignment="1">
      <alignment horizontal="center" vertical="center"/>
    </xf>
    <xf numFmtId="164" fontId="10247" fillId="8" borderId="1" xfId="0" applyNumberFormat="1" applyFont="1" applyFill="1" applyBorder="1" applyAlignment="1">
      <alignment horizontal="center" vertical="center"/>
    </xf>
    <xf numFmtId="1" fontId="10248" fillId="8" borderId="1" xfId="0" applyNumberFormat="1" applyFont="1" applyFill="1" applyBorder="1" applyAlignment="1">
      <alignment horizontal="center" vertical="center"/>
    </xf>
    <xf numFmtId="1" fontId="10249" fillId="8" borderId="1" xfId="0" applyNumberFormat="1" applyFont="1" applyFill="1" applyBorder="1" applyAlignment="1">
      <alignment horizontal="center" vertical="center"/>
    </xf>
    <xf numFmtId="1" fontId="10250" fillId="8" borderId="1" xfId="0" applyNumberFormat="1" applyFont="1" applyFill="1" applyBorder="1" applyAlignment="1">
      <alignment horizontal="center" vertical="center"/>
    </xf>
    <xf numFmtId="165" fontId="10251" fillId="8" borderId="1" xfId="0" applyNumberFormat="1" applyFont="1" applyFill="1" applyBorder="1" applyAlignment="1">
      <alignment horizontal="center" vertical="center"/>
    </xf>
    <xf numFmtId="1" fontId="10252" fillId="8" borderId="1" xfId="0" applyNumberFormat="1" applyFont="1" applyFill="1" applyBorder="1" applyAlignment="1">
      <alignment horizontal="center" vertical="center"/>
    </xf>
    <xf numFmtId="165" fontId="10253" fillId="8" borderId="1" xfId="0" applyNumberFormat="1" applyFont="1" applyFill="1" applyBorder="1" applyAlignment="1">
      <alignment horizontal="center" vertical="center"/>
    </xf>
    <xf numFmtId="1" fontId="10254" fillId="8" borderId="1" xfId="0" applyNumberFormat="1" applyFont="1" applyFill="1" applyBorder="1" applyAlignment="1">
      <alignment horizontal="center" vertical="center"/>
    </xf>
    <xf numFmtId="1" fontId="10255" fillId="8" borderId="1" xfId="0" applyNumberFormat="1" applyFont="1" applyFill="1" applyBorder="1" applyAlignment="1">
      <alignment horizontal="center" vertical="center"/>
    </xf>
    <xf numFmtId="1" fontId="10256" fillId="8" borderId="1" xfId="0" applyNumberFormat="1" applyFont="1" applyFill="1" applyBorder="1" applyAlignment="1">
      <alignment horizontal="center" vertical="center"/>
    </xf>
    <xf numFmtId="1" fontId="10257" fillId="8" borderId="1" xfId="0" applyNumberFormat="1" applyFont="1" applyFill="1" applyBorder="1" applyAlignment="1">
      <alignment horizontal="center" vertical="center"/>
    </xf>
    <xf numFmtId="165" fontId="10258" fillId="8" borderId="1" xfId="0" applyNumberFormat="1" applyFont="1" applyFill="1" applyBorder="1" applyAlignment="1">
      <alignment horizontal="center" vertical="center"/>
    </xf>
    <xf numFmtId="1" fontId="10259" fillId="8" borderId="1" xfId="0" applyNumberFormat="1" applyFont="1" applyFill="1" applyBorder="1" applyAlignment="1">
      <alignment horizontal="center" vertical="center"/>
    </xf>
    <xf numFmtId="165" fontId="10260" fillId="8" borderId="1" xfId="0" applyNumberFormat="1" applyFont="1" applyFill="1" applyBorder="1" applyAlignment="1">
      <alignment horizontal="center" vertical="center"/>
    </xf>
    <xf numFmtId="1" fontId="10261" fillId="8" borderId="1" xfId="0" applyNumberFormat="1" applyFont="1" applyFill="1" applyBorder="1" applyAlignment="1">
      <alignment horizontal="center" vertical="center"/>
    </xf>
    <xf numFmtId="165" fontId="10262" fillId="8" borderId="1" xfId="0" applyNumberFormat="1" applyFont="1" applyFill="1" applyBorder="1" applyAlignment="1">
      <alignment horizontal="center" vertical="center"/>
    </xf>
    <xf numFmtId="2" fontId="10263" fillId="8" borderId="1" xfId="0" applyNumberFormat="1" applyFont="1" applyFill="1" applyBorder="1" applyAlignment="1">
      <alignment horizontal="center" vertical="center"/>
    </xf>
    <xf numFmtId="2" fontId="10264" fillId="8" borderId="1" xfId="0" applyNumberFormat="1" applyFont="1" applyFill="1" applyBorder="1" applyAlignment="1">
      <alignment horizontal="center" vertical="center"/>
    </xf>
    <xf numFmtId="2" fontId="10265" fillId="8" borderId="1" xfId="0" applyNumberFormat="1" applyFont="1" applyFill="1" applyBorder="1" applyAlignment="1">
      <alignment horizontal="center" vertical="center"/>
    </xf>
    <xf numFmtId="2" fontId="10266" fillId="8" borderId="1" xfId="0" applyNumberFormat="1" applyFont="1" applyFill="1" applyBorder="1" applyAlignment="1">
      <alignment horizontal="center" vertical="center"/>
    </xf>
    <xf numFmtId="2" fontId="10267" fillId="8" borderId="1" xfId="0" applyNumberFormat="1" applyFont="1" applyFill="1" applyBorder="1" applyAlignment="1">
      <alignment horizontal="center" vertical="center"/>
    </xf>
    <xf numFmtId="2" fontId="10268" fillId="8" borderId="1" xfId="0" applyNumberFormat="1" applyFont="1" applyFill="1" applyBorder="1" applyAlignment="1">
      <alignment horizontal="center" vertical="center"/>
    </xf>
    <xf numFmtId="2" fontId="10269" fillId="8" borderId="1" xfId="0" applyNumberFormat="1" applyFont="1" applyFill="1" applyBorder="1" applyAlignment="1">
      <alignment horizontal="center" vertical="center"/>
    </xf>
    <xf numFmtId="2" fontId="10270" fillId="8" borderId="1" xfId="0" applyNumberFormat="1" applyFont="1" applyFill="1" applyBorder="1" applyAlignment="1">
      <alignment horizontal="center" vertical="center"/>
    </xf>
    <xf numFmtId="2" fontId="10271" fillId="8" borderId="1" xfId="0" applyNumberFormat="1" applyFont="1" applyFill="1" applyBorder="1" applyAlignment="1">
      <alignment horizontal="center" vertical="center"/>
    </xf>
    <xf numFmtId="2" fontId="10272" fillId="8" borderId="1" xfId="0" applyNumberFormat="1" applyFont="1" applyFill="1" applyBorder="1" applyAlignment="1">
      <alignment horizontal="center" vertical="center"/>
    </xf>
    <xf numFmtId="2" fontId="10273" fillId="8" borderId="1" xfId="0" applyNumberFormat="1" applyFont="1" applyFill="1" applyBorder="1" applyAlignment="1">
      <alignment horizontal="center" vertical="center"/>
    </xf>
    <xf numFmtId="2" fontId="10274" fillId="8" borderId="1" xfId="0" applyNumberFormat="1" applyFont="1" applyFill="1" applyBorder="1" applyAlignment="1">
      <alignment horizontal="center" vertical="center"/>
    </xf>
    <xf numFmtId="2" fontId="10275" fillId="8" borderId="1" xfId="0" applyNumberFormat="1" applyFont="1" applyFill="1" applyBorder="1" applyAlignment="1">
      <alignment horizontal="center" vertical="center"/>
    </xf>
    <xf numFmtId="2" fontId="10276" fillId="8" borderId="1" xfId="0" applyNumberFormat="1" applyFont="1" applyFill="1" applyBorder="1" applyAlignment="1">
      <alignment horizontal="center" vertical="center"/>
    </xf>
    <xf numFmtId="2" fontId="10277" fillId="8" borderId="1" xfId="0" applyNumberFormat="1" applyFont="1" applyFill="1" applyBorder="1" applyAlignment="1">
      <alignment horizontal="center" vertical="center"/>
    </xf>
    <xf numFmtId="2" fontId="10278" fillId="8" borderId="1" xfId="0" applyNumberFormat="1" applyFont="1" applyFill="1" applyBorder="1" applyAlignment="1">
      <alignment horizontal="center" vertical="center"/>
    </xf>
    <xf numFmtId="2" fontId="10279" fillId="8" borderId="1" xfId="0" applyNumberFormat="1" applyFont="1" applyFill="1" applyBorder="1" applyAlignment="1">
      <alignment horizontal="center" vertical="center"/>
    </xf>
    <xf numFmtId="2" fontId="10280" fillId="8" borderId="1" xfId="0" applyNumberFormat="1" applyFont="1" applyFill="1" applyBorder="1" applyAlignment="1">
      <alignment horizontal="center" vertical="center"/>
    </xf>
    <xf numFmtId="2" fontId="10281" fillId="8" borderId="1" xfId="0" applyNumberFormat="1" applyFont="1" applyFill="1" applyBorder="1" applyAlignment="1">
      <alignment horizontal="center" vertical="center"/>
    </xf>
    <xf numFmtId="2" fontId="10282" fillId="8" borderId="1" xfId="0" applyNumberFormat="1" applyFont="1" applyFill="1" applyBorder="1" applyAlignment="1">
      <alignment horizontal="center" vertical="center"/>
    </xf>
    <xf numFmtId="2" fontId="10283" fillId="8" borderId="1" xfId="0" applyNumberFormat="1" applyFont="1" applyFill="1" applyBorder="1" applyAlignment="1">
      <alignment horizontal="center" vertical="center"/>
    </xf>
    <xf numFmtId="2" fontId="10284" fillId="8" borderId="1" xfId="0" applyNumberFormat="1" applyFont="1" applyFill="1" applyBorder="1" applyAlignment="1">
      <alignment horizontal="center" vertical="center"/>
    </xf>
    <xf numFmtId="2" fontId="10285" fillId="8" borderId="1" xfId="0" applyNumberFormat="1" applyFont="1" applyFill="1" applyBorder="1" applyAlignment="1">
      <alignment horizontal="center" vertical="center"/>
    </xf>
    <xf numFmtId="2" fontId="10286" fillId="8" borderId="1" xfId="0" applyNumberFormat="1" applyFont="1" applyFill="1" applyBorder="1" applyAlignment="1">
      <alignment horizontal="center" vertical="center"/>
    </xf>
    <xf numFmtId="2" fontId="10287" fillId="8" borderId="1" xfId="0" applyNumberFormat="1" applyFont="1" applyFill="1" applyBorder="1" applyAlignment="1">
      <alignment horizontal="center" vertical="center"/>
    </xf>
    <xf numFmtId="2" fontId="10288" fillId="8" borderId="1" xfId="0" applyNumberFormat="1" applyFont="1" applyFill="1" applyBorder="1" applyAlignment="1">
      <alignment horizontal="center" vertical="center"/>
    </xf>
    <xf numFmtId="2" fontId="10289" fillId="8" borderId="1" xfId="0" applyNumberFormat="1" applyFont="1" applyFill="1" applyBorder="1" applyAlignment="1">
      <alignment horizontal="center" vertical="center"/>
    </xf>
    <xf numFmtId="2" fontId="10290" fillId="8" borderId="1" xfId="0" applyNumberFormat="1" applyFont="1" applyFill="1" applyBorder="1" applyAlignment="1">
      <alignment horizontal="center" vertical="center"/>
    </xf>
    <xf numFmtId="2" fontId="10291" fillId="8" borderId="1" xfId="0" applyNumberFormat="1" applyFont="1" applyFill="1" applyBorder="1" applyAlignment="1">
      <alignment horizontal="center" vertical="center"/>
    </xf>
    <xf numFmtId="2" fontId="10292" fillId="8" borderId="1" xfId="0" applyNumberFormat="1" applyFont="1" applyFill="1" applyBorder="1" applyAlignment="1">
      <alignment horizontal="center" vertical="center"/>
    </xf>
    <xf numFmtId="2" fontId="10293" fillId="8" borderId="1" xfId="0" applyNumberFormat="1" applyFont="1" applyFill="1" applyBorder="1" applyAlignment="1">
      <alignment horizontal="center" vertical="center"/>
    </xf>
    <xf numFmtId="2" fontId="10294" fillId="8" borderId="1" xfId="0" applyNumberFormat="1" applyFont="1" applyFill="1" applyBorder="1" applyAlignment="1">
      <alignment horizontal="center" vertical="center"/>
    </xf>
    <xf numFmtId="2" fontId="10295" fillId="8" borderId="1" xfId="0" applyNumberFormat="1" applyFont="1" applyFill="1" applyBorder="1" applyAlignment="1">
      <alignment horizontal="center" vertical="center"/>
    </xf>
    <xf numFmtId="2" fontId="10296" fillId="8" borderId="1" xfId="0" applyNumberFormat="1" applyFont="1" applyFill="1" applyBorder="1" applyAlignment="1">
      <alignment horizontal="center" vertical="center"/>
    </xf>
    <xf numFmtId="0" fontId="10297" fillId="7" borderId="1" xfId="0" applyNumberFormat="1" applyFont="1" applyFill="1" applyBorder="1" applyAlignment="1">
      <alignment horizontal="left" vertical="center"/>
    </xf>
    <xf numFmtId="0" fontId="10298" fillId="8" borderId="1" xfId="0" applyNumberFormat="1" applyFont="1" applyFill="1" applyBorder="1" applyAlignment="1">
      <alignment horizontal="center" vertical="center"/>
    </xf>
    <xf numFmtId="164" fontId="10299" fillId="8" borderId="1" xfId="0" applyNumberFormat="1" applyFont="1" applyFill="1" applyBorder="1" applyAlignment="1">
      <alignment horizontal="center" vertical="center"/>
    </xf>
    <xf numFmtId="1" fontId="10300" fillId="8" borderId="1" xfId="0" applyNumberFormat="1" applyFont="1" applyFill="1" applyBorder="1" applyAlignment="1">
      <alignment horizontal="center" vertical="center"/>
    </xf>
    <xf numFmtId="1" fontId="10301" fillId="8" borderId="1" xfId="0" applyNumberFormat="1" applyFont="1" applyFill="1" applyBorder="1" applyAlignment="1">
      <alignment horizontal="center" vertical="center"/>
    </xf>
    <xf numFmtId="1" fontId="10302" fillId="8" borderId="1" xfId="0" applyNumberFormat="1" applyFont="1" applyFill="1" applyBorder="1" applyAlignment="1">
      <alignment horizontal="center" vertical="center"/>
    </xf>
    <xf numFmtId="1" fontId="10303" fillId="8" borderId="1" xfId="0" applyNumberFormat="1" applyFont="1" applyFill="1" applyBorder="1" applyAlignment="1">
      <alignment horizontal="center" vertical="center"/>
    </xf>
    <xf numFmtId="1" fontId="10304" fillId="8" borderId="1" xfId="0" applyNumberFormat="1" applyFont="1" applyFill="1" applyBorder="1" applyAlignment="1">
      <alignment horizontal="center" vertical="center"/>
    </xf>
    <xf numFmtId="1" fontId="10305" fillId="8" borderId="1" xfId="0" applyNumberFormat="1" applyFont="1" applyFill="1" applyBorder="1" applyAlignment="1">
      <alignment horizontal="center" vertical="center"/>
    </xf>
    <xf numFmtId="1" fontId="10306" fillId="8" borderId="1" xfId="0" applyNumberFormat="1" applyFont="1" applyFill="1" applyBorder="1" applyAlignment="1">
      <alignment horizontal="center" vertical="center"/>
    </xf>
    <xf numFmtId="0" fontId="10307" fillId="8" borderId="1" xfId="0" applyNumberFormat="1" applyFont="1" applyFill="1" applyBorder="1" applyAlignment="1">
      <alignment horizontal="center" vertical="center"/>
    </xf>
    <xf numFmtId="0" fontId="10308" fillId="8" borderId="1" xfId="0" applyNumberFormat="1" applyFont="1" applyFill="1" applyBorder="1" applyAlignment="1">
      <alignment horizontal="center" vertical="center"/>
    </xf>
    <xf numFmtId="1" fontId="10309" fillId="8" borderId="1" xfId="0" applyNumberFormat="1" applyFont="1" applyFill="1" applyBorder="1" applyAlignment="1">
      <alignment horizontal="center" vertical="center"/>
    </xf>
    <xf numFmtId="1" fontId="10310" fillId="8" borderId="1" xfId="0" applyNumberFormat="1" applyFont="1" applyFill="1" applyBorder="1" applyAlignment="1">
      <alignment horizontal="center" vertical="center"/>
    </xf>
    <xf numFmtId="1" fontId="10311" fillId="8" borderId="1" xfId="0" applyNumberFormat="1" applyFont="1" applyFill="1" applyBorder="1" applyAlignment="1">
      <alignment horizontal="center" vertical="center"/>
    </xf>
    <xf numFmtId="165" fontId="10312" fillId="8" borderId="1" xfId="0" applyNumberFormat="1" applyFont="1" applyFill="1" applyBorder="1" applyAlignment="1">
      <alignment horizontal="center" vertical="center"/>
    </xf>
    <xf numFmtId="1" fontId="10313" fillId="8" borderId="1" xfId="0" applyNumberFormat="1" applyFont="1" applyFill="1" applyBorder="1" applyAlignment="1">
      <alignment horizontal="center" vertical="center"/>
    </xf>
    <xf numFmtId="165" fontId="10314" fillId="8" borderId="1" xfId="0" applyNumberFormat="1" applyFont="1" applyFill="1" applyBorder="1" applyAlignment="1">
      <alignment horizontal="center" vertical="center"/>
    </xf>
    <xf numFmtId="1" fontId="10315" fillId="8" borderId="1" xfId="0" applyNumberFormat="1" applyFont="1" applyFill="1" applyBorder="1" applyAlignment="1">
      <alignment horizontal="center" vertical="center"/>
    </xf>
    <xf numFmtId="165" fontId="10316" fillId="8" borderId="1" xfId="0" applyNumberFormat="1" applyFont="1" applyFill="1" applyBorder="1" applyAlignment="1">
      <alignment horizontal="center" vertical="center"/>
    </xf>
    <xf numFmtId="1" fontId="10317" fillId="8" borderId="1" xfId="0" applyNumberFormat="1" applyFont="1" applyFill="1" applyBorder="1" applyAlignment="1">
      <alignment horizontal="center" vertical="center"/>
    </xf>
    <xf numFmtId="165" fontId="10318" fillId="8" borderId="1" xfId="0" applyNumberFormat="1" applyFont="1" applyFill="1" applyBorder="1" applyAlignment="1">
      <alignment horizontal="center" vertical="center"/>
    </xf>
    <xf numFmtId="165" fontId="10319" fillId="8" borderId="1" xfId="0" applyNumberFormat="1" applyFont="1" applyFill="1" applyBorder="1" applyAlignment="1">
      <alignment horizontal="center" vertical="center"/>
    </xf>
    <xf numFmtId="1" fontId="10320" fillId="8" borderId="1" xfId="0" applyNumberFormat="1" applyFont="1" applyFill="1" applyBorder="1" applyAlignment="1">
      <alignment horizontal="center" vertical="center"/>
    </xf>
    <xf numFmtId="1" fontId="10321" fillId="8" borderId="1" xfId="0" applyNumberFormat="1" applyFont="1" applyFill="1" applyBorder="1" applyAlignment="1">
      <alignment horizontal="center" vertical="center"/>
    </xf>
    <xf numFmtId="1" fontId="10322" fillId="8" borderId="1" xfId="0" applyNumberFormat="1" applyFont="1" applyFill="1" applyBorder="1" applyAlignment="1">
      <alignment horizontal="center" vertical="center"/>
    </xf>
    <xf numFmtId="165" fontId="10323" fillId="8" borderId="1" xfId="0" applyNumberFormat="1" applyFont="1" applyFill="1" applyBorder="1" applyAlignment="1">
      <alignment horizontal="center" vertical="center"/>
    </xf>
    <xf numFmtId="164" fontId="10324" fillId="8" borderId="1" xfId="0" applyNumberFormat="1" applyFont="1" applyFill="1" applyBorder="1" applyAlignment="1">
      <alignment horizontal="center" vertical="center"/>
    </xf>
    <xf numFmtId="164" fontId="10325" fillId="8" borderId="1" xfId="0" applyNumberFormat="1" applyFont="1" applyFill="1" applyBorder="1" applyAlignment="1">
      <alignment horizontal="center" vertical="center"/>
    </xf>
    <xf numFmtId="1" fontId="10326" fillId="8" borderId="1" xfId="0" applyNumberFormat="1" applyFont="1" applyFill="1" applyBorder="1" applyAlignment="1">
      <alignment horizontal="center" vertical="center"/>
    </xf>
    <xf numFmtId="1" fontId="10327" fillId="8" borderId="1" xfId="0" applyNumberFormat="1" applyFont="1" applyFill="1" applyBorder="1" applyAlignment="1">
      <alignment horizontal="center" vertical="center"/>
    </xf>
    <xf numFmtId="1" fontId="10328" fillId="8" borderId="1" xfId="0" applyNumberFormat="1" applyFont="1" applyFill="1" applyBorder="1" applyAlignment="1">
      <alignment horizontal="center" vertical="center"/>
    </xf>
    <xf numFmtId="165" fontId="10329" fillId="8" borderId="1" xfId="0" applyNumberFormat="1" applyFont="1" applyFill="1" applyBorder="1" applyAlignment="1">
      <alignment horizontal="center" vertical="center"/>
    </xf>
    <xf numFmtId="1" fontId="10330" fillId="8" borderId="1" xfId="0" applyNumberFormat="1" applyFont="1" applyFill="1" applyBorder="1" applyAlignment="1">
      <alignment horizontal="center" vertical="center"/>
    </xf>
    <xf numFmtId="165" fontId="10331" fillId="8" borderId="1" xfId="0" applyNumberFormat="1" applyFont="1" applyFill="1" applyBorder="1" applyAlignment="1">
      <alignment horizontal="center" vertical="center"/>
    </xf>
    <xf numFmtId="1" fontId="10332" fillId="8" borderId="1" xfId="0" applyNumberFormat="1" applyFont="1" applyFill="1" applyBorder="1" applyAlignment="1">
      <alignment horizontal="center" vertical="center"/>
    </xf>
    <xf numFmtId="1" fontId="10333" fillId="8" borderId="1" xfId="0" applyNumberFormat="1" applyFont="1" applyFill="1" applyBorder="1" applyAlignment="1">
      <alignment horizontal="center" vertical="center"/>
    </xf>
    <xf numFmtId="1" fontId="10334" fillId="8" borderId="1" xfId="0" applyNumberFormat="1" applyFont="1" applyFill="1" applyBorder="1" applyAlignment="1">
      <alignment horizontal="center" vertical="center"/>
    </xf>
    <xf numFmtId="1" fontId="10335" fillId="8" borderId="1" xfId="0" applyNumberFormat="1" applyFont="1" applyFill="1" applyBorder="1" applyAlignment="1">
      <alignment horizontal="center" vertical="center"/>
    </xf>
    <xf numFmtId="165" fontId="10336" fillId="8" borderId="1" xfId="0" applyNumberFormat="1" applyFont="1" applyFill="1" applyBorder="1" applyAlignment="1">
      <alignment horizontal="center" vertical="center"/>
    </xf>
    <xf numFmtId="1" fontId="10337" fillId="8" borderId="1" xfId="0" applyNumberFormat="1" applyFont="1" applyFill="1" applyBorder="1" applyAlignment="1">
      <alignment horizontal="center" vertical="center"/>
    </xf>
    <xf numFmtId="165" fontId="10338" fillId="8" borderId="1" xfId="0" applyNumberFormat="1" applyFont="1" applyFill="1" applyBorder="1" applyAlignment="1">
      <alignment horizontal="center" vertical="center"/>
    </xf>
    <xf numFmtId="1" fontId="10339" fillId="8" borderId="1" xfId="0" applyNumberFormat="1" applyFont="1" applyFill="1" applyBorder="1" applyAlignment="1">
      <alignment horizontal="center" vertical="center"/>
    </xf>
    <xf numFmtId="165" fontId="10340" fillId="8" borderId="1" xfId="0" applyNumberFormat="1" applyFont="1" applyFill="1" applyBorder="1" applyAlignment="1">
      <alignment horizontal="center" vertical="center"/>
    </xf>
    <xf numFmtId="2" fontId="10341" fillId="8" borderId="1" xfId="0" applyNumberFormat="1" applyFont="1" applyFill="1" applyBorder="1" applyAlignment="1">
      <alignment horizontal="center" vertical="center"/>
    </xf>
    <xf numFmtId="2" fontId="10342" fillId="8" borderId="1" xfId="0" applyNumberFormat="1" applyFont="1" applyFill="1" applyBorder="1" applyAlignment="1">
      <alignment horizontal="center" vertical="center"/>
    </xf>
    <xf numFmtId="2" fontId="10343" fillId="8" borderId="1" xfId="0" applyNumberFormat="1" applyFont="1" applyFill="1" applyBorder="1" applyAlignment="1">
      <alignment horizontal="center" vertical="center"/>
    </xf>
    <xf numFmtId="2" fontId="10344" fillId="8" borderId="1" xfId="0" applyNumberFormat="1" applyFont="1" applyFill="1" applyBorder="1" applyAlignment="1">
      <alignment horizontal="center" vertical="center"/>
    </xf>
    <xf numFmtId="2" fontId="10345" fillId="8" borderId="1" xfId="0" applyNumberFormat="1" applyFont="1" applyFill="1" applyBorder="1" applyAlignment="1">
      <alignment horizontal="center" vertical="center"/>
    </xf>
    <xf numFmtId="2" fontId="10346" fillId="8" borderId="1" xfId="0" applyNumberFormat="1" applyFont="1" applyFill="1" applyBorder="1" applyAlignment="1">
      <alignment horizontal="center" vertical="center"/>
    </xf>
    <xf numFmtId="2" fontId="10347" fillId="8" borderId="1" xfId="0" applyNumberFormat="1" applyFont="1" applyFill="1" applyBorder="1" applyAlignment="1">
      <alignment horizontal="center" vertical="center"/>
    </xf>
    <xf numFmtId="2" fontId="10348" fillId="8" borderId="1" xfId="0" applyNumberFormat="1" applyFont="1" applyFill="1" applyBorder="1" applyAlignment="1">
      <alignment horizontal="center" vertical="center"/>
    </xf>
    <xf numFmtId="2" fontId="10349" fillId="8" borderId="1" xfId="0" applyNumberFormat="1" applyFont="1" applyFill="1" applyBorder="1" applyAlignment="1">
      <alignment horizontal="center" vertical="center"/>
    </xf>
    <xf numFmtId="2" fontId="10350" fillId="8" borderId="1" xfId="0" applyNumberFormat="1" applyFont="1" applyFill="1" applyBorder="1" applyAlignment="1">
      <alignment horizontal="center" vertical="center"/>
    </xf>
    <xf numFmtId="2" fontId="10351" fillId="8" borderId="1" xfId="0" applyNumberFormat="1" applyFont="1" applyFill="1" applyBorder="1" applyAlignment="1">
      <alignment horizontal="center" vertical="center"/>
    </xf>
    <xf numFmtId="2" fontId="10352" fillId="8" borderId="1" xfId="0" applyNumberFormat="1" applyFont="1" applyFill="1" applyBorder="1" applyAlignment="1">
      <alignment horizontal="center" vertical="center"/>
    </xf>
    <xf numFmtId="2" fontId="10353" fillId="8" borderId="1" xfId="0" applyNumberFormat="1" applyFont="1" applyFill="1" applyBorder="1" applyAlignment="1">
      <alignment horizontal="center" vertical="center"/>
    </xf>
    <xf numFmtId="2" fontId="10354" fillId="8" borderId="1" xfId="0" applyNumberFormat="1" applyFont="1" applyFill="1" applyBorder="1" applyAlignment="1">
      <alignment horizontal="center" vertical="center"/>
    </xf>
    <xf numFmtId="2" fontId="10355" fillId="8" borderId="1" xfId="0" applyNumberFormat="1" applyFont="1" applyFill="1" applyBorder="1" applyAlignment="1">
      <alignment horizontal="center" vertical="center"/>
    </xf>
    <xf numFmtId="2" fontId="10356" fillId="8" borderId="1" xfId="0" applyNumberFormat="1" applyFont="1" applyFill="1" applyBorder="1" applyAlignment="1">
      <alignment horizontal="center" vertical="center"/>
    </xf>
    <xf numFmtId="2" fontId="10357" fillId="8" borderId="1" xfId="0" applyNumberFormat="1" applyFont="1" applyFill="1" applyBorder="1" applyAlignment="1">
      <alignment horizontal="center" vertical="center"/>
    </xf>
    <xf numFmtId="2" fontId="10358" fillId="8" borderId="1" xfId="0" applyNumberFormat="1" applyFont="1" applyFill="1" applyBorder="1" applyAlignment="1">
      <alignment horizontal="center" vertical="center"/>
    </xf>
    <xf numFmtId="2" fontId="10359" fillId="8" borderId="1" xfId="0" applyNumberFormat="1" applyFont="1" applyFill="1" applyBorder="1" applyAlignment="1">
      <alignment horizontal="center" vertical="center"/>
    </xf>
    <xf numFmtId="2" fontId="10360" fillId="8" borderId="1" xfId="0" applyNumberFormat="1" applyFont="1" applyFill="1" applyBorder="1" applyAlignment="1">
      <alignment horizontal="center" vertical="center"/>
    </xf>
    <xf numFmtId="2" fontId="10361" fillId="8" borderId="1" xfId="0" applyNumberFormat="1" applyFont="1" applyFill="1" applyBorder="1" applyAlignment="1">
      <alignment horizontal="center" vertical="center"/>
    </xf>
    <xf numFmtId="2" fontId="10362" fillId="8" borderId="1" xfId="0" applyNumberFormat="1" applyFont="1" applyFill="1" applyBorder="1" applyAlignment="1">
      <alignment horizontal="center" vertical="center"/>
    </xf>
    <xf numFmtId="2" fontId="10363" fillId="8" borderId="1" xfId="0" applyNumberFormat="1" applyFont="1" applyFill="1" applyBorder="1" applyAlignment="1">
      <alignment horizontal="center" vertical="center"/>
    </xf>
    <xf numFmtId="2" fontId="10364" fillId="8" borderId="1" xfId="0" applyNumberFormat="1" applyFont="1" applyFill="1" applyBorder="1" applyAlignment="1">
      <alignment horizontal="center" vertical="center"/>
    </xf>
    <xf numFmtId="2" fontId="10365" fillId="8" borderId="1" xfId="0" applyNumberFormat="1" applyFont="1" applyFill="1" applyBorder="1" applyAlignment="1">
      <alignment horizontal="center" vertical="center"/>
    </xf>
    <xf numFmtId="2" fontId="10366" fillId="8" borderId="1" xfId="0" applyNumberFormat="1" applyFont="1" applyFill="1" applyBorder="1" applyAlignment="1">
      <alignment horizontal="center" vertical="center"/>
    </xf>
    <xf numFmtId="2" fontId="10367" fillId="8" borderId="1" xfId="0" applyNumberFormat="1" applyFont="1" applyFill="1" applyBorder="1" applyAlignment="1">
      <alignment horizontal="center" vertical="center"/>
    </xf>
    <xf numFmtId="2" fontId="10368" fillId="8" borderId="1" xfId="0" applyNumberFormat="1" applyFont="1" applyFill="1" applyBorder="1" applyAlignment="1">
      <alignment horizontal="center" vertical="center"/>
    </xf>
    <xf numFmtId="2" fontId="10369" fillId="8" borderId="1" xfId="0" applyNumberFormat="1" applyFont="1" applyFill="1" applyBorder="1" applyAlignment="1">
      <alignment horizontal="center" vertical="center"/>
    </xf>
    <xf numFmtId="2" fontId="10370" fillId="8" borderId="1" xfId="0" applyNumberFormat="1" applyFont="1" applyFill="1" applyBorder="1" applyAlignment="1">
      <alignment horizontal="center" vertical="center"/>
    </xf>
    <xf numFmtId="2" fontId="10371" fillId="8" borderId="1" xfId="0" applyNumberFormat="1" applyFont="1" applyFill="1" applyBorder="1" applyAlignment="1">
      <alignment horizontal="center" vertical="center"/>
    </xf>
    <xf numFmtId="2" fontId="10372" fillId="8" borderId="1" xfId="0" applyNumberFormat="1" applyFont="1" applyFill="1" applyBorder="1" applyAlignment="1">
      <alignment horizontal="center" vertical="center"/>
    </xf>
    <xf numFmtId="2" fontId="10373" fillId="8" borderId="1" xfId="0" applyNumberFormat="1" applyFont="1" applyFill="1" applyBorder="1" applyAlignment="1">
      <alignment horizontal="center" vertical="center"/>
    </xf>
    <xf numFmtId="2" fontId="10374" fillId="8" borderId="1" xfId="0" applyNumberFormat="1" applyFont="1" applyFill="1" applyBorder="1" applyAlignment="1">
      <alignment horizontal="center" vertical="center"/>
    </xf>
    <xf numFmtId="0" fontId="10375" fillId="7" borderId="1" xfId="0" applyNumberFormat="1" applyFont="1" applyFill="1" applyBorder="1" applyAlignment="1">
      <alignment horizontal="left" vertical="center"/>
    </xf>
    <xf numFmtId="0" fontId="10376" fillId="8" borderId="1" xfId="0" applyNumberFormat="1" applyFont="1" applyFill="1" applyBorder="1" applyAlignment="1">
      <alignment horizontal="center" vertical="center"/>
    </xf>
    <xf numFmtId="164" fontId="10377" fillId="8" borderId="1" xfId="0" applyNumberFormat="1" applyFont="1" applyFill="1" applyBorder="1" applyAlignment="1">
      <alignment horizontal="center" vertical="center"/>
    </xf>
    <xf numFmtId="1" fontId="10378" fillId="8" borderId="1" xfId="0" applyNumberFormat="1" applyFont="1" applyFill="1" applyBorder="1" applyAlignment="1">
      <alignment horizontal="center" vertical="center"/>
    </xf>
    <xf numFmtId="1" fontId="10379" fillId="8" borderId="1" xfId="0" applyNumberFormat="1" applyFont="1" applyFill="1" applyBorder="1" applyAlignment="1">
      <alignment horizontal="center" vertical="center"/>
    </xf>
    <xf numFmtId="1" fontId="10380" fillId="8" borderId="1" xfId="0" applyNumberFormat="1" applyFont="1" applyFill="1" applyBorder="1" applyAlignment="1">
      <alignment horizontal="center" vertical="center"/>
    </xf>
    <xf numFmtId="1" fontId="10381" fillId="8" borderId="1" xfId="0" applyNumberFormat="1" applyFont="1" applyFill="1" applyBorder="1" applyAlignment="1">
      <alignment horizontal="center" vertical="center"/>
    </xf>
    <xf numFmtId="1" fontId="10382" fillId="8" borderId="1" xfId="0" applyNumberFormat="1" applyFont="1" applyFill="1" applyBorder="1" applyAlignment="1">
      <alignment horizontal="center" vertical="center"/>
    </xf>
    <xf numFmtId="1" fontId="10383" fillId="8" borderId="1" xfId="0" applyNumberFormat="1" applyFont="1" applyFill="1" applyBorder="1" applyAlignment="1">
      <alignment horizontal="center" vertical="center"/>
    </xf>
    <xf numFmtId="1" fontId="10384" fillId="8" borderId="1" xfId="0" applyNumberFormat="1" applyFont="1" applyFill="1" applyBorder="1" applyAlignment="1">
      <alignment horizontal="center" vertical="center"/>
    </xf>
    <xf numFmtId="0" fontId="10385" fillId="8" borderId="1" xfId="0" applyNumberFormat="1" applyFont="1" applyFill="1" applyBorder="1" applyAlignment="1">
      <alignment horizontal="center" vertical="center"/>
    </xf>
    <xf numFmtId="0" fontId="10386" fillId="8" borderId="1" xfId="0" applyNumberFormat="1" applyFont="1" applyFill="1" applyBorder="1" applyAlignment="1">
      <alignment horizontal="center" vertical="center"/>
    </xf>
    <xf numFmtId="1" fontId="10387" fillId="8" borderId="1" xfId="0" applyNumberFormat="1" applyFont="1" applyFill="1" applyBorder="1" applyAlignment="1">
      <alignment horizontal="center" vertical="center"/>
    </xf>
    <xf numFmtId="1" fontId="10388" fillId="8" borderId="1" xfId="0" applyNumberFormat="1" applyFont="1" applyFill="1" applyBorder="1" applyAlignment="1">
      <alignment horizontal="center" vertical="center"/>
    </xf>
    <xf numFmtId="1" fontId="10389" fillId="8" borderId="1" xfId="0" applyNumberFormat="1" applyFont="1" applyFill="1" applyBorder="1" applyAlignment="1">
      <alignment horizontal="center" vertical="center"/>
    </xf>
    <xf numFmtId="165" fontId="10390" fillId="8" borderId="1" xfId="0" applyNumberFormat="1" applyFont="1" applyFill="1" applyBorder="1" applyAlignment="1">
      <alignment horizontal="center" vertical="center"/>
    </xf>
    <xf numFmtId="1" fontId="10391" fillId="8" borderId="1" xfId="0" applyNumberFormat="1" applyFont="1" applyFill="1" applyBorder="1" applyAlignment="1">
      <alignment horizontal="center" vertical="center"/>
    </xf>
    <xf numFmtId="165" fontId="10392" fillId="8" borderId="1" xfId="0" applyNumberFormat="1" applyFont="1" applyFill="1" applyBorder="1" applyAlignment="1">
      <alignment horizontal="center" vertical="center"/>
    </xf>
    <xf numFmtId="1" fontId="10393" fillId="8" borderId="1" xfId="0" applyNumberFormat="1" applyFont="1" applyFill="1" applyBorder="1" applyAlignment="1">
      <alignment horizontal="center" vertical="center"/>
    </xf>
    <xf numFmtId="165" fontId="10394" fillId="8" borderId="1" xfId="0" applyNumberFormat="1" applyFont="1" applyFill="1" applyBorder="1" applyAlignment="1">
      <alignment horizontal="center" vertical="center"/>
    </xf>
    <xf numFmtId="1" fontId="10395" fillId="8" borderId="1" xfId="0" applyNumberFormat="1" applyFont="1" applyFill="1" applyBorder="1" applyAlignment="1">
      <alignment horizontal="center" vertical="center"/>
    </xf>
    <xf numFmtId="165" fontId="10396" fillId="8" borderId="1" xfId="0" applyNumberFormat="1" applyFont="1" applyFill="1" applyBorder="1" applyAlignment="1">
      <alignment horizontal="center" vertical="center"/>
    </xf>
    <xf numFmtId="165" fontId="10397" fillId="8" borderId="1" xfId="0" applyNumberFormat="1" applyFont="1" applyFill="1" applyBorder="1" applyAlignment="1">
      <alignment horizontal="center" vertical="center"/>
    </xf>
    <xf numFmtId="1" fontId="10398" fillId="8" borderId="1" xfId="0" applyNumberFormat="1" applyFont="1" applyFill="1" applyBorder="1" applyAlignment="1">
      <alignment horizontal="center" vertical="center"/>
    </xf>
    <xf numFmtId="1" fontId="10399" fillId="8" borderId="1" xfId="0" applyNumberFormat="1" applyFont="1" applyFill="1" applyBorder="1" applyAlignment="1">
      <alignment horizontal="center" vertical="center"/>
    </xf>
    <xf numFmtId="1" fontId="10400" fillId="8" borderId="1" xfId="0" applyNumberFormat="1" applyFont="1" applyFill="1" applyBorder="1" applyAlignment="1">
      <alignment horizontal="center" vertical="center"/>
    </xf>
    <xf numFmtId="165" fontId="10401" fillId="8" borderId="1" xfId="0" applyNumberFormat="1" applyFont="1" applyFill="1" applyBorder="1" applyAlignment="1">
      <alignment horizontal="center" vertical="center"/>
    </xf>
    <xf numFmtId="164" fontId="10402" fillId="8" borderId="1" xfId="0" applyNumberFormat="1" applyFont="1" applyFill="1" applyBorder="1" applyAlignment="1">
      <alignment horizontal="center" vertical="center"/>
    </xf>
    <xf numFmtId="164" fontId="10403" fillId="8" borderId="1" xfId="0" applyNumberFormat="1" applyFont="1" applyFill="1" applyBorder="1" applyAlignment="1">
      <alignment horizontal="center" vertical="center"/>
    </xf>
    <xf numFmtId="1" fontId="10404" fillId="8" borderId="1" xfId="0" applyNumberFormat="1" applyFont="1" applyFill="1" applyBorder="1" applyAlignment="1">
      <alignment horizontal="center" vertical="center"/>
    </xf>
    <xf numFmtId="1" fontId="10405" fillId="8" borderId="1" xfId="0" applyNumberFormat="1" applyFont="1" applyFill="1" applyBorder="1" applyAlignment="1">
      <alignment horizontal="center" vertical="center"/>
    </xf>
    <xf numFmtId="1" fontId="10406" fillId="8" borderId="1" xfId="0" applyNumberFormat="1" applyFont="1" applyFill="1" applyBorder="1" applyAlignment="1">
      <alignment horizontal="center" vertical="center"/>
    </xf>
    <xf numFmtId="165" fontId="10407" fillId="8" borderId="1" xfId="0" applyNumberFormat="1" applyFont="1" applyFill="1" applyBorder="1" applyAlignment="1">
      <alignment horizontal="center" vertical="center"/>
    </xf>
    <xf numFmtId="1" fontId="10408" fillId="8" borderId="1" xfId="0" applyNumberFormat="1" applyFont="1" applyFill="1" applyBorder="1" applyAlignment="1">
      <alignment horizontal="center" vertical="center"/>
    </xf>
    <xf numFmtId="165" fontId="10409" fillId="8" borderId="1" xfId="0" applyNumberFormat="1" applyFont="1" applyFill="1" applyBorder="1" applyAlignment="1">
      <alignment horizontal="center" vertical="center"/>
    </xf>
    <xf numFmtId="1" fontId="10410" fillId="8" borderId="1" xfId="0" applyNumberFormat="1" applyFont="1" applyFill="1" applyBorder="1" applyAlignment="1">
      <alignment horizontal="center" vertical="center"/>
    </xf>
    <xf numFmtId="1" fontId="10411" fillId="8" borderId="1" xfId="0" applyNumberFormat="1" applyFont="1" applyFill="1" applyBorder="1" applyAlignment="1">
      <alignment horizontal="center" vertical="center"/>
    </xf>
    <xf numFmtId="1" fontId="10412" fillId="8" borderId="1" xfId="0" applyNumberFormat="1" applyFont="1" applyFill="1" applyBorder="1" applyAlignment="1">
      <alignment horizontal="center" vertical="center"/>
    </xf>
    <xf numFmtId="1" fontId="10413" fillId="8" borderId="1" xfId="0" applyNumberFormat="1" applyFont="1" applyFill="1" applyBorder="1" applyAlignment="1">
      <alignment horizontal="center" vertical="center"/>
    </xf>
    <xf numFmtId="165" fontId="10414" fillId="8" borderId="1" xfId="0" applyNumberFormat="1" applyFont="1" applyFill="1" applyBorder="1" applyAlignment="1">
      <alignment horizontal="center" vertical="center"/>
    </xf>
    <xf numFmtId="1" fontId="10415" fillId="8" borderId="1" xfId="0" applyNumberFormat="1" applyFont="1" applyFill="1" applyBorder="1" applyAlignment="1">
      <alignment horizontal="center" vertical="center"/>
    </xf>
    <xf numFmtId="165" fontId="10416" fillId="8" borderId="1" xfId="0" applyNumberFormat="1" applyFont="1" applyFill="1" applyBorder="1" applyAlignment="1">
      <alignment horizontal="center" vertical="center"/>
    </xf>
    <xf numFmtId="1" fontId="10417" fillId="8" borderId="1" xfId="0" applyNumberFormat="1" applyFont="1" applyFill="1" applyBorder="1" applyAlignment="1">
      <alignment horizontal="center" vertical="center"/>
    </xf>
    <xf numFmtId="165" fontId="10418" fillId="8" borderId="1" xfId="0" applyNumberFormat="1" applyFont="1" applyFill="1" applyBorder="1" applyAlignment="1">
      <alignment horizontal="center" vertical="center"/>
    </xf>
    <xf numFmtId="2" fontId="10419" fillId="8" borderId="1" xfId="0" applyNumberFormat="1" applyFont="1" applyFill="1" applyBorder="1" applyAlignment="1">
      <alignment horizontal="center" vertical="center"/>
    </xf>
    <xf numFmtId="2" fontId="10420" fillId="8" borderId="1" xfId="0" applyNumberFormat="1" applyFont="1" applyFill="1" applyBorder="1" applyAlignment="1">
      <alignment horizontal="center" vertical="center"/>
    </xf>
    <xf numFmtId="2" fontId="10421" fillId="8" borderId="1" xfId="0" applyNumberFormat="1" applyFont="1" applyFill="1" applyBorder="1" applyAlignment="1">
      <alignment horizontal="center" vertical="center"/>
    </xf>
    <xf numFmtId="2" fontId="10422" fillId="8" borderId="1" xfId="0" applyNumberFormat="1" applyFont="1" applyFill="1" applyBorder="1" applyAlignment="1">
      <alignment horizontal="center" vertical="center"/>
    </xf>
    <xf numFmtId="2" fontId="10423" fillId="8" borderId="1" xfId="0" applyNumberFormat="1" applyFont="1" applyFill="1" applyBorder="1" applyAlignment="1">
      <alignment horizontal="center" vertical="center"/>
    </xf>
    <xf numFmtId="2" fontId="10424" fillId="8" borderId="1" xfId="0" applyNumberFormat="1" applyFont="1" applyFill="1" applyBorder="1" applyAlignment="1">
      <alignment horizontal="center" vertical="center"/>
    </xf>
    <xf numFmtId="2" fontId="10425" fillId="8" borderId="1" xfId="0" applyNumberFormat="1" applyFont="1" applyFill="1" applyBorder="1" applyAlignment="1">
      <alignment horizontal="center" vertical="center"/>
    </xf>
    <xf numFmtId="2" fontId="10426" fillId="8" borderId="1" xfId="0" applyNumberFormat="1" applyFont="1" applyFill="1" applyBorder="1" applyAlignment="1">
      <alignment horizontal="center" vertical="center"/>
    </xf>
    <xf numFmtId="2" fontId="10427" fillId="8" borderId="1" xfId="0" applyNumberFormat="1" applyFont="1" applyFill="1" applyBorder="1" applyAlignment="1">
      <alignment horizontal="center" vertical="center"/>
    </xf>
    <xf numFmtId="2" fontId="10428" fillId="8" borderId="1" xfId="0" applyNumberFormat="1" applyFont="1" applyFill="1" applyBorder="1" applyAlignment="1">
      <alignment horizontal="center" vertical="center"/>
    </xf>
    <xf numFmtId="2" fontId="10429" fillId="8" borderId="1" xfId="0" applyNumberFormat="1" applyFont="1" applyFill="1" applyBorder="1" applyAlignment="1">
      <alignment horizontal="center" vertical="center"/>
    </xf>
    <xf numFmtId="2" fontId="10430" fillId="8" borderId="1" xfId="0" applyNumberFormat="1" applyFont="1" applyFill="1" applyBorder="1" applyAlignment="1">
      <alignment horizontal="center" vertical="center"/>
    </xf>
    <xf numFmtId="2" fontId="10431" fillId="8" borderId="1" xfId="0" applyNumberFormat="1" applyFont="1" applyFill="1" applyBorder="1" applyAlignment="1">
      <alignment horizontal="center" vertical="center"/>
    </xf>
    <xf numFmtId="2" fontId="10432" fillId="8" borderId="1" xfId="0" applyNumberFormat="1" applyFont="1" applyFill="1" applyBorder="1" applyAlignment="1">
      <alignment horizontal="center" vertical="center"/>
    </xf>
    <xf numFmtId="2" fontId="10433" fillId="8" borderId="1" xfId="0" applyNumberFormat="1" applyFont="1" applyFill="1" applyBorder="1" applyAlignment="1">
      <alignment horizontal="center" vertical="center"/>
    </xf>
    <xf numFmtId="2" fontId="10434" fillId="8" borderId="1" xfId="0" applyNumberFormat="1" applyFont="1" applyFill="1" applyBorder="1" applyAlignment="1">
      <alignment horizontal="center" vertical="center"/>
    </xf>
    <xf numFmtId="2" fontId="10435" fillId="8" borderId="1" xfId="0" applyNumberFormat="1" applyFont="1" applyFill="1" applyBorder="1" applyAlignment="1">
      <alignment horizontal="center" vertical="center"/>
    </xf>
    <xf numFmtId="2" fontId="10436" fillId="8" borderId="1" xfId="0" applyNumberFormat="1" applyFont="1" applyFill="1" applyBorder="1" applyAlignment="1">
      <alignment horizontal="center" vertical="center"/>
    </xf>
    <xf numFmtId="2" fontId="10437" fillId="8" borderId="1" xfId="0" applyNumberFormat="1" applyFont="1" applyFill="1" applyBorder="1" applyAlignment="1">
      <alignment horizontal="center" vertical="center"/>
    </xf>
    <xf numFmtId="2" fontId="10438" fillId="8" borderId="1" xfId="0" applyNumberFormat="1" applyFont="1" applyFill="1" applyBorder="1" applyAlignment="1">
      <alignment horizontal="center" vertical="center"/>
    </xf>
    <xf numFmtId="2" fontId="10439" fillId="8" borderId="1" xfId="0" applyNumberFormat="1" applyFont="1" applyFill="1" applyBorder="1" applyAlignment="1">
      <alignment horizontal="center" vertical="center"/>
    </xf>
    <xf numFmtId="2" fontId="10440" fillId="8" borderId="1" xfId="0" applyNumberFormat="1" applyFont="1" applyFill="1" applyBorder="1" applyAlignment="1">
      <alignment horizontal="center" vertical="center"/>
    </xf>
    <xf numFmtId="2" fontId="10441" fillId="8" borderId="1" xfId="0" applyNumberFormat="1" applyFont="1" applyFill="1" applyBorder="1" applyAlignment="1">
      <alignment horizontal="center" vertical="center"/>
    </xf>
    <xf numFmtId="2" fontId="10442" fillId="8" borderId="1" xfId="0" applyNumberFormat="1" applyFont="1" applyFill="1" applyBorder="1" applyAlignment="1">
      <alignment horizontal="center" vertical="center"/>
    </xf>
    <xf numFmtId="2" fontId="10443" fillId="8" borderId="1" xfId="0" applyNumberFormat="1" applyFont="1" applyFill="1" applyBorder="1" applyAlignment="1">
      <alignment horizontal="center" vertical="center"/>
    </xf>
    <xf numFmtId="2" fontId="10444" fillId="8" borderId="1" xfId="0" applyNumberFormat="1" applyFont="1" applyFill="1" applyBorder="1" applyAlignment="1">
      <alignment horizontal="center" vertical="center"/>
    </xf>
    <xf numFmtId="2" fontId="10445" fillId="8" borderId="1" xfId="0" applyNumberFormat="1" applyFont="1" applyFill="1" applyBorder="1" applyAlignment="1">
      <alignment horizontal="center" vertical="center"/>
    </xf>
    <xf numFmtId="2" fontId="10446" fillId="8" borderId="1" xfId="0" applyNumberFormat="1" applyFont="1" applyFill="1" applyBorder="1" applyAlignment="1">
      <alignment horizontal="center" vertical="center"/>
    </xf>
    <xf numFmtId="2" fontId="10447" fillId="8" borderId="1" xfId="0" applyNumberFormat="1" applyFont="1" applyFill="1" applyBorder="1" applyAlignment="1">
      <alignment horizontal="center" vertical="center"/>
    </xf>
    <xf numFmtId="2" fontId="10448" fillId="8" borderId="1" xfId="0" applyNumberFormat="1" applyFont="1" applyFill="1" applyBorder="1" applyAlignment="1">
      <alignment horizontal="center" vertical="center"/>
    </xf>
    <xf numFmtId="2" fontId="10449" fillId="8" borderId="1" xfId="0" applyNumberFormat="1" applyFont="1" applyFill="1" applyBorder="1" applyAlignment="1">
      <alignment horizontal="center" vertical="center"/>
    </xf>
    <xf numFmtId="2" fontId="10450" fillId="8" borderId="1" xfId="0" applyNumberFormat="1" applyFont="1" applyFill="1" applyBorder="1" applyAlignment="1">
      <alignment horizontal="center" vertical="center"/>
    </xf>
    <xf numFmtId="2" fontId="10451" fillId="8" borderId="1" xfId="0" applyNumberFormat="1" applyFont="1" applyFill="1" applyBorder="1" applyAlignment="1">
      <alignment horizontal="center" vertical="center"/>
    </xf>
    <xf numFmtId="2" fontId="10452" fillId="8" borderId="1" xfId="0" applyNumberFormat="1" applyFont="1" applyFill="1" applyBorder="1" applyAlignment="1">
      <alignment horizontal="center" vertical="center"/>
    </xf>
    <xf numFmtId="0" fontId="10453" fillId="7" borderId="1" xfId="0" applyNumberFormat="1" applyFont="1" applyFill="1" applyBorder="1" applyAlignment="1">
      <alignment horizontal="left" vertical="center"/>
    </xf>
    <xf numFmtId="0" fontId="10454" fillId="8" borderId="1" xfId="0" applyNumberFormat="1" applyFont="1" applyFill="1" applyBorder="1" applyAlignment="1">
      <alignment horizontal="center" vertical="center"/>
    </xf>
    <xf numFmtId="164" fontId="10455" fillId="8" borderId="1" xfId="0" applyNumberFormat="1" applyFont="1" applyFill="1" applyBorder="1" applyAlignment="1">
      <alignment horizontal="center" vertical="center"/>
    </xf>
    <xf numFmtId="1" fontId="10456" fillId="8" borderId="1" xfId="0" applyNumberFormat="1" applyFont="1" applyFill="1" applyBorder="1" applyAlignment="1">
      <alignment horizontal="center" vertical="center"/>
    </xf>
    <xf numFmtId="1" fontId="10457" fillId="8" borderId="1" xfId="0" applyNumberFormat="1" applyFont="1" applyFill="1" applyBorder="1" applyAlignment="1">
      <alignment horizontal="center" vertical="center"/>
    </xf>
    <xf numFmtId="1" fontId="10458" fillId="8" borderId="1" xfId="0" applyNumberFormat="1" applyFont="1" applyFill="1" applyBorder="1" applyAlignment="1">
      <alignment horizontal="center" vertical="center"/>
    </xf>
    <xf numFmtId="1" fontId="10459" fillId="8" borderId="1" xfId="0" applyNumberFormat="1" applyFont="1" applyFill="1" applyBorder="1" applyAlignment="1">
      <alignment horizontal="center" vertical="center"/>
    </xf>
    <xf numFmtId="1" fontId="10460" fillId="8" borderId="1" xfId="0" applyNumberFormat="1" applyFont="1" applyFill="1" applyBorder="1" applyAlignment="1">
      <alignment horizontal="center" vertical="center"/>
    </xf>
    <xf numFmtId="1" fontId="10461" fillId="8" borderId="1" xfId="0" applyNumberFormat="1" applyFont="1" applyFill="1" applyBorder="1" applyAlignment="1">
      <alignment horizontal="center" vertical="center"/>
    </xf>
    <xf numFmtId="1" fontId="10462" fillId="8" borderId="1" xfId="0" applyNumberFormat="1" applyFont="1" applyFill="1" applyBorder="1" applyAlignment="1">
      <alignment horizontal="center" vertical="center"/>
    </xf>
    <xf numFmtId="0" fontId="10463" fillId="8" borderId="1" xfId="0" applyNumberFormat="1" applyFont="1" applyFill="1" applyBorder="1" applyAlignment="1">
      <alignment horizontal="center" vertical="center"/>
    </xf>
    <xf numFmtId="0" fontId="10464" fillId="8" borderId="1" xfId="0" applyNumberFormat="1" applyFont="1" applyFill="1" applyBorder="1" applyAlignment="1">
      <alignment horizontal="center" vertical="center"/>
    </xf>
    <xf numFmtId="1" fontId="10465" fillId="8" borderId="1" xfId="0" applyNumberFormat="1" applyFont="1" applyFill="1" applyBorder="1" applyAlignment="1">
      <alignment horizontal="center" vertical="center"/>
    </xf>
    <xf numFmtId="1" fontId="10466" fillId="8" borderId="1" xfId="0" applyNumberFormat="1" applyFont="1" applyFill="1" applyBorder="1" applyAlignment="1">
      <alignment horizontal="center" vertical="center"/>
    </xf>
    <xf numFmtId="1" fontId="10467" fillId="8" borderId="1" xfId="0" applyNumberFormat="1" applyFont="1" applyFill="1" applyBorder="1" applyAlignment="1">
      <alignment horizontal="center" vertical="center"/>
    </xf>
    <xf numFmtId="165" fontId="10468" fillId="8" borderId="1" xfId="0" applyNumberFormat="1" applyFont="1" applyFill="1" applyBorder="1" applyAlignment="1">
      <alignment horizontal="center" vertical="center"/>
    </xf>
    <xf numFmtId="1" fontId="10469" fillId="8" borderId="1" xfId="0" applyNumberFormat="1" applyFont="1" applyFill="1" applyBorder="1" applyAlignment="1">
      <alignment horizontal="center" vertical="center"/>
    </xf>
    <xf numFmtId="165" fontId="10470" fillId="8" borderId="1" xfId="0" applyNumberFormat="1" applyFont="1" applyFill="1" applyBorder="1" applyAlignment="1">
      <alignment horizontal="center" vertical="center"/>
    </xf>
    <xf numFmtId="1" fontId="10471" fillId="8" borderId="1" xfId="0" applyNumberFormat="1" applyFont="1" applyFill="1" applyBorder="1" applyAlignment="1">
      <alignment horizontal="center" vertical="center"/>
    </xf>
    <xf numFmtId="165" fontId="10472" fillId="8" borderId="1" xfId="0" applyNumberFormat="1" applyFont="1" applyFill="1" applyBorder="1" applyAlignment="1">
      <alignment horizontal="center" vertical="center"/>
    </xf>
    <xf numFmtId="1" fontId="10473" fillId="8" borderId="1" xfId="0" applyNumberFormat="1" applyFont="1" applyFill="1" applyBorder="1" applyAlignment="1">
      <alignment horizontal="center" vertical="center"/>
    </xf>
    <xf numFmtId="165" fontId="10474" fillId="8" borderId="1" xfId="0" applyNumberFormat="1" applyFont="1" applyFill="1" applyBorder="1" applyAlignment="1">
      <alignment horizontal="center" vertical="center"/>
    </xf>
    <xf numFmtId="165" fontId="10475" fillId="8" borderId="1" xfId="0" applyNumberFormat="1" applyFont="1" applyFill="1" applyBorder="1" applyAlignment="1">
      <alignment horizontal="center" vertical="center"/>
    </xf>
    <xf numFmtId="1" fontId="10476" fillId="8" borderId="1" xfId="0" applyNumberFormat="1" applyFont="1" applyFill="1" applyBorder="1" applyAlignment="1">
      <alignment horizontal="center" vertical="center"/>
    </xf>
    <xf numFmtId="1" fontId="10477" fillId="8" borderId="1" xfId="0" applyNumberFormat="1" applyFont="1" applyFill="1" applyBorder="1" applyAlignment="1">
      <alignment horizontal="center" vertical="center"/>
    </xf>
    <xf numFmtId="1" fontId="10478" fillId="8" borderId="1" xfId="0" applyNumberFormat="1" applyFont="1" applyFill="1" applyBorder="1" applyAlignment="1">
      <alignment horizontal="center" vertical="center"/>
    </xf>
    <xf numFmtId="165" fontId="10479" fillId="8" borderId="1" xfId="0" applyNumberFormat="1" applyFont="1" applyFill="1" applyBorder="1" applyAlignment="1">
      <alignment horizontal="center" vertical="center"/>
    </xf>
    <xf numFmtId="164" fontId="10480" fillId="8" borderId="1" xfId="0" applyNumberFormat="1" applyFont="1" applyFill="1" applyBorder="1" applyAlignment="1">
      <alignment horizontal="center" vertical="center"/>
    </xf>
    <xf numFmtId="164" fontId="10481" fillId="8" borderId="1" xfId="0" applyNumberFormat="1" applyFont="1" applyFill="1" applyBorder="1" applyAlignment="1">
      <alignment horizontal="center" vertical="center"/>
    </xf>
    <xf numFmtId="1" fontId="10482" fillId="8" borderId="1" xfId="0" applyNumberFormat="1" applyFont="1" applyFill="1" applyBorder="1" applyAlignment="1">
      <alignment horizontal="center" vertical="center"/>
    </xf>
    <xf numFmtId="1" fontId="10483" fillId="8" borderId="1" xfId="0" applyNumberFormat="1" applyFont="1" applyFill="1" applyBorder="1" applyAlignment="1">
      <alignment horizontal="center" vertical="center"/>
    </xf>
    <xf numFmtId="1" fontId="10484" fillId="8" borderId="1" xfId="0" applyNumberFormat="1" applyFont="1" applyFill="1" applyBorder="1" applyAlignment="1">
      <alignment horizontal="center" vertical="center"/>
    </xf>
    <xf numFmtId="165" fontId="10485" fillId="8" borderId="1" xfId="0" applyNumberFormat="1" applyFont="1" applyFill="1" applyBorder="1" applyAlignment="1">
      <alignment horizontal="center" vertical="center"/>
    </xf>
    <xf numFmtId="1" fontId="10486" fillId="8" borderId="1" xfId="0" applyNumberFormat="1" applyFont="1" applyFill="1" applyBorder="1" applyAlignment="1">
      <alignment horizontal="center" vertical="center"/>
    </xf>
    <xf numFmtId="165" fontId="10487" fillId="8" borderId="1" xfId="0" applyNumberFormat="1" applyFont="1" applyFill="1" applyBorder="1" applyAlignment="1">
      <alignment horizontal="center" vertical="center"/>
    </xf>
    <xf numFmtId="1" fontId="10488" fillId="8" borderId="1" xfId="0" applyNumberFormat="1" applyFont="1" applyFill="1" applyBorder="1" applyAlignment="1">
      <alignment horizontal="center" vertical="center"/>
    </xf>
    <xf numFmtId="1" fontId="10489" fillId="8" borderId="1" xfId="0" applyNumberFormat="1" applyFont="1" applyFill="1" applyBorder="1" applyAlignment="1">
      <alignment horizontal="center" vertical="center"/>
    </xf>
    <xf numFmtId="1" fontId="10490" fillId="8" borderId="1" xfId="0" applyNumberFormat="1" applyFont="1" applyFill="1" applyBorder="1" applyAlignment="1">
      <alignment horizontal="center" vertical="center"/>
    </xf>
    <xf numFmtId="1" fontId="10491" fillId="8" borderId="1" xfId="0" applyNumberFormat="1" applyFont="1" applyFill="1" applyBorder="1" applyAlignment="1">
      <alignment horizontal="center" vertical="center"/>
    </xf>
    <xf numFmtId="165" fontId="10492" fillId="8" borderId="1" xfId="0" applyNumberFormat="1" applyFont="1" applyFill="1" applyBorder="1" applyAlignment="1">
      <alignment horizontal="center" vertical="center"/>
    </xf>
    <xf numFmtId="1" fontId="10493" fillId="8" borderId="1" xfId="0" applyNumberFormat="1" applyFont="1" applyFill="1" applyBorder="1" applyAlignment="1">
      <alignment horizontal="center" vertical="center"/>
    </xf>
    <xf numFmtId="165" fontId="10494" fillId="8" borderId="1" xfId="0" applyNumberFormat="1" applyFont="1" applyFill="1" applyBorder="1" applyAlignment="1">
      <alignment horizontal="center" vertical="center"/>
    </xf>
    <xf numFmtId="1" fontId="10495" fillId="8" borderId="1" xfId="0" applyNumberFormat="1" applyFont="1" applyFill="1" applyBorder="1" applyAlignment="1">
      <alignment horizontal="center" vertical="center"/>
    </xf>
    <xf numFmtId="165" fontId="10496" fillId="8" borderId="1" xfId="0" applyNumberFormat="1" applyFont="1" applyFill="1" applyBorder="1" applyAlignment="1">
      <alignment horizontal="center" vertical="center"/>
    </xf>
    <xf numFmtId="2" fontId="10497" fillId="8" borderId="1" xfId="0" applyNumberFormat="1" applyFont="1" applyFill="1" applyBorder="1" applyAlignment="1">
      <alignment horizontal="center" vertical="center"/>
    </xf>
    <xf numFmtId="2" fontId="10498" fillId="8" borderId="1" xfId="0" applyNumberFormat="1" applyFont="1" applyFill="1" applyBorder="1" applyAlignment="1">
      <alignment horizontal="center" vertical="center"/>
    </xf>
    <xf numFmtId="2" fontId="10499" fillId="8" borderId="1" xfId="0" applyNumberFormat="1" applyFont="1" applyFill="1" applyBorder="1" applyAlignment="1">
      <alignment horizontal="center" vertical="center"/>
    </xf>
    <xf numFmtId="2" fontId="10500" fillId="8" borderId="1" xfId="0" applyNumberFormat="1" applyFont="1" applyFill="1" applyBorder="1" applyAlignment="1">
      <alignment horizontal="center" vertical="center"/>
    </xf>
    <xf numFmtId="2" fontId="10501" fillId="8" borderId="1" xfId="0" applyNumberFormat="1" applyFont="1" applyFill="1" applyBorder="1" applyAlignment="1">
      <alignment horizontal="center" vertical="center"/>
    </xf>
    <xf numFmtId="2" fontId="10502" fillId="8" borderId="1" xfId="0" applyNumberFormat="1" applyFont="1" applyFill="1" applyBorder="1" applyAlignment="1">
      <alignment horizontal="center" vertical="center"/>
    </xf>
    <xf numFmtId="2" fontId="10503" fillId="8" borderId="1" xfId="0" applyNumberFormat="1" applyFont="1" applyFill="1" applyBorder="1" applyAlignment="1">
      <alignment horizontal="center" vertical="center"/>
    </xf>
    <xf numFmtId="2" fontId="10504" fillId="8" borderId="1" xfId="0" applyNumberFormat="1" applyFont="1" applyFill="1" applyBorder="1" applyAlignment="1">
      <alignment horizontal="center" vertical="center"/>
    </xf>
    <xf numFmtId="2" fontId="10505" fillId="8" borderId="1" xfId="0" applyNumberFormat="1" applyFont="1" applyFill="1" applyBorder="1" applyAlignment="1">
      <alignment horizontal="center" vertical="center"/>
    </xf>
    <xf numFmtId="2" fontId="10506" fillId="8" borderId="1" xfId="0" applyNumberFormat="1" applyFont="1" applyFill="1" applyBorder="1" applyAlignment="1">
      <alignment horizontal="center" vertical="center"/>
    </xf>
    <xf numFmtId="2" fontId="10507" fillId="8" borderId="1" xfId="0" applyNumberFormat="1" applyFont="1" applyFill="1" applyBorder="1" applyAlignment="1">
      <alignment horizontal="center" vertical="center"/>
    </xf>
    <xf numFmtId="2" fontId="10508" fillId="8" borderId="1" xfId="0" applyNumberFormat="1" applyFont="1" applyFill="1" applyBorder="1" applyAlignment="1">
      <alignment horizontal="center" vertical="center"/>
    </xf>
    <xf numFmtId="2" fontId="10509" fillId="8" borderId="1" xfId="0" applyNumberFormat="1" applyFont="1" applyFill="1" applyBorder="1" applyAlignment="1">
      <alignment horizontal="center" vertical="center"/>
    </xf>
    <xf numFmtId="2" fontId="10510" fillId="8" borderId="1" xfId="0" applyNumberFormat="1" applyFont="1" applyFill="1" applyBorder="1" applyAlignment="1">
      <alignment horizontal="center" vertical="center"/>
    </xf>
    <xf numFmtId="2" fontId="10511" fillId="8" borderId="1" xfId="0" applyNumberFormat="1" applyFont="1" applyFill="1" applyBorder="1" applyAlignment="1">
      <alignment horizontal="center" vertical="center"/>
    </xf>
    <xf numFmtId="2" fontId="10512" fillId="8" borderId="1" xfId="0" applyNumberFormat="1" applyFont="1" applyFill="1" applyBorder="1" applyAlignment="1">
      <alignment horizontal="center" vertical="center"/>
    </xf>
    <xf numFmtId="2" fontId="10513" fillId="8" borderId="1" xfId="0" applyNumberFormat="1" applyFont="1" applyFill="1" applyBorder="1" applyAlignment="1">
      <alignment horizontal="center" vertical="center"/>
    </xf>
    <xf numFmtId="2" fontId="10514" fillId="8" borderId="1" xfId="0" applyNumberFormat="1" applyFont="1" applyFill="1" applyBorder="1" applyAlignment="1">
      <alignment horizontal="center" vertical="center"/>
    </xf>
    <xf numFmtId="2" fontId="10515" fillId="8" borderId="1" xfId="0" applyNumberFormat="1" applyFont="1" applyFill="1" applyBorder="1" applyAlignment="1">
      <alignment horizontal="center" vertical="center"/>
    </xf>
    <xf numFmtId="2" fontId="10516" fillId="8" borderId="1" xfId="0" applyNumberFormat="1" applyFont="1" applyFill="1" applyBorder="1" applyAlignment="1">
      <alignment horizontal="center" vertical="center"/>
    </xf>
    <xf numFmtId="2" fontId="10517" fillId="8" borderId="1" xfId="0" applyNumberFormat="1" applyFont="1" applyFill="1" applyBorder="1" applyAlignment="1">
      <alignment horizontal="center" vertical="center"/>
    </xf>
    <xf numFmtId="2" fontId="10518" fillId="8" borderId="1" xfId="0" applyNumberFormat="1" applyFont="1" applyFill="1" applyBorder="1" applyAlignment="1">
      <alignment horizontal="center" vertical="center"/>
    </xf>
    <xf numFmtId="2" fontId="10519" fillId="8" borderId="1" xfId="0" applyNumberFormat="1" applyFont="1" applyFill="1" applyBorder="1" applyAlignment="1">
      <alignment horizontal="center" vertical="center"/>
    </xf>
    <xf numFmtId="2" fontId="10520" fillId="8" borderId="1" xfId="0" applyNumberFormat="1" applyFont="1" applyFill="1" applyBorder="1" applyAlignment="1">
      <alignment horizontal="center" vertical="center"/>
    </xf>
    <xf numFmtId="2" fontId="10521" fillId="8" borderId="1" xfId="0" applyNumberFormat="1" applyFont="1" applyFill="1" applyBorder="1" applyAlignment="1">
      <alignment horizontal="center" vertical="center"/>
    </xf>
    <xf numFmtId="2" fontId="10522" fillId="8" borderId="1" xfId="0" applyNumberFormat="1" applyFont="1" applyFill="1" applyBorder="1" applyAlignment="1">
      <alignment horizontal="center" vertical="center"/>
    </xf>
    <xf numFmtId="2" fontId="10523" fillId="8" borderId="1" xfId="0" applyNumberFormat="1" applyFont="1" applyFill="1" applyBorder="1" applyAlignment="1">
      <alignment horizontal="center" vertical="center"/>
    </xf>
    <xf numFmtId="2" fontId="10524" fillId="8" borderId="1" xfId="0" applyNumberFormat="1" applyFont="1" applyFill="1" applyBorder="1" applyAlignment="1">
      <alignment horizontal="center" vertical="center"/>
    </xf>
    <xf numFmtId="2" fontId="10525" fillId="8" borderId="1" xfId="0" applyNumberFormat="1" applyFont="1" applyFill="1" applyBorder="1" applyAlignment="1">
      <alignment horizontal="center" vertical="center"/>
    </xf>
    <xf numFmtId="2" fontId="10526" fillId="8" borderId="1" xfId="0" applyNumberFormat="1" applyFont="1" applyFill="1" applyBorder="1" applyAlignment="1">
      <alignment horizontal="center" vertical="center"/>
    </xf>
    <xf numFmtId="2" fontId="10527" fillId="8" borderId="1" xfId="0" applyNumberFormat="1" applyFont="1" applyFill="1" applyBorder="1" applyAlignment="1">
      <alignment horizontal="center" vertical="center"/>
    </xf>
    <xf numFmtId="2" fontId="10528" fillId="8" borderId="1" xfId="0" applyNumberFormat="1" applyFont="1" applyFill="1" applyBorder="1" applyAlignment="1">
      <alignment horizontal="center" vertical="center"/>
    </xf>
    <xf numFmtId="2" fontId="10529" fillId="8" borderId="1" xfId="0" applyNumberFormat="1" applyFont="1" applyFill="1" applyBorder="1" applyAlignment="1">
      <alignment horizontal="center" vertical="center"/>
    </xf>
    <xf numFmtId="2" fontId="10530" fillId="8" borderId="1" xfId="0" applyNumberFormat="1" applyFont="1" applyFill="1" applyBorder="1" applyAlignment="1">
      <alignment horizontal="center" vertical="center"/>
    </xf>
    <xf numFmtId="0" fontId="10531" fillId="7" borderId="1" xfId="0" applyNumberFormat="1" applyFont="1" applyFill="1" applyBorder="1" applyAlignment="1">
      <alignment horizontal="left" vertical="center"/>
    </xf>
    <xf numFmtId="0" fontId="10532" fillId="8" borderId="1" xfId="0" applyNumberFormat="1" applyFont="1" applyFill="1" applyBorder="1" applyAlignment="1">
      <alignment horizontal="center" vertical="center"/>
    </xf>
    <xf numFmtId="164" fontId="10533" fillId="8" borderId="1" xfId="0" applyNumberFormat="1" applyFont="1" applyFill="1" applyBorder="1" applyAlignment="1">
      <alignment horizontal="center" vertical="center"/>
    </xf>
    <xf numFmtId="1" fontId="10534" fillId="8" borderId="1" xfId="0" applyNumberFormat="1" applyFont="1" applyFill="1" applyBorder="1" applyAlignment="1">
      <alignment horizontal="center" vertical="center"/>
    </xf>
    <xf numFmtId="1" fontId="10535" fillId="8" borderId="1" xfId="0" applyNumberFormat="1" applyFont="1" applyFill="1" applyBorder="1" applyAlignment="1">
      <alignment horizontal="center" vertical="center"/>
    </xf>
    <xf numFmtId="1" fontId="10536" fillId="8" borderId="1" xfId="0" applyNumberFormat="1" applyFont="1" applyFill="1" applyBorder="1" applyAlignment="1">
      <alignment horizontal="center" vertical="center"/>
    </xf>
    <xf numFmtId="1" fontId="10537" fillId="8" borderId="1" xfId="0" applyNumberFormat="1" applyFont="1" applyFill="1" applyBorder="1" applyAlignment="1">
      <alignment horizontal="center" vertical="center"/>
    </xf>
    <xf numFmtId="1" fontId="10538" fillId="8" borderId="1" xfId="0" applyNumberFormat="1" applyFont="1" applyFill="1" applyBorder="1" applyAlignment="1">
      <alignment horizontal="center" vertical="center"/>
    </xf>
    <xf numFmtId="1" fontId="10539" fillId="8" borderId="1" xfId="0" applyNumberFormat="1" applyFont="1" applyFill="1" applyBorder="1" applyAlignment="1">
      <alignment horizontal="center" vertical="center"/>
    </xf>
    <xf numFmtId="1" fontId="10540" fillId="8" borderId="1" xfId="0" applyNumberFormat="1" applyFont="1" applyFill="1" applyBorder="1" applyAlignment="1">
      <alignment horizontal="center" vertical="center"/>
    </xf>
    <xf numFmtId="0" fontId="10541" fillId="8" borderId="1" xfId="0" applyNumberFormat="1" applyFont="1" applyFill="1" applyBorder="1" applyAlignment="1">
      <alignment horizontal="center" vertical="center"/>
    </xf>
    <xf numFmtId="0" fontId="10542" fillId="8" borderId="1" xfId="0" applyNumberFormat="1" applyFont="1" applyFill="1" applyBorder="1" applyAlignment="1">
      <alignment horizontal="center" vertical="center"/>
    </xf>
    <xf numFmtId="1" fontId="10543" fillId="8" borderId="1" xfId="0" applyNumberFormat="1" applyFont="1" applyFill="1" applyBorder="1" applyAlignment="1">
      <alignment horizontal="center" vertical="center"/>
    </xf>
    <xf numFmtId="1" fontId="10544" fillId="8" borderId="1" xfId="0" applyNumberFormat="1" applyFont="1" applyFill="1" applyBorder="1" applyAlignment="1">
      <alignment horizontal="center" vertical="center"/>
    </xf>
    <xf numFmtId="1" fontId="10545" fillId="8" borderId="1" xfId="0" applyNumberFormat="1" applyFont="1" applyFill="1" applyBorder="1" applyAlignment="1">
      <alignment horizontal="center" vertical="center"/>
    </xf>
    <xf numFmtId="165" fontId="10546" fillId="8" borderId="1" xfId="0" applyNumberFormat="1" applyFont="1" applyFill="1" applyBorder="1" applyAlignment="1">
      <alignment horizontal="center" vertical="center"/>
    </xf>
    <xf numFmtId="1" fontId="10547" fillId="8" borderId="1" xfId="0" applyNumberFormat="1" applyFont="1" applyFill="1" applyBorder="1" applyAlignment="1">
      <alignment horizontal="center" vertical="center"/>
    </xf>
    <xf numFmtId="165" fontId="10548" fillId="8" borderId="1" xfId="0" applyNumberFormat="1" applyFont="1" applyFill="1" applyBorder="1" applyAlignment="1">
      <alignment horizontal="center" vertical="center"/>
    </xf>
    <xf numFmtId="1" fontId="10549" fillId="8" borderId="1" xfId="0" applyNumberFormat="1" applyFont="1" applyFill="1" applyBorder="1" applyAlignment="1">
      <alignment horizontal="center" vertical="center"/>
    </xf>
    <xf numFmtId="165" fontId="10550" fillId="8" borderId="1" xfId="0" applyNumberFormat="1" applyFont="1" applyFill="1" applyBorder="1" applyAlignment="1">
      <alignment horizontal="center" vertical="center"/>
    </xf>
    <xf numFmtId="1" fontId="10551" fillId="8" borderId="1" xfId="0" applyNumberFormat="1" applyFont="1" applyFill="1" applyBorder="1" applyAlignment="1">
      <alignment horizontal="center" vertical="center"/>
    </xf>
    <xf numFmtId="165" fontId="10552" fillId="8" borderId="1" xfId="0" applyNumberFormat="1" applyFont="1" applyFill="1" applyBorder="1" applyAlignment="1">
      <alignment horizontal="center" vertical="center"/>
    </xf>
    <xf numFmtId="165" fontId="10553" fillId="8" borderId="1" xfId="0" applyNumberFormat="1" applyFont="1" applyFill="1" applyBorder="1" applyAlignment="1">
      <alignment horizontal="center" vertical="center"/>
    </xf>
    <xf numFmtId="1" fontId="10554" fillId="8" borderId="1" xfId="0" applyNumberFormat="1" applyFont="1" applyFill="1" applyBorder="1" applyAlignment="1">
      <alignment horizontal="center" vertical="center"/>
    </xf>
    <xf numFmtId="1" fontId="10555" fillId="8" borderId="1" xfId="0" applyNumberFormat="1" applyFont="1" applyFill="1" applyBorder="1" applyAlignment="1">
      <alignment horizontal="center" vertical="center"/>
    </xf>
    <xf numFmtId="1" fontId="10556" fillId="8" borderId="1" xfId="0" applyNumberFormat="1" applyFont="1" applyFill="1" applyBorder="1" applyAlignment="1">
      <alignment horizontal="center" vertical="center"/>
    </xf>
    <xf numFmtId="165" fontId="10557" fillId="8" borderId="1" xfId="0" applyNumberFormat="1" applyFont="1" applyFill="1" applyBorder="1" applyAlignment="1">
      <alignment horizontal="center" vertical="center"/>
    </xf>
    <xf numFmtId="164" fontId="10558" fillId="8" borderId="1" xfId="0" applyNumberFormat="1" applyFont="1" applyFill="1" applyBorder="1" applyAlignment="1">
      <alignment horizontal="center" vertical="center"/>
    </xf>
    <xf numFmtId="164" fontId="10559" fillId="8" borderId="1" xfId="0" applyNumberFormat="1" applyFont="1" applyFill="1" applyBorder="1" applyAlignment="1">
      <alignment horizontal="center" vertical="center"/>
    </xf>
    <xf numFmtId="1" fontId="10560" fillId="8" borderId="1" xfId="0" applyNumberFormat="1" applyFont="1" applyFill="1" applyBorder="1" applyAlignment="1">
      <alignment horizontal="center" vertical="center"/>
    </xf>
    <xf numFmtId="1" fontId="10561" fillId="8" borderId="1" xfId="0" applyNumberFormat="1" applyFont="1" applyFill="1" applyBorder="1" applyAlignment="1">
      <alignment horizontal="center" vertical="center"/>
    </xf>
    <xf numFmtId="1" fontId="10562" fillId="8" borderId="1" xfId="0" applyNumberFormat="1" applyFont="1" applyFill="1" applyBorder="1" applyAlignment="1">
      <alignment horizontal="center" vertical="center"/>
    </xf>
    <xf numFmtId="165" fontId="10563" fillId="8" borderId="1" xfId="0" applyNumberFormat="1" applyFont="1" applyFill="1" applyBorder="1" applyAlignment="1">
      <alignment horizontal="center" vertical="center"/>
    </xf>
    <xf numFmtId="1" fontId="10564" fillId="8" borderId="1" xfId="0" applyNumberFormat="1" applyFont="1" applyFill="1" applyBorder="1" applyAlignment="1">
      <alignment horizontal="center" vertical="center"/>
    </xf>
    <xf numFmtId="165" fontId="10565" fillId="8" borderId="1" xfId="0" applyNumberFormat="1" applyFont="1" applyFill="1" applyBorder="1" applyAlignment="1">
      <alignment horizontal="center" vertical="center"/>
    </xf>
    <xf numFmtId="1" fontId="10566" fillId="8" borderId="1" xfId="0" applyNumberFormat="1" applyFont="1" applyFill="1" applyBorder="1" applyAlignment="1">
      <alignment horizontal="center" vertical="center"/>
    </xf>
    <xf numFmtId="1" fontId="10567" fillId="8" borderId="1" xfId="0" applyNumberFormat="1" applyFont="1" applyFill="1" applyBorder="1" applyAlignment="1">
      <alignment horizontal="center" vertical="center"/>
    </xf>
    <xf numFmtId="1" fontId="10568" fillId="8" borderId="1" xfId="0" applyNumberFormat="1" applyFont="1" applyFill="1" applyBorder="1" applyAlignment="1">
      <alignment horizontal="center" vertical="center"/>
    </xf>
    <xf numFmtId="1" fontId="10569" fillId="8" borderId="1" xfId="0" applyNumberFormat="1" applyFont="1" applyFill="1" applyBorder="1" applyAlignment="1">
      <alignment horizontal="center" vertical="center"/>
    </xf>
    <xf numFmtId="165" fontId="10570" fillId="8" borderId="1" xfId="0" applyNumberFormat="1" applyFont="1" applyFill="1" applyBorder="1" applyAlignment="1">
      <alignment horizontal="center" vertical="center"/>
    </xf>
    <xf numFmtId="1" fontId="10571" fillId="8" borderId="1" xfId="0" applyNumberFormat="1" applyFont="1" applyFill="1" applyBorder="1" applyAlignment="1">
      <alignment horizontal="center" vertical="center"/>
    </xf>
    <xf numFmtId="165" fontId="10572" fillId="8" borderId="1" xfId="0" applyNumberFormat="1" applyFont="1" applyFill="1" applyBorder="1" applyAlignment="1">
      <alignment horizontal="center" vertical="center"/>
    </xf>
    <xf numFmtId="1" fontId="10573" fillId="8" borderId="1" xfId="0" applyNumberFormat="1" applyFont="1" applyFill="1" applyBorder="1" applyAlignment="1">
      <alignment horizontal="center" vertical="center"/>
    </xf>
    <xf numFmtId="165" fontId="10574" fillId="8" borderId="1" xfId="0" applyNumberFormat="1" applyFont="1" applyFill="1" applyBorder="1" applyAlignment="1">
      <alignment horizontal="center" vertical="center"/>
    </xf>
    <xf numFmtId="2" fontId="10575" fillId="8" borderId="1" xfId="0" applyNumberFormat="1" applyFont="1" applyFill="1" applyBorder="1" applyAlignment="1">
      <alignment horizontal="center" vertical="center"/>
    </xf>
    <xf numFmtId="2" fontId="10576" fillId="8" borderId="1" xfId="0" applyNumberFormat="1" applyFont="1" applyFill="1" applyBorder="1" applyAlignment="1">
      <alignment horizontal="center" vertical="center"/>
    </xf>
    <xf numFmtId="2" fontId="10577" fillId="8" borderId="1" xfId="0" applyNumberFormat="1" applyFont="1" applyFill="1" applyBorder="1" applyAlignment="1">
      <alignment horizontal="center" vertical="center"/>
    </xf>
    <xf numFmtId="2" fontId="10578" fillId="8" borderId="1" xfId="0" applyNumberFormat="1" applyFont="1" applyFill="1" applyBorder="1" applyAlignment="1">
      <alignment horizontal="center" vertical="center"/>
    </xf>
    <xf numFmtId="2" fontId="10579" fillId="8" borderId="1" xfId="0" applyNumberFormat="1" applyFont="1" applyFill="1" applyBorder="1" applyAlignment="1">
      <alignment horizontal="center" vertical="center"/>
    </xf>
    <xf numFmtId="2" fontId="10580" fillId="8" borderId="1" xfId="0" applyNumberFormat="1" applyFont="1" applyFill="1" applyBorder="1" applyAlignment="1">
      <alignment horizontal="center" vertical="center"/>
    </xf>
    <xf numFmtId="2" fontId="10581" fillId="8" borderId="1" xfId="0" applyNumberFormat="1" applyFont="1" applyFill="1" applyBorder="1" applyAlignment="1">
      <alignment horizontal="center" vertical="center"/>
    </xf>
    <xf numFmtId="2" fontId="10582" fillId="8" borderId="1" xfId="0" applyNumberFormat="1" applyFont="1" applyFill="1" applyBorder="1" applyAlignment="1">
      <alignment horizontal="center" vertical="center"/>
    </xf>
    <xf numFmtId="2" fontId="10583" fillId="8" borderId="1" xfId="0" applyNumberFormat="1" applyFont="1" applyFill="1" applyBorder="1" applyAlignment="1">
      <alignment horizontal="center" vertical="center"/>
    </xf>
    <xf numFmtId="2" fontId="10584" fillId="8" borderId="1" xfId="0" applyNumberFormat="1" applyFont="1" applyFill="1" applyBorder="1" applyAlignment="1">
      <alignment horizontal="center" vertical="center"/>
    </xf>
    <xf numFmtId="2" fontId="10585" fillId="8" borderId="1" xfId="0" applyNumberFormat="1" applyFont="1" applyFill="1" applyBorder="1" applyAlignment="1">
      <alignment horizontal="center" vertical="center"/>
    </xf>
    <xf numFmtId="2" fontId="10586" fillId="8" borderId="1" xfId="0" applyNumberFormat="1" applyFont="1" applyFill="1" applyBorder="1" applyAlignment="1">
      <alignment horizontal="center" vertical="center"/>
    </xf>
    <xf numFmtId="2" fontId="10587" fillId="8" borderId="1" xfId="0" applyNumberFormat="1" applyFont="1" applyFill="1" applyBorder="1" applyAlignment="1">
      <alignment horizontal="center" vertical="center"/>
    </xf>
    <xf numFmtId="2" fontId="10588" fillId="8" borderId="1" xfId="0" applyNumberFormat="1" applyFont="1" applyFill="1" applyBorder="1" applyAlignment="1">
      <alignment horizontal="center" vertical="center"/>
    </xf>
    <xf numFmtId="2" fontId="10589" fillId="8" borderId="1" xfId="0" applyNumberFormat="1" applyFont="1" applyFill="1" applyBorder="1" applyAlignment="1">
      <alignment horizontal="center" vertical="center"/>
    </xf>
    <xf numFmtId="2" fontId="10590" fillId="8" borderId="1" xfId="0" applyNumberFormat="1" applyFont="1" applyFill="1" applyBorder="1" applyAlignment="1">
      <alignment horizontal="center" vertical="center"/>
    </xf>
    <xf numFmtId="2" fontId="10591" fillId="8" borderId="1" xfId="0" applyNumberFormat="1" applyFont="1" applyFill="1" applyBorder="1" applyAlignment="1">
      <alignment horizontal="center" vertical="center"/>
    </xf>
    <xf numFmtId="2" fontId="10592" fillId="8" borderId="1" xfId="0" applyNumberFormat="1" applyFont="1" applyFill="1" applyBorder="1" applyAlignment="1">
      <alignment horizontal="center" vertical="center"/>
    </xf>
    <xf numFmtId="2" fontId="10593" fillId="8" borderId="1" xfId="0" applyNumberFormat="1" applyFont="1" applyFill="1" applyBorder="1" applyAlignment="1">
      <alignment horizontal="center" vertical="center"/>
    </xf>
    <xf numFmtId="2" fontId="10594" fillId="8" borderId="1" xfId="0" applyNumberFormat="1" applyFont="1" applyFill="1" applyBorder="1" applyAlignment="1">
      <alignment horizontal="center" vertical="center"/>
    </xf>
    <xf numFmtId="2" fontId="10595" fillId="8" borderId="1" xfId="0" applyNumberFormat="1" applyFont="1" applyFill="1" applyBorder="1" applyAlignment="1">
      <alignment horizontal="center" vertical="center"/>
    </xf>
    <xf numFmtId="2" fontId="10596" fillId="8" borderId="1" xfId="0" applyNumberFormat="1" applyFont="1" applyFill="1" applyBorder="1" applyAlignment="1">
      <alignment horizontal="center" vertical="center"/>
    </xf>
    <xf numFmtId="2" fontId="10597" fillId="8" borderId="1" xfId="0" applyNumberFormat="1" applyFont="1" applyFill="1" applyBorder="1" applyAlignment="1">
      <alignment horizontal="center" vertical="center"/>
    </xf>
    <xf numFmtId="2" fontId="10598" fillId="8" borderId="1" xfId="0" applyNumberFormat="1" applyFont="1" applyFill="1" applyBorder="1" applyAlignment="1">
      <alignment horizontal="center" vertical="center"/>
    </xf>
    <xf numFmtId="2" fontId="10599" fillId="8" borderId="1" xfId="0" applyNumberFormat="1" applyFont="1" applyFill="1" applyBorder="1" applyAlignment="1">
      <alignment horizontal="center" vertical="center"/>
    </xf>
    <xf numFmtId="2" fontId="10600" fillId="8" borderId="1" xfId="0" applyNumberFormat="1" applyFont="1" applyFill="1" applyBorder="1" applyAlignment="1">
      <alignment horizontal="center" vertical="center"/>
    </xf>
    <xf numFmtId="2" fontId="10601" fillId="8" borderId="1" xfId="0" applyNumberFormat="1" applyFont="1" applyFill="1" applyBorder="1" applyAlignment="1">
      <alignment horizontal="center" vertical="center"/>
    </xf>
    <xf numFmtId="2" fontId="10602" fillId="8" borderId="1" xfId="0" applyNumberFormat="1" applyFont="1" applyFill="1" applyBorder="1" applyAlignment="1">
      <alignment horizontal="center" vertical="center"/>
    </xf>
    <xf numFmtId="2" fontId="10603" fillId="8" borderId="1" xfId="0" applyNumberFormat="1" applyFont="1" applyFill="1" applyBorder="1" applyAlignment="1">
      <alignment horizontal="center" vertical="center"/>
    </xf>
    <xf numFmtId="2" fontId="10604" fillId="8" borderId="1" xfId="0" applyNumberFormat="1" applyFont="1" applyFill="1" applyBorder="1" applyAlignment="1">
      <alignment horizontal="center" vertical="center"/>
    </xf>
    <xf numFmtId="2" fontId="10605" fillId="8" borderId="1" xfId="0" applyNumberFormat="1" applyFont="1" applyFill="1" applyBorder="1" applyAlignment="1">
      <alignment horizontal="center" vertical="center"/>
    </xf>
    <xf numFmtId="2" fontId="10606" fillId="8" borderId="1" xfId="0" applyNumberFormat="1" applyFont="1" applyFill="1" applyBorder="1" applyAlignment="1">
      <alignment horizontal="center" vertical="center"/>
    </xf>
    <xf numFmtId="2" fontId="10607" fillId="8" borderId="1" xfId="0" applyNumberFormat="1" applyFont="1" applyFill="1" applyBorder="1" applyAlignment="1">
      <alignment horizontal="center" vertical="center"/>
    </xf>
    <xf numFmtId="2" fontId="10608" fillId="8" borderId="1" xfId="0" applyNumberFormat="1" applyFont="1" applyFill="1" applyBorder="1" applyAlignment="1">
      <alignment horizontal="center" vertical="center"/>
    </xf>
    <xf numFmtId="0" fontId="10609" fillId="7" borderId="1" xfId="0" applyNumberFormat="1" applyFont="1" applyFill="1" applyBorder="1" applyAlignment="1">
      <alignment horizontal="left" vertical="center"/>
    </xf>
    <xf numFmtId="0" fontId="10610" fillId="8" borderId="1" xfId="0" applyNumberFormat="1" applyFont="1" applyFill="1" applyBorder="1" applyAlignment="1">
      <alignment horizontal="center" vertical="center"/>
    </xf>
    <xf numFmtId="164" fontId="10611" fillId="8" borderId="1" xfId="0" applyNumberFormat="1" applyFont="1" applyFill="1" applyBorder="1" applyAlignment="1">
      <alignment horizontal="center" vertical="center"/>
    </xf>
    <xf numFmtId="1" fontId="10612" fillId="8" borderId="1" xfId="0" applyNumberFormat="1" applyFont="1" applyFill="1" applyBorder="1" applyAlignment="1">
      <alignment horizontal="center" vertical="center"/>
    </xf>
    <xf numFmtId="1" fontId="10613" fillId="8" borderId="1" xfId="0" applyNumberFormat="1" applyFont="1" applyFill="1" applyBorder="1" applyAlignment="1">
      <alignment horizontal="center" vertical="center"/>
    </xf>
    <xf numFmtId="1" fontId="10614" fillId="8" borderId="1" xfId="0" applyNumberFormat="1" applyFont="1" applyFill="1" applyBorder="1" applyAlignment="1">
      <alignment horizontal="center" vertical="center"/>
    </xf>
    <xf numFmtId="1" fontId="10615" fillId="8" borderId="1" xfId="0" applyNumberFormat="1" applyFont="1" applyFill="1" applyBorder="1" applyAlignment="1">
      <alignment horizontal="center" vertical="center"/>
    </xf>
    <xf numFmtId="1" fontId="10616" fillId="8" borderId="1" xfId="0" applyNumberFormat="1" applyFont="1" applyFill="1" applyBorder="1" applyAlignment="1">
      <alignment horizontal="center" vertical="center"/>
    </xf>
    <xf numFmtId="1" fontId="10617" fillId="8" borderId="1" xfId="0" applyNumberFormat="1" applyFont="1" applyFill="1" applyBorder="1" applyAlignment="1">
      <alignment horizontal="center" vertical="center"/>
    </xf>
    <xf numFmtId="1" fontId="10618" fillId="8" borderId="1" xfId="0" applyNumberFormat="1" applyFont="1" applyFill="1" applyBorder="1" applyAlignment="1">
      <alignment horizontal="center" vertical="center"/>
    </xf>
    <xf numFmtId="0" fontId="10619" fillId="8" borderId="1" xfId="0" applyNumberFormat="1" applyFont="1" applyFill="1" applyBorder="1" applyAlignment="1">
      <alignment horizontal="center" vertical="center"/>
    </xf>
    <xf numFmtId="0" fontId="10620" fillId="8" borderId="1" xfId="0" applyNumberFormat="1" applyFont="1" applyFill="1" applyBorder="1" applyAlignment="1">
      <alignment horizontal="center" vertical="center"/>
    </xf>
    <xf numFmtId="1" fontId="10621" fillId="8" borderId="1" xfId="0" applyNumberFormat="1" applyFont="1" applyFill="1" applyBorder="1" applyAlignment="1">
      <alignment horizontal="center" vertical="center"/>
    </xf>
    <xf numFmtId="1" fontId="10622" fillId="8" borderId="1" xfId="0" applyNumberFormat="1" applyFont="1" applyFill="1" applyBorder="1" applyAlignment="1">
      <alignment horizontal="center" vertical="center"/>
    </xf>
    <xf numFmtId="1" fontId="10623" fillId="8" borderId="1" xfId="0" applyNumberFormat="1" applyFont="1" applyFill="1" applyBorder="1" applyAlignment="1">
      <alignment horizontal="center" vertical="center"/>
    </xf>
    <xf numFmtId="165" fontId="10624" fillId="8" borderId="1" xfId="0" applyNumberFormat="1" applyFont="1" applyFill="1" applyBorder="1" applyAlignment="1">
      <alignment horizontal="center" vertical="center"/>
    </xf>
    <xf numFmtId="1" fontId="10625" fillId="8" borderId="1" xfId="0" applyNumberFormat="1" applyFont="1" applyFill="1" applyBorder="1" applyAlignment="1">
      <alignment horizontal="center" vertical="center"/>
    </xf>
    <xf numFmtId="165" fontId="10626" fillId="8" borderId="1" xfId="0" applyNumberFormat="1" applyFont="1" applyFill="1" applyBorder="1" applyAlignment="1">
      <alignment horizontal="center" vertical="center"/>
    </xf>
    <xf numFmtId="1" fontId="10627" fillId="8" borderId="1" xfId="0" applyNumberFormat="1" applyFont="1" applyFill="1" applyBorder="1" applyAlignment="1">
      <alignment horizontal="center" vertical="center"/>
    </xf>
    <xf numFmtId="165" fontId="10628" fillId="8" borderId="1" xfId="0" applyNumberFormat="1" applyFont="1" applyFill="1" applyBorder="1" applyAlignment="1">
      <alignment horizontal="center" vertical="center"/>
    </xf>
    <xf numFmtId="1" fontId="10629" fillId="8" borderId="1" xfId="0" applyNumberFormat="1" applyFont="1" applyFill="1" applyBorder="1" applyAlignment="1">
      <alignment horizontal="center" vertical="center"/>
    </xf>
    <xf numFmtId="165" fontId="10630" fillId="8" borderId="1" xfId="0" applyNumberFormat="1" applyFont="1" applyFill="1" applyBorder="1" applyAlignment="1">
      <alignment horizontal="center" vertical="center"/>
    </xf>
    <xf numFmtId="165" fontId="10631" fillId="8" borderId="1" xfId="0" applyNumberFormat="1" applyFont="1" applyFill="1" applyBorder="1" applyAlignment="1">
      <alignment horizontal="center" vertical="center"/>
    </xf>
    <xf numFmtId="1" fontId="10632" fillId="8" borderId="1" xfId="0" applyNumberFormat="1" applyFont="1" applyFill="1" applyBorder="1" applyAlignment="1">
      <alignment horizontal="center" vertical="center"/>
    </xf>
    <xf numFmtId="1" fontId="10633" fillId="8" borderId="1" xfId="0" applyNumberFormat="1" applyFont="1" applyFill="1" applyBorder="1" applyAlignment="1">
      <alignment horizontal="center" vertical="center"/>
    </xf>
    <xf numFmtId="1" fontId="10634" fillId="8" borderId="1" xfId="0" applyNumberFormat="1" applyFont="1" applyFill="1" applyBorder="1" applyAlignment="1">
      <alignment horizontal="center" vertical="center"/>
    </xf>
    <xf numFmtId="165" fontId="10635" fillId="8" borderId="1" xfId="0" applyNumberFormat="1" applyFont="1" applyFill="1" applyBorder="1" applyAlignment="1">
      <alignment horizontal="center" vertical="center"/>
    </xf>
    <xf numFmtId="164" fontId="10636" fillId="8" borderId="1" xfId="0" applyNumberFormat="1" applyFont="1" applyFill="1" applyBorder="1" applyAlignment="1">
      <alignment horizontal="center" vertical="center"/>
    </xf>
    <xf numFmtId="164" fontId="10637" fillId="8" borderId="1" xfId="0" applyNumberFormat="1" applyFont="1" applyFill="1" applyBorder="1" applyAlignment="1">
      <alignment horizontal="center" vertical="center"/>
    </xf>
    <xf numFmtId="1" fontId="10638" fillId="8" borderId="1" xfId="0" applyNumberFormat="1" applyFont="1" applyFill="1" applyBorder="1" applyAlignment="1">
      <alignment horizontal="center" vertical="center"/>
    </xf>
    <xf numFmtId="1" fontId="10639" fillId="8" borderId="1" xfId="0" applyNumberFormat="1" applyFont="1" applyFill="1" applyBorder="1" applyAlignment="1">
      <alignment horizontal="center" vertical="center"/>
    </xf>
    <xf numFmtId="1" fontId="10640" fillId="8" borderId="1" xfId="0" applyNumberFormat="1" applyFont="1" applyFill="1" applyBorder="1" applyAlignment="1">
      <alignment horizontal="center" vertical="center"/>
    </xf>
    <xf numFmtId="165" fontId="10641" fillId="8" borderId="1" xfId="0" applyNumberFormat="1" applyFont="1" applyFill="1" applyBorder="1" applyAlignment="1">
      <alignment horizontal="center" vertical="center"/>
    </xf>
    <xf numFmtId="1" fontId="10642" fillId="8" borderId="1" xfId="0" applyNumberFormat="1" applyFont="1" applyFill="1" applyBorder="1" applyAlignment="1">
      <alignment horizontal="center" vertical="center"/>
    </xf>
    <xf numFmtId="165" fontId="10643" fillId="8" borderId="1" xfId="0" applyNumberFormat="1" applyFont="1" applyFill="1" applyBorder="1" applyAlignment="1">
      <alignment horizontal="center" vertical="center"/>
    </xf>
    <xf numFmtId="1" fontId="10644" fillId="8" borderId="1" xfId="0" applyNumberFormat="1" applyFont="1" applyFill="1" applyBorder="1" applyAlignment="1">
      <alignment horizontal="center" vertical="center"/>
    </xf>
    <xf numFmtId="1" fontId="10645" fillId="8" borderId="1" xfId="0" applyNumberFormat="1" applyFont="1" applyFill="1" applyBorder="1" applyAlignment="1">
      <alignment horizontal="center" vertical="center"/>
    </xf>
    <xf numFmtId="1" fontId="10646" fillId="8" borderId="1" xfId="0" applyNumberFormat="1" applyFont="1" applyFill="1" applyBorder="1" applyAlignment="1">
      <alignment horizontal="center" vertical="center"/>
    </xf>
    <xf numFmtId="1" fontId="10647" fillId="8" borderId="1" xfId="0" applyNumberFormat="1" applyFont="1" applyFill="1" applyBorder="1" applyAlignment="1">
      <alignment horizontal="center" vertical="center"/>
    </xf>
    <xf numFmtId="165" fontId="10648" fillId="8" borderId="1" xfId="0" applyNumberFormat="1" applyFont="1" applyFill="1" applyBorder="1" applyAlignment="1">
      <alignment horizontal="center" vertical="center"/>
    </xf>
    <xf numFmtId="1" fontId="10649" fillId="8" borderId="1" xfId="0" applyNumberFormat="1" applyFont="1" applyFill="1" applyBorder="1" applyAlignment="1">
      <alignment horizontal="center" vertical="center"/>
    </xf>
    <xf numFmtId="165" fontId="10650" fillId="8" borderId="1" xfId="0" applyNumberFormat="1" applyFont="1" applyFill="1" applyBorder="1" applyAlignment="1">
      <alignment horizontal="center" vertical="center"/>
    </xf>
    <xf numFmtId="1" fontId="10651" fillId="8" borderId="1" xfId="0" applyNumberFormat="1" applyFont="1" applyFill="1" applyBorder="1" applyAlignment="1">
      <alignment horizontal="center" vertical="center"/>
    </xf>
    <xf numFmtId="165" fontId="10652" fillId="8" borderId="1" xfId="0" applyNumberFormat="1" applyFont="1" applyFill="1" applyBorder="1" applyAlignment="1">
      <alignment horizontal="center" vertical="center"/>
    </xf>
    <xf numFmtId="2" fontId="10653" fillId="8" borderId="1" xfId="0" applyNumberFormat="1" applyFont="1" applyFill="1" applyBorder="1" applyAlignment="1">
      <alignment horizontal="center" vertical="center"/>
    </xf>
    <xf numFmtId="2" fontId="10654" fillId="8" borderId="1" xfId="0" applyNumberFormat="1" applyFont="1" applyFill="1" applyBorder="1" applyAlignment="1">
      <alignment horizontal="center" vertical="center"/>
    </xf>
    <xf numFmtId="2" fontId="10655" fillId="8" borderId="1" xfId="0" applyNumberFormat="1" applyFont="1" applyFill="1" applyBorder="1" applyAlignment="1">
      <alignment horizontal="center" vertical="center"/>
    </xf>
    <xf numFmtId="2" fontId="10656" fillId="8" borderId="1" xfId="0" applyNumberFormat="1" applyFont="1" applyFill="1" applyBorder="1" applyAlignment="1">
      <alignment horizontal="center" vertical="center"/>
    </xf>
    <xf numFmtId="2" fontId="10657" fillId="8" borderId="1" xfId="0" applyNumberFormat="1" applyFont="1" applyFill="1" applyBorder="1" applyAlignment="1">
      <alignment horizontal="center" vertical="center"/>
    </xf>
    <xf numFmtId="2" fontId="10658" fillId="8" borderId="1" xfId="0" applyNumberFormat="1" applyFont="1" applyFill="1" applyBorder="1" applyAlignment="1">
      <alignment horizontal="center" vertical="center"/>
    </xf>
    <xf numFmtId="2" fontId="10659" fillId="8" borderId="1" xfId="0" applyNumberFormat="1" applyFont="1" applyFill="1" applyBorder="1" applyAlignment="1">
      <alignment horizontal="center" vertical="center"/>
    </xf>
    <xf numFmtId="2" fontId="10660" fillId="8" borderId="1" xfId="0" applyNumberFormat="1" applyFont="1" applyFill="1" applyBorder="1" applyAlignment="1">
      <alignment horizontal="center" vertical="center"/>
    </xf>
    <xf numFmtId="2" fontId="10661" fillId="8" borderId="1" xfId="0" applyNumberFormat="1" applyFont="1" applyFill="1" applyBorder="1" applyAlignment="1">
      <alignment horizontal="center" vertical="center"/>
    </xf>
    <xf numFmtId="2" fontId="10662" fillId="8" borderId="1" xfId="0" applyNumberFormat="1" applyFont="1" applyFill="1" applyBorder="1" applyAlignment="1">
      <alignment horizontal="center" vertical="center"/>
    </xf>
    <xf numFmtId="2" fontId="10663" fillId="8" borderId="1" xfId="0" applyNumberFormat="1" applyFont="1" applyFill="1" applyBorder="1" applyAlignment="1">
      <alignment horizontal="center" vertical="center"/>
    </xf>
    <xf numFmtId="2" fontId="10664" fillId="8" borderId="1" xfId="0" applyNumberFormat="1" applyFont="1" applyFill="1" applyBorder="1" applyAlignment="1">
      <alignment horizontal="center" vertical="center"/>
    </xf>
    <xf numFmtId="2" fontId="10665" fillId="8" borderId="1" xfId="0" applyNumberFormat="1" applyFont="1" applyFill="1" applyBorder="1" applyAlignment="1">
      <alignment horizontal="center" vertical="center"/>
    </xf>
    <xf numFmtId="2" fontId="10666" fillId="8" borderId="1" xfId="0" applyNumberFormat="1" applyFont="1" applyFill="1" applyBorder="1" applyAlignment="1">
      <alignment horizontal="center" vertical="center"/>
    </xf>
    <xf numFmtId="2" fontId="10667" fillId="8" borderId="1" xfId="0" applyNumberFormat="1" applyFont="1" applyFill="1" applyBorder="1" applyAlignment="1">
      <alignment horizontal="center" vertical="center"/>
    </xf>
    <xf numFmtId="2" fontId="10668" fillId="8" borderId="1" xfId="0" applyNumberFormat="1" applyFont="1" applyFill="1" applyBorder="1" applyAlignment="1">
      <alignment horizontal="center" vertical="center"/>
    </xf>
    <xf numFmtId="2" fontId="10669" fillId="8" borderId="1" xfId="0" applyNumberFormat="1" applyFont="1" applyFill="1" applyBorder="1" applyAlignment="1">
      <alignment horizontal="center" vertical="center"/>
    </xf>
    <xf numFmtId="2" fontId="10670" fillId="8" borderId="1" xfId="0" applyNumberFormat="1" applyFont="1" applyFill="1" applyBorder="1" applyAlignment="1">
      <alignment horizontal="center" vertical="center"/>
    </xf>
    <xf numFmtId="2" fontId="10671" fillId="8" borderId="1" xfId="0" applyNumberFormat="1" applyFont="1" applyFill="1" applyBorder="1" applyAlignment="1">
      <alignment horizontal="center" vertical="center"/>
    </xf>
    <xf numFmtId="2" fontId="10672" fillId="8" borderId="1" xfId="0" applyNumberFormat="1" applyFont="1" applyFill="1" applyBorder="1" applyAlignment="1">
      <alignment horizontal="center" vertical="center"/>
    </xf>
    <xf numFmtId="2" fontId="10673" fillId="8" borderId="1" xfId="0" applyNumberFormat="1" applyFont="1" applyFill="1" applyBorder="1" applyAlignment="1">
      <alignment horizontal="center" vertical="center"/>
    </xf>
    <xf numFmtId="2" fontId="10674" fillId="8" borderId="1" xfId="0" applyNumberFormat="1" applyFont="1" applyFill="1" applyBorder="1" applyAlignment="1">
      <alignment horizontal="center" vertical="center"/>
    </xf>
    <xf numFmtId="2" fontId="10675" fillId="8" borderId="1" xfId="0" applyNumberFormat="1" applyFont="1" applyFill="1" applyBorder="1" applyAlignment="1">
      <alignment horizontal="center" vertical="center"/>
    </xf>
    <xf numFmtId="2" fontId="10676" fillId="8" borderId="1" xfId="0" applyNumberFormat="1" applyFont="1" applyFill="1" applyBorder="1" applyAlignment="1">
      <alignment horizontal="center" vertical="center"/>
    </xf>
    <xf numFmtId="2" fontId="10677" fillId="8" borderId="1" xfId="0" applyNumberFormat="1" applyFont="1" applyFill="1" applyBorder="1" applyAlignment="1">
      <alignment horizontal="center" vertical="center"/>
    </xf>
    <xf numFmtId="2" fontId="10678" fillId="8" borderId="1" xfId="0" applyNumberFormat="1" applyFont="1" applyFill="1" applyBorder="1" applyAlignment="1">
      <alignment horizontal="center" vertical="center"/>
    </xf>
    <xf numFmtId="2" fontId="10679" fillId="8" borderId="1" xfId="0" applyNumberFormat="1" applyFont="1" applyFill="1" applyBorder="1" applyAlignment="1">
      <alignment horizontal="center" vertical="center"/>
    </xf>
    <xf numFmtId="2" fontId="10680" fillId="8" borderId="1" xfId="0" applyNumberFormat="1" applyFont="1" applyFill="1" applyBorder="1" applyAlignment="1">
      <alignment horizontal="center" vertical="center"/>
    </xf>
    <xf numFmtId="2" fontId="10681" fillId="8" borderId="1" xfId="0" applyNumberFormat="1" applyFont="1" applyFill="1" applyBorder="1" applyAlignment="1">
      <alignment horizontal="center" vertical="center"/>
    </xf>
    <xf numFmtId="2" fontId="10682" fillId="8" borderId="1" xfId="0" applyNumberFormat="1" applyFont="1" applyFill="1" applyBorder="1" applyAlignment="1">
      <alignment horizontal="center" vertical="center"/>
    </xf>
    <xf numFmtId="2" fontId="10683" fillId="8" borderId="1" xfId="0" applyNumberFormat="1" applyFont="1" applyFill="1" applyBorder="1" applyAlignment="1">
      <alignment horizontal="center" vertical="center"/>
    </xf>
    <xf numFmtId="2" fontId="10684" fillId="8" borderId="1" xfId="0" applyNumberFormat="1" applyFont="1" applyFill="1" applyBorder="1" applyAlignment="1">
      <alignment horizontal="center" vertical="center"/>
    </xf>
    <xf numFmtId="2" fontId="10685" fillId="8" borderId="1" xfId="0" applyNumberFormat="1" applyFont="1" applyFill="1" applyBorder="1" applyAlignment="1">
      <alignment horizontal="center" vertical="center"/>
    </xf>
    <xf numFmtId="2" fontId="10686" fillId="8" borderId="1" xfId="0" applyNumberFormat="1" applyFont="1" applyFill="1" applyBorder="1" applyAlignment="1">
      <alignment horizontal="center" vertical="center"/>
    </xf>
    <xf numFmtId="0" fontId="10687" fillId="7" borderId="1" xfId="0" applyNumberFormat="1" applyFont="1" applyFill="1" applyBorder="1" applyAlignment="1">
      <alignment horizontal="left" vertical="center"/>
    </xf>
    <xf numFmtId="0" fontId="10688" fillId="8" borderId="1" xfId="0" applyNumberFormat="1" applyFont="1" applyFill="1" applyBorder="1" applyAlignment="1">
      <alignment horizontal="center" vertical="center"/>
    </xf>
    <xf numFmtId="164" fontId="10689" fillId="8" borderId="1" xfId="0" applyNumberFormat="1" applyFont="1" applyFill="1" applyBorder="1" applyAlignment="1">
      <alignment horizontal="center" vertical="center"/>
    </xf>
    <xf numFmtId="1" fontId="10690" fillId="8" borderId="1" xfId="0" applyNumberFormat="1" applyFont="1" applyFill="1" applyBorder="1" applyAlignment="1">
      <alignment horizontal="center" vertical="center"/>
    </xf>
    <xf numFmtId="1" fontId="10691" fillId="8" borderId="1" xfId="0" applyNumberFormat="1" applyFont="1" applyFill="1" applyBorder="1" applyAlignment="1">
      <alignment horizontal="center" vertical="center"/>
    </xf>
    <xf numFmtId="1" fontId="10692" fillId="8" borderId="1" xfId="0" applyNumberFormat="1" applyFont="1" applyFill="1" applyBorder="1" applyAlignment="1">
      <alignment horizontal="center" vertical="center"/>
    </xf>
    <xf numFmtId="1" fontId="10693" fillId="8" borderId="1" xfId="0" applyNumberFormat="1" applyFont="1" applyFill="1" applyBorder="1" applyAlignment="1">
      <alignment horizontal="center" vertical="center"/>
    </xf>
    <xf numFmtId="1" fontId="10694" fillId="8" borderId="1" xfId="0" applyNumberFormat="1" applyFont="1" applyFill="1" applyBorder="1" applyAlignment="1">
      <alignment horizontal="center" vertical="center"/>
    </xf>
    <xf numFmtId="1" fontId="10695" fillId="8" borderId="1" xfId="0" applyNumberFormat="1" applyFont="1" applyFill="1" applyBorder="1" applyAlignment="1">
      <alignment horizontal="center" vertical="center"/>
    </xf>
    <xf numFmtId="1" fontId="10696" fillId="8" borderId="1" xfId="0" applyNumberFormat="1" applyFont="1" applyFill="1" applyBorder="1" applyAlignment="1">
      <alignment horizontal="center" vertical="center"/>
    </xf>
    <xf numFmtId="0" fontId="10697" fillId="8" borderId="1" xfId="0" applyNumberFormat="1" applyFont="1" applyFill="1" applyBorder="1" applyAlignment="1">
      <alignment horizontal="center" vertical="center"/>
    </xf>
    <xf numFmtId="0" fontId="10698" fillId="8" borderId="1" xfId="0" applyNumberFormat="1" applyFont="1" applyFill="1" applyBorder="1" applyAlignment="1">
      <alignment horizontal="center" vertical="center"/>
    </xf>
    <xf numFmtId="1" fontId="10699" fillId="8" borderId="1" xfId="0" applyNumberFormat="1" applyFont="1" applyFill="1" applyBorder="1" applyAlignment="1">
      <alignment horizontal="center" vertical="center"/>
    </xf>
    <xf numFmtId="1" fontId="10700" fillId="8" borderId="1" xfId="0" applyNumberFormat="1" applyFont="1" applyFill="1" applyBorder="1" applyAlignment="1">
      <alignment horizontal="center" vertical="center"/>
    </xf>
    <xf numFmtId="1" fontId="10701" fillId="8" borderId="1" xfId="0" applyNumberFormat="1" applyFont="1" applyFill="1" applyBorder="1" applyAlignment="1">
      <alignment horizontal="center" vertical="center"/>
    </xf>
    <xf numFmtId="165" fontId="10702" fillId="8" borderId="1" xfId="0" applyNumberFormat="1" applyFont="1" applyFill="1" applyBorder="1" applyAlignment="1">
      <alignment horizontal="center" vertical="center"/>
    </xf>
    <xf numFmtId="1" fontId="10703" fillId="8" borderId="1" xfId="0" applyNumberFormat="1" applyFont="1" applyFill="1" applyBorder="1" applyAlignment="1">
      <alignment horizontal="center" vertical="center"/>
    </xf>
    <xf numFmtId="165" fontId="10704" fillId="8" borderId="1" xfId="0" applyNumberFormat="1" applyFont="1" applyFill="1" applyBorder="1" applyAlignment="1">
      <alignment horizontal="center" vertical="center"/>
    </xf>
    <xf numFmtId="1" fontId="10705" fillId="8" borderId="1" xfId="0" applyNumberFormat="1" applyFont="1" applyFill="1" applyBorder="1" applyAlignment="1">
      <alignment horizontal="center" vertical="center"/>
    </xf>
    <xf numFmtId="165" fontId="10706" fillId="8" borderId="1" xfId="0" applyNumberFormat="1" applyFont="1" applyFill="1" applyBorder="1" applyAlignment="1">
      <alignment horizontal="center" vertical="center"/>
    </xf>
    <xf numFmtId="1" fontId="10707" fillId="8" borderId="1" xfId="0" applyNumberFormat="1" applyFont="1" applyFill="1" applyBorder="1" applyAlignment="1">
      <alignment horizontal="center" vertical="center"/>
    </xf>
    <xf numFmtId="165" fontId="10708" fillId="8" borderId="1" xfId="0" applyNumberFormat="1" applyFont="1" applyFill="1" applyBorder="1" applyAlignment="1">
      <alignment horizontal="center" vertical="center"/>
    </xf>
    <xf numFmtId="165" fontId="10709" fillId="8" borderId="1" xfId="0" applyNumberFormat="1" applyFont="1" applyFill="1" applyBorder="1" applyAlignment="1">
      <alignment horizontal="center" vertical="center"/>
    </xf>
    <xf numFmtId="1" fontId="10710" fillId="8" borderId="1" xfId="0" applyNumberFormat="1" applyFont="1" applyFill="1" applyBorder="1" applyAlignment="1">
      <alignment horizontal="center" vertical="center"/>
    </xf>
    <xf numFmtId="1" fontId="10711" fillId="8" borderId="1" xfId="0" applyNumberFormat="1" applyFont="1" applyFill="1" applyBorder="1" applyAlignment="1">
      <alignment horizontal="center" vertical="center"/>
    </xf>
    <xf numFmtId="1" fontId="10712" fillId="8" borderId="1" xfId="0" applyNumberFormat="1" applyFont="1" applyFill="1" applyBorder="1" applyAlignment="1">
      <alignment horizontal="center" vertical="center"/>
    </xf>
    <xf numFmtId="165" fontId="10713" fillId="8" borderId="1" xfId="0" applyNumberFormat="1" applyFont="1" applyFill="1" applyBorder="1" applyAlignment="1">
      <alignment horizontal="center" vertical="center"/>
    </xf>
    <xf numFmtId="164" fontId="10714" fillId="8" borderId="1" xfId="0" applyNumberFormat="1" applyFont="1" applyFill="1" applyBorder="1" applyAlignment="1">
      <alignment horizontal="center" vertical="center"/>
    </xf>
    <xf numFmtId="164" fontId="10715" fillId="8" borderId="1" xfId="0" applyNumberFormat="1" applyFont="1" applyFill="1" applyBorder="1" applyAlignment="1">
      <alignment horizontal="center" vertical="center"/>
    </xf>
    <xf numFmtId="1" fontId="10716" fillId="8" borderId="1" xfId="0" applyNumberFormat="1" applyFont="1" applyFill="1" applyBorder="1" applyAlignment="1">
      <alignment horizontal="center" vertical="center"/>
    </xf>
    <xf numFmtId="1" fontId="10717" fillId="8" borderId="1" xfId="0" applyNumberFormat="1" applyFont="1" applyFill="1" applyBorder="1" applyAlignment="1">
      <alignment horizontal="center" vertical="center"/>
    </xf>
    <xf numFmtId="1" fontId="10718" fillId="8" borderId="1" xfId="0" applyNumberFormat="1" applyFont="1" applyFill="1" applyBorder="1" applyAlignment="1">
      <alignment horizontal="center" vertical="center"/>
    </xf>
    <xf numFmtId="165" fontId="10719" fillId="8" borderId="1" xfId="0" applyNumberFormat="1" applyFont="1" applyFill="1" applyBorder="1" applyAlignment="1">
      <alignment horizontal="center" vertical="center"/>
    </xf>
    <xf numFmtId="1" fontId="10720" fillId="8" borderId="1" xfId="0" applyNumberFormat="1" applyFont="1" applyFill="1" applyBorder="1" applyAlignment="1">
      <alignment horizontal="center" vertical="center"/>
    </xf>
    <xf numFmtId="165" fontId="10721" fillId="8" borderId="1" xfId="0" applyNumberFormat="1" applyFont="1" applyFill="1" applyBorder="1" applyAlignment="1">
      <alignment horizontal="center" vertical="center"/>
    </xf>
    <xf numFmtId="1" fontId="10722" fillId="8" borderId="1" xfId="0" applyNumberFormat="1" applyFont="1" applyFill="1" applyBorder="1" applyAlignment="1">
      <alignment horizontal="center" vertical="center"/>
    </xf>
    <xf numFmtId="1" fontId="10723" fillId="8" borderId="1" xfId="0" applyNumberFormat="1" applyFont="1" applyFill="1" applyBorder="1" applyAlignment="1">
      <alignment horizontal="center" vertical="center"/>
    </xf>
    <xf numFmtId="1" fontId="10724" fillId="8" borderId="1" xfId="0" applyNumberFormat="1" applyFont="1" applyFill="1" applyBorder="1" applyAlignment="1">
      <alignment horizontal="center" vertical="center"/>
    </xf>
    <xf numFmtId="1" fontId="10725" fillId="8" borderId="1" xfId="0" applyNumberFormat="1" applyFont="1" applyFill="1" applyBorder="1" applyAlignment="1">
      <alignment horizontal="center" vertical="center"/>
    </xf>
    <xf numFmtId="165" fontId="10726" fillId="8" borderId="1" xfId="0" applyNumberFormat="1" applyFont="1" applyFill="1" applyBorder="1" applyAlignment="1">
      <alignment horizontal="center" vertical="center"/>
    </xf>
    <xf numFmtId="1" fontId="10727" fillId="8" borderId="1" xfId="0" applyNumberFormat="1" applyFont="1" applyFill="1" applyBorder="1" applyAlignment="1">
      <alignment horizontal="center" vertical="center"/>
    </xf>
    <xf numFmtId="165" fontId="10728" fillId="8" borderId="1" xfId="0" applyNumberFormat="1" applyFont="1" applyFill="1" applyBorder="1" applyAlignment="1">
      <alignment horizontal="center" vertical="center"/>
    </xf>
    <xf numFmtId="1" fontId="10729" fillId="8" borderId="1" xfId="0" applyNumberFormat="1" applyFont="1" applyFill="1" applyBorder="1" applyAlignment="1">
      <alignment horizontal="center" vertical="center"/>
    </xf>
    <xf numFmtId="165" fontId="10730" fillId="8" borderId="1" xfId="0" applyNumberFormat="1" applyFont="1" applyFill="1" applyBorder="1" applyAlignment="1">
      <alignment horizontal="center" vertical="center"/>
    </xf>
    <xf numFmtId="2" fontId="10731" fillId="8" borderId="1" xfId="0" applyNumberFormat="1" applyFont="1" applyFill="1" applyBorder="1" applyAlignment="1">
      <alignment horizontal="center" vertical="center"/>
    </xf>
    <xf numFmtId="2" fontId="10732" fillId="8" borderId="1" xfId="0" applyNumberFormat="1" applyFont="1" applyFill="1" applyBorder="1" applyAlignment="1">
      <alignment horizontal="center" vertical="center"/>
    </xf>
    <xf numFmtId="2" fontId="10733" fillId="8" borderId="1" xfId="0" applyNumberFormat="1" applyFont="1" applyFill="1" applyBorder="1" applyAlignment="1">
      <alignment horizontal="center" vertical="center"/>
    </xf>
    <xf numFmtId="2" fontId="10734" fillId="8" borderId="1" xfId="0" applyNumberFormat="1" applyFont="1" applyFill="1" applyBorder="1" applyAlignment="1">
      <alignment horizontal="center" vertical="center"/>
    </xf>
    <xf numFmtId="2" fontId="10735" fillId="8" borderId="1" xfId="0" applyNumberFormat="1" applyFont="1" applyFill="1" applyBorder="1" applyAlignment="1">
      <alignment horizontal="center" vertical="center"/>
    </xf>
    <xf numFmtId="2" fontId="10736" fillId="8" borderId="1" xfId="0" applyNumberFormat="1" applyFont="1" applyFill="1" applyBorder="1" applyAlignment="1">
      <alignment horizontal="center" vertical="center"/>
    </xf>
    <xf numFmtId="2" fontId="10737" fillId="8" borderId="1" xfId="0" applyNumberFormat="1" applyFont="1" applyFill="1" applyBorder="1" applyAlignment="1">
      <alignment horizontal="center" vertical="center"/>
    </xf>
    <xf numFmtId="2" fontId="10738" fillId="8" borderId="1" xfId="0" applyNumberFormat="1" applyFont="1" applyFill="1" applyBorder="1" applyAlignment="1">
      <alignment horizontal="center" vertical="center"/>
    </xf>
    <xf numFmtId="2" fontId="10739" fillId="8" borderId="1" xfId="0" applyNumberFormat="1" applyFont="1" applyFill="1" applyBorder="1" applyAlignment="1">
      <alignment horizontal="center" vertical="center"/>
    </xf>
    <xf numFmtId="2" fontId="10740" fillId="8" borderId="1" xfId="0" applyNumberFormat="1" applyFont="1" applyFill="1" applyBorder="1" applyAlignment="1">
      <alignment horizontal="center" vertical="center"/>
    </xf>
    <xf numFmtId="2" fontId="10741" fillId="8" borderId="1" xfId="0" applyNumberFormat="1" applyFont="1" applyFill="1" applyBorder="1" applyAlignment="1">
      <alignment horizontal="center" vertical="center"/>
    </xf>
    <xf numFmtId="2" fontId="10742" fillId="8" borderId="1" xfId="0" applyNumberFormat="1" applyFont="1" applyFill="1" applyBorder="1" applyAlignment="1">
      <alignment horizontal="center" vertical="center"/>
    </xf>
    <xf numFmtId="2" fontId="10743" fillId="8" borderId="1" xfId="0" applyNumberFormat="1" applyFont="1" applyFill="1" applyBorder="1" applyAlignment="1">
      <alignment horizontal="center" vertical="center"/>
    </xf>
    <xf numFmtId="2" fontId="10744" fillId="8" borderId="1" xfId="0" applyNumberFormat="1" applyFont="1" applyFill="1" applyBorder="1" applyAlignment="1">
      <alignment horizontal="center" vertical="center"/>
    </xf>
    <xf numFmtId="2" fontId="10745" fillId="8" borderId="1" xfId="0" applyNumberFormat="1" applyFont="1" applyFill="1" applyBorder="1" applyAlignment="1">
      <alignment horizontal="center" vertical="center"/>
    </xf>
    <xf numFmtId="2" fontId="10746" fillId="8" borderId="1" xfId="0" applyNumberFormat="1" applyFont="1" applyFill="1" applyBorder="1" applyAlignment="1">
      <alignment horizontal="center" vertical="center"/>
    </xf>
    <xf numFmtId="2" fontId="10747" fillId="8" borderId="1" xfId="0" applyNumberFormat="1" applyFont="1" applyFill="1" applyBorder="1" applyAlignment="1">
      <alignment horizontal="center" vertical="center"/>
    </xf>
    <xf numFmtId="2" fontId="10748" fillId="8" borderId="1" xfId="0" applyNumberFormat="1" applyFont="1" applyFill="1" applyBorder="1" applyAlignment="1">
      <alignment horizontal="center" vertical="center"/>
    </xf>
    <xf numFmtId="2" fontId="10749" fillId="8" borderId="1" xfId="0" applyNumberFormat="1" applyFont="1" applyFill="1" applyBorder="1" applyAlignment="1">
      <alignment horizontal="center" vertical="center"/>
    </xf>
    <xf numFmtId="2" fontId="10750" fillId="8" borderId="1" xfId="0" applyNumberFormat="1" applyFont="1" applyFill="1" applyBorder="1" applyAlignment="1">
      <alignment horizontal="center" vertical="center"/>
    </xf>
    <xf numFmtId="2" fontId="10751" fillId="8" borderId="1" xfId="0" applyNumberFormat="1" applyFont="1" applyFill="1" applyBorder="1" applyAlignment="1">
      <alignment horizontal="center" vertical="center"/>
    </xf>
    <xf numFmtId="2" fontId="10752" fillId="8" borderId="1" xfId="0" applyNumberFormat="1" applyFont="1" applyFill="1" applyBorder="1" applyAlignment="1">
      <alignment horizontal="center" vertical="center"/>
    </xf>
    <xf numFmtId="2" fontId="10753" fillId="8" borderId="1" xfId="0" applyNumberFormat="1" applyFont="1" applyFill="1" applyBorder="1" applyAlignment="1">
      <alignment horizontal="center" vertical="center"/>
    </xf>
    <xf numFmtId="2" fontId="10754" fillId="8" borderId="1" xfId="0" applyNumberFormat="1" applyFont="1" applyFill="1" applyBorder="1" applyAlignment="1">
      <alignment horizontal="center" vertical="center"/>
    </xf>
    <xf numFmtId="2" fontId="10755" fillId="8" borderId="1" xfId="0" applyNumberFormat="1" applyFont="1" applyFill="1" applyBorder="1" applyAlignment="1">
      <alignment horizontal="center" vertical="center"/>
    </xf>
    <xf numFmtId="2" fontId="10756" fillId="8" borderId="1" xfId="0" applyNumberFormat="1" applyFont="1" applyFill="1" applyBorder="1" applyAlignment="1">
      <alignment horizontal="center" vertical="center"/>
    </xf>
    <xf numFmtId="2" fontId="10757" fillId="8" borderId="1" xfId="0" applyNumberFormat="1" applyFont="1" applyFill="1" applyBorder="1" applyAlignment="1">
      <alignment horizontal="center" vertical="center"/>
    </xf>
    <xf numFmtId="2" fontId="10758" fillId="8" borderId="1" xfId="0" applyNumberFormat="1" applyFont="1" applyFill="1" applyBorder="1" applyAlignment="1">
      <alignment horizontal="center" vertical="center"/>
    </xf>
    <xf numFmtId="2" fontId="10759" fillId="8" borderId="1" xfId="0" applyNumberFormat="1" applyFont="1" applyFill="1" applyBorder="1" applyAlignment="1">
      <alignment horizontal="center" vertical="center"/>
    </xf>
    <xf numFmtId="2" fontId="10760" fillId="8" borderId="1" xfId="0" applyNumberFormat="1" applyFont="1" applyFill="1" applyBorder="1" applyAlignment="1">
      <alignment horizontal="center" vertical="center"/>
    </xf>
    <xf numFmtId="2" fontId="10761" fillId="8" borderId="1" xfId="0" applyNumberFormat="1" applyFont="1" applyFill="1" applyBorder="1" applyAlignment="1">
      <alignment horizontal="center" vertical="center"/>
    </xf>
    <xf numFmtId="2" fontId="10762" fillId="8" borderId="1" xfId="0" applyNumberFormat="1" applyFont="1" applyFill="1" applyBorder="1" applyAlignment="1">
      <alignment horizontal="center" vertical="center"/>
    </xf>
    <xf numFmtId="2" fontId="10763" fillId="8" borderId="1" xfId="0" applyNumberFormat="1" applyFont="1" applyFill="1" applyBorder="1" applyAlignment="1">
      <alignment horizontal="center" vertical="center"/>
    </xf>
    <xf numFmtId="2" fontId="10764" fillId="8" borderId="1" xfId="0" applyNumberFormat="1" applyFont="1" applyFill="1" applyBorder="1" applyAlignment="1">
      <alignment horizontal="center" vertical="center"/>
    </xf>
    <xf numFmtId="0" fontId="10765" fillId="7" borderId="1" xfId="0" applyNumberFormat="1" applyFont="1" applyFill="1" applyBorder="1" applyAlignment="1">
      <alignment horizontal="left" vertical="center"/>
    </xf>
    <xf numFmtId="0" fontId="10766" fillId="8" borderId="1" xfId="0" applyNumberFormat="1" applyFont="1" applyFill="1" applyBorder="1" applyAlignment="1">
      <alignment horizontal="center" vertical="center"/>
    </xf>
    <xf numFmtId="164" fontId="10767" fillId="8" borderId="1" xfId="0" applyNumberFormat="1" applyFont="1" applyFill="1" applyBorder="1" applyAlignment="1">
      <alignment horizontal="center" vertical="center"/>
    </xf>
    <xf numFmtId="1" fontId="10768" fillId="8" borderId="1" xfId="0" applyNumberFormat="1" applyFont="1" applyFill="1" applyBorder="1" applyAlignment="1">
      <alignment horizontal="center" vertical="center"/>
    </xf>
    <xf numFmtId="1" fontId="10769" fillId="8" borderId="1" xfId="0" applyNumberFormat="1" applyFont="1" applyFill="1" applyBorder="1" applyAlignment="1">
      <alignment horizontal="center" vertical="center"/>
    </xf>
    <xf numFmtId="1" fontId="10770" fillId="8" borderId="1" xfId="0" applyNumberFormat="1" applyFont="1" applyFill="1" applyBorder="1" applyAlignment="1">
      <alignment horizontal="center" vertical="center"/>
    </xf>
    <xf numFmtId="1" fontId="10771" fillId="8" borderId="1" xfId="0" applyNumberFormat="1" applyFont="1" applyFill="1" applyBorder="1" applyAlignment="1">
      <alignment horizontal="center" vertical="center"/>
    </xf>
    <xf numFmtId="1" fontId="10772" fillId="8" borderId="1" xfId="0" applyNumberFormat="1" applyFont="1" applyFill="1" applyBorder="1" applyAlignment="1">
      <alignment horizontal="center" vertical="center"/>
    </xf>
    <xf numFmtId="1" fontId="10773" fillId="8" borderId="1" xfId="0" applyNumberFormat="1" applyFont="1" applyFill="1" applyBorder="1" applyAlignment="1">
      <alignment horizontal="center" vertical="center"/>
    </xf>
    <xf numFmtId="1" fontId="10774" fillId="8" borderId="1" xfId="0" applyNumberFormat="1" applyFont="1" applyFill="1" applyBorder="1" applyAlignment="1">
      <alignment horizontal="center" vertical="center"/>
    </xf>
    <xf numFmtId="0" fontId="10775" fillId="8" borderId="1" xfId="0" applyNumberFormat="1" applyFont="1" applyFill="1" applyBorder="1" applyAlignment="1">
      <alignment horizontal="center" vertical="center"/>
    </xf>
    <xf numFmtId="0" fontId="10776" fillId="8" borderId="1" xfId="0" applyNumberFormat="1" applyFont="1" applyFill="1" applyBorder="1" applyAlignment="1">
      <alignment horizontal="center" vertical="center"/>
    </xf>
    <xf numFmtId="1" fontId="10777" fillId="8" borderId="1" xfId="0" applyNumberFormat="1" applyFont="1" applyFill="1" applyBorder="1" applyAlignment="1">
      <alignment horizontal="center" vertical="center"/>
    </xf>
    <xf numFmtId="1" fontId="10778" fillId="8" borderId="1" xfId="0" applyNumberFormat="1" applyFont="1" applyFill="1" applyBorder="1" applyAlignment="1">
      <alignment horizontal="center" vertical="center"/>
    </xf>
    <xf numFmtId="1" fontId="10779" fillId="8" borderId="1" xfId="0" applyNumberFormat="1" applyFont="1" applyFill="1" applyBorder="1" applyAlignment="1">
      <alignment horizontal="center" vertical="center"/>
    </xf>
    <xf numFmtId="165" fontId="10780" fillId="8" borderId="1" xfId="0" applyNumberFormat="1" applyFont="1" applyFill="1" applyBorder="1" applyAlignment="1">
      <alignment horizontal="center" vertical="center"/>
    </xf>
    <xf numFmtId="1" fontId="10781" fillId="8" borderId="1" xfId="0" applyNumberFormat="1" applyFont="1" applyFill="1" applyBorder="1" applyAlignment="1">
      <alignment horizontal="center" vertical="center"/>
    </xf>
    <xf numFmtId="165" fontId="10782" fillId="8" borderId="1" xfId="0" applyNumberFormat="1" applyFont="1" applyFill="1" applyBorder="1" applyAlignment="1">
      <alignment horizontal="center" vertical="center"/>
    </xf>
    <xf numFmtId="1" fontId="10783" fillId="8" borderId="1" xfId="0" applyNumberFormat="1" applyFont="1" applyFill="1" applyBorder="1" applyAlignment="1">
      <alignment horizontal="center" vertical="center"/>
    </xf>
    <xf numFmtId="165" fontId="10784" fillId="8" borderId="1" xfId="0" applyNumberFormat="1" applyFont="1" applyFill="1" applyBorder="1" applyAlignment="1">
      <alignment horizontal="center" vertical="center"/>
    </xf>
    <xf numFmtId="1" fontId="10785" fillId="8" borderId="1" xfId="0" applyNumberFormat="1" applyFont="1" applyFill="1" applyBorder="1" applyAlignment="1">
      <alignment horizontal="center" vertical="center"/>
    </xf>
    <xf numFmtId="165" fontId="10786" fillId="8" borderId="1" xfId="0" applyNumberFormat="1" applyFont="1" applyFill="1" applyBorder="1" applyAlignment="1">
      <alignment horizontal="center" vertical="center"/>
    </xf>
    <xf numFmtId="165" fontId="10787" fillId="8" borderId="1" xfId="0" applyNumberFormat="1" applyFont="1" applyFill="1" applyBorder="1" applyAlignment="1">
      <alignment horizontal="center" vertical="center"/>
    </xf>
    <xf numFmtId="1" fontId="10788" fillId="8" borderId="1" xfId="0" applyNumberFormat="1" applyFont="1" applyFill="1" applyBorder="1" applyAlignment="1">
      <alignment horizontal="center" vertical="center"/>
    </xf>
    <xf numFmtId="1" fontId="10789" fillId="8" borderId="1" xfId="0" applyNumberFormat="1" applyFont="1" applyFill="1" applyBorder="1" applyAlignment="1">
      <alignment horizontal="center" vertical="center"/>
    </xf>
    <xf numFmtId="1" fontId="10790" fillId="8" borderId="1" xfId="0" applyNumberFormat="1" applyFont="1" applyFill="1" applyBorder="1" applyAlignment="1">
      <alignment horizontal="center" vertical="center"/>
    </xf>
    <xf numFmtId="165" fontId="10791" fillId="8" borderId="1" xfId="0" applyNumberFormat="1" applyFont="1" applyFill="1" applyBorder="1" applyAlignment="1">
      <alignment horizontal="center" vertical="center"/>
    </xf>
    <xf numFmtId="164" fontId="10792" fillId="8" borderId="1" xfId="0" applyNumberFormat="1" applyFont="1" applyFill="1" applyBorder="1" applyAlignment="1">
      <alignment horizontal="center" vertical="center"/>
    </xf>
    <xf numFmtId="164" fontId="10793" fillId="8" borderId="1" xfId="0" applyNumberFormat="1" applyFont="1" applyFill="1" applyBorder="1" applyAlignment="1">
      <alignment horizontal="center" vertical="center"/>
    </xf>
    <xf numFmtId="1" fontId="10794" fillId="8" borderId="1" xfId="0" applyNumberFormat="1" applyFont="1" applyFill="1" applyBorder="1" applyAlignment="1">
      <alignment horizontal="center" vertical="center"/>
    </xf>
    <xf numFmtId="1" fontId="10795" fillId="8" borderId="1" xfId="0" applyNumberFormat="1" applyFont="1" applyFill="1" applyBorder="1" applyAlignment="1">
      <alignment horizontal="center" vertical="center"/>
    </xf>
    <xf numFmtId="1" fontId="10796" fillId="8" borderId="1" xfId="0" applyNumberFormat="1" applyFont="1" applyFill="1" applyBorder="1" applyAlignment="1">
      <alignment horizontal="center" vertical="center"/>
    </xf>
    <xf numFmtId="165" fontId="10797" fillId="8" borderId="1" xfId="0" applyNumberFormat="1" applyFont="1" applyFill="1" applyBorder="1" applyAlignment="1">
      <alignment horizontal="center" vertical="center"/>
    </xf>
    <xf numFmtId="1" fontId="10798" fillId="8" borderId="1" xfId="0" applyNumberFormat="1" applyFont="1" applyFill="1" applyBorder="1" applyAlignment="1">
      <alignment horizontal="center" vertical="center"/>
    </xf>
    <xf numFmtId="165" fontId="10799" fillId="8" borderId="1" xfId="0" applyNumberFormat="1" applyFont="1" applyFill="1" applyBorder="1" applyAlignment="1">
      <alignment horizontal="center" vertical="center"/>
    </xf>
    <xf numFmtId="1" fontId="10800" fillId="8" borderId="1" xfId="0" applyNumberFormat="1" applyFont="1" applyFill="1" applyBorder="1" applyAlignment="1">
      <alignment horizontal="center" vertical="center"/>
    </xf>
    <xf numFmtId="1" fontId="10801" fillId="8" borderId="1" xfId="0" applyNumberFormat="1" applyFont="1" applyFill="1" applyBorder="1" applyAlignment="1">
      <alignment horizontal="center" vertical="center"/>
    </xf>
    <xf numFmtId="1" fontId="10802" fillId="8" borderId="1" xfId="0" applyNumberFormat="1" applyFont="1" applyFill="1" applyBorder="1" applyAlignment="1">
      <alignment horizontal="center" vertical="center"/>
    </xf>
    <xf numFmtId="1" fontId="10803" fillId="8" borderId="1" xfId="0" applyNumberFormat="1" applyFont="1" applyFill="1" applyBorder="1" applyAlignment="1">
      <alignment horizontal="center" vertical="center"/>
    </xf>
    <xf numFmtId="165" fontId="10804" fillId="8" borderId="1" xfId="0" applyNumberFormat="1" applyFont="1" applyFill="1" applyBorder="1" applyAlignment="1">
      <alignment horizontal="center" vertical="center"/>
    </xf>
    <xf numFmtId="1" fontId="10805" fillId="8" borderId="1" xfId="0" applyNumberFormat="1" applyFont="1" applyFill="1" applyBorder="1" applyAlignment="1">
      <alignment horizontal="center" vertical="center"/>
    </xf>
    <xf numFmtId="165" fontId="10806" fillId="8" borderId="1" xfId="0" applyNumberFormat="1" applyFont="1" applyFill="1" applyBorder="1" applyAlignment="1">
      <alignment horizontal="center" vertical="center"/>
    </xf>
    <xf numFmtId="1" fontId="10807" fillId="8" borderId="1" xfId="0" applyNumberFormat="1" applyFont="1" applyFill="1" applyBorder="1" applyAlignment="1">
      <alignment horizontal="center" vertical="center"/>
    </xf>
    <xf numFmtId="165" fontId="10808" fillId="8" borderId="1" xfId="0" applyNumberFormat="1" applyFont="1" applyFill="1" applyBorder="1" applyAlignment="1">
      <alignment horizontal="center" vertical="center"/>
    </xf>
    <xf numFmtId="2" fontId="10809" fillId="8" borderId="1" xfId="0" applyNumberFormat="1" applyFont="1" applyFill="1" applyBorder="1" applyAlignment="1">
      <alignment horizontal="center" vertical="center"/>
    </xf>
    <xf numFmtId="2" fontId="10810" fillId="8" borderId="1" xfId="0" applyNumberFormat="1" applyFont="1" applyFill="1" applyBorder="1" applyAlignment="1">
      <alignment horizontal="center" vertical="center"/>
    </xf>
    <xf numFmtId="2" fontId="10811" fillId="8" borderId="1" xfId="0" applyNumberFormat="1" applyFont="1" applyFill="1" applyBorder="1" applyAlignment="1">
      <alignment horizontal="center" vertical="center"/>
    </xf>
    <xf numFmtId="2" fontId="10812" fillId="8" borderId="1" xfId="0" applyNumberFormat="1" applyFont="1" applyFill="1" applyBorder="1" applyAlignment="1">
      <alignment horizontal="center" vertical="center"/>
    </xf>
    <xf numFmtId="2" fontId="10813" fillId="8" borderId="1" xfId="0" applyNumberFormat="1" applyFont="1" applyFill="1" applyBorder="1" applyAlignment="1">
      <alignment horizontal="center" vertical="center"/>
    </xf>
    <xf numFmtId="2" fontId="10814" fillId="8" borderId="1" xfId="0" applyNumberFormat="1" applyFont="1" applyFill="1" applyBorder="1" applyAlignment="1">
      <alignment horizontal="center" vertical="center"/>
    </xf>
    <xf numFmtId="2" fontId="10815" fillId="8" borderId="1" xfId="0" applyNumberFormat="1" applyFont="1" applyFill="1" applyBorder="1" applyAlignment="1">
      <alignment horizontal="center" vertical="center"/>
    </xf>
    <xf numFmtId="2" fontId="10816" fillId="8" borderId="1" xfId="0" applyNumberFormat="1" applyFont="1" applyFill="1" applyBorder="1" applyAlignment="1">
      <alignment horizontal="center" vertical="center"/>
    </xf>
    <xf numFmtId="2" fontId="10817" fillId="8" borderId="1" xfId="0" applyNumberFormat="1" applyFont="1" applyFill="1" applyBorder="1" applyAlignment="1">
      <alignment horizontal="center" vertical="center"/>
    </xf>
    <xf numFmtId="2" fontId="10818" fillId="8" borderId="1" xfId="0" applyNumberFormat="1" applyFont="1" applyFill="1" applyBorder="1" applyAlignment="1">
      <alignment horizontal="center" vertical="center"/>
    </xf>
    <xf numFmtId="2" fontId="10819" fillId="8" borderId="1" xfId="0" applyNumberFormat="1" applyFont="1" applyFill="1" applyBorder="1" applyAlignment="1">
      <alignment horizontal="center" vertical="center"/>
    </xf>
    <xf numFmtId="2" fontId="10820" fillId="8" borderId="1" xfId="0" applyNumberFormat="1" applyFont="1" applyFill="1" applyBorder="1" applyAlignment="1">
      <alignment horizontal="center" vertical="center"/>
    </xf>
    <xf numFmtId="2" fontId="10821" fillId="8" borderId="1" xfId="0" applyNumberFormat="1" applyFont="1" applyFill="1" applyBorder="1" applyAlignment="1">
      <alignment horizontal="center" vertical="center"/>
    </xf>
    <xf numFmtId="2" fontId="10822" fillId="8" borderId="1" xfId="0" applyNumberFormat="1" applyFont="1" applyFill="1" applyBorder="1" applyAlignment="1">
      <alignment horizontal="center" vertical="center"/>
    </xf>
    <xf numFmtId="2" fontId="10823" fillId="8" borderId="1" xfId="0" applyNumberFormat="1" applyFont="1" applyFill="1" applyBorder="1" applyAlignment="1">
      <alignment horizontal="center" vertical="center"/>
    </xf>
    <xf numFmtId="2" fontId="10824" fillId="8" borderId="1" xfId="0" applyNumberFormat="1" applyFont="1" applyFill="1" applyBorder="1" applyAlignment="1">
      <alignment horizontal="center" vertical="center"/>
    </xf>
    <xf numFmtId="2" fontId="10825" fillId="8" borderId="1" xfId="0" applyNumberFormat="1" applyFont="1" applyFill="1" applyBorder="1" applyAlignment="1">
      <alignment horizontal="center" vertical="center"/>
    </xf>
    <xf numFmtId="2" fontId="10826" fillId="8" borderId="1" xfId="0" applyNumberFormat="1" applyFont="1" applyFill="1" applyBorder="1" applyAlignment="1">
      <alignment horizontal="center" vertical="center"/>
    </xf>
    <xf numFmtId="2" fontId="10827" fillId="8" borderId="1" xfId="0" applyNumberFormat="1" applyFont="1" applyFill="1" applyBorder="1" applyAlignment="1">
      <alignment horizontal="center" vertical="center"/>
    </xf>
    <xf numFmtId="2" fontId="10828" fillId="8" borderId="1" xfId="0" applyNumberFormat="1" applyFont="1" applyFill="1" applyBorder="1" applyAlignment="1">
      <alignment horizontal="center" vertical="center"/>
    </xf>
    <xf numFmtId="2" fontId="10829" fillId="8" borderId="1" xfId="0" applyNumberFormat="1" applyFont="1" applyFill="1" applyBorder="1" applyAlignment="1">
      <alignment horizontal="center" vertical="center"/>
    </xf>
    <xf numFmtId="2" fontId="10830" fillId="8" borderId="1" xfId="0" applyNumberFormat="1" applyFont="1" applyFill="1" applyBorder="1" applyAlignment="1">
      <alignment horizontal="center" vertical="center"/>
    </xf>
    <xf numFmtId="2" fontId="10831" fillId="8" borderId="1" xfId="0" applyNumberFormat="1" applyFont="1" applyFill="1" applyBorder="1" applyAlignment="1">
      <alignment horizontal="center" vertical="center"/>
    </xf>
    <xf numFmtId="2" fontId="10832" fillId="8" borderId="1" xfId="0" applyNumberFormat="1" applyFont="1" applyFill="1" applyBorder="1" applyAlignment="1">
      <alignment horizontal="center" vertical="center"/>
    </xf>
    <xf numFmtId="2" fontId="10833" fillId="8" borderId="1" xfId="0" applyNumberFormat="1" applyFont="1" applyFill="1" applyBorder="1" applyAlignment="1">
      <alignment horizontal="center" vertical="center"/>
    </xf>
    <xf numFmtId="2" fontId="10834" fillId="8" borderId="1" xfId="0" applyNumberFormat="1" applyFont="1" applyFill="1" applyBorder="1" applyAlignment="1">
      <alignment horizontal="center" vertical="center"/>
    </xf>
    <xf numFmtId="2" fontId="10835" fillId="8" borderId="1" xfId="0" applyNumberFormat="1" applyFont="1" applyFill="1" applyBorder="1" applyAlignment="1">
      <alignment horizontal="center" vertical="center"/>
    </xf>
    <xf numFmtId="2" fontId="10836" fillId="8" borderId="1" xfId="0" applyNumberFormat="1" applyFont="1" applyFill="1" applyBorder="1" applyAlignment="1">
      <alignment horizontal="center" vertical="center"/>
    </xf>
    <xf numFmtId="2" fontId="10837" fillId="8" borderId="1" xfId="0" applyNumberFormat="1" applyFont="1" applyFill="1" applyBorder="1" applyAlignment="1">
      <alignment horizontal="center" vertical="center"/>
    </xf>
    <xf numFmtId="2" fontId="10838" fillId="8" borderId="1" xfId="0" applyNumberFormat="1" applyFont="1" applyFill="1" applyBorder="1" applyAlignment="1">
      <alignment horizontal="center" vertical="center"/>
    </xf>
    <xf numFmtId="2" fontId="10839" fillId="8" borderId="1" xfId="0" applyNumberFormat="1" applyFont="1" applyFill="1" applyBorder="1" applyAlignment="1">
      <alignment horizontal="center" vertical="center"/>
    </xf>
    <xf numFmtId="2" fontId="10840" fillId="8" borderId="1" xfId="0" applyNumberFormat="1" applyFont="1" applyFill="1" applyBorder="1" applyAlignment="1">
      <alignment horizontal="center" vertical="center"/>
    </xf>
    <xf numFmtId="2" fontId="10841" fillId="8" borderId="1" xfId="0" applyNumberFormat="1" applyFont="1" applyFill="1" applyBorder="1" applyAlignment="1">
      <alignment horizontal="center" vertical="center"/>
    </xf>
    <xf numFmtId="2" fontId="10842" fillId="8" borderId="1" xfId="0" applyNumberFormat="1" applyFont="1" applyFill="1" applyBorder="1" applyAlignment="1">
      <alignment horizontal="center" vertical="center"/>
    </xf>
    <xf numFmtId="0" fontId="10843" fillId="7" borderId="1" xfId="0" applyNumberFormat="1" applyFont="1" applyFill="1" applyBorder="1" applyAlignment="1">
      <alignment horizontal="left" vertical="center"/>
    </xf>
    <xf numFmtId="0" fontId="10844" fillId="8" borderId="1" xfId="0" applyNumberFormat="1" applyFont="1" applyFill="1" applyBorder="1" applyAlignment="1">
      <alignment horizontal="center" vertical="center"/>
    </xf>
    <xf numFmtId="164" fontId="10845" fillId="8" borderId="1" xfId="0" applyNumberFormat="1" applyFont="1" applyFill="1" applyBorder="1" applyAlignment="1">
      <alignment horizontal="center" vertical="center"/>
    </xf>
    <xf numFmtId="1" fontId="10846" fillId="8" borderId="1" xfId="0" applyNumberFormat="1" applyFont="1" applyFill="1" applyBorder="1" applyAlignment="1">
      <alignment horizontal="center" vertical="center"/>
    </xf>
    <xf numFmtId="1" fontId="10847" fillId="8" borderId="1" xfId="0" applyNumberFormat="1" applyFont="1" applyFill="1" applyBorder="1" applyAlignment="1">
      <alignment horizontal="center" vertical="center"/>
    </xf>
    <xf numFmtId="1" fontId="10848" fillId="8" borderId="1" xfId="0" applyNumberFormat="1" applyFont="1" applyFill="1" applyBorder="1" applyAlignment="1">
      <alignment horizontal="center" vertical="center"/>
    </xf>
    <xf numFmtId="1" fontId="10849" fillId="8" borderId="1" xfId="0" applyNumberFormat="1" applyFont="1" applyFill="1" applyBorder="1" applyAlignment="1">
      <alignment horizontal="center" vertical="center"/>
    </xf>
    <xf numFmtId="1" fontId="10850" fillId="8" borderId="1" xfId="0" applyNumberFormat="1" applyFont="1" applyFill="1" applyBorder="1" applyAlignment="1">
      <alignment horizontal="center" vertical="center"/>
    </xf>
    <xf numFmtId="1" fontId="10851" fillId="8" borderId="1" xfId="0" applyNumberFormat="1" applyFont="1" applyFill="1" applyBorder="1" applyAlignment="1">
      <alignment horizontal="center" vertical="center"/>
    </xf>
    <xf numFmtId="1" fontId="10852" fillId="8" borderId="1" xfId="0" applyNumberFormat="1" applyFont="1" applyFill="1" applyBorder="1" applyAlignment="1">
      <alignment horizontal="center" vertical="center"/>
    </xf>
    <xf numFmtId="0" fontId="10853" fillId="8" borderId="1" xfId="0" applyNumberFormat="1" applyFont="1" applyFill="1" applyBorder="1" applyAlignment="1">
      <alignment horizontal="center" vertical="center"/>
    </xf>
    <xf numFmtId="0" fontId="10854" fillId="8" borderId="1" xfId="0" applyNumberFormat="1" applyFont="1" applyFill="1" applyBorder="1" applyAlignment="1">
      <alignment horizontal="center" vertical="center"/>
    </xf>
    <xf numFmtId="1" fontId="10855" fillId="8" borderId="1" xfId="0" applyNumberFormat="1" applyFont="1" applyFill="1" applyBorder="1" applyAlignment="1">
      <alignment horizontal="center" vertical="center"/>
    </xf>
    <xf numFmtId="1" fontId="10856" fillId="8" borderId="1" xfId="0" applyNumberFormat="1" applyFont="1" applyFill="1" applyBorder="1" applyAlignment="1">
      <alignment horizontal="center" vertical="center"/>
    </xf>
    <xf numFmtId="1" fontId="10857" fillId="8" borderId="1" xfId="0" applyNumberFormat="1" applyFont="1" applyFill="1" applyBorder="1" applyAlignment="1">
      <alignment horizontal="center" vertical="center"/>
    </xf>
    <xf numFmtId="165" fontId="10858" fillId="8" borderId="1" xfId="0" applyNumberFormat="1" applyFont="1" applyFill="1" applyBorder="1" applyAlignment="1">
      <alignment horizontal="center" vertical="center"/>
    </xf>
    <xf numFmtId="1" fontId="10859" fillId="8" borderId="1" xfId="0" applyNumberFormat="1" applyFont="1" applyFill="1" applyBorder="1" applyAlignment="1">
      <alignment horizontal="center" vertical="center"/>
    </xf>
    <xf numFmtId="165" fontId="10860" fillId="8" borderId="1" xfId="0" applyNumberFormat="1" applyFont="1" applyFill="1" applyBorder="1" applyAlignment="1">
      <alignment horizontal="center" vertical="center"/>
    </xf>
    <xf numFmtId="1" fontId="10861" fillId="8" borderId="1" xfId="0" applyNumberFormat="1" applyFont="1" applyFill="1" applyBorder="1" applyAlignment="1">
      <alignment horizontal="center" vertical="center"/>
    </xf>
    <xf numFmtId="165" fontId="10862" fillId="8" borderId="1" xfId="0" applyNumberFormat="1" applyFont="1" applyFill="1" applyBorder="1" applyAlignment="1">
      <alignment horizontal="center" vertical="center"/>
    </xf>
    <xf numFmtId="1" fontId="10863" fillId="8" borderId="1" xfId="0" applyNumberFormat="1" applyFont="1" applyFill="1" applyBorder="1" applyAlignment="1">
      <alignment horizontal="center" vertical="center"/>
    </xf>
    <xf numFmtId="165" fontId="10864" fillId="8" borderId="1" xfId="0" applyNumberFormat="1" applyFont="1" applyFill="1" applyBorder="1" applyAlignment="1">
      <alignment horizontal="center" vertical="center"/>
    </xf>
    <xf numFmtId="165" fontId="10865" fillId="8" borderId="1" xfId="0" applyNumberFormat="1" applyFont="1" applyFill="1" applyBorder="1" applyAlignment="1">
      <alignment horizontal="center" vertical="center"/>
    </xf>
    <xf numFmtId="1" fontId="10866" fillId="8" borderId="1" xfId="0" applyNumberFormat="1" applyFont="1" applyFill="1" applyBorder="1" applyAlignment="1">
      <alignment horizontal="center" vertical="center"/>
    </xf>
    <xf numFmtId="1" fontId="10867" fillId="8" borderId="1" xfId="0" applyNumberFormat="1" applyFont="1" applyFill="1" applyBorder="1" applyAlignment="1">
      <alignment horizontal="center" vertical="center"/>
    </xf>
    <xf numFmtId="1" fontId="10868" fillId="8" borderId="1" xfId="0" applyNumberFormat="1" applyFont="1" applyFill="1" applyBorder="1" applyAlignment="1">
      <alignment horizontal="center" vertical="center"/>
    </xf>
    <xf numFmtId="165" fontId="10869" fillId="8" borderId="1" xfId="0" applyNumberFormat="1" applyFont="1" applyFill="1" applyBorder="1" applyAlignment="1">
      <alignment horizontal="center" vertical="center"/>
    </xf>
    <xf numFmtId="164" fontId="10870" fillId="8" borderId="1" xfId="0" applyNumberFormat="1" applyFont="1" applyFill="1" applyBorder="1" applyAlignment="1">
      <alignment horizontal="center" vertical="center"/>
    </xf>
    <xf numFmtId="164" fontId="10871" fillId="8" borderId="1" xfId="0" applyNumberFormat="1" applyFont="1" applyFill="1" applyBorder="1" applyAlignment="1">
      <alignment horizontal="center" vertical="center"/>
    </xf>
    <xf numFmtId="1" fontId="10872" fillId="8" borderId="1" xfId="0" applyNumberFormat="1" applyFont="1" applyFill="1" applyBorder="1" applyAlignment="1">
      <alignment horizontal="center" vertical="center"/>
    </xf>
    <xf numFmtId="1" fontId="10873" fillId="8" borderId="1" xfId="0" applyNumberFormat="1" applyFont="1" applyFill="1" applyBorder="1" applyAlignment="1">
      <alignment horizontal="center" vertical="center"/>
    </xf>
    <xf numFmtId="1" fontId="10874" fillId="8" borderId="1" xfId="0" applyNumberFormat="1" applyFont="1" applyFill="1" applyBorder="1" applyAlignment="1">
      <alignment horizontal="center" vertical="center"/>
    </xf>
    <xf numFmtId="165" fontId="10875" fillId="8" borderId="1" xfId="0" applyNumberFormat="1" applyFont="1" applyFill="1" applyBorder="1" applyAlignment="1">
      <alignment horizontal="center" vertical="center"/>
    </xf>
    <xf numFmtId="1" fontId="10876" fillId="8" borderId="1" xfId="0" applyNumberFormat="1" applyFont="1" applyFill="1" applyBorder="1" applyAlignment="1">
      <alignment horizontal="center" vertical="center"/>
    </xf>
    <xf numFmtId="165" fontId="10877" fillId="8" borderId="1" xfId="0" applyNumberFormat="1" applyFont="1" applyFill="1" applyBorder="1" applyAlignment="1">
      <alignment horizontal="center" vertical="center"/>
    </xf>
    <xf numFmtId="1" fontId="10878" fillId="8" borderId="1" xfId="0" applyNumberFormat="1" applyFont="1" applyFill="1" applyBorder="1" applyAlignment="1">
      <alignment horizontal="center" vertical="center"/>
    </xf>
    <xf numFmtId="1" fontId="10879" fillId="8" borderId="1" xfId="0" applyNumberFormat="1" applyFont="1" applyFill="1" applyBorder="1" applyAlignment="1">
      <alignment horizontal="center" vertical="center"/>
    </xf>
    <xf numFmtId="1" fontId="10880" fillId="8" borderId="1" xfId="0" applyNumberFormat="1" applyFont="1" applyFill="1" applyBorder="1" applyAlignment="1">
      <alignment horizontal="center" vertical="center"/>
    </xf>
    <xf numFmtId="1" fontId="10881" fillId="8" borderId="1" xfId="0" applyNumberFormat="1" applyFont="1" applyFill="1" applyBorder="1" applyAlignment="1">
      <alignment horizontal="center" vertical="center"/>
    </xf>
    <xf numFmtId="165" fontId="10882" fillId="8" borderId="1" xfId="0" applyNumberFormat="1" applyFont="1" applyFill="1" applyBorder="1" applyAlignment="1">
      <alignment horizontal="center" vertical="center"/>
    </xf>
    <xf numFmtId="1" fontId="10883" fillId="8" borderId="1" xfId="0" applyNumberFormat="1" applyFont="1" applyFill="1" applyBorder="1" applyAlignment="1">
      <alignment horizontal="center" vertical="center"/>
    </xf>
    <xf numFmtId="165" fontId="10884" fillId="8" borderId="1" xfId="0" applyNumberFormat="1" applyFont="1" applyFill="1" applyBorder="1" applyAlignment="1">
      <alignment horizontal="center" vertical="center"/>
    </xf>
    <xf numFmtId="1" fontId="10885" fillId="8" borderId="1" xfId="0" applyNumberFormat="1" applyFont="1" applyFill="1" applyBorder="1" applyAlignment="1">
      <alignment horizontal="center" vertical="center"/>
    </xf>
    <xf numFmtId="165" fontId="10886" fillId="8" borderId="1" xfId="0" applyNumberFormat="1" applyFont="1" applyFill="1" applyBorder="1" applyAlignment="1">
      <alignment horizontal="center" vertical="center"/>
    </xf>
    <xf numFmtId="2" fontId="10887" fillId="8" borderId="1" xfId="0" applyNumberFormat="1" applyFont="1" applyFill="1" applyBorder="1" applyAlignment="1">
      <alignment horizontal="center" vertical="center"/>
    </xf>
    <xf numFmtId="2" fontId="10888" fillId="8" borderId="1" xfId="0" applyNumberFormat="1" applyFont="1" applyFill="1" applyBorder="1" applyAlignment="1">
      <alignment horizontal="center" vertical="center"/>
    </xf>
    <xf numFmtId="2" fontId="10889" fillId="8" borderId="1" xfId="0" applyNumberFormat="1" applyFont="1" applyFill="1" applyBorder="1" applyAlignment="1">
      <alignment horizontal="center" vertical="center"/>
    </xf>
    <xf numFmtId="2" fontId="10890" fillId="8" borderId="1" xfId="0" applyNumberFormat="1" applyFont="1" applyFill="1" applyBorder="1" applyAlignment="1">
      <alignment horizontal="center" vertical="center"/>
    </xf>
    <xf numFmtId="2" fontId="10891" fillId="8" borderId="1" xfId="0" applyNumberFormat="1" applyFont="1" applyFill="1" applyBorder="1" applyAlignment="1">
      <alignment horizontal="center" vertical="center"/>
    </xf>
    <xf numFmtId="2" fontId="10892" fillId="8" borderId="1" xfId="0" applyNumberFormat="1" applyFont="1" applyFill="1" applyBorder="1" applyAlignment="1">
      <alignment horizontal="center" vertical="center"/>
    </xf>
    <xf numFmtId="2" fontId="10893" fillId="8" borderId="1" xfId="0" applyNumberFormat="1" applyFont="1" applyFill="1" applyBorder="1" applyAlignment="1">
      <alignment horizontal="center" vertical="center"/>
    </xf>
    <xf numFmtId="2" fontId="10894" fillId="8" borderId="1" xfId="0" applyNumberFormat="1" applyFont="1" applyFill="1" applyBorder="1" applyAlignment="1">
      <alignment horizontal="center" vertical="center"/>
    </xf>
    <xf numFmtId="2" fontId="10895" fillId="8" borderId="1" xfId="0" applyNumberFormat="1" applyFont="1" applyFill="1" applyBorder="1" applyAlignment="1">
      <alignment horizontal="center" vertical="center"/>
    </xf>
    <xf numFmtId="2" fontId="10896" fillId="8" borderId="1" xfId="0" applyNumberFormat="1" applyFont="1" applyFill="1" applyBorder="1" applyAlignment="1">
      <alignment horizontal="center" vertical="center"/>
    </xf>
    <xf numFmtId="2" fontId="10897" fillId="8" borderId="1" xfId="0" applyNumberFormat="1" applyFont="1" applyFill="1" applyBorder="1" applyAlignment="1">
      <alignment horizontal="center" vertical="center"/>
    </xf>
    <xf numFmtId="2" fontId="10898" fillId="8" borderId="1" xfId="0" applyNumberFormat="1" applyFont="1" applyFill="1" applyBorder="1" applyAlignment="1">
      <alignment horizontal="center" vertical="center"/>
    </xf>
    <xf numFmtId="2" fontId="10899" fillId="8" borderId="1" xfId="0" applyNumberFormat="1" applyFont="1" applyFill="1" applyBorder="1" applyAlignment="1">
      <alignment horizontal="center" vertical="center"/>
    </xf>
    <xf numFmtId="2" fontId="10900" fillId="8" borderId="1" xfId="0" applyNumberFormat="1" applyFont="1" applyFill="1" applyBorder="1" applyAlignment="1">
      <alignment horizontal="center" vertical="center"/>
    </xf>
    <xf numFmtId="2" fontId="10901" fillId="8" borderId="1" xfId="0" applyNumberFormat="1" applyFont="1" applyFill="1" applyBorder="1" applyAlignment="1">
      <alignment horizontal="center" vertical="center"/>
    </xf>
    <xf numFmtId="2" fontId="10902" fillId="8" borderId="1" xfId="0" applyNumberFormat="1" applyFont="1" applyFill="1" applyBorder="1" applyAlignment="1">
      <alignment horizontal="center" vertical="center"/>
    </xf>
    <xf numFmtId="2" fontId="10903" fillId="8" borderId="1" xfId="0" applyNumberFormat="1" applyFont="1" applyFill="1" applyBorder="1" applyAlignment="1">
      <alignment horizontal="center" vertical="center"/>
    </xf>
    <xf numFmtId="2" fontId="10904" fillId="8" borderId="1" xfId="0" applyNumberFormat="1" applyFont="1" applyFill="1" applyBorder="1" applyAlignment="1">
      <alignment horizontal="center" vertical="center"/>
    </xf>
    <xf numFmtId="2" fontId="10905" fillId="8" borderId="1" xfId="0" applyNumberFormat="1" applyFont="1" applyFill="1" applyBorder="1" applyAlignment="1">
      <alignment horizontal="center" vertical="center"/>
    </xf>
    <xf numFmtId="2" fontId="10906" fillId="8" borderId="1" xfId="0" applyNumberFormat="1" applyFont="1" applyFill="1" applyBorder="1" applyAlignment="1">
      <alignment horizontal="center" vertical="center"/>
    </xf>
    <xf numFmtId="2" fontId="10907" fillId="8" borderId="1" xfId="0" applyNumberFormat="1" applyFont="1" applyFill="1" applyBorder="1" applyAlignment="1">
      <alignment horizontal="center" vertical="center"/>
    </xf>
    <xf numFmtId="2" fontId="10908" fillId="8" borderId="1" xfId="0" applyNumberFormat="1" applyFont="1" applyFill="1" applyBorder="1" applyAlignment="1">
      <alignment horizontal="center" vertical="center"/>
    </xf>
    <xf numFmtId="2" fontId="10909" fillId="8" borderId="1" xfId="0" applyNumberFormat="1" applyFont="1" applyFill="1" applyBorder="1" applyAlignment="1">
      <alignment horizontal="center" vertical="center"/>
    </xf>
    <xf numFmtId="2" fontId="10910" fillId="8" borderId="1" xfId="0" applyNumberFormat="1" applyFont="1" applyFill="1" applyBorder="1" applyAlignment="1">
      <alignment horizontal="center" vertical="center"/>
    </xf>
    <xf numFmtId="2" fontId="10911" fillId="8" borderId="1" xfId="0" applyNumberFormat="1" applyFont="1" applyFill="1" applyBorder="1" applyAlignment="1">
      <alignment horizontal="center" vertical="center"/>
    </xf>
    <xf numFmtId="2" fontId="10912" fillId="8" borderId="1" xfId="0" applyNumberFormat="1" applyFont="1" applyFill="1" applyBorder="1" applyAlignment="1">
      <alignment horizontal="center" vertical="center"/>
    </xf>
    <xf numFmtId="2" fontId="10913" fillId="8" borderId="1" xfId="0" applyNumberFormat="1" applyFont="1" applyFill="1" applyBorder="1" applyAlignment="1">
      <alignment horizontal="center" vertical="center"/>
    </xf>
    <xf numFmtId="2" fontId="10914" fillId="8" borderId="1" xfId="0" applyNumberFormat="1" applyFont="1" applyFill="1" applyBorder="1" applyAlignment="1">
      <alignment horizontal="center" vertical="center"/>
    </xf>
    <xf numFmtId="2" fontId="10915" fillId="8" borderId="1" xfId="0" applyNumberFormat="1" applyFont="1" applyFill="1" applyBorder="1" applyAlignment="1">
      <alignment horizontal="center" vertical="center"/>
    </xf>
    <xf numFmtId="2" fontId="10916" fillId="8" borderId="1" xfId="0" applyNumberFormat="1" applyFont="1" applyFill="1" applyBorder="1" applyAlignment="1">
      <alignment horizontal="center" vertical="center"/>
    </xf>
    <xf numFmtId="2" fontId="10917" fillId="8" borderId="1" xfId="0" applyNumberFormat="1" applyFont="1" applyFill="1" applyBorder="1" applyAlignment="1">
      <alignment horizontal="center" vertical="center"/>
    </xf>
    <xf numFmtId="2" fontId="10918" fillId="8" borderId="1" xfId="0" applyNumberFormat="1" applyFont="1" applyFill="1" applyBorder="1" applyAlignment="1">
      <alignment horizontal="center" vertical="center"/>
    </xf>
    <xf numFmtId="2" fontId="10919" fillId="8" borderId="1" xfId="0" applyNumberFormat="1" applyFont="1" applyFill="1" applyBorder="1" applyAlignment="1">
      <alignment horizontal="center" vertical="center"/>
    </xf>
    <xf numFmtId="2" fontId="10920" fillId="8" borderId="1" xfId="0" applyNumberFormat="1" applyFont="1" applyFill="1" applyBorder="1" applyAlignment="1">
      <alignment horizontal="center" vertical="center"/>
    </xf>
    <xf numFmtId="0" fontId="10921" fillId="7" borderId="1" xfId="0" applyNumberFormat="1" applyFont="1" applyFill="1" applyBorder="1" applyAlignment="1">
      <alignment horizontal="left" vertical="center"/>
    </xf>
    <xf numFmtId="0" fontId="10922" fillId="8" borderId="1" xfId="0" applyNumberFormat="1" applyFont="1" applyFill="1" applyBorder="1" applyAlignment="1">
      <alignment horizontal="center" vertical="center"/>
    </xf>
    <xf numFmtId="164" fontId="10923" fillId="8" borderId="1" xfId="0" applyNumberFormat="1" applyFont="1" applyFill="1" applyBorder="1" applyAlignment="1">
      <alignment horizontal="center" vertical="center"/>
    </xf>
    <xf numFmtId="1" fontId="10924" fillId="8" borderId="1" xfId="0" applyNumberFormat="1" applyFont="1" applyFill="1" applyBorder="1" applyAlignment="1">
      <alignment horizontal="center" vertical="center"/>
    </xf>
    <xf numFmtId="1" fontId="10925" fillId="8" borderId="1" xfId="0" applyNumberFormat="1" applyFont="1" applyFill="1" applyBorder="1" applyAlignment="1">
      <alignment horizontal="center" vertical="center"/>
    </xf>
    <xf numFmtId="1" fontId="10926" fillId="8" borderId="1" xfId="0" applyNumberFormat="1" applyFont="1" applyFill="1" applyBorder="1" applyAlignment="1">
      <alignment horizontal="center" vertical="center"/>
    </xf>
    <xf numFmtId="1" fontId="10927" fillId="8" borderId="1" xfId="0" applyNumberFormat="1" applyFont="1" applyFill="1" applyBorder="1" applyAlignment="1">
      <alignment horizontal="center" vertical="center"/>
    </xf>
    <xf numFmtId="1" fontId="10928" fillId="8" borderId="1" xfId="0" applyNumberFormat="1" applyFont="1" applyFill="1" applyBorder="1" applyAlignment="1">
      <alignment horizontal="center" vertical="center"/>
    </xf>
    <xf numFmtId="1" fontId="10929" fillId="8" borderId="1" xfId="0" applyNumberFormat="1" applyFont="1" applyFill="1" applyBorder="1" applyAlignment="1">
      <alignment horizontal="center" vertical="center"/>
    </xf>
    <xf numFmtId="1" fontId="10930" fillId="8" borderId="1" xfId="0" applyNumberFormat="1" applyFont="1" applyFill="1" applyBorder="1" applyAlignment="1">
      <alignment horizontal="center" vertical="center"/>
    </xf>
    <xf numFmtId="0" fontId="10931" fillId="8" borderId="1" xfId="0" applyNumberFormat="1" applyFont="1" applyFill="1" applyBorder="1" applyAlignment="1">
      <alignment horizontal="center" vertical="center"/>
    </xf>
    <xf numFmtId="0" fontId="10932" fillId="8" borderId="1" xfId="0" applyNumberFormat="1" applyFont="1" applyFill="1" applyBorder="1" applyAlignment="1">
      <alignment horizontal="center" vertical="center"/>
    </xf>
    <xf numFmtId="1" fontId="10933" fillId="8" borderId="1" xfId="0" applyNumberFormat="1" applyFont="1" applyFill="1" applyBorder="1" applyAlignment="1">
      <alignment horizontal="center" vertical="center"/>
    </xf>
    <xf numFmtId="1" fontId="10934" fillId="8" borderId="1" xfId="0" applyNumberFormat="1" applyFont="1" applyFill="1" applyBorder="1" applyAlignment="1">
      <alignment horizontal="center" vertical="center"/>
    </xf>
    <xf numFmtId="1" fontId="10935" fillId="8" borderId="1" xfId="0" applyNumberFormat="1" applyFont="1" applyFill="1" applyBorder="1" applyAlignment="1">
      <alignment horizontal="center" vertical="center"/>
    </xf>
    <xf numFmtId="165" fontId="10936" fillId="8" borderId="1" xfId="0" applyNumberFormat="1" applyFont="1" applyFill="1" applyBorder="1" applyAlignment="1">
      <alignment horizontal="center" vertical="center"/>
    </xf>
    <xf numFmtId="1" fontId="10937" fillId="8" borderId="1" xfId="0" applyNumberFormat="1" applyFont="1" applyFill="1" applyBorder="1" applyAlignment="1">
      <alignment horizontal="center" vertical="center"/>
    </xf>
    <xf numFmtId="165" fontId="10938" fillId="8" borderId="1" xfId="0" applyNumberFormat="1" applyFont="1" applyFill="1" applyBorder="1" applyAlignment="1">
      <alignment horizontal="center" vertical="center"/>
    </xf>
    <xf numFmtId="1" fontId="10939" fillId="8" borderId="1" xfId="0" applyNumberFormat="1" applyFont="1" applyFill="1" applyBorder="1" applyAlignment="1">
      <alignment horizontal="center" vertical="center"/>
    </xf>
    <xf numFmtId="165" fontId="10940" fillId="8" borderId="1" xfId="0" applyNumberFormat="1" applyFont="1" applyFill="1" applyBorder="1" applyAlignment="1">
      <alignment horizontal="center" vertical="center"/>
    </xf>
    <xf numFmtId="1" fontId="10941" fillId="8" borderId="1" xfId="0" applyNumberFormat="1" applyFont="1" applyFill="1" applyBorder="1" applyAlignment="1">
      <alignment horizontal="center" vertical="center"/>
    </xf>
    <xf numFmtId="165" fontId="10942" fillId="8" borderId="1" xfId="0" applyNumberFormat="1" applyFont="1" applyFill="1" applyBorder="1" applyAlignment="1">
      <alignment horizontal="center" vertical="center"/>
    </xf>
    <xf numFmtId="165" fontId="10943" fillId="8" borderId="1" xfId="0" applyNumberFormat="1" applyFont="1" applyFill="1" applyBorder="1" applyAlignment="1">
      <alignment horizontal="center" vertical="center"/>
    </xf>
    <xf numFmtId="1" fontId="10944" fillId="8" borderId="1" xfId="0" applyNumberFormat="1" applyFont="1" applyFill="1" applyBorder="1" applyAlignment="1">
      <alignment horizontal="center" vertical="center"/>
    </xf>
    <xf numFmtId="1" fontId="10945" fillId="8" borderId="1" xfId="0" applyNumberFormat="1" applyFont="1" applyFill="1" applyBorder="1" applyAlignment="1">
      <alignment horizontal="center" vertical="center"/>
    </xf>
    <xf numFmtId="1" fontId="10946" fillId="8" borderId="1" xfId="0" applyNumberFormat="1" applyFont="1" applyFill="1" applyBorder="1" applyAlignment="1">
      <alignment horizontal="center" vertical="center"/>
    </xf>
    <xf numFmtId="165" fontId="10947" fillId="8" borderId="1" xfId="0" applyNumberFormat="1" applyFont="1" applyFill="1" applyBorder="1" applyAlignment="1">
      <alignment horizontal="center" vertical="center"/>
    </xf>
    <xf numFmtId="164" fontId="10948" fillId="8" borderId="1" xfId="0" applyNumberFormat="1" applyFont="1" applyFill="1" applyBorder="1" applyAlignment="1">
      <alignment horizontal="center" vertical="center"/>
    </xf>
    <xf numFmtId="164" fontId="10949" fillId="8" borderId="1" xfId="0" applyNumberFormat="1" applyFont="1" applyFill="1" applyBorder="1" applyAlignment="1">
      <alignment horizontal="center" vertical="center"/>
    </xf>
    <xf numFmtId="1" fontId="10950" fillId="8" borderId="1" xfId="0" applyNumberFormat="1" applyFont="1" applyFill="1" applyBorder="1" applyAlignment="1">
      <alignment horizontal="center" vertical="center"/>
    </xf>
    <xf numFmtId="1" fontId="10951" fillId="8" borderId="1" xfId="0" applyNumberFormat="1" applyFont="1" applyFill="1" applyBorder="1" applyAlignment="1">
      <alignment horizontal="center" vertical="center"/>
    </xf>
    <xf numFmtId="1" fontId="10952" fillId="8" borderId="1" xfId="0" applyNumberFormat="1" applyFont="1" applyFill="1" applyBorder="1" applyAlignment="1">
      <alignment horizontal="center" vertical="center"/>
    </xf>
    <xf numFmtId="165" fontId="10953" fillId="8" borderId="1" xfId="0" applyNumberFormat="1" applyFont="1" applyFill="1" applyBorder="1" applyAlignment="1">
      <alignment horizontal="center" vertical="center"/>
    </xf>
    <xf numFmtId="1" fontId="10954" fillId="8" borderId="1" xfId="0" applyNumberFormat="1" applyFont="1" applyFill="1" applyBorder="1" applyAlignment="1">
      <alignment horizontal="center" vertical="center"/>
    </xf>
    <xf numFmtId="165" fontId="10955" fillId="8" borderId="1" xfId="0" applyNumberFormat="1" applyFont="1" applyFill="1" applyBorder="1" applyAlignment="1">
      <alignment horizontal="center" vertical="center"/>
    </xf>
    <xf numFmtId="1" fontId="10956" fillId="8" borderId="1" xfId="0" applyNumberFormat="1" applyFont="1" applyFill="1" applyBorder="1" applyAlignment="1">
      <alignment horizontal="center" vertical="center"/>
    </xf>
    <xf numFmtId="1" fontId="10957" fillId="8" borderId="1" xfId="0" applyNumberFormat="1" applyFont="1" applyFill="1" applyBorder="1" applyAlignment="1">
      <alignment horizontal="center" vertical="center"/>
    </xf>
    <xf numFmtId="1" fontId="10958" fillId="8" borderId="1" xfId="0" applyNumberFormat="1" applyFont="1" applyFill="1" applyBorder="1" applyAlignment="1">
      <alignment horizontal="center" vertical="center"/>
    </xf>
    <xf numFmtId="1" fontId="10959" fillId="8" borderId="1" xfId="0" applyNumberFormat="1" applyFont="1" applyFill="1" applyBorder="1" applyAlignment="1">
      <alignment horizontal="center" vertical="center"/>
    </xf>
    <xf numFmtId="165" fontId="10960" fillId="8" borderId="1" xfId="0" applyNumberFormat="1" applyFont="1" applyFill="1" applyBorder="1" applyAlignment="1">
      <alignment horizontal="center" vertical="center"/>
    </xf>
    <xf numFmtId="1" fontId="10961" fillId="8" borderId="1" xfId="0" applyNumberFormat="1" applyFont="1" applyFill="1" applyBorder="1" applyAlignment="1">
      <alignment horizontal="center" vertical="center"/>
    </xf>
    <xf numFmtId="165" fontId="10962" fillId="8" borderId="1" xfId="0" applyNumberFormat="1" applyFont="1" applyFill="1" applyBorder="1" applyAlignment="1">
      <alignment horizontal="center" vertical="center"/>
    </xf>
    <xf numFmtId="1" fontId="10963" fillId="8" borderId="1" xfId="0" applyNumberFormat="1" applyFont="1" applyFill="1" applyBorder="1" applyAlignment="1">
      <alignment horizontal="center" vertical="center"/>
    </xf>
    <xf numFmtId="165" fontId="10964" fillId="8" borderId="1" xfId="0" applyNumberFormat="1" applyFont="1" applyFill="1" applyBorder="1" applyAlignment="1">
      <alignment horizontal="center" vertical="center"/>
    </xf>
    <xf numFmtId="2" fontId="10965" fillId="8" borderId="1" xfId="0" applyNumberFormat="1" applyFont="1" applyFill="1" applyBorder="1" applyAlignment="1">
      <alignment horizontal="center" vertical="center"/>
    </xf>
    <xf numFmtId="2" fontId="10966" fillId="8" borderId="1" xfId="0" applyNumberFormat="1" applyFont="1" applyFill="1" applyBorder="1" applyAlignment="1">
      <alignment horizontal="center" vertical="center"/>
    </xf>
    <xf numFmtId="2" fontId="10967" fillId="8" borderId="1" xfId="0" applyNumberFormat="1" applyFont="1" applyFill="1" applyBorder="1" applyAlignment="1">
      <alignment horizontal="center" vertical="center"/>
    </xf>
    <xf numFmtId="2" fontId="10968" fillId="8" borderId="1" xfId="0" applyNumberFormat="1" applyFont="1" applyFill="1" applyBorder="1" applyAlignment="1">
      <alignment horizontal="center" vertical="center"/>
    </xf>
    <xf numFmtId="2" fontId="10969" fillId="8" borderId="1" xfId="0" applyNumberFormat="1" applyFont="1" applyFill="1" applyBorder="1" applyAlignment="1">
      <alignment horizontal="center" vertical="center"/>
    </xf>
    <xf numFmtId="2" fontId="10970" fillId="8" borderId="1" xfId="0" applyNumberFormat="1" applyFont="1" applyFill="1" applyBorder="1" applyAlignment="1">
      <alignment horizontal="center" vertical="center"/>
    </xf>
    <xf numFmtId="2" fontId="10971" fillId="8" borderId="1" xfId="0" applyNumberFormat="1" applyFont="1" applyFill="1" applyBorder="1" applyAlignment="1">
      <alignment horizontal="center" vertical="center"/>
    </xf>
    <xf numFmtId="2" fontId="10972" fillId="8" borderId="1" xfId="0" applyNumberFormat="1" applyFont="1" applyFill="1" applyBorder="1" applyAlignment="1">
      <alignment horizontal="center" vertical="center"/>
    </xf>
    <xf numFmtId="2" fontId="10973" fillId="8" borderId="1" xfId="0" applyNumberFormat="1" applyFont="1" applyFill="1" applyBorder="1" applyAlignment="1">
      <alignment horizontal="center" vertical="center"/>
    </xf>
    <xf numFmtId="2" fontId="10974" fillId="8" borderId="1" xfId="0" applyNumberFormat="1" applyFont="1" applyFill="1" applyBorder="1" applyAlignment="1">
      <alignment horizontal="center" vertical="center"/>
    </xf>
    <xf numFmtId="2" fontId="10975" fillId="8" borderId="1" xfId="0" applyNumberFormat="1" applyFont="1" applyFill="1" applyBorder="1" applyAlignment="1">
      <alignment horizontal="center" vertical="center"/>
    </xf>
    <xf numFmtId="2" fontId="10976" fillId="8" borderId="1" xfId="0" applyNumberFormat="1" applyFont="1" applyFill="1" applyBorder="1" applyAlignment="1">
      <alignment horizontal="center" vertical="center"/>
    </xf>
    <xf numFmtId="2" fontId="10977" fillId="8" borderId="1" xfId="0" applyNumberFormat="1" applyFont="1" applyFill="1" applyBorder="1" applyAlignment="1">
      <alignment horizontal="center" vertical="center"/>
    </xf>
    <xf numFmtId="2" fontId="10978" fillId="8" borderId="1" xfId="0" applyNumberFormat="1" applyFont="1" applyFill="1" applyBorder="1" applyAlignment="1">
      <alignment horizontal="center" vertical="center"/>
    </xf>
    <xf numFmtId="2" fontId="10979" fillId="8" borderId="1" xfId="0" applyNumberFormat="1" applyFont="1" applyFill="1" applyBorder="1" applyAlignment="1">
      <alignment horizontal="center" vertical="center"/>
    </xf>
    <xf numFmtId="2" fontId="10980" fillId="8" borderId="1" xfId="0" applyNumberFormat="1" applyFont="1" applyFill="1" applyBorder="1" applyAlignment="1">
      <alignment horizontal="center" vertical="center"/>
    </xf>
    <xf numFmtId="2" fontId="10981" fillId="8" borderId="1" xfId="0" applyNumberFormat="1" applyFont="1" applyFill="1" applyBorder="1" applyAlignment="1">
      <alignment horizontal="center" vertical="center"/>
    </xf>
    <xf numFmtId="2" fontId="10982" fillId="8" borderId="1" xfId="0" applyNumberFormat="1" applyFont="1" applyFill="1" applyBorder="1" applyAlignment="1">
      <alignment horizontal="center" vertical="center"/>
    </xf>
    <xf numFmtId="2" fontId="10983" fillId="8" borderId="1" xfId="0" applyNumberFormat="1" applyFont="1" applyFill="1" applyBorder="1" applyAlignment="1">
      <alignment horizontal="center" vertical="center"/>
    </xf>
    <xf numFmtId="2" fontId="10984" fillId="8" borderId="1" xfId="0" applyNumberFormat="1" applyFont="1" applyFill="1" applyBorder="1" applyAlignment="1">
      <alignment horizontal="center" vertical="center"/>
    </xf>
    <xf numFmtId="2" fontId="10985" fillId="8" borderId="1" xfId="0" applyNumberFormat="1" applyFont="1" applyFill="1" applyBorder="1" applyAlignment="1">
      <alignment horizontal="center" vertical="center"/>
    </xf>
    <xf numFmtId="2" fontId="10986" fillId="8" borderId="1" xfId="0" applyNumberFormat="1" applyFont="1" applyFill="1" applyBorder="1" applyAlignment="1">
      <alignment horizontal="center" vertical="center"/>
    </xf>
    <xf numFmtId="2" fontId="10987" fillId="8" borderId="1" xfId="0" applyNumberFormat="1" applyFont="1" applyFill="1" applyBorder="1" applyAlignment="1">
      <alignment horizontal="center" vertical="center"/>
    </xf>
    <xf numFmtId="2" fontId="10988" fillId="8" borderId="1" xfId="0" applyNumberFormat="1" applyFont="1" applyFill="1" applyBorder="1" applyAlignment="1">
      <alignment horizontal="center" vertical="center"/>
    </xf>
    <xf numFmtId="2" fontId="10989" fillId="8" borderId="1" xfId="0" applyNumberFormat="1" applyFont="1" applyFill="1" applyBorder="1" applyAlignment="1">
      <alignment horizontal="center" vertical="center"/>
    </xf>
    <xf numFmtId="2" fontId="10990" fillId="8" borderId="1" xfId="0" applyNumberFormat="1" applyFont="1" applyFill="1" applyBorder="1" applyAlignment="1">
      <alignment horizontal="center" vertical="center"/>
    </xf>
    <xf numFmtId="2" fontId="10991" fillId="8" borderId="1" xfId="0" applyNumberFormat="1" applyFont="1" applyFill="1" applyBorder="1" applyAlignment="1">
      <alignment horizontal="center" vertical="center"/>
    </xf>
    <xf numFmtId="2" fontId="10992" fillId="8" borderId="1" xfId="0" applyNumberFormat="1" applyFont="1" applyFill="1" applyBorder="1" applyAlignment="1">
      <alignment horizontal="center" vertical="center"/>
    </xf>
    <xf numFmtId="2" fontId="10993" fillId="8" borderId="1" xfId="0" applyNumberFormat="1" applyFont="1" applyFill="1" applyBorder="1" applyAlignment="1">
      <alignment horizontal="center" vertical="center"/>
    </xf>
    <xf numFmtId="2" fontId="10994" fillId="8" borderId="1" xfId="0" applyNumberFormat="1" applyFont="1" applyFill="1" applyBorder="1" applyAlignment="1">
      <alignment horizontal="center" vertical="center"/>
    </xf>
    <xf numFmtId="2" fontId="10995" fillId="8" borderId="1" xfId="0" applyNumberFormat="1" applyFont="1" applyFill="1" applyBorder="1" applyAlignment="1">
      <alignment horizontal="center" vertical="center"/>
    </xf>
    <xf numFmtId="2" fontId="10996" fillId="8" borderId="1" xfId="0" applyNumberFormat="1" applyFont="1" applyFill="1" applyBorder="1" applyAlignment="1">
      <alignment horizontal="center" vertical="center"/>
    </xf>
    <xf numFmtId="2" fontId="10997" fillId="8" borderId="1" xfId="0" applyNumberFormat="1" applyFont="1" applyFill="1" applyBorder="1" applyAlignment="1">
      <alignment horizontal="center" vertical="center"/>
    </xf>
    <xf numFmtId="2" fontId="10998" fillId="8" borderId="1" xfId="0" applyNumberFormat="1" applyFont="1" applyFill="1" applyBorder="1" applyAlignment="1">
      <alignment horizontal="center" vertical="center"/>
    </xf>
    <xf numFmtId="0" fontId="10999" fillId="7" borderId="1" xfId="0" applyNumberFormat="1" applyFont="1" applyFill="1" applyBorder="1" applyAlignment="1">
      <alignment horizontal="left" vertical="center"/>
    </xf>
    <xf numFmtId="0" fontId="11000" fillId="8" borderId="1" xfId="0" applyNumberFormat="1" applyFont="1" applyFill="1" applyBorder="1" applyAlignment="1">
      <alignment horizontal="center" vertical="center"/>
    </xf>
    <xf numFmtId="164" fontId="11001" fillId="8" borderId="1" xfId="0" applyNumberFormat="1" applyFont="1" applyFill="1" applyBorder="1" applyAlignment="1">
      <alignment horizontal="center" vertical="center"/>
    </xf>
    <xf numFmtId="1" fontId="11002" fillId="8" borderId="1" xfId="0" applyNumberFormat="1" applyFont="1" applyFill="1" applyBorder="1" applyAlignment="1">
      <alignment horizontal="center" vertical="center"/>
    </xf>
    <xf numFmtId="1" fontId="11003" fillId="8" borderId="1" xfId="0" applyNumberFormat="1" applyFont="1" applyFill="1" applyBorder="1" applyAlignment="1">
      <alignment horizontal="center" vertical="center"/>
    </xf>
    <xf numFmtId="1" fontId="11004" fillId="8" borderId="1" xfId="0" applyNumberFormat="1" applyFont="1" applyFill="1" applyBorder="1" applyAlignment="1">
      <alignment horizontal="center" vertical="center"/>
    </xf>
    <xf numFmtId="1" fontId="11005" fillId="8" borderId="1" xfId="0" applyNumberFormat="1" applyFont="1" applyFill="1" applyBorder="1" applyAlignment="1">
      <alignment horizontal="center" vertical="center"/>
    </xf>
    <xf numFmtId="1" fontId="11006" fillId="8" borderId="1" xfId="0" applyNumberFormat="1" applyFont="1" applyFill="1" applyBorder="1" applyAlignment="1">
      <alignment horizontal="center" vertical="center"/>
    </xf>
    <xf numFmtId="1" fontId="11007" fillId="8" borderId="1" xfId="0" applyNumberFormat="1" applyFont="1" applyFill="1" applyBorder="1" applyAlignment="1">
      <alignment horizontal="center" vertical="center"/>
    </xf>
    <xf numFmtId="1" fontId="11008" fillId="8" borderId="1" xfId="0" applyNumberFormat="1" applyFont="1" applyFill="1" applyBorder="1" applyAlignment="1">
      <alignment horizontal="center" vertical="center"/>
    </xf>
    <xf numFmtId="0" fontId="11009" fillId="8" borderId="1" xfId="0" applyNumberFormat="1" applyFont="1" applyFill="1" applyBorder="1" applyAlignment="1">
      <alignment horizontal="center" vertical="center"/>
    </xf>
    <xf numFmtId="0" fontId="11010" fillId="8" borderId="1" xfId="0" applyNumberFormat="1" applyFont="1" applyFill="1" applyBorder="1" applyAlignment="1">
      <alignment horizontal="center" vertical="center"/>
    </xf>
    <xf numFmtId="1" fontId="11011" fillId="8" borderId="1" xfId="0" applyNumberFormat="1" applyFont="1" applyFill="1" applyBorder="1" applyAlignment="1">
      <alignment horizontal="center" vertical="center"/>
    </xf>
    <xf numFmtId="1" fontId="11012" fillId="8" borderId="1" xfId="0" applyNumberFormat="1" applyFont="1" applyFill="1" applyBorder="1" applyAlignment="1">
      <alignment horizontal="center" vertical="center"/>
    </xf>
    <xf numFmtId="1" fontId="11013" fillId="8" borderId="1" xfId="0" applyNumberFormat="1" applyFont="1" applyFill="1" applyBorder="1" applyAlignment="1">
      <alignment horizontal="center" vertical="center"/>
    </xf>
    <xf numFmtId="165" fontId="11014" fillId="8" borderId="1" xfId="0" applyNumberFormat="1" applyFont="1" applyFill="1" applyBorder="1" applyAlignment="1">
      <alignment horizontal="center" vertical="center"/>
    </xf>
    <xf numFmtId="1" fontId="11015" fillId="8" borderId="1" xfId="0" applyNumberFormat="1" applyFont="1" applyFill="1" applyBorder="1" applyAlignment="1">
      <alignment horizontal="center" vertical="center"/>
    </xf>
    <xf numFmtId="165" fontId="11016" fillId="8" borderId="1" xfId="0" applyNumberFormat="1" applyFont="1" applyFill="1" applyBorder="1" applyAlignment="1">
      <alignment horizontal="center" vertical="center"/>
    </xf>
    <xf numFmtId="1" fontId="11017" fillId="8" borderId="1" xfId="0" applyNumberFormat="1" applyFont="1" applyFill="1" applyBorder="1" applyAlignment="1">
      <alignment horizontal="center" vertical="center"/>
    </xf>
    <xf numFmtId="165" fontId="11018" fillId="8" borderId="1" xfId="0" applyNumberFormat="1" applyFont="1" applyFill="1" applyBorder="1" applyAlignment="1">
      <alignment horizontal="center" vertical="center"/>
    </xf>
    <xf numFmtId="1" fontId="11019" fillId="8" borderId="1" xfId="0" applyNumberFormat="1" applyFont="1" applyFill="1" applyBorder="1" applyAlignment="1">
      <alignment horizontal="center" vertical="center"/>
    </xf>
    <xf numFmtId="165" fontId="11020" fillId="8" borderId="1" xfId="0" applyNumberFormat="1" applyFont="1" applyFill="1" applyBorder="1" applyAlignment="1">
      <alignment horizontal="center" vertical="center"/>
    </xf>
    <xf numFmtId="165" fontId="11021" fillId="8" borderId="1" xfId="0" applyNumberFormat="1" applyFont="1" applyFill="1" applyBorder="1" applyAlignment="1">
      <alignment horizontal="center" vertical="center"/>
    </xf>
    <xf numFmtId="1" fontId="11022" fillId="8" borderId="1" xfId="0" applyNumberFormat="1" applyFont="1" applyFill="1" applyBorder="1" applyAlignment="1">
      <alignment horizontal="center" vertical="center"/>
    </xf>
    <xf numFmtId="1" fontId="11023" fillId="8" borderId="1" xfId="0" applyNumberFormat="1" applyFont="1" applyFill="1" applyBorder="1" applyAlignment="1">
      <alignment horizontal="center" vertical="center"/>
    </xf>
    <xf numFmtId="1" fontId="11024" fillId="8" borderId="1" xfId="0" applyNumberFormat="1" applyFont="1" applyFill="1" applyBorder="1" applyAlignment="1">
      <alignment horizontal="center" vertical="center"/>
    </xf>
    <xf numFmtId="165" fontId="11025" fillId="8" borderId="1" xfId="0" applyNumberFormat="1" applyFont="1" applyFill="1" applyBorder="1" applyAlignment="1">
      <alignment horizontal="center" vertical="center"/>
    </xf>
    <xf numFmtId="164" fontId="11026" fillId="8" borderId="1" xfId="0" applyNumberFormat="1" applyFont="1" applyFill="1" applyBorder="1" applyAlignment="1">
      <alignment horizontal="center" vertical="center"/>
    </xf>
    <xf numFmtId="164" fontId="11027" fillId="8" borderId="1" xfId="0" applyNumberFormat="1" applyFont="1" applyFill="1" applyBorder="1" applyAlignment="1">
      <alignment horizontal="center" vertical="center"/>
    </xf>
    <xf numFmtId="1" fontId="11028" fillId="8" borderId="1" xfId="0" applyNumberFormat="1" applyFont="1" applyFill="1" applyBorder="1" applyAlignment="1">
      <alignment horizontal="center" vertical="center"/>
    </xf>
    <xf numFmtId="1" fontId="11029" fillId="8" borderId="1" xfId="0" applyNumberFormat="1" applyFont="1" applyFill="1" applyBorder="1" applyAlignment="1">
      <alignment horizontal="center" vertical="center"/>
    </xf>
    <xf numFmtId="1" fontId="11030" fillId="8" borderId="1" xfId="0" applyNumberFormat="1" applyFont="1" applyFill="1" applyBorder="1" applyAlignment="1">
      <alignment horizontal="center" vertical="center"/>
    </xf>
    <xf numFmtId="165" fontId="11031" fillId="8" borderId="1" xfId="0" applyNumberFormat="1" applyFont="1" applyFill="1" applyBorder="1" applyAlignment="1">
      <alignment horizontal="center" vertical="center"/>
    </xf>
    <xf numFmtId="1" fontId="11032" fillId="8" borderId="1" xfId="0" applyNumberFormat="1" applyFont="1" applyFill="1" applyBorder="1" applyAlignment="1">
      <alignment horizontal="center" vertical="center"/>
    </xf>
    <xf numFmtId="165" fontId="11033" fillId="8" borderId="1" xfId="0" applyNumberFormat="1" applyFont="1" applyFill="1" applyBorder="1" applyAlignment="1">
      <alignment horizontal="center" vertical="center"/>
    </xf>
    <xf numFmtId="1" fontId="11034" fillId="8" borderId="1" xfId="0" applyNumberFormat="1" applyFont="1" applyFill="1" applyBorder="1" applyAlignment="1">
      <alignment horizontal="center" vertical="center"/>
    </xf>
    <xf numFmtId="1" fontId="11035" fillId="8" borderId="1" xfId="0" applyNumberFormat="1" applyFont="1" applyFill="1" applyBorder="1" applyAlignment="1">
      <alignment horizontal="center" vertical="center"/>
    </xf>
    <xf numFmtId="1" fontId="11036" fillId="8" borderId="1" xfId="0" applyNumberFormat="1" applyFont="1" applyFill="1" applyBorder="1" applyAlignment="1">
      <alignment horizontal="center" vertical="center"/>
    </xf>
    <xf numFmtId="1" fontId="11037" fillId="8" borderId="1" xfId="0" applyNumberFormat="1" applyFont="1" applyFill="1" applyBorder="1" applyAlignment="1">
      <alignment horizontal="center" vertical="center"/>
    </xf>
    <xf numFmtId="165" fontId="11038" fillId="8" borderId="1" xfId="0" applyNumberFormat="1" applyFont="1" applyFill="1" applyBorder="1" applyAlignment="1">
      <alignment horizontal="center" vertical="center"/>
    </xf>
    <xf numFmtId="1" fontId="11039" fillId="8" borderId="1" xfId="0" applyNumberFormat="1" applyFont="1" applyFill="1" applyBorder="1" applyAlignment="1">
      <alignment horizontal="center" vertical="center"/>
    </xf>
    <xf numFmtId="165" fontId="11040" fillId="8" borderId="1" xfId="0" applyNumberFormat="1" applyFont="1" applyFill="1" applyBorder="1" applyAlignment="1">
      <alignment horizontal="center" vertical="center"/>
    </xf>
    <xf numFmtId="1" fontId="11041" fillId="8" borderId="1" xfId="0" applyNumberFormat="1" applyFont="1" applyFill="1" applyBorder="1" applyAlignment="1">
      <alignment horizontal="center" vertical="center"/>
    </xf>
    <xf numFmtId="165" fontId="11042" fillId="8" borderId="1" xfId="0" applyNumberFormat="1" applyFont="1" applyFill="1" applyBorder="1" applyAlignment="1">
      <alignment horizontal="center" vertical="center"/>
    </xf>
    <xf numFmtId="2" fontId="11043" fillId="8" borderId="1" xfId="0" applyNumberFormat="1" applyFont="1" applyFill="1" applyBorder="1" applyAlignment="1">
      <alignment horizontal="center" vertical="center"/>
    </xf>
    <xf numFmtId="2" fontId="11044" fillId="8" borderId="1" xfId="0" applyNumberFormat="1" applyFont="1" applyFill="1" applyBorder="1" applyAlignment="1">
      <alignment horizontal="center" vertical="center"/>
    </xf>
    <xf numFmtId="2" fontId="11045" fillId="8" borderId="1" xfId="0" applyNumberFormat="1" applyFont="1" applyFill="1" applyBorder="1" applyAlignment="1">
      <alignment horizontal="center" vertical="center"/>
    </xf>
    <xf numFmtId="2" fontId="11046" fillId="8" borderId="1" xfId="0" applyNumberFormat="1" applyFont="1" applyFill="1" applyBorder="1" applyAlignment="1">
      <alignment horizontal="center" vertical="center"/>
    </xf>
    <xf numFmtId="2" fontId="11047" fillId="8" borderId="1" xfId="0" applyNumberFormat="1" applyFont="1" applyFill="1" applyBorder="1" applyAlignment="1">
      <alignment horizontal="center" vertical="center"/>
    </xf>
    <xf numFmtId="2" fontId="11048" fillId="8" borderId="1" xfId="0" applyNumberFormat="1" applyFont="1" applyFill="1" applyBorder="1" applyAlignment="1">
      <alignment horizontal="center" vertical="center"/>
    </xf>
    <xf numFmtId="2" fontId="11049" fillId="8" borderId="1" xfId="0" applyNumberFormat="1" applyFont="1" applyFill="1" applyBorder="1" applyAlignment="1">
      <alignment horizontal="center" vertical="center"/>
    </xf>
    <xf numFmtId="2" fontId="11050" fillId="8" borderId="1" xfId="0" applyNumberFormat="1" applyFont="1" applyFill="1" applyBorder="1" applyAlignment="1">
      <alignment horizontal="center" vertical="center"/>
    </xf>
    <xf numFmtId="2" fontId="11051" fillId="8" borderId="1" xfId="0" applyNumberFormat="1" applyFont="1" applyFill="1" applyBorder="1" applyAlignment="1">
      <alignment horizontal="center" vertical="center"/>
    </xf>
    <xf numFmtId="2" fontId="11052" fillId="8" borderId="1" xfId="0" applyNumberFormat="1" applyFont="1" applyFill="1" applyBorder="1" applyAlignment="1">
      <alignment horizontal="center" vertical="center"/>
    </xf>
    <xf numFmtId="2" fontId="11053" fillId="8" borderId="1" xfId="0" applyNumberFormat="1" applyFont="1" applyFill="1" applyBorder="1" applyAlignment="1">
      <alignment horizontal="center" vertical="center"/>
    </xf>
    <xf numFmtId="2" fontId="11054" fillId="8" borderId="1" xfId="0" applyNumberFormat="1" applyFont="1" applyFill="1" applyBorder="1" applyAlignment="1">
      <alignment horizontal="center" vertical="center"/>
    </xf>
    <xf numFmtId="2" fontId="11055" fillId="8" borderId="1" xfId="0" applyNumberFormat="1" applyFont="1" applyFill="1" applyBorder="1" applyAlignment="1">
      <alignment horizontal="center" vertical="center"/>
    </xf>
    <xf numFmtId="2" fontId="11056" fillId="8" borderId="1" xfId="0" applyNumberFormat="1" applyFont="1" applyFill="1" applyBorder="1" applyAlignment="1">
      <alignment horizontal="center" vertical="center"/>
    </xf>
    <xf numFmtId="2" fontId="11057" fillId="8" borderId="1" xfId="0" applyNumberFormat="1" applyFont="1" applyFill="1" applyBorder="1" applyAlignment="1">
      <alignment horizontal="center" vertical="center"/>
    </xf>
    <xf numFmtId="2" fontId="11058" fillId="8" borderId="1" xfId="0" applyNumberFormat="1" applyFont="1" applyFill="1" applyBorder="1" applyAlignment="1">
      <alignment horizontal="center" vertical="center"/>
    </xf>
    <xf numFmtId="2" fontId="11059" fillId="8" borderId="1" xfId="0" applyNumberFormat="1" applyFont="1" applyFill="1" applyBorder="1" applyAlignment="1">
      <alignment horizontal="center" vertical="center"/>
    </xf>
    <xf numFmtId="2" fontId="11060" fillId="8" borderId="1" xfId="0" applyNumberFormat="1" applyFont="1" applyFill="1" applyBorder="1" applyAlignment="1">
      <alignment horizontal="center" vertical="center"/>
    </xf>
    <xf numFmtId="2" fontId="11061" fillId="8" borderId="1" xfId="0" applyNumberFormat="1" applyFont="1" applyFill="1" applyBorder="1" applyAlignment="1">
      <alignment horizontal="center" vertical="center"/>
    </xf>
    <xf numFmtId="2" fontId="11062" fillId="8" borderId="1" xfId="0" applyNumberFormat="1" applyFont="1" applyFill="1" applyBorder="1" applyAlignment="1">
      <alignment horizontal="center" vertical="center"/>
    </xf>
    <xf numFmtId="2" fontId="11063" fillId="8" borderId="1" xfId="0" applyNumberFormat="1" applyFont="1" applyFill="1" applyBorder="1" applyAlignment="1">
      <alignment horizontal="center" vertical="center"/>
    </xf>
    <xf numFmtId="2" fontId="11064" fillId="8" borderId="1" xfId="0" applyNumberFormat="1" applyFont="1" applyFill="1" applyBorder="1" applyAlignment="1">
      <alignment horizontal="center" vertical="center"/>
    </xf>
    <xf numFmtId="2" fontId="11065" fillId="8" borderId="1" xfId="0" applyNumberFormat="1" applyFont="1" applyFill="1" applyBorder="1" applyAlignment="1">
      <alignment horizontal="center" vertical="center"/>
    </xf>
    <xf numFmtId="2" fontId="11066" fillId="8" borderId="1" xfId="0" applyNumberFormat="1" applyFont="1" applyFill="1" applyBorder="1" applyAlignment="1">
      <alignment horizontal="center" vertical="center"/>
    </xf>
    <xf numFmtId="2" fontId="11067" fillId="8" borderId="1" xfId="0" applyNumberFormat="1" applyFont="1" applyFill="1" applyBorder="1" applyAlignment="1">
      <alignment horizontal="center" vertical="center"/>
    </xf>
    <xf numFmtId="2" fontId="11068" fillId="8" borderId="1" xfId="0" applyNumberFormat="1" applyFont="1" applyFill="1" applyBorder="1" applyAlignment="1">
      <alignment horizontal="center" vertical="center"/>
    </xf>
    <xf numFmtId="2" fontId="11069" fillId="8" borderId="1" xfId="0" applyNumberFormat="1" applyFont="1" applyFill="1" applyBorder="1" applyAlignment="1">
      <alignment horizontal="center" vertical="center"/>
    </xf>
    <xf numFmtId="2" fontId="11070" fillId="8" borderId="1" xfId="0" applyNumberFormat="1" applyFont="1" applyFill="1" applyBorder="1" applyAlignment="1">
      <alignment horizontal="center" vertical="center"/>
    </xf>
    <xf numFmtId="2" fontId="11071" fillId="8" borderId="1" xfId="0" applyNumberFormat="1" applyFont="1" applyFill="1" applyBorder="1" applyAlignment="1">
      <alignment horizontal="center" vertical="center"/>
    </xf>
    <xf numFmtId="2" fontId="11072" fillId="8" borderId="1" xfId="0" applyNumberFormat="1" applyFont="1" applyFill="1" applyBorder="1" applyAlignment="1">
      <alignment horizontal="center" vertical="center"/>
    </xf>
    <xf numFmtId="2" fontId="11073" fillId="8" borderId="1" xfId="0" applyNumberFormat="1" applyFont="1" applyFill="1" applyBorder="1" applyAlignment="1">
      <alignment horizontal="center" vertical="center"/>
    </xf>
    <xf numFmtId="2" fontId="11074" fillId="8" borderId="1" xfId="0" applyNumberFormat="1" applyFont="1" applyFill="1" applyBorder="1" applyAlignment="1">
      <alignment horizontal="center" vertical="center"/>
    </xf>
    <xf numFmtId="2" fontId="11075" fillId="8" borderId="1" xfId="0" applyNumberFormat="1" applyFont="1" applyFill="1" applyBorder="1" applyAlignment="1">
      <alignment horizontal="center" vertical="center"/>
    </xf>
    <xf numFmtId="2" fontId="11076" fillId="8" borderId="1" xfId="0" applyNumberFormat="1" applyFont="1" applyFill="1" applyBorder="1" applyAlignment="1">
      <alignment horizontal="center" vertical="center"/>
    </xf>
    <xf numFmtId="0" fontId="11077" fillId="7" borderId="1" xfId="0" applyNumberFormat="1" applyFont="1" applyFill="1" applyBorder="1" applyAlignment="1">
      <alignment horizontal="left" vertical="center"/>
    </xf>
    <xf numFmtId="0" fontId="11078" fillId="8" borderId="1" xfId="0" applyNumberFormat="1" applyFont="1" applyFill="1" applyBorder="1" applyAlignment="1">
      <alignment horizontal="center" vertical="center"/>
    </xf>
    <xf numFmtId="164" fontId="11079" fillId="8" borderId="1" xfId="0" applyNumberFormat="1" applyFont="1" applyFill="1" applyBorder="1" applyAlignment="1">
      <alignment horizontal="center" vertical="center"/>
    </xf>
    <xf numFmtId="1" fontId="11080" fillId="8" borderId="1" xfId="0" applyNumberFormat="1" applyFont="1" applyFill="1" applyBorder="1" applyAlignment="1">
      <alignment horizontal="center" vertical="center"/>
    </xf>
    <xf numFmtId="1" fontId="11081" fillId="8" borderId="1" xfId="0" applyNumberFormat="1" applyFont="1" applyFill="1" applyBorder="1" applyAlignment="1">
      <alignment horizontal="center" vertical="center"/>
    </xf>
    <xf numFmtId="1" fontId="11082" fillId="8" borderId="1" xfId="0" applyNumberFormat="1" applyFont="1" applyFill="1" applyBorder="1" applyAlignment="1">
      <alignment horizontal="center" vertical="center"/>
    </xf>
    <xf numFmtId="1" fontId="11083" fillId="8" borderId="1" xfId="0" applyNumberFormat="1" applyFont="1" applyFill="1" applyBorder="1" applyAlignment="1">
      <alignment horizontal="center" vertical="center"/>
    </xf>
    <xf numFmtId="1" fontId="11084" fillId="8" borderId="1" xfId="0" applyNumberFormat="1" applyFont="1" applyFill="1" applyBorder="1" applyAlignment="1">
      <alignment horizontal="center" vertical="center"/>
    </xf>
    <xf numFmtId="1" fontId="11085" fillId="8" borderId="1" xfId="0" applyNumberFormat="1" applyFont="1" applyFill="1" applyBorder="1" applyAlignment="1">
      <alignment horizontal="center" vertical="center"/>
    </xf>
    <xf numFmtId="1" fontId="11086" fillId="8" borderId="1" xfId="0" applyNumberFormat="1" applyFont="1" applyFill="1" applyBorder="1" applyAlignment="1">
      <alignment horizontal="center" vertical="center"/>
    </xf>
    <xf numFmtId="0" fontId="11087" fillId="8" borderId="1" xfId="0" applyNumberFormat="1" applyFont="1" applyFill="1" applyBorder="1" applyAlignment="1">
      <alignment horizontal="center" vertical="center"/>
    </xf>
    <xf numFmtId="0" fontId="11088" fillId="8" borderId="1" xfId="0" applyNumberFormat="1" applyFont="1" applyFill="1" applyBorder="1" applyAlignment="1">
      <alignment horizontal="center" vertical="center"/>
    </xf>
    <xf numFmtId="1" fontId="11089" fillId="8" borderId="1" xfId="0" applyNumberFormat="1" applyFont="1" applyFill="1" applyBorder="1" applyAlignment="1">
      <alignment horizontal="center" vertical="center"/>
    </xf>
    <xf numFmtId="1" fontId="11090" fillId="8" borderId="1" xfId="0" applyNumberFormat="1" applyFont="1" applyFill="1" applyBorder="1" applyAlignment="1">
      <alignment horizontal="center" vertical="center"/>
    </xf>
    <xf numFmtId="1" fontId="11091" fillId="8" borderId="1" xfId="0" applyNumberFormat="1" applyFont="1" applyFill="1" applyBorder="1" applyAlignment="1">
      <alignment horizontal="center" vertical="center"/>
    </xf>
    <xf numFmtId="165" fontId="11092" fillId="8" borderId="1" xfId="0" applyNumberFormat="1" applyFont="1" applyFill="1" applyBorder="1" applyAlignment="1">
      <alignment horizontal="center" vertical="center"/>
    </xf>
    <xf numFmtId="1" fontId="11093" fillId="8" borderId="1" xfId="0" applyNumberFormat="1" applyFont="1" applyFill="1" applyBorder="1" applyAlignment="1">
      <alignment horizontal="center" vertical="center"/>
    </xf>
    <xf numFmtId="165" fontId="11094" fillId="8" borderId="1" xfId="0" applyNumberFormat="1" applyFont="1" applyFill="1" applyBorder="1" applyAlignment="1">
      <alignment horizontal="center" vertical="center"/>
    </xf>
    <xf numFmtId="1" fontId="11095" fillId="8" borderId="1" xfId="0" applyNumberFormat="1" applyFont="1" applyFill="1" applyBorder="1" applyAlignment="1">
      <alignment horizontal="center" vertical="center"/>
    </xf>
    <xf numFmtId="165" fontId="11096" fillId="8" borderId="1" xfId="0" applyNumberFormat="1" applyFont="1" applyFill="1" applyBorder="1" applyAlignment="1">
      <alignment horizontal="center" vertical="center"/>
    </xf>
    <xf numFmtId="1" fontId="11097" fillId="8" borderId="1" xfId="0" applyNumberFormat="1" applyFont="1" applyFill="1" applyBorder="1" applyAlignment="1">
      <alignment horizontal="center" vertical="center"/>
    </xf>
    <xf numFmtId="165" fontId="11098" fillId="8" borderId="1" xfId="0" applyNumberFormat="1" applyFont="1" applyFill="1" applyBorder="1" applyAlignment="1">
      <alignment horizontal="center" vertical="center"/>
    </xf>
    <xf numFmtId="165" fontId="11099" fillId="8" borderId="1" xfId="0" applyNumberFormat="1" applyFont="1" applyFill="1" applyBorder="1" applyAlignment="1">
      <alignment horizontal="center" vertical="center"/>
    </xf>
    <xf numFmtId="1" fontId="11100" fillId="8" borderId="1" xfId="0" applyNumberFormat="1" applyFont="1" applyFill="1" applyBorder="1" applyAlignment="1">
      <alignment horizontal="center" vertical="center"/>
    </xf>
    <xf numFmtId="1" fontId="11101" fillId="8" borderId="1" xfId="0" applyNumberFormat="1" applyFont="1" applyFill="1" applyBorder="1" applyAlignment="1">
      <alignment horizontal="center" vertical="center"/>
    </xf>
    <xf numFmtId="1" fontId="11102" fillId="8" borderId="1" xfId="0" applyNumberFormat="1" applyFont="1" applyFill="1" applyBorder="1" applyAlignment="1">
      <alignment horizontal="center" vertical="center"/>
    </xf>
    <xf numFmtId="165" fontId="11103" fillId="8" borderId="1" xfId="0" applyNumberFormat="1" applyFont="1" applyFill="1" applyBorder="1" applyAlignment="1">
      <alignment horizontal="center" vertical="center"/>
    </xf>
    <xf numFmtId="164" fontId="11104" fillId="8" borderId="1" xfId="0" applyNumberFormat="1" applyFont="1" applyFill="1" applyBorder="1" applyAlignment="1">
      <alignment horizontal="center" vertical="center"/>
    </xf>
    <xf numFmtId="164" fontId="11105" fillId="8" borderId="1" xfId="0" applyNumberFormat="1" applyFont="1" applyFill="1" applyBorder="1" applyAlignment="1">
      <alignment horizontal="center" vertical="center"/>
    </xf>
    <xf numFmtId="1" fontId="11106" fillId="8" borderId="1" xfId="0" applyNumberFormat="1" applyFont="1" applyFill="1" applyBorder="1" applyAlignment="1">
      <alignment horizontal="center" vertical="center"/>
    </xf>
    <xf numFmtId="1" fontId="11107" fillId="8" borderId="1" xfId="0" applyNumberFormat="1" applyFont="1" applyFill="1" applyBorder="1" applyAlignment="1">
      <alignment horizontal="center" vertical="center"/>
    </xf>
    <xf numFmtId="1" fontId="11108" fillId="8" borderId="1" xfId="0" applyNumberFormat="1" applyFont="1" applyFill="1" applyBorder="1" applyAlignment="1">
      <alignment horizontal="center" vertical="center"/>
    </xf>
    <xf numFmtId="165" fontId="11109" fillId="8" borderId="1" xfId="0" applyNumberFormat="1" applyFont="1" applyFill="1" applyBorder="1" applyAlignment="1">
      <alignment horizontal="center" vertical="center"/>
    </xf>
    <xf numFmtId="1" fontId="11110" fillId="8" borderId="1" xfId="0" applyNumberFormat="1" applyFont="1" applyFill="1" applyBorder="1" applyAlignment="1">
      <alignment horizontal="center" vertical="center"/>
    </xf>
    <xf numFmtId="165" fontId="11111" fillId="8" borderId="1" xfId="0" applyNumberFormat="1" applyFont="1" applyFill="1" applyBorder="1" applyAlignment="1">
      <alignment horizontal="center" vertical="center"/>
    </xf>
    <xf numFmtId="1" fontId="11112" fillId="8" borderId="1" xfId="0" applyNumberFormat="1" applyFont="1" applyFill="1" applyBorder="1" applyAlignment="1">
      <alignment horizontal="center" vertical="center"/>
    </xf>
    <xf numFmtId="1" fontId="11113" fillId="8" borderId="1" xfId="0" applyNumberFormat="1" applyFont="1" applyFill="1" applyBorder="1" applyAlignment="1">
      <alignment horizontal="center" vertical="center"/>
    </xf>
    <xf numFmtId="1" fontId="11114" fillId="8" borderId="1" xfId="0" applyNumberFormat="1" applyFont="1" applyFill="1" applyBorder="1" applyAlignment="1">
      <alignment horizontal="center" vertical="center"/>
    </xf>
    <xf numFmtId="1" fontId="11115" fillId="8" borderId="1" xfId="0" applyNumberFormat="1" applyFont="1" applyFill="1" applyBorder="1" applyAlignment="1">
      <alignment horizontal="center" vertical="center"/>
    </xf>
    <xf numFmtId="165" fontId="11116" fillId="8" borderId="1" xfId="0" applyNumberFormat="1" applyFont="1" applyFill="1" applyBorder="1" applyAlignment="1">
      <alignment horizontal="center" vertical="center"/>
    </xf>
    <xf numFmtId="1" fontId="11117" fillId="8" borderId="1" xfId="0" applyNumberFormat="1" applyFont="1" applyFill="1" applyBorder="1" applyAlignment="1">
      <alignment horizontal="center" vertical="center"/>
    </xf>
    <xf numFmtId="165" fontId="11118" fillId="8" borderId="1" xfId="0" applyNumberFormat="1" applyFont="1" applyFill="1" applyBorder="1" applyAlignment="1">
      <alignment horizontal="center" vertical="center"/>
    </xf>
    <xf numFmtId="1" fontId="11119" fillId="8" borderId="1" xfId="0" applyNumberFormat="1" applyFont="1" applyFill="1" applyBorder="1" applyAlignment="1">
      <alignment horizontal="center" vertical="center"/>
    </xf>
    <xf numFmtId="165" fontId="11120" fillId="8" borderId="1" xfId="0" applyNumberFormat="1" applyFont="1" applyFill="1" applyBorder="1" applyAlignment="1">
      <alignment horizontal="center" vertical="center"/>
    </xf>
    <xf numFmtId="2" fontId="11121" fillId="8" borderId="1" xfId="0" applyNumberFormat="1" applyFont="1" applyFill="1" applyBorder="1" applyAlignment="1">
      <alignment horizontal="center" vertical="center"/>
    </xf>
    <xf numFmtId="2" fontId="11122" fillId="8" borderId="1" xfId="0" applyNumberFormat="1" applyFont="1" applyFill="1" applyBorder="1" applyAlignment="1">
      <alignment horizontal="center" vertical="center"/>
    </xf>
    <xf numFmtId="2" fontId="11123" fillId="8" borderId="1" xfId="0" applyNumberFormat="1" applyFont="1" applyFill="1" applyBorder="1" applyAlignment="1">
      <alignment horizontal="center" vertical="center"/>
    </xf>
    <xf numFmtId="2" fontId="11124" fillId="8" borderId="1" xfId="0" applyNumberFormat="1" applyFont="1" applyFill="1" applyBorder="1" applyAlignment="1">
      <alignment horizontal="center" vertical="center"/>
    </xf>
    <xf numFmtId="2" fontId="11125" fillId="8" borderId="1" xfId="0" applyNumberFormat="1" applyFont="1" applyFill="1" applyBorder="1" applyAlignment="1">
      <alignment horizontal="center" vertical="center"/>
    </xf>
    <xf numFmtId="2" fontId="11126" fillId="8" borderId="1" xfId="0" applyNumberFormat="1" applyFont="1" applyFill="1" applyBorder="1" applyAlignment="1">
      <alignment horizontal="center" vertical="center"/>
    </xf>
    <xf numFmtId="2" fontId="11127" fillId="8" borderId="1" xfId="0" applyNumberFormat="1" applyFont="1" applyFill="1" applyBorder="1" applyAlignment="1">
      <alignment horizontal="center" vertical="center"/>
    </xf>
    <xf numFmtId="2" fontId="11128" fillId="8" borderId="1" xfId="0" applyNumberFormat="1" applyFont="1" applyFill="1" applyBorder="1" applyAlignment="1">
      <alignment horizontal="center" vertical="center"/>
    </xf>
    <xf numFmtId="2" fontId="11129" fillId="8" borderId="1" xfId="0" applyNumberFormat="1" applyFont="1" applyFill="1" applyBorder="1" applyAlignment="1">
      <alignment horizontal="center" vertical="center"/>
    </xf>
    <xf numFmtId="2" fontId="11130" fillId="8" borderId="1" xfId="0" applyNumberFormat="1" applyFont="1" applyFill="1" applyBorder="1" applyAlignment="1">
      <alignment horizontal="center" vertical="center"/>
    </xf>
    <xf numFmtId="2" fontId="11131" fillId="8" borderId="1" xfId="0" applyNumberFormat="1" applyFont="1" applyFill="1" applyBorder="1" applyAlignment="1">
      <alignment horizontal="center" vertical="center"/>
    </xf>
    <xf numFmtId="2" fontId="11132" fillId="8" borderId="1" xfId="0" applyNumberFormat="1" applyFont="1" applyFill="1" applyBorder="1" applyAlignment="1">
      <alignment horizontal="center" vertical="center"/>
    </xf>
    <xf numFmtId="2" fontId="11133" fillId="8" borderId="1" xfId="0" applyNumberFormat="1" applyFont="1" applyFill="1" applyBorder="1" applyAlignment="1">
      <alignment horizontal="center" vertical="center"/>
    </xf>
    <xf numFmtId="2" fontId="11134" fillId="8" borderId="1" xfId="0" applyNumberFormat="1" applyFont="1" applyFill="1" applyBorder="1" applyAlignment="1">
      <alignment horizontal="center" vertical="center"/>
    </xf>
    <xf numFmtId="2" fontId="11135" fillId="8" borderId="1" xfId="0" applyNumberFormat="1" applyFont="1" applyFill="1" applyBorder="1" applyAlignment="1">
      <alignment horizontal="center" vertical="center"/>
    </xf>
    <xf numFmtId="2" fontId="11136" fillId="8" borderId="1" xfId="0" applyNumberFormat="1" applyFont="1" applyFill="1" applyBorder="1" applyAlignment="1">
      <alignment horizontal="center" vertical="center"/>
    </xf>
    <xf numFmtId="2" fontId="11137" fillId="8" borderId="1" xfId="0" applyNumberFormat="1" applyFont="1" applyFill="1" applyBorder="1" applyAlignment="1">
      <alignment horizontal="center" vertical="center"/>
    </xf>
    <xf numFmtId="2" fontId="11138" fillId="8" borderId="1" xfId="0" applyNumberFormat="1" applyFont="1" applyFill="1" applyBorder="1" applyAlignment="1">
      <alignment horizontal="center" vertical="center"/>
    </xf>
    <xf numFmtId="2" fontId="11139" fillId="8" borderId="1" xfId="0" applyNumberFormat="1" applyFont="1" applyFill="1" applyBorder="1" applyAlignment="1">
      <alignment horizontal="center" vertical="center"/>
    </xf>
    <xf numFmtId="2" fontId="11140" fillId="8" borderId="1" xfId="0" applyNumberFormat="1" applyFont="1" applyFill="1" applyBorder="1" applyAlignment="1">
      <alignment horizontal="center" vertical="center"/>
    </xf>
    <xf numFmtId="2" fontId="11141" fillId="8" borderId="1" xfId="0" applyNumberFormat="1" applyFont="1" applyFill="1" applyBorder="1" applyAlignment="1">
      <alignment horizontal="center" vertical="center"/>
    </xf>
    <xf numFmtId="2" fontId="11142" fillId="8" borderId="1" xfId="0" applyNumberFormat="1" applyFont="1" applyFill="1" applyBorder="1" applyAlignment="1">
      <alignment horizontal="center" vertical="center"/>
    </xf>
    <xf numFmtId="2" fontId="11143" fillId="8" borderId="1" xfId="0" applyNumberFormat="1" applyFont="1" applyFill="1" applyBorder="1" applyAlignment="1">
      <alignment horizontal="center" vertical="center"/>
    </xf>
    <xf numFmtId="2" fontId="11144" fillId="8" borderId="1" xfId="0" applyNumberFormat="1" applyFont="1" applyFill="1" applyBorder="1" applyAlignment="1">
      <alignment horizontal="center" vertical="center"/>
    </xf>
    <xf numFmtId="2" fontId="11145" fillId="8" borderId="1" xfId="0" applyNumberFormat="1" applyFont="1" applyFill="1" applyBorder="1" applyAlignment="1">
      <alignment horizontal="center" vertical="center"/>
    </xf>
    <xf numFmtId="2" fontId="11146" fillId="8" borderId="1" xfId="0" applyNumberFormat="1" applyFont="1" applyFill="1" applyBorder="1" applyAlignment="1">
      <alignment horizontal="center" vertical="center"/>
    </xf>
    <xf numFmtId="2" fontId="11147" fillId="8" borderId="1" xfId="0" applyNumberFormat="1" applyFont="1" applyFill="1" applyBorder="1" applyAlignment="1">
      <alignment horizontal="center" vertical="center"/>
    </xf>
    <xf numFmtId="2" fontId="11148" fillId="8" borderId="1" xfId="0" applyNumberFormat="1" applyFont="1" applyFill="1" applyBorder="1" applyAlignment="1">
      <alignment horizontal="center" vertical="center"/>
    </xf>
    <xf numFmtId="2" fontId="11149" fillId="8" borderId="1" xfId="0" applyNumberFormat="1" applyFont="1" applyFill="1" applyBorder="1" applyAlignment="1">
      <alignment horizontal="center" vertical="center"/>
    </xf>
    <xf numFmtId="2" fontId="11150" fillId="8" borderId="1" xfId="0" applyNumberFormat="1" applyFont="1" applyFill="1" applyBorder="1" applyAlignment="1">
      <alignment horizontal="center" vertical="center"/>
    </xf>
    <xf numFmtId="2" fontId="11151" fillId="8" borderId="1" xfId="0" applyNumberFormat="1" applyFont="1" applyFill="1" applyBorder="1" applyAlignment="1">
      <alignment horizontal="center" vertical="center"/>
    </xf>
    <xf numFmtId="2" fontId="11152" fillId="8" borderId="1" xfId="0" applyNumberFormat="1" applyFont="1" applyFill="1" applyBorder="1" applyAlignment="1">
      <alignment horizontal="center" vertical="center"/>
    </xf>
    <xf numFmtId="2" fontId="11153" fillId="8" borderId="1" xfId="0" applyNumberFormat="1" applyFont="1" applyFill="1" applyBorder="1" applyAlignment="1">
      <alignment horizontal="center" vertical="center"/>
    </xf>
    <xf numFmtId="2" fontId="11154" fillId="8" borderId="1" xfId="0" applyNumberFormat="1" applyFont="1" applyFill="1" applyBorder="1" applyAlignment="1">
      <alignment horizontal="center" vertical="center"/>
    </xf>
    <xf numFmtId="0" fontId="11155" fillId="7" borderId="1" xfId="0" applyNumberFormat="1" applyFont="1" applyFill="1" applyBorder="1" applyAlignment="1">
      <alignment horizontal="left" vertical="center"/>
    </xf>
    <xf numFmtId="0" fontId="11156" fillId="8" borderId="1" xfId="0" applyNumberFormat="1" applyFont="1" applyFill="1" applyBorder="1" applyAlignment="1">
      <alignment horizontal="center" vertical="center"/>
    </xf>
    <xf numFmtId="164" fontId="11157" fillId="8" borderId="1" xfId="0" applyNumberFormat="1" applyFont="1" applyFill="1" applyBorder="1" applyAlignment="1">
      <alignment horizontal="center" vertical="center"/>
    </xf>
    <xf numFmtId="1" fontId="11158" fillId="8" borderId="1" xfId="0" applyNumberFormat="1" applyFont="1" applyFill="1" applyBorder="1" applyAlignment="1">
      <alignment horizontal="center" vertical="center"/>
    </xf>
    <xf numFmtId="1" fontId="11159" fillId="8" borderId="1" xfId="0" applyNumberFormat="1" applyFont="1" applyFill="1" applyBorder="1" applyAlignment="1">
      <alignment horizontal="center" vertical="center"/>
    </xf>
    <xf numFmtId="1" fontId="11160" fillId="8" borderId="1" xfId="0" applyNumberFormat="1" applyFont="1" applyFill="1" applyBorder="1" applyAlignment="1">
      <alignment horizontal="center" vertical="center"/>
    </xf>
    <xf numFmtId="1" fontId="11161" fillId="8" borderId="1" xfId="0" applyNumberFormat="1" applyFont="1" applyFill="1" applyBorder="1" applyAlignment="1">
      <alignment horizontal="center" vertical="center"/>
    </xf>
    <xf numFmtId="1" fontId="11162" fillId="8" borderId="1" xfId="0" applyNumberFormat="1" applyFont="1" applyFill="1" applyBorder="1" applyAlignment="1">
      <alignment horizontal="center" vertical="center"/>
    </xf>
    <xf numFmtId="1" fontId="11163" fillId="8" borderId="1" xfId="0" applyNumberFormat="1" applyFont="1" applyFill="1" applyBorder="1" applyAlignment="1">
      <alignment horizontal="center" vertical="center"/>
    </xf>
    <xf numFmtId="1" fontId="11164" fillId="8" borderId="1" xfId="0" applyNumberFormat="1" applyFont="1" applyFill="1" applyBorder="1" applyAlignment="1">
      <alignment horizontal="center" vertical="center"/>
    </xf>
    <xf numFmtId="0" fontId="11165" fillId="8" borderId="1" xfId="0" applyNumberFormat="1" applyFont="1" applyFill="1" applyBorder="1" applyAlignment="1">
      <alignment horizontal="center" vertical="center"/>
    </xf>
    <xf numFmtId="0" fontId="11166" fillId="8" borderId="1" xfId="0" applyNumberFormat="1" applyFont="1" applyFill="1" applyBorder="1" applyAlignment="1">
      <alignment horizontal="center" vertical="center"/>
    </xf>
    <xf numFmtId="1" fontId="11167" fillId="8" borderId="1" xfId="0" applyNumberFormat="1" applyFont="1" applyFill="1" applyBorder="1" applyAlignment="1">
      <alignment horizontal="center" vertical="center"/>
    </xf>
    <xf numFmtId="1" fontId="11168" fillId="8" borderId="1" xfId="0" applyNumberFormat="1" applyFont="1" applyFill="1" applyBorder="1" applyAlignment="1">
      <alignment horizontal="center" vertical="center"/>
    </xf>
    <xf numFmtId="1" fontId="11169" fillId="8" borderId="1" xfId="0" applyNumberFormat="1" applyFont="1" applyFill="1" applyBorder="1" applyAlignment="1">
      <alignment horizontal="center" vertical="center"/>
    </xf>
    <xf numFmtId="165" fontId="11170" fillId="8" borderId="1" xfId="0" applyNumberFormat="1" applyFont="1" applyFill="1" applyBorder="1" applyAlignment="1">
      <alignment horizontal="center" vertical="center"/>
    </xf>
    <xf numFmtId="1" fontId="11171" fillId="8" borderId="1" xfId="0" applyNumberFormat="1" applyFont="1" applyFill="1" applyBorder="1" applyAlignment="1">
      <alignment horizontal="center" vertical="center"/>
    </xf>
    <xf numFmtId="165" fontId="11172" fillId="8" borderId="1" xfId="0" applyNumberFormat="1" applyFont="1" applyFill="1" applyBorder="1" applyAlignment="1">
      <alignment horizontal="center" vertical="center"/>
    </xf>
    <xf numFmtId="1" fontId="11173" fillId="8" borderId="1" xfId="0" applyNumberFormat="1" applyFont="1" applyFill="1" applyBorder="1" applyAlignment="1">
      <alignment horizontal="center" vertical="center"/>
    </xf>
    <xf numFmtId="165" fontId="11174" fillId="8" borderId="1" xfId="0" applyNumberFormat="1" applyFont="1" applyFill="1" applyBorder="1" applyAlignment="1">
      <alignment horizontal="center" vertical="center"/>
    </xf>
    <xf numFmtId="1" fontId="11175" fillId="8" borderId="1" xfId="0" applyNumberFormat="1" applyFont="1" applyFill="1" applyBorder="1" applyAlignment="1">
      <alignment horizontal="center" vertical="center"/>
    </xf>
    <xf numFmtId="165" fontId="11176" fillId="8" borderId="1" xfId="0" applyNumberFormat="1" applyFont="1" applyFill="1" applyBorder="1" applyAlignment="1">
      <alignment horizontal="center" vertical="center"/>
    </xf>
    <xf numFmtId="165" fontId="11177" fillId="8" borderId="1" xfId="0" applyNumberFormat="1" applyFont="1" applyFill="1" applyBorder="1" applyAlignment="1">
      <alignment horizontal="center" vertical="center"/>
    </xf>
    <xf numFmtId="1" fontId="11178" fillId="8" borderId="1" xfId="0" applyNumberFormat="1" applyFont="1" applyFill="1" applyBorder="1" applyAlignment="1">
      <alignment horizontal="center" vertical="center"/>
    </xf>
    <xf numFmtId="1" fontId="11179" fillId="8" borderId="1" xfId="0" applyNumberFormat="1" applyFont="1" applyFill="1" applyBorder="1" applyAlignment="1">
      <alignment horizontal="center" vertical="center"/>
    </xf>
    <xf numFmtId="1" fontId="11180" fillId="8" borderId="1" xfId="0" applyNumberFormat="1" applyFont="1" applyFill="1" applyBorder="1" applyAlignment="1">
      <alignment horizontal="center" vertical="center"/>
    </xf>
    <xf numFmtId="165" fontId="11181" fillId="8" borderId="1" xfId="0" applyNumberFormat="1" applyFont="1" applyFill="1" applyBorder="1" applyAlignment="1">
      <alignment horizontal="center" vertical="center"/>
    </xf>
    <xf numFmtId="164" fontId="11182" fillId="8" borderId="1" xfId="0" applyNumberFormat="1" applyFont="1" applyFill="1" applyBorder="1" applyAlignment="1">
      <alignment horizontal="center" vertical="center"/>
    </xf>
    <xf numFmtId="164" fontId="11183" fillId="8" borderId="1" xfId="0" applyNumberFormat="1" applyFont="1" applyFill="1" applyBorder="1" applyAlignment="1">
      <alignment horizontal="center" vertical="center"/>
    </xf>
    <xf numFmtId="1" fontId="11184" fillId="8" borderId="1" xfId="0" applyNumberFormat="1" applyFont="1" applyFill="1" applyBorder="1" applyAlignment="1">
      <alignment horizontal="center" vertical="center"/>
    </xf>
    <xf numFmtId="1" fontId="11185" fillId="8" borderId="1" xfId="0" applyNumberFormat="1" applyFont="1" applyFill="1" applyBorder="1" applyAlignment="1">
      <alignment horizontal="center" vertical="center"/>
    </xf>
    <xf numFmtId="1" fontId="11186" fillId="8" borderId="1" xfId="0" applyNumberFormat="1" applyFont="1" applyFill="1" applyBorder="1" applyAlignment="1">
      <alignment horizontal="center" vertical="center"/>
    </xf>
    <xf numFmtId="165" fontId="11187" fillId="8" borderId="1" xfId="0" applyNumberFormat="1" applyFont="1" applyFill="1" applyBorder="1" applyAlignment="1">
      <alignment horizontal="center" vertical="center"/>
    </xf>
    <xf numFmtId="1" fontId="11188" fillId="8" borderId="1" xfId="0" applyNumberFormat="1" applyFont="1" applyFill="1" applyBorder="1" applyAlignment="1">
      <alignment horizontal="center" vertical="center"/>
    </xf>
    <xf numFmtId="165" fontId="11189" fillId="8" borderId="1" xfId="0" applyNumberFormat="1" applyFont="1" applyFill="1" applyBorder="1" applyAlignment="1">
      <alignment horizontal="center" vertical="center"/>
    </xf>
    <xf numFmtId="1" fontId="11190" fillId="8" borderId="1" xfId="0" applyNumberFormat="1" applyFont="1" applyFill="1" applyBorder="1" applyAlignment="1">
      <alignment horizontal="center" vertical="center"/>
    </xf>
    <xf numFmtId="1" fontId="11191" fillId="8" borderId="1" xfId="0" applyNumberFormat="1" applyFont="1" applyFill="1" applyBorder="1" applyAlignment="1">
      <alignment horizontal="center" vertical="center"/>
    </xf>
    <xf numFmtId="1" fontId="11192" fillId="8" borderId="1" xfId="0" applyNumberFormat="1" applyFont="1" applyFill="1" applyBorder="1" applyAlignment="1">
      <alignment horizontal="center" vertical="center"/>
    </xf>
    <xf numFmtId="1" fontId="11193" fillId="8" borderId="1" xfId="0" applyNumberFormat="1" applyFont="1" applyFill="1" applyBorder="1" applyAlignment="1">
      <alignment horizontal="center" vertical="center"/>
    </xf>
    <xf numFmtId="165" fontId="11194" fillId="8" borderId="1" xfId="0" applyNumberFormat="1" applyFont="1" applyFill="1" applyBorder="1" applyAlignment="1">
      <alignment horizontal="center" vertical="center"/>
    </xf>
    <xf numFmtId="1" fontId="11195" fillId="8" borderId="1" xfId="0" applyNumberFormat="1" applyFont="1" applyFill="1" applyBorder="1" applyAlignment="1">
      <alignment horizontal="center" vertical="center"/>
    </xf>
    <xf numFmtId="165" fontId="11196" fillId="8" borderId="1" xfId="0" applyNumberFormat="1" applyFont="1" applyFill="1" applyBorder="1" applyAlignment="1">
      <alignment horizontal="center" vertical="center"/>
    </xf>
    <xf numFmtId="1" fontId="11197" fillId="8" borderId="1" xfId="0" applyNumberFormat="1" applyFont="1" applyFill="1" applyBorder="1" applyAlignment="1">
      <alignment horizontal="center" vertical="center"/>
    </xf>
    <xf numFmtId="165" fontId="11198" fillId="8" borderId="1" xfId="0" applyNumberFormat="1" applyFont="1" applyFill="1" applyBorder="1" applyAlignment="1">
      <alignment horizontal="center" vertical="center"/>
    </xf>
    <xf numFmtId="2" fontId="11199" fillId="8" borderId="1" xfId="0" applyNumberFormat="1" applyFont="1" applyFill="1" applyBorder="1" applyAlignment="1">
      <alignment horizontal="center" vertical="center"/>
    </xf>
    <xf numFmtId="2" fontId="11200" fillId="8" borderId="1" xfId="0" applyNumberFormat="1" applyFont="1" applyFill="1" applyBorder="1" applyAlignment="1">
      <alignment horizontal="center" vertical="center"/>
    </xf>
    <xf numFmtId="2" fontId="11201" fillId="8" borderId="1" xfId="0" applyNumberFormat="1" applyFont="1" applyFill="1" applyBorder="1" applyAlignment="1">
      <alignment horizontal="center" vertical="center"/>
    </xf>
    <xf numFmtId="2" fontId="11202" fillId="8" borderId="1" xfId="0" applyNumberFormat="1" applyFont="1" applyFill="1" applyBorder="1" applyAlignment="1">
      <alignment horizontal="center" vertical="center"/>
    </xf>
    <xf numFmtId="2" fontId="11203" fillId="8" borderId="1" xfId="0" applyNumberFormat="1" applyFont="1" applyFill="1" applyBorder="1" applyAlignment="1">
      <alignment horizontal="center" vertical="center"/>
    </xf>
    <xf numFmtId="2" fontId="11204" fillId="8" borderId="1" xfId="0" applyNumberFormat="1" applyFont="1" applyFill="1" applyBorder="1" applyAlignment="1">
      <alignment horizontal="center" vertical="center"/>
    </xf>
    <xf numFmtId="2" fontId="11205" fillId="8" borderId="1" xfId="0" applyNumberFormat="1" applyFont="1" applyFill="1" applyBorder="1" applyAlignment="1">
      <alignment horizontal="center" vertical="center"/>
    </xf>
    <xf numFmtId="2" fontId="11206" fillId="8" borderId="1" xfId="0" applyNumberFormat="1" applyFont="1" applyFill="1" applyBorder="1" applyAlignment="1">
      <alignment horizontal="center" vertical="center"/>
    </xf>
    <xf numFmtId="2" fontId="11207" fillId="8" borderId="1" xfId="0" applyNumberFormat="1" applyFont="1" applyFill="1" applyBorder="1" applyAlignment="1">
      <alignment horizontal="center" vertical="center"/>
    </xf>
    <xf numFmtId="2" fontId="11208" fillId="8" borderId="1" xfId="0" applyNumberFormat="1" applyFont="1" applyFill="1" applyBorder="1" applyAlignment="1">
      <alignment horizontal="center" vertical="center"/>
    </xf>
    <xf numFmtId="2" fontId="11209" fillId="8" borderId="1" xfId="0" applyNumberFormat="1" applyFont="1" applyFill="1" applyBorder="1" applyAlignment="1">
      <alignment horizontal="center" vertical="center"/>
    </xf>
    <xf numFmtId="2" fontId="11210" fillId="8" borderId="1" xfId="0" applyNumberFormat="1" applyFont="1" applyFill="1" applyBorder="1" applyAlignment="1">
      <alignment horizontal="center" vertical="center"/>
    </xf>
    <xf numFmtId="2" fontId="11211" fillId="8" borderId="1" xfId="0" applyNumberFormat="1" applyFont="1" applyFill="1" applyBorder="1" applyAlignment="1">
      <alignment horizontal="center" vertical="center"/>
    </xf>
    <xf numFmtId="2" fontId="11212" fillId="8" borderId="1" xfId="0" applyNumberFormat="1" applyFont="1" applyFill="1" applyBorder="1" applyAlignment="1">
      <alignment horizontal="center" vertical="center"/>
    </xf>
    <xf numFmtId="2" fontId="11213" fillId="8" borderId="1" xfId="0" applyNumberFormat="1" applyFont="1" applyFill="1" applyBorder="1" applyAlignment="1">
      <alignment horizontal="center" vertical="center"/>
    </xf>
    <xf numFmtId="2" fontId="11214" fillId="8" borderId="1" xfId="0" applyNumberFormat="1" applyFont="1" applyFill="1" applyBorder="1" applyAlignment="1">
      <alignment horizontal="center" vertical="center"/>
    </xf>
    <xf numFmtId="2" fontId="11215" fillId="8" borderId="1" xfId="0" applyNumberFormat="1" applyFont="1" applyFill="1" applyBorder="1" applyAlignment="1">
      <alignment horizontal="center" vertical="center"/>
    </xf>
    <xf numFmtId="2" fontId="11216" fillId="8" borderId="1" xfId="0" applyNumberFormat="1" applyFont="1" applyFill="1" applyBorder="1" applyAlignment="1">
      <alignment horizontal="center" vertical="center"/>
    </xf>
    <xf numFmtId="2" fontId="11217" fillId="8" borderId="1" xfId="0" applyNumberFormat="1" applyFont="1" applyFill="1" applyBorder="1" applyAlignment="1">
      <alignment horizontal="center" vertical="center"/>
    </xf>
    <xf numFmtId="2" fontId="11218" fillId="8" borderId="1" xfId="0" applyNumberFormat="1" applyFont="1" applyFill="1" applyBorder="1" applyAlignment="1">
      <alignment horizontal="center" vertical="center"/>
    </xf>
    <xf numFmtId="2" fontId="11219" fillId="8" borderId="1" xfId="0" applyNumberFormat="1" applyFont="1" applyFill="1" applyBorder="1" applyAlignment="1">
      <alignment horizontal="center" vertical="center"/>
    </xf>
    <xf numFmtId="2" fontId="11220" fillId="8" borderId="1" xfId="0" applyNumberFormat="1" applyFont="1" applyFill="1" applyBorder="1" applyAlignment="1">
      <alignment horizontal="center" vertical="center"/>
    </xf>
    <xf numFmtId="2" fontId="11221" fillId="8" borderId="1" xfId="0" applyNumberFormat="1" applyFont="1" applyFill="1" applyBorder="1" applyAlignment="1">
      <alignment horizontal="center" vertical="center"/>
    </xf>
    <xf numFmtId="2" fontId="11222" fillId="8" borderId="1" xfId="0" applyNumberFormat="1" applyFont="1" applyFill="1" applyBorder="1" applyAlignment="1">
      <alignment horizontal="center" vertical="center"/>
    </xf>
    <xf numFmtId="2" fontId="11223" fillId="8" borderId="1" xfId="0" applyNumberFormat="1" applyFont="1" applyFill="1" applyBorder="1" applyAlignment="1">
      <alignment horizontal="center" vertical="center"/>
    </xf>
    <xf numFmtId="2" fontId="11224" fillId="8" borderId="1" xfId="0" applyNumberFormat="1" applyFont="1" applyFill="1" applyBorder="1" applyAlignment="1">
      <alignment horizontal="center" vertical="center"/>
    </xf>
    <xf numFmtId="2" fontId="11225" fillId="8" borderId="1" xfId="0" applyNumberFormat="1" applyFont="1" applyFill="1" applyBorder="1" applyAlignment="1">
      <alignment horizontal="center" vertical="center"/>
    </xf>
    <xf numFmtId="2" fontId="11226" fillId="8" borderId="1" xfId="0" applyNumberFormat="1" applyFont="1" applyFill="1" applyBorder="1" applyAlignment="1">
      <alignment horizontal="center" vertical="center"/>
    </xf>
    <xf numFmtId="2" fontId="11227" fillId="8" borderId="1" xfId="0" applyNumberFormat="1" applyFont="1" applyFill="1" applyBorder="1" applyAlignment="1">
      <alignment horizontal="center" vertical="center"/>
    </xf>
    <xf numFmtId="2" fontId="11228" fillId="8" borderId="1" xfId="0" applyNumberFormat="1" applyFont="1" applyFill="1" applyBorder="1" applyAlignment="1">
      <alignment horizontal="center" vertical="center"/>
    </xf>
    <xf numFmtId="2" fontId="11229" fillId="8" borderId="1" xfId="0" applyNumberFormat="1" applyFont="1" applyFill="1" applyBorder="1" applyAlignment="1">
      <alignment horizontal="center" vertical="center"/>
    </xf>
    <xf numFmtId="2" fontId="11230" fillId="8" borderId="1" xfId="0" applyNumberFormat="1" applyFont="1" applyFill="1" applyBorder="1" applyAlignment="1">
      <alignment horizontal="center" vertical="center"/>
    </xf>
    <xf numFmtId="2" fontId="11231" fillId="8" borderId="1" xfId="0" applyNumberFormat="1" applyFont="1" applyFill="1" applyBorder="1" applyAlignment="1">
      <alignment horizontal="center" vertical="center"/>
    </xf>
    <xf numFmtId="2" fontId="11232" fillId="8" borderId="1" xfId="0" applyNumberFormat="1" applyFont="1" applyFill="1" applyBorder="1" applyAlignment="1">
      <alignment horizontal="center" vertical="center"/>
    </xf>
    <xf numFmtId="0" fontId="11233" fillId="7" borderId="1" xfId="0" applyNumberFormat="1" applyFont="1" applyFill="1" applyBorder="1" applyAlignment="1">
      <alignment horizontal="left" vertical="center"/>
    </xf>
    <xf numFmtId="0" fontId="11234" fillId="8" borderId="1" xfId="0" applyNumberFormat="1" applyFont="1" applyFill="1" applyBorder="1" applyAlignment="1">
      <alignment horizontal="center" vertical="center"/>
    </xf>
    <xf numFmtId="164" fontId="11235" fillId="8" borderId="1" xfId="0" applyNumberFormat="1" applyFont="1" applyFill="1" applyBorder="1" applyAlignment="1">
      <alignment horizontal="center" vertical="center"/>
    </xf>
    <xf numFmtId="1" fontId="11236" fillId="8" borderId="1" xfId="0" applyNumberFormat="1" applyFont="1" applyFill="1" applyBorder="1" applyAlignment="1">
      <alignment horizontal="center" vertical="center"/>
    </xf>
    <xf numFmtId="1" fontId="11237" fillId="8" borderId="1" xfId="0" applyNumberFormat="1" applyFont="1" applyFill="1" applyBorder="1" applyAlignment="1">
      <alignment horizontal="center" vertical="center"/>
    </xf>
    <xf numFmtId="1" fontId="11238" fillId="8" borderId="1" xfId="0" applyNumberFormat="1" applyFont="1" applyFill="1" applyBorder="1" applyAlignment="1">
      <alignment horizontal="center" vertical="center"/>
    </xf>
    <xf numFmtId="1" fontId="11239" fillId="8" borderId="1" xfId="0" applyNumberFormat="1" applyFont="1" applyFill="1" applyBorder="1" applyAlignment="1">
      <alignment horizontal="center" vertical="center"/>
    </xf>
    <xf numFmtId="1" fontId="11240" fillId="8" borderId="1" xfId="0" applyNumberFormat="1" applyFont="1" applyFill="1" applyBorder="1" applyAlignment="1">
      <alignment horizontal="center" vertical="center"/>
    </xf>
    <xf numFmtId="1" fontId="11241" fillId="8" borderId="1" xfId="0" applyNumberFormat="1" applyFont="1" applyFill="1" applyBorder="1" applyAlignment="1">
      <alignment horizontal="center" vertical="center"/>
    </xf>
    <xf numFmtId="1" fontId="11242" fillId="8" borderId="1" xfId="0" applyNumberFormat="1" applyFont="1" applyFill="1" applyBorder="1" applyAlignment="1">
      <alignment horizontal="center" vertical="center"/>
    </xf>
    <xf numFmtId="0" fontId="11243" fillId="8" borderId="1" xfId="0" applyNumberFormat="1" applyFont="1" applyFill="1" applyBorder="1" applyAlignment="1">
      <alignment horizontal="center" vertical="center"/>
    </xf>
    <xf numFmtId="0" fontId="11244" fillId="8" borderId="1" xfId="0" applyNumberFormat="1" applyFont="1" applyFill="1" applyBorder="1" applyAlignment="1">
      <alignment horizontal="center" vertical="center"/>
    </xf>
    <xf numFmtId="1" fontId="11245" fillId="8" borderId="1" xfId="0" applyNumberFormat="1" applyFont="1" applyFill="1" applyBorder="1" applyAlignment="1">
      <alignment horizontal="center" vertical="center"/>
    </xf>
    <xf numFmtId="1" fontId="11246" fillId="8" borderId="1" xfId="0" applyNumberFormat="1" applyFont="1" applyFill="1" applyBorder="1" applyAlignment="1">
      <alignment horizontal="center" vertical="center"/>
    </xf>
    <xf numFmtId="1" fontId="11247" fillId="8" borderId="1" xfId="0" applyNumberFormat="1" applyFont="1" applyFill="1" applyBorder="1" applyAlignment="1">
      <alignment horizontal="center" vertical="center"/>
    </xf>
    <xf numFmtId="165" fontId="11248" fillId="8" borderId="1" xfId="0" applyNumberFormat="1" applyFont="1" applyFill="1" applyBorder="1" applyAlignment="1">
      <alignment horizontal="center" vertical="center"/>
    </xf>
    <xf numFmtId="1" fontId="11249" fillId="8" borderId="1" xfId="0" applyNumberFormat="1" applyFont="1" applyFill="1" applyBorder="1" applyAlignment="1">
      <alignment horizontal="center" vertical="center"/>
    </xf>
    <xf numFmtId="165" fontId="11250" fillId="8" borderId="1" xfId="0" applyNumberFormat="1" applyFont="1" applyFill="1" applyBorder="1" applyAlignment="1">
      <alignment horizontal="center" vertical="center"/>
    </xf>
    <xf numFmtId="1" fontId="11251" fillId="8" borderId="1" xfId="0" applyNumberFormat="1" applyFont="1" applyFill="1" applyBorder="1" applyAlignment="1">
      <alignment horizontal="center" vertical="center"/>
    </xf>
    <xf numFmtId="165" fontId="11252" fillId="8" borderId="1" xfId="0" applyNumberFormat="1" applyFont="1" applyFill="1" applyBorder="1" applyAlignment="1">
      <alignment horizontal="center" vertical="center"/>
    </xf>
    <xf numFmtId="1" fontId="11253" fillId="8" borderId="1" xfId="0" applyNumberFormat="1" applyFont="1" applyFill="1" applyBorder="1" applyAlignment="1">
      <alignment horizontal="center" vertical="center"/>
    </xf>
    <xf numFmtId="165" fontId="11254" fillId="8" borderId="1" xfId="0" applyNumberFormat="1" applyFont="1" applyFill="1" applyBorder="1" applyAlignment="1">
      <alignment horizontal="center" vertical="center"/>
    </xf>
    <xf numFmtId="165" fontId="11255" fillId="8" borderId="1" xfId="0" applyNumberFormat="1" applyFont="1" applyFill="1" applyBorder="1" applyAlignment="1">
      <alignment horizontal="center" vertical="center"/>
    </xf>
    <xf numFmtId="1" fontId="11256" fillId="8" borderId="1" xfId="0" applyNumberFormat="1" applyFont="1" applyFill="1" applyBorder="1" applyAlignment="1">
      <alignment horizontal="center" vertical="center"/>
    </xf>
    <xf numFmtId="1" fontId="11257" fillId="8" borderId="1" xfId="0" applyNumberFormat="1" applyFont="1" applyFill="1" applyBorder="1" applyAlignment="1">
      <alignment horizontal="center" vertical="center"/>
    </xf>
    <xf numFmtId="1" fontId="11258" fillId="8" borderId="1" xfId="0" applyNumberFormat="1" applyFont="1" applyFill="1" applyBorder="1" applyAlignment="1">
      <alignment horizontal="center" vertical="center"/>
    </xf>
    <xf numFmtId="165" fontId="11259" fillId="8" borderId="1" xfId="0" applyNumberFormat="1" applyFont="1" applyFill="1" applyBorder="1" applyAlignment="1">
      <alignment horizontal="center" vertical="center"/>
    </xf>
    <xf numFmtId="164" fontId="11260" fillId="8" borderId="1" xfId="0" applyNumberFormat="1" applyFont="1" applyFill="1" applyBorder="1" applyAlignment="1">
      <alignment horizontal="center" vertical="center"/>
    </xf>
    <xf numFmtId="164" fontId="11261" fillId="8" borderId="1" xfId="0" applyNumberFormat="1" applyFont="1" applyFill="1" applyBorder="1" applyAlignment="1">
      <alignment horizontal="center" vertical="center"/>
    </xf>
    <xf numFmtId="1" fontId="11262" fillId="8" borderId="1" xfId="0" applyNumberFormat="1" applyFont="1" applyFill="1" applyBorder="1" applyAlignment="1">
      <alignment horizontal="center" vertical="center"/>
    </xf>
    <xf numFmtId="1" fontId="11263" fillId="8" borderId="1" xfId="0" applyNumberFormat="1" applyFont="1" applyFill="1" applyBorder="1" applyAlignment="1">
      <alignment horizontal="center" vertical="center"/>
    </xf>
    <xf numFmtId="1" fontId="11264" fillId="8" borderId="1" xfId="0" applyNumberFormat="1" applyFont="1" applyFill="1" applyBorder="1" applyAlignment="1">
      <alignment horizontal="center" vertical="center"/>
    </xf>
    <xf numFmtId="165" fontId="11265" fillId="8" borderId="1" xfId="0" applyNumberFormat="1" applyFont="1" applyFill="1" applyBorder="1" applyAlignment="1">
      <alignment horizontal="center" vertical="center"/>
    </xf>
    <xf numFmtId="1" fontId="11266" fillId="8" borderId="1" xfId="0" applyNumberFormat="1" applyFont="1" applyFill="1" applyBorder="1" applyAlignment="1">
      <alignment horizontal="center" vertical="center"/>
    </xf>
    <xf numFmtId="165" fontId="11267" fillId="8" borderId="1" xfId="0" applyNumberFormat="1" applyFont="1" applyFill="1" applyBorder="1" applyAlignment="1">
      <alignment horizontal="center" vertical="center"/>
    </xf>
    <xf numFmtId="1" fontId="11268" fillId="8" borderId="1" xfId="0" applyNumberFormat="1" applyFont="1" applyFill="1" applyBorder="1" applyAlignment="1">
      <alignment horizontal="center" vertical="center"/>
    </xf>
    <xf numFmtId="1" fontId="11269" fillId="8" borderId="1" xfId="0" applyNumberFormat="1" applyFont="1" applyFill="1" applyBorder="1" applyAlignment="1">
      <alignment horizontal="center" vertical="center"/>
    </xf>
    <xf numFmtId="1" fontId="11270" fillId="8" borderId="1" xfId="0" applyNumberFormat="1" applyFont="1" applyFill="1" applyBorder="1" applyAlignment="1">
      <alignment horizontal="center" vertical="center"/>
    </xf>
    <xf numFmtId="1" fontId="11271" fillId="8" borderId="1" xfId="0" applyNumberFormat="1" applyFont="1" applyFill="1" applyBorder="1" applyAlignment="1">
      <alignment horizontal="center" vertical="center"/>
    </xf>
    <xf numFmtId="165" fontId="11272" fillId="8" borderId="1" xfId="0" applyNumberFormat="1" applyFont="1" applyFill="1" applyBorder="1" applyAlignment="1">
      <alignment horizontal="center" vertical="center"/>
    </xf>
    <xf numFmtId="1" fontId="11273" fillId="8" borderId="1" xfId="0" applyNumberFormat="1" applyFont="1" applyFill="1" applyBorder="1" applyAlignment="1">
      <alignment horizontal="center" vertical="center"/>
    </xf>
    <xf numFmtId="165" fontId="11274" fillId="8" borderId="1" xfId="0" applyNumberFormat="1" applyFont="1" applyFill="1" applyBorder="1" applyAlignment="1">
      <alignment horizontal="center" vertical="center"/>
    </xf>
    <xf numFmtId="1" fontId="11275" fillId="8" borderId="1" xfId="0" applyNumberFormat="1" applyFont="1" applyFill="1" applyBorder="1" applyAlignment="1">
      <alignment horizontal="center" vertical="center"/>
    </xf>
    <xf numFmtId="165" fontId="11276" fillId="8" borderId="1" xfId="0" applyNumberFormat="1" applyFont="1" applyFill="1" applyBorder="1" applyAlignment="1">
      <alignment horizontal="center" vertical="center"/>
    </xf>
    <xf numFmtId="2" fontId="11277" fillId="8" borderId="1" xfId="0" applyNumberFormat="1" applyFont="1" applyFill="1" applyBorder="1" applyAlignment="1">
      <alignment horizontal="center" vertical="center"/>
    </xf>
    <xf numFmtId="2" fontId="11278" fillId="8" borderId="1" xfId="0" applyNumberFormat="1" applyFont="1" applyFill="1" applyBorder="1" applyAlignment="1">
      <alignment horizontal="center" vertical="center"/>
    </xf>
    <xf numFmtId="2" fontId="11279" fillId="8" borderId="1" xfId="0" applyNumberFormat="1" applyFont="1" applyFill="1" applyBorder="1" applyAlignment="1">
      <alignment horizontal="center" vertical="center"/>
    </xf>
    <xf numFmtId="2" fontId="11280" fillId="8" borderId="1" xfId="0" applyNumberFormat="1" applyFont="1" applyFill="1" applyBorder="1" applyAlignment="1">
      <alignment horizontal="center" vertical="center"/>
    </xf>
    <xf numFmtId="2" fontId="11281" fillId="8" borderId="1" xfId="0" applyNumberFormat="1" applyFont="1" applyFill="1" applyBorder="1" applyAlignment="1">
      <alignment horizontal="center" vertical="center"/>
    </xf>
    <xf numFmtId="2" fontId="11282" fillId="8" borderId="1" xfId="0" applyNumberFormat="1" applyFont="1" applyFill="1" applyBorder="1" applyAlignment="1">
      <alignment horizontal="center" vertical="center"/>
    </xf>
    <xf numFmtId="2" fontId="11283" fillId="8" borderId="1" xfId="0" applyNumberFormat="1" applyFont="1" applyFill="1" applyBorder="1" applyAlignment="1">
      <alignment horizontal="center" vertical="center"/>
    </xf>
    <xf numFmtId="2" fontId="11284" fillId="8" borderId="1" xfId="0" applyNumberFormat="1" applyFont="1" applyFill="1" applyBorder="1" applyAlignment="1">
      <alignment horizontal="center" vertical="center"/>
    </xf>
    <xf numFmtId="2" fontId="11285" fillId="8" borderId="1" xfId="0" applyNumberFormat="1" applyFont="1" applyFill="1" applyBorder="1" applyAlignment="1">
      <alignment horizontal="center" vertical="center"/>
    </xf>
    <xf numFmtId="2" fontId="11286" fillId="8" borderId="1" xfId="0" applyNumberFormat="1" applyFont="1" applyFill="1" applyBorder="1" applyAlignment="1">
      <alignment horizontal="center" vertical="center"/>
    </xf>
    <xf numFmtId="2" fontId="11287" fillId="8" borderId="1" xfId="0" applyNumberFormat="1" applyFont="1" applyFill="1" applyBorder="1" applyAlignment="1">
      <alignment horizontal="center" vertical="center"/>
    </xf>
    <xf numFmtId="2" fontId="11288" fillId="8" borderId="1" xfId="0" applyNumberFormat="1" applyFont="1" applyFill="1" applyBorder="1" applyAlignment="1">
      <alignment horizontal="center" vertical="center"/>
    </xf>
    <xf numFmtId="2" fontId="11289" fillId="8" borderId="1" xfId="0" applyNumberFormat="1" applyFont="1" applyFill="1" applyBorder="1" applyAlignment="1">
      <alignment horizontal="center" vertical="center"/>
    </xf>
    <xf numFmtId="2" fontId="11290" fillId="8" borderId="1" xfId="0" applyNumberFormat="1" applyFont="1" applyFill="1" applyBorder="1" applyAlignment="1">
      <alignment horizontal="center" vertical="center"/>
    </xf>
    <xf numFmtId="2" fontId="11291" fillId="8" borderId="1" xfId="0" applyNumberFormat="1" applyFont="1" applyFill="1" applyBorder="1" applyAlignment="1">
      <alignment horizontal="center" vertical="center"/>
    </xf>
    <xf numFmtId="2" fontId="11292" fillId="8" borderId="1" xfId="0" applyNumberFormat="1" applyFont="1" applyFill="1" applyBorder="1" applyAlignment="1">
      <alignment horizontal="center" vertical="center"/>
    </xf>
    <xf numFmtId="2" fontId="11293" fillId="8" borderId="1" xfId="0" applyNumberFormat="1" applyFont="1" applyFill="1" applyBorder="1" applyAlignment="1">
      <alignment horizontal="center" vertical="center"/>
    </xf>
    <xf numFmtId="2" fontId="11294" fillId="8" borderId="1" xfId="0" applyNumberFormat="1" applyFont="1" applyFill="1" applyBorder="1" applyAlignment="1">
      <alignment horizontal="center" vertical="center"/>
    </xf>
    <xf numFmtId="2" fontId="11295" fillId="8" borderId="1" xfId="0" applyNumberFormat="1" applyFont="1" applyFill="1" applyBorder="1" applyAlignment="1">
      <alignment horizontal="center" vertical="center"/>
    </xf>
    <xf numFmtId="2" fontId="11296" fillId="8" borderId="1" xfId="0" applyNumberFormat="1" applyFont="1" applyFill="1" applyBorder="1" applyAlignment="1">
      <alignment horizontal="center" vertical="center"/>
    </xf>
    <xf numFmtId="2" fontId="11297" fillId="8" borderId="1" xfId="0" applyNumberFormat="1" applyFont="1" applyFill="1" applyBorder="1" applyAlignment="1">
      <alignment horizontal="center" vertical="center"/>
    </xf>
    <xf numFmtId="2" fontId="11298" fillId="8" borderId="1" xfId="0" applyNumberFormat="1" applyFont="1" applyFill="1" applyBorder="1" applyAlignment="1">
      <alignment horizontal="center" vertical="center"/>
    </xf>
    <xf numFmtId="2" fontId="11299" fillId="8" borderId="1" xfId="0" applyNumberFormat="1" applyFont="1" applyFill="1" applyBorder="1" applyAlignment="1">
      <alignment horizontal="center" vertical="center"/>
    </xf>
    <xf numFmtId="2" fontId="11300" fillId="8" borderId="1" xfId="0" applyNumberFormat="1" applyFont="1" applyFill="1" applyBorder="1" applyAlignment="1">
      <alignment horizontal="center" vertical="center"/>
    </xf>
    <xf numFmtId="2" fontId="11301" fillId="8" borderId="1" xfId="0" applyNumberFormat="1" applyFont="1" applyFill="1" applyBorder="1" applyAlignment="1">
      <alignment horizontal="center" vertical="center"/>
    </xf>
    <xf numFmtId="2" fontId="11302" fillId="8" borderId="1" xfId="0" applyNumberFormat="1" applyFont="1" applyFill="1" applyBorder="1" applyAlignment="1">
      <alignment horizontal="center" vertical="center"/>
    </xf>
    <xf numFmtId="2" fontId="11303" fillId="8" borderId="1" xfId="0" applyNumberFormat="1" applyFont="1" applyFill="1" applyBorder="1" applyAlignment="1">
      <alignment horizontal="center" vertical="center"/>
    </xf>
    <xf numFmtId="2" fontId="11304" fillId="8" borderId="1" xfId="0" applyNumberFormat="1" applyFont="1" applyFill="1" applyBorder="1" applyAlignment="1">
      <alignment horizontal="center" vertical="center"/>
    </xf>
    <xf numFmtId="2" fontId="11305" fillId="8" borderId="1" xfId="0" applyNumberFormat="1" applyFont="1" applyFill="1" applyBorder="1" applyAlignment="1">
      <alignment horizontal="center" vertical="center"/>
    </xf>
    <xf numFmtId="2" fontId="11306" fillId="8" borderId="1" xfId="0" applyNumberFormat="1" applyFont="1" applyFill="1" applyBorder="1" applyAlignment="1">
      <alignment horizontal="center" vertical="center"/>
    </xf>
    <xf numFmtId="2" fontId="11307" fillId="8" borderId="1" xfId="0" applyNumberFormat="1" applyFont="1" applyFill="1" applyBorder="1" applyAlignment="1">
      <alignment horizontal="center" vertical="center"/>
    </xf>
    <xf numFmtId="2" fontId="11308" fillId="8" borderId="1" xfId="0" applyNumberFormat="1" applyFont="1" applyFill="1" applyBorder="1" applyAlignment="1">
      <alignment horizontal="center" vertical="center"/>
    </xf>
    <xf numFmtId="2" fontId="11309" fillId="8" borderId="1" xfId="0" applyNumberFormat="1" applyFont="1" applyFill="1" applyBorder="1" applyAlignment="1">
      <alignment horizontal="center" vertical="center"/>
    </xf>
    <xf numFmtId="2" fontId="11310" fillId="8" borderId="1" xfId="0" applyNumberFormat="1" applyFont="1" applyFill="1" applyBorder="1" applyAlignment="1">
      <alignment horizontal="center" vertical="center"/>
    </xf>
    <xf numFmtId="0" fontId="11311" fillId="7" borderId="1" xfId="0" applyNumberFormat="1" applyFont="1" applyFill="1" applyBorder="1" applyAlignment="1">
      <alignment horizontal="left" vertical="center"/>
    </xf>
    <xf numFmtId="0" fontId="11312" fillId="8" borderId="1" xfId="0" applyNumberFormat="1" applyFont="1" applyFill="1" applyBorder="1" applyAlignment="1">
      <alignment horizontal="center" vertical="center"/>
    </xf>
    <xf numFmtId="164" fontId="11313" fillId="8" borderId="1" xfId="0" applyNumberFormat="1" applyFont="1" applyFill="1" applyBorder="1" applyAlignment="1">
      <alignment horizontal="center" vertical="center"/>
    </xf>
    <xf numFmtId="1" fontId="11314" fillId="8" borderId="1" xfId="0" applyNumberFormat="1" applyFont="1" applyFill="1" applyBorder="1" applyAlignment="1">
      <alignment horizontal="center" vertical="center"/>
    </xf>
    <xf numFmtId="1" fontId="11315" fillId="8" borderId="1" xfId="0" applyNumberFormat="1" applyFont="1" applyFill="1" applyBorder="1" applyAlignment="1">
      <alignment horizontal="center" vertical="center"/>
    </xf>
    <xf numFmtId="1" fontId="11316" fillId="8" borderId="1" xfId="0" applyNumberFormat="1" applyFont="1" applyFill="1" applyBorder="1" applyAlignment="1">
      <alignment horizontal="center" vertical="center"/>
    </xf>
    <xf numFmtId="1" fontId="11317" fillId="8" borderId="1" xfId="0" applyNumberFormat="1" applyFont="1" applyFill="1" applyBorder="1" applyAlignment="1">
      <alignment horizontal="center" vertical="center"/>
    </xf>
    <xf numFmtId="1" fontId="11318" fillId="8" borderId="1" xfId="0" applyNumberFormat="1" applyFont="1" applyFill="1" applyBorder="1" applyAlignment="1">
      <alignment horizontal="center" vertical="center"/>
    </xf>
    <xf numFmtId="1" fontId="11319" fillId="8" borderId="1" xfId="0" applyNumberFormat="1" applyFont="1" applyFill="1" applyBorder="1" applyAlignment="1">
      <alignment horizontal="center" vertical="center"/>
    </xf>
    <xf numFmtId="1" fontId="11320" fillId="8" borderId="1" xfId="0" applyNumberFormat="1" applyFont="1" applyFill="1" applyBorder="1" applyAlignment="1">
      <alignment horizontal="center" vertical="center"/>
    </xf>
    <xf numFmtId="0" fontId="11321" fillId="8" borderId="1" xfId="0" applyNumberFormat="1" applyFont="1" applyFill="1" applyBorder="1" applyAlignment="1">
      <alignment horizontal="center" vertical="center"/>
    </xf>
    <xf numFmtId="0" fontId="11322" fillId="8" borderId="1" xfId="0" applyNumberFormat="1" applyFont="1" applyFill="1" applyBorder="1" applyAlignment="1">
      <alignment horizontal="center" vertical="center"/>
    </xf>
    <xf numFmtId="1" fontId="11323" fillId="8" borderId="1" xfId="0" applyNumberFormat="1" applyFont="1" applyFill="1" applyBorder="1" applyAlignment="1">
      <alignment horizontal="center" vertical="center"/>
    </xf>
    <xf numFmtId="1" fontId="11324" fillId="8" borderId="1" xfId="0" applyNumberFormat="1" applyFont="1" applyFill="1" applyBorder="1" applyAlignment="1">
      <alignment horizontal="center" vertical="center"/>
    </xf>
    <xf numFmtId="1" fontId="11325" fillId="8" borderId="1" xfId="0" applyNumberFormat="1" applyFont="1" applyFill="1" applyBorder="1" applyAlignment="1">
      <alignment horizontal="center" vertical="center"/>
    </xf>
    <xf numFmtId="165" fontId="11326" fillId="8" borderId="1" xfId="0" applyNumberFormat="1" applyFont="1" applyFill="1" applyBorder="1" applyAlignment="1">
      <alignment horizontal="center" vertical="center"/>
    </xf>
    <xf numFmtId="1" fontId="11327" fillId="8" borderId="1" xfId="0" applyNumberFormat="1" applyFont="1" applyFill="1" applyBorder="1" applyAlignment="1">
      <alignment horizontal="center" vertical="center"/>
    </xf>
    <xf numFmtId="165" fontId="11328" fillId="8" borderId="1" xfId="0" applyNumberFormat="1" applyFont="1" applyFill="1" applyBorder="1" applyAlignment="1">
      <alignment horizontal="center" vertical="center"/>
    </xf>
    <xf numFmtId="1" fontId="11329" fillId="8" borderId="1" xfId="0" applyNumberFormat="1" applyFont="1" applyFill="1" applyBorder="1" applyAlignment="1">
      <alignment horizontal="center" vertical="center"/>
    </xf>
    <xf numFmtId="165" fontId="11330" fillId="8" borderId="1" xfId="0" applyNumberFormat="1" applyFont="1" applyFill="1" applyBorder="1" applyAlignment="1">
      <alignment horizontal="center" vertical="center"/>
    </xf>
    <xf numFmtId="1" fontId="11331" fillId="8" borderId="1" xfId="0" applyNumberFormat="1" applyFont="1" applyFill="1" applyBorder="1" applyAlignment="1">
      <alignment horizontal="center" vertical="center"/>
    </xf>
    <xf numFmtId="165" fontId="11332" fillId="8" borderId="1" xfId="0" applyNumberFormat="1" applyFont="1" applyFill="1" applyBorder="1" applyAlignment="1">
      <alignment horizontal="center" vertical="center"/>
    </xf>
    <xf numFmtId="165" fontId="11333" fillId="8" borderId="1" xfId="0" applyNumberFormat="1" applyFont="1" applyFill="1" applyBorder="1" applyAlignment="1">
      <alignment horizontal="center" vertical="center"/>
    </xf>
    <xf numFmtId="1" fontId="11334" fillId="8" borderId="1" xfId="0" applyNumberFormat="1" applyFont="1" applyFill="1" applyBorder="1" applyAlignment="1">
      <alignment horizontal="center" vertical="center"/>
    </xf>
    <xf numFmtId="1" fontId="11335" fillId="8" borderId="1" xfId="0" applyNumberFormat="1" applyFont="1" applyFill="1" applyBorder="1" applyAlignment="1">
      <alignment horizontal="center" vertical="center"/>
    </xf>
    <xf numFmtId="1" fontId="11336" fillId="8" borderId="1" xfId="0" applyNumberFormat="1" applyFont="1" applyFill="1" applyBorder="1" applyAlignment="1">
      <alignment horizontal="center" vertical="center"/>
    </xf>
    <xf numFmtId="165" fontId="11337" fillId="8" borderId="1" xfId="0" applyNumberFormat="1" applyFont="1" applyFill="1" applyBorder="1" applyAlignment="1">
      <alignment horizontal="center" vertical="center"/>
    </xf>
    <xf numFmtId="164" fontId="11338" fillId="8" borderId="1" xfId="0" applyNumberFormat="1" applyFont="1" applyFill="1" applyBorder="1" applyAlignment="1">
      <alignment horizontal="center" vertical="center"/>
    </xf>
    <xf numFmtId="164" fontId="11339" fillId="8" borderId="1" xfId="0" applyNumberFormat="1" applyFont="1" applyFill="1" applyBorder="1" applyAlignment="1">
      <alignment horizontal="center" vertical="center"/>
    </xf>
    <xf numFmtId="1" fontId="11340" fillId="8" borderId="1" xfId="0" applyNumberFormat="1" applyFont="1" applyFill="1" applyBorder="1" applyAlignment="1">
      <alignment horizontal="center" vertical="center"/>
    </xf>
    <xf numFmtId="1" fontId="11341" fillId="8" borderId="1" xfId="0" applyNumberFormat="1" applyFont="1" applyFill="1" applyBorder="1" applyAlignment="1">
      <alignment horizontal="center" vertical="center"/>
    </xf>
    <xf numFmtId="1" fontId="11342" fillId="8" borderId="1" xfId="0" applyNumberFormat="1" applyFont="1" applyFill="1" applyBorder="1" applyAlignment="1">
      <alignment horizontal="center" vertical="center"/>
    </xf>
    <xf numFmtId="165" fontId="11343" fillId="8" borderId="1" xfId="0" applyNumberFormat="1" applyFont="1" applyFill="1" applyBorder="1" applyAlignment="1">
      <alignment horizontal="center" vertical="center"/>
    </xf>
    <xf numFmtId="1" fontId="11344" fillId="8" borderId="1" xfId="0" applyNumberFormat="1" applyFont="1" applyFill="1" applyBorder="1" applyAlignment="1">
      <alignment horizontal="center" vertical="center"/>
    </xf>
    <xf numFmtId="165" fontId="11345" fillId="8" borderId="1" xfId="0" applyNumberFormat="1" applyFont="1" applyFill="1" applyBorder="1" applyAlignment="1">
      <alignment horizontal="center" vertical="center"/>
    </xf>
    <xf numFmtId="1" fontId="11346" fillId="8" borderId="1" xfId="0" applyNumberFormat="1" applyFont="1" applyFill="1" applyBorder="1" applyAlignment="1">
      <alignment horizontal="center" vertical="center"/>
    </xf>
    <xf numFmtId="1" fontId="11347" fillId="8" borderId="1" xfId="0" applyNumberFormat="1" applyFont="1" applyFill="1" applyBorder="1" applyAlignment="1">
      <alignment horizontal="center" vertical="center"/>
    </xf>
    <xf numFmtId="1" fontId="11348" fillId="8" borderId="1" xfId="0" applyNumberFormat="1" applyFont="1" applyFill="1" applyBorder="1" applyAlignment="1">
      <alignment horizontal="center" vertical="center"/>
    </xf>
    <xf numFmtId="1" fontId="11349" fillId="8" borderId="1" xfId="0" applyNumberFormat="1" applyFont="1" applyFill="1" applyBorder="1" applyAlignment="1">
      <alignment horizontal="center" vertical="center"/>
    </xf>
    <xf numFmtId="165" fontId="11350" fillId="8" borderId="1" xfId="0" applyNumberFormat="1" applyFont="1" applyFill="1" applyBorder="1" applyAlignment="1">
      <alignment horizontal="center" vertical="center"/>
    </xf>
    <xf numFmtId="1" fontId="11351" fillId="8" borderId="1" xfId="0" applyNumberFormat="1" applyFont="1" applyFill="1" applyBorder="1" applyAlignment="1">
      <alignment horizontal="center" vertical="center"/>
    </xf>
    <xf numFmtId="165" fontId="11352" fillId="8" borderId="1" xfId="0" applyNumberFormat="1" applyFont="1" applyFill="1" applyBorder="1" applyAlignment="1">
      <alignment horizontal="center" vertical="center"/>
    </xf>
    <xf numFmtId="1" fontId="11353" fillId="8" borderId="1" xfId="0" applyNumberFormat="1" applyFont="1" applyFill="1" applyBorder="1" applyAlignment="1">
      <alignment horizontal="center" vertical="center"/>
    </xf>
    <xf numFmtId="165" fontId="11354" fillId="8" borderId="1" xfId="0" applyNumberFormat="1" applyFont="1" applyFill="1" applyBorder="1" applyAlignment="1">
      <alignment horizontal="center" vertical="center"/>
    </xf>
    <xf numFmtId="2" fontId="11355" fillId="8" borderId="1" xfId="0" applyNumberFormat="1" applyFont="1" applyFill="1" applyBorder="1" applyAlignment="1">
      <alignment horizontal="center" vertical="center"/>
    </xf>
    <xf numFmtId="2" fontId="11356" fillId="8" borderId="1" xfId="0" applyNumberFormat="1" applyFont="1" applyFill="1" applyBorder="1" applyAlignment="1">
      <alignment horizontal="center" vertical="center"/>
    </xf>
    <xf numFmtId="2" fontId="11357" fillId="8" borderId="1" xfId="0" applyNumberFormat="1" applyFont="1" applyFill="1" applyBorder="1" applyAlignment="1">
      <alignment horizontal="center" vertical="center"/>
    </xf>
    <xf numFmtId="2" fontId="11358" fillId="8" borderId="1" xfId="0" applyNumberFormat="1" applyFont="1" applyFill="1" applyBorder="1" applyAlignment="1">
      <alignment horizontal="center" vertical="center"/>
    </xf>
    <xf numFmtId="2" fontId="11359" fillId="8" borderId="1" xfId="0" applyNumberFormat="1" applyFont="1" applyFill="1" applyBorder="1" applyAlignment="1">
      <alignment horizontal="center" vertical="center"/>
    </xf>
    <xf numFmtId="2" fontId="11360" fillId="8" borderId="1" xfId="0" applyNumberFormat="1" applyFont="1" applyFill="1" applyBorder="1" applyAlignment="1">
      <alignment horizontal="center" vertical="center"/>
    </xf>
    <xf numFmtId="2" fontId="11361" fillId="8" borderId="1" xfId="0" applyNumberFormat="1" applyFont="1" applyFill="1" applyBorder="1" applyAlignment="1">
      <alignment horizontal="center" vertical="center"/>
    </xf>
    <xf numFmtId="2" fontId="11362" fillId="8" borderId="1" xfId="0" applyNumberFormat="1" applyFont="1" applyFill="1" applyBorder="1" applyAlignment="1">
      <alignment horizontal="center" vertical="center"/>
    </xf>
    <xf numFmtId="2" fontId="11363" fillId="8" borderId="1" xfId="0" applyNumberFormat="1" applyFont="1" applyFill="1" applyBorder="1" applyAlignment="1">
      <alignment horizontal="center" vertical="center"/>
    </xf>
    <xf numFmtId="2" fontId="11364" fillId="8" borderId="1" xfId="0" applyNumberFormat="1" applyFont="1" applyFill="1" applyBorder="1" applyAlignment="1">
      <alignment horizontal="center" vertical="center"/>
    </xf>
    <xf numFmtId="2" fontId="11365" fillId="8" borderId="1" xfId="0" applyNumberFormat="1" applyFont="1" applyFill="1" applyBorder="1" applyAlignment="1">
      <alignment horizontal="center" vertical="center"/>
    </xf>
    <xf numFmtId="2" fontId="11366" fillId="8" borderId="1" xfId="0" applyNumberFormat="1" applyFont="1" applyFill="1" applyBorder="1" applyAlignment="1">
      <alignment horizontal="center" vertical="center"/>
    </xf>
    <xf numFmtId="2" fontId="11367" fillId="8" borderId="1" xfId="0" applyNumberFormat="1" applyFont="1" applyFill="1" applyBorder="1" applyAlignment="1">
      <alignment horizontal="center" vertical="center"/>
    </xf>
    <xf numFmtId="2" fontId="11368" fillId="8" borderId="1" xfId="0" applyNumberFormat="1" applyFont="1" applyFill="1" applyBorder="1" applyAlignment="1">
      <alignment horizontal="center" vertical="center"/>
    </xf>
    <xf numFmtId="2" fontId="11369" fillId="8" borderId="1" xfId="0" applyNumberFormat="1" applyFont="1" applyFill="1" applyBorder="1" applyAlignment="1">
      <alignment horizontal="center" vertical="center"/>
    </xf>
    <xf numFmtId="2" fontId="11370" fillId="8" borderId="1" xfId="0" applyNumberFormat="1" applyFont="1" applyFill="1" applyBorder="1" applyAlignment="1">
      <alignment horizontal="center" vertical="center"/>
    </xf>
    <xf numFmtId="2" fontId="11371" fillId="8" borderId="1" xfId="0" applyNumberFormat="1" applyFont="1" applyFill="1" applyBorder="1" applyAlignment="1">
      <alignment horizontal="center" vertical="center"/>
    </xf>
    <xf numFmtId="2" fontId="11372" fillId="8" borderId="1" xfId="0" applyNumberFormat="1" applyFont="1" applyFill="1" applyBorder="1" applyAlignment="1">
      <alignment horizontal="center" vertical="center"/>
    </xf>
    <xf numFmtId="2" fontId="11373" fillId="8" borderId="1" xfId="0" applyNumberFormat="1" applyFont="1" applyFill="1" applyBorder="1" applyAlignment="1">
      <alignment horizontal="center" vertical="center"/>
    </xf>
    <xf numFmtId="2" fontId="11374" fillId="8" borderId="1" xfId="0" applyNumberFormat="1" applyFont="1" applyFill="1" applyBorder="1" applyAlignment="1">
      <alignment horizontal="center" vertical="center"/>
    </xf>
    <xf numFmtId="2" fontId="11375" fillId="8" borderId="1" xfId="0" applyNumberFormat="1" applyFont="1" applyFill="1" applyBorder="1" applyAlignment="1">
      <alignment horizontal="center" vertical="center"/>
    </xf>
    <xf numFmtId="2" fontId="11376" fillId="8" borderId="1" xfId="0" applyNumberFormat="1" applyFont="1" applyFill="1" applyBorder="1" applyAlignment="1">
      <alignment horizontal="center" vertical="center"/>
    </xf>
    <xf numFmtId="2" fontId="11377" fillId="8" borderId="1" xfId="0" applyNumberFormat="1" applyFont="1" applyFill="1" applyBorder="1" applyAlignment="1">
      <alignment horizontal="center" vertical="center"/>
    </xf>
    <xf numFmtId="2" fontId="11378" fillId="8" borderId="1" xfId="0" applyNumberFormat="1" applyFont="1" applyFill="1" applyBorder="1" applyAlignment="1">
      <alignment horizontal="center" vertical="center"/>
    </xf>
    <xf numFmtId="2" fontId="11379" fillId="8" borderId="1" xfId="0" applyNumberFormat="1" applyFont="1" applyFill="1" applyBorder="1" applyAlignment="1">
      <alignment horizontal="center" vertical="center"/>
    </xf>
    <xf numFmtId="2" fontId="11380" fillId="8" borderId="1" xfId="0" applyNumberFormat="1" applyFont="1" applyFill="1" applyBorder="1" applyAlignment="1">
      <alignment horizontal="center" vertical="center"/>
    </xf>
    <xf numFmtId="2" fontId="11381" fillId="8" borderId="1" xfId="0" applyNumberFormat="1" applyFont="1" applyFill="1" applyBorder="1" applyAlignment="1">
      <alignment horizontal="center" vertical="center"/>
    </xf>
    <xf numFmtId="2" fontId="11382" fillId="8" borderId="1" xfId="0" applyNumberFormat="1" applyFont="1" applyFill="1" applyBorder="1" applyAlignment="1">
      <alignment horizontal="center" vertical="center"/>
    </xf>
    <xf numFmtId="2" fontId="11383" fillId="8" borderId="1" xfId="0" applyNumberFormat="1" applyFont="1" applyFill="1" applyBorder="1" applyAlignment="1">
      <alignment horizontal="center" vertical="center"/>
    </xf>
    <xf numFmtId="2" fontId="11384" fillId="8" borderId="1" xfId="0" applyNumberFormat="1" applyFont="1" applyFill="1" applyBorder="1" applyAlignment="1">
      <alignment horizontal="center" vertical="center"/>
    </xf>
    <xf numFmtId="2" fontId="11385" fillId="8" borderId="1" xfId="0" applyNumberFormat="1" applyFont="1" applyFill="1" applyBorder="1" applyAlignment="1">
      <alignment horizontal="center" vertical="center"/>
    </xf>
    <xf numFmtId="2" fontId="11386" fillId="8" borderId="1" xfId="0" applyNumberFormat="1" applyFont="1" applyFill="1" applyBorder="1" applyAlignment="1">
      <alignment horizontal="center" vertical="center"/>
    </xf>
    <xf numFmtId="2" fontId="11387" fillId="8" borderId="1" xfId="0" applyNumberFormat="1" applyFont="1" applyFill="1" applyBorder="1" applyAlignment="1">
      <alignment horizontal="center" vertical="center"/>
    </xf>
    <xf numFmtId="2" fontId="11388" fillId="8" borderId="1" xfId="0" applyNumberFormat="1" applyFont="1" applyFill="1" applyBorder="1" applyAlignment="1">
      <alignment horizontal="center" vertical="center"/>
    </xf>
    <xf numFmtId="0" fontId="11389" fillId="7" borderId="1" xfId="0" applyNumberFormat="1" applyFont="1" applyFill="1" applyBorder="1" applyAlignment="1">
      <alignment horizontal="left" vertical="center"/>
    </xf>
    <xf numFmtId="0" fontId="11390" fillId="8" borderId="1" xfId="0" applyNumberFormat="1" applyFont="1" applyFill="1" applyBorder="1" applyAlignment="1">
      <alignment horizontal="center" vertical="center"/>
    </xf>
    <xf numFmtId="164" fontId="11391" fillId="8" borderId="1" xfId="0" applyNumberFormat="1" applyFont="1" applyFill="1" applyBorder="1" applyAlignment="1">
      <alignment horizontal="center" vertical="center"/>
    </xf>
    <xf numFmtId="1" fontId="11392" fillId="8" borderId="1" xfId="0" applyNumberFormat="1" applyFont="1" applyFill="1" applyBorder="1" applyAlignment="1">
      <alignment horizontal="center" vertical="center"/>
    </xf>
    <xf numFmtId="1" fontId="11393" fillId="8" borderId="1" xfId="0" applyNumberFormat="1" applyFont="1" applyFill="1" applyBorder="1" applyAlignment="1">
      <alignment horizontal="center" vertical="center"/>
    </xf>
    <xf numFmtId="1" fontId="11394" fillId="8" borderId="1" xfId="0" applyNumberFormat="1" applyFont="1" applyFill="1" applyBorder="1" applyAlignment="1">
      <alignment horizontal="center" vertical="center"/>
    </xf>
    <xf numFmtId="1" fontId="11395" fillId="8" borderId="1" xfId="0" applyNumberFormat="1" applyFont="1" applyFill="1" applyBorder="1" applyAlignment="1">
      <alignment horizontal="center" vertical="center"/>
    </xf>
    <xf numFmtId="1" fontId="11396" fillId="8" borderId="1" xfId="0" applyNumberFormat="1" applyFont="1" applyFill="1" applyBorder="1" applyAlignment="1">
      <alignment horizontal="center" vertical="center"/>
    </xf>
    <xf numFmtId="1" fontId="11397" fillId="8" borderId="1" xfId="0" applyNumberFormat="1" applyFont="1" applyFill="1" applyBorder="1" applyAlignment="1">
      <alignment horizontal="center" vertical="center"/>
    </xf>
    <xf numFmtId="1" fontId="11398" fillId="8" borderId="1" xfId="0" applyNumberFormat="1" applyFont="1" applyFill="1" applyBorder="1" applyAlignment="1">
      <alignment horizontal="center" vertical="center"/>
    </xf>
    <xf numFmtId="0" fontId="11399" fillId="8" borderId="1" xfId="0" applyNumberFormat="1" applyFont="1" applyFill="1" applyBorder="1" applyAlignment="1">
      <alignment horizontal="center" vertical="center"/>
    </xf>
    <xf numFmtId="0" fontId="11400" fillId="8" borderId="1" xfId="0" applyNumberFormat="1" applyFont="1" applyFill="1" applyBorder="1" applyAlignment="1">
      <alignment horizontal="center" vertical="center"/>
    </xf>
    <xf numFmtId="1" fontId="11401" fillId="8" borderId="1" xfId="0" applyNumberFormat="1" applyFont="1" applyFill="1" applyBorder="1" applyAlignment="1">
      <alignment horizontal="center" vertical="center"/>
    </xf>
    <xf numFmtId="1" fontId="11402" fillId="8" borderId="1" xfId="0" applyNumberFormat="1" applyFont="1" applyFill="1" applyBorder="1" applyAlignment="1">
      <alignment horizontal="center" vertical="center"/>
    </xf>
    <xf numFmtId="1" fontId="11403" fillId="8" borderId="1" xfId="0" applyNumberFormat="1" applyFont="1" applyFill="1" applyBorder="1" applyAlignment="1">
      <alignment horizontal="center" vertical="center"/>
    </xf>
    <xf numFmtId="165" fontId="11404" fillId="8" borderId="1" xfId="0" applyNumberFormat="1" applyFont="1" applyFill="1" applyBorder="1" applyAlignment="1">
      <alignment horizontal="center" vertical="center"/>
    </xf>
    <xf numFmtId="1" fontId="11405" fillId="8" borderId="1" xfId="0" applyNumberFormat="1" applyFont="1" applyFill="1" applyBorder="1" applyAlignment="1">
      <alignment horizontal="center" vertical="center"/>
    </xf>
    <xf numFmtId="165" fontId="11406" fillId="8" borderId="1" xfId="0" applyNumberFormat="1" applyFont="1" applyFill="1" applyBorder="1" applyAlignment="1">
      <alignment horizontal="center" vertical="center"/>
    </xf>
    <xf numFmtId="1" fontId="11407" fillId="8" borderId="1" xfId="0" applyNumberFormat="1" applyFont="1" applyFill="1" applyBorder="1" applyAlignment="1">
      <alignment horizontal="center" vertical="center"/>
    </xf>
    <xf numFmtId="165" fontId="11408" fillId="8" borderId="1" xfId="0" applyNumberFormat="1" applyFont="1" applyFill="1" applyBorder="1" applyAlignment="1">
      <alignment horizontal="center" vertical="center"/>
    </xf>
    <xf numFmtId="1" fontId="11409" fillId="8" borderId="1" xfId="0" applyNumberFormat="1" applyFont="1" applyFill="1" applyBorder="1" applyAlignment="1">
      <alignment horizontal="center" vertical="center"/>
    </xf>
    <xf numFmtId="165" fontId="11410" fillId="8" borderId="1" xfId="0" applyNumberFormat="1" applyFont="1" applyFill="1" applyBorder="1" applyAlignment="1">
      <alignment horizontal="center" vertical="center"/>
    </xf>
    <xf numFmtId="165" fontId="11411" fillId="8" borderId="1" xfId="0" applyNumberFormat="1" applyFont="1" applyFill="1" applyBorder="1" applyAlignment="1">
      <alignment horizontal="center" vertical="center"/>
    </xf>
    <xf numFmtId="1" fontId="11412" fillId="8" borderId="1" xfId="0" applyNumberFormat="1" applyFont="1" applyFill="1" applyBorder="1" applyAlignment="1">
      <alignment horizontal="center" vertical="center"/>
    </xf>
    <xf numFmtId="1" fontId="11413" fillId="8" borderId="1" xfId="0" applyNumberFormat="1" applyFont="1" applyFill="1" applyBorder="1" applyAlignment="1">
      <alignment horizontal="center" vertical="center"/>
    </xf>
    <xf numFmtId="1" fontId="11414" fillId="8" borderId="1" xfId="0" applyNumberFormat="1" applyFont="1" applyFill="1" applyBorder="1" applyAlignment="1">
      <alignment horizontal="center" vertical="center"/>
    </xf>
    <xf numFmtId="165" fontId="11415" fillId="8" borderId="1" xfId="0" applyNumberFormat="1" applyFont="1" applyFill="1" applyBorder="1" applyAlignment="1">
      <alignment horizontal="center" vertical="center"/>
    </xf>
    <xf numFmtId="164" fontId="11416" fillId="8" borderId="1" xfId="0" applyNumberFormat="1" applyFont="1" applyFill="1" applyBorder="1" applyAlignment="1">
      <alignment horizontal="center" vertical="center"/>
    </xf>
    <xf numFmtId="164" fontId="11417" fillId="8" borderId="1" xfId="0" applyNumberFormat="1" applyFont="1" applyFill="1" applyBorder="1" applyAlignment="1">
      <alignment horizontal="center" vertical="center"/>
    </xf>
    <xf numFmtId="1" fontId="11418" fillId="8" borderId="1" xfId="0" applyNumberFormat="1" applyFont="1" applyFill="1" applyBorder="1" applyAlignment="1">
      <alignment horizontal="center" vertical="center"/>
    </xf>
    <xf numFmtId="1" fontId="11419" fillId="8" borderId="1" xfId="0" applyNumberFormat="1" applyFont="1" applyFill="1" applyBorder="1" applyAlignment="1">
      <alignment horizontal="center" vertical="center"/>
    </xf>
    <xf numFmtId="1" fontId="11420" fillId="8" borderId="1" xfId="0" applyNumberFormat="1" applyFont="1" applyFill="1" applyBorder="1" applyAlignment="1">
      <alignment horizontal="center" vertical="center"/>
    </xf>
    <xf numFmtId="165" fontId="11421" fillId="8" borderId="1" xfId="0" applyNumberFormat="1" applyFont="1" applyFill="1" applyBorder="1" applyAlignment="1">
      <alignment horizontal="center" vertical="center"/>
    </xf>
    <xf numFmtId="1" fontId="11422" fillId="8" borderId="1" xfId="0" applyNumberFormat="1" applyFont="1" applyFill="1" applyBorder="1" applyAlignment="1">
      <alignment horizontal="center" vertical="center"/>
    </xf>
    <xf numFmtId="165" fontId="11423" fillId="8" borderId="1" xfId="0" applyNumberFormat="1" applyFont="1" applyFill="1" applyBorder="1" applyAlignment="1">
      <alignment horizontal="center" vertical="center"/>
    </xf>
    <xf numFmtId="1" fontId="11424" fillId="8" borderId="1" xfId="0" applyNumberFormat="1" applyFont="1" applyFill="1" applyBorder="1" applyAlignment="1">
      <alignment horizontal="center" vertical="center"/>
    </xf>
    <xf numFmtId="1" fontId="11425" fillId="8" borderId="1" xfId="0" applyNumberFormat="1" applyFont="1" applyFill="1" applyBorder="1" applyAlignment="1">
      <alignment horizontal="center" vertical="center"/>
    </xf>
    <xf numFmtId="1" fontId="11426" fillId="8" borderId="1" xfId="0" applyNumberFormat="1" applyFont="1" applyFill="1" applyBorder="1" applyAlignment="1">
      <alignment horizontal="center" vertical="center"/>
    </xf>
    <xf numFmtId="1" fontId="11427" fillId="8" borderId="1" xfId="0" applyNumberFormat="1" applyFont="1" applyFill="1" applyBorder="1" applyAlignment="1">
      <alignment horizontal="center" vertical="center"/>
    </xf>
    <xf numFmtId="165" fontId="11428" fillId="8" borderId="1" xfId="0" applyNumberFormat="1" applyFont="1" applyFill="1" applyBorder="1" applyAlignment="1">
      <alignment horizontal="center" vertical="center"/>
    </xf>
    <xf numFmtId="1" fontId="11429" fillId="8" borderId="1" xfId="0" applyNumberFormat="1" applyFont="1" applyFill="1" applyBorder="1" applyAlignment="1">
      <alignment horizontal="center" vertical="center"/>
    </xf>
    <xf numFmtId="165" fontId="11430" fillId="8" borderId="1" xfId="0" applyNumberFormat="1" applyFont="1" applyFill="1" applyBorder="1" applyAlignment="1">
      <alignment horizontal="center" vertical="center"/>
    </xf>
    <xf numFmtId="1" fontId="11431" fillId="8" borderId="1" xfId="0" applyNumberFormat="1" applyFont="1" applyFill="1" applyBorder="1" applyAlignment="1">
      <alignment horizontal="center" vertical="center"/>
    </xf>
    <xf numFmtId="165" fontId="11432" fillId="8" borderId="1" xfId="0" applyNumberFormat="1" applyFont="1" applyFill="1" applyBorder="1" applyAlignment="1">
      <alignment horizontal="center" vertical="center"/>
    </xf>
    <xf numFmtId="2" fontId="11433" fillId="8" borderId="1" xfId="0" applyNumberFormat="1" applyFont="1" applyFill="1" applyBorder="1" applyAlignment="1">
      <alignment horizontal="center" vertical="center"/>
    </xf>
    <xf numFmtId="2" fontId="11434" fillId="8" borderId="1" xfId="0" applyNumberFormat="1" applyFont="1" applyFill="1" applyBorder="1" applyAlignment="1">
      <alignment horizontal="center" vertical="center"/>
    </xf>
    <xf numFmtId="2" fontId="11435" fillId="8" borderId="1" xfId="0" applyNumberFormat="1" applyFont="1" applyFill="1" applyBorder="1" applyAlignment="1">
      <alignment horizontal="center" vertical="center"/>
    </xf>
    <xf numFmtId="2" fontId="11436" fillId="8" borderId="1" xfId="0" applyNumberFormat="1" applyFont="1" applyFill="1" applyBorder="1" applyAlignment="1">
      <alignment horizontal="center" vertical="center"/>
    </xf>
    <xf numFmtId="2" fontId="11437" fillId="8" borderId="1" xfId="0" applyNumberFormat="1" applyFont="1" applyFill="1" applyBorder="1" applyAlignment="1">
      <alignment horizontal="center" vertical="center"/>
    </xf>
    <xf numFmtId="2" fontId="11438" fillId="8" borderId="1" xfId="0" applyNumberFormat="1" applyFont="1" applyFill="1" applyBorder="1" applyAlignment="1">
      <alignment horizontal="center" vertical="center"/>
    </xf>
    <xf numFmtId="2" fontId="11439" fillId="8" borderId="1" xfId="0" applyNumberFormat="1" applyFont="1" applyFill="1" applyBorder="1" applyAlignment="1">
      <alignment horizontal="center" vertical="center"/>
    </xf>
    <xf numFmtId="2" fontId="11440" fillId="8" borderId="1" xfId="0" applyNumberFormat="1" applyFont="1" applyFill="1" applyBorder="1" applyAlignment="1">
      <alignment horizontal="center" vertical="center"/>
    </xf>
    <xf numFmtId="2" fontId="11441" fillId="8" borderId="1" xfId="0" applyNumberFormat="1" applyFont="1" applyFill="1" applyBorder="1" applyAlignment="1">
      <alignment horizontal="center" vertical="center"/>
    </xf>
    <xf numFmtId="2" fontId="11442" fillId="8" borderId="1" xfId="0" applyNumberFormat="1" applyFont="1" applyFill="1" applyBorder="1" applyAlignment="1">
      <alignment horizontal="center" vertical="center"/>
    </xf>
    <xf numFmtId="2" fontId="11443" fillId="8" borderId="1" xfId="0" applyNumberFormat="1" applyFont="1" applyFill="1" applyBorder="1" applyAlignment="1">
      <alignment horizontal="center" vertical="center"/>
    </xf>
    <xf numFmtId="2" fontId="11444" fillId="8" borderId="1" xfId="0" applyNumberFormat="1" applyFont="1" applyFill="1" applyBorder="1" applyAlignment="1">
      <alignment horizontal="center" vertical="center"/>
    </xf>
    <xf numFmtId="2" fontId="11445" fillId="8" borderId="1" xfId="0" applyNumberFormat="1" applyFont="1" applyFill="1" applyBorder="1" applyAlignment="1">
      <alignment horizontal="center" vertical="center"/>
    </xf>
    <xf numFmtId="2" fontId="11446" fillId="8" borderId="1" xfId="0" applyNumberFormat="1" applyFont="1" applyFill="1" applyBorder="1" applyAlignment="1">
      <alignment horizontal="center" vertical="center"/>
    </xf>
    <xf numFmtId="2" fontId="11447" fillId="8" borderId="1" xfId="0" applyNumberFormat="1" applyFont="1" applyFill="1" applyBorder="1" applyAlignment="1">
      <alignment horizontal="center" vertical="center"/>
    </xf>
    <xf numFmtId="2" fontId="11448" fillId="8" borderId="1" xfId="0" applyNumberFormat="1" applyFont="1" applyFill="1" applyBorder="1" applyAlignment="1">
      <alignment horizontal="center" vertical="center"/>
    </xf>
    <xf numFmtId="2" fontId="11449" fillId="8" borderId="1" xfId="0" applyNumberFormat="1" applyFont="1" applyFill="1" applyBorder="1" applyAlignment="1">
      <alignment horizontal="center" vertical="center"/>
    </xf>
    <xf numFmtId="2" fontId="11450" fillId="8" borderId="1" xfId="0" applyNumberFormat="1" applyFont="1" applyFill="1" applyBorder="1" applyAlignment="1">
      <alignment horizontal="center" vertical="center"/>
    </xf>
    <xf numFmtId="2" fontId="11451" fillId="8" borderId="1" xfId="0" applyNumberFormat="1" applyFont="1" applyFill="1" applyBorder="1" applyAlignment="1">
      <alignment horizontal="center" vertical="center"/>
    </xf>
    <xf numFmtId="2" fontId="11452" fillId="8" borderId="1" xfId="0" applyNumberFormat="1" applyFont="1" applyFill="1" applyBorder="1" applyAlignment="1">
      <alignment horizontal="center" vertical="center"/>
    </xf>
    <xf numFmtId="2" fontId="11453" fillId="8" borderId="1" xfId="0" applyNumberFormat="1" applyFont="1" applyFill="1" applyBorder="1" applyAlignment="1">
      <alignment horizontal="center" vertical="center"/>
    </xf>
    <xf numFmtId="2" fontId="11454" fillId="8" borderId="1" xfId="0" applyNumberFormat="1" applyFont="1" applyFill="1" applyBorder="1" applyAlignment="1">
      <alignment horizontal="center" vertical="center"/>
    </xf>
    <xf numFmtId="2" fontId="11455" fillId="8" borderId="1" xfId="0" applyNumberFormat="1" applyFont="1" applyFill="1" applyBorder="1" applyAlignment="1">
      <alignment horizontal="center" vertical="center"/>
    </xf>
    <xf numFmtId="2" fontId="11456" fillId="8" borderId="1" xfId="0" applyNumberFormat="1" applyFont="1" applyFill="1" applyBorder="1" applyAlignment="1">
      <alignment horizontal="center" vertical="center"/>
    </xf>
    <xf numFmtId="2" fontId="11457" fillId="8" borderId="1" xfId="0" applyNumberFormat="1" applyFont="1" applyFill="1" applyBorder="1" applyAlignment="1">
      <alignment horizontal="center" vertical="center"/>
    </xf>
    <xf numFmtId="2" fontId="11458" fillId="8" borderId="1" xfId="0" applyNumberFormat="1" applyFont="1" applyFill="1" applyBorder="1" applyAlignment="1">
      <alignment horizontal="center" vertical="center"/>
    </xf>
    <xf numFmtId="2" fontId="11459" fillId="8" borderId="1" xfId="0" applyNumberFormat="1" applyFont="1" applyFill="1" applyBorder="1" applyAlignment="1">
      <alignment horizontal="center" vertical="center"/>
    </xf>
    <xf numFmtId="2" fontId="11460" fillId="8" borderId="1" xfId="0" applyNumberFormat="1" applyFont="1" applyFill="1" applyBorder="1" applyAlignment="1">
      <alignment horizontal="center" vertical="center"/>
    </xf>
    <xf numFmtId="2" fontId="11461" fillId="8" borderId="1" xfId="0" applyNumberFormat="1" applyFont="1" applyFill="1" applyBorder="1" applyAlignment="1">
      <alignment horizontal="center" vertical="center"/>
    </xf>
    <xf numFmtId="2" fontId="11462" fillId="8" borderId="1" xfId="0" applyNumberFormat="1" applyFont="1" applyFill="1" applyBorder="1" applyAlignment="1">
      <alignment horizontal="center" vertical="center"/>
    </xf>
    <xf numFmtId="2" fontId="11463" fillId="8" borderId="1" xfId="0" applyNumberFormat="1" applyFont="1" applyFill="1" applyBorder="1" applyAlignment="1">
      <alignment horizontal="center" vertical="center"/>
    </xf>
    <xf numFmtId="2" fontId="11464" fillId="8" borderId="1" xfId="0" applyNumberFormat="1" applyFont="1" applyFill="1" applyBorder="1" applyAlignment="1">
      <alignment horizontal="center" vertical="center"/>
    </xf>
    <xf numFmtId="2" fontId="11465" fillId="8" borderId="1" xfId="0" applyNumberFormat="1" applyFont="1" applyFill="1" applyBorder="1" applyAlignment="1">
      <alignment horizontal="center" vertical="center"/>
    </xf>
    <xf numFmtId="2" fontId="11466" fillId="8" borderId="1" xfId="0" applyNumberFormat="1" applyFont="1" applyFill="1" applyBorder="1" applyAlignment="1">
      <alignment horizontal="center" vertical="center"/>
    </xf>
    <xf numFmtId="0" fontId="11467" fillId="7" borderId="1" xfId="0" applyNumberFormat="1" applyFont="1" applyFill="1" applyBorder="1" applyAlignment="1">
      <alignment horizontal="left" vertical="center"/>
    </xf>
    <xf numFmtId="0" fontId="11468" fillId="8" borderId="1" xfId="0" applyNumberFormat="1" applyFont="1" applyFill="1" applyBorder="1" applyAlignment="1">
      <alignment horizontal="center" vertical="center"/>
    </xf>
    <xf numFmtId="164" fontId="11469" fillId="8" borderId="1" xfId="0" applyNumberFormat="1" applyFont="1" applyFill="1" applyBorder="1" applyAlignment="1">
      <alignment horizontal="center" vertical="center"/>
    </xf>
    <xf numFmtId="1" fontId="11470" fillId="8" borderId="1" xfId="0" applyNumberFormat="1" applyFont="1" applyFill="1" applyBorder="1" applyAlignment="1">
      <alignment horizontal="center" vertical="center"/>
    </xf>
    <xf numFmtId="1" fontId="11471" fillId="8" borderId="1" xfId="0" applyNumberFormat="1" applyFont="1" applyFill="1" applyBorder="1" applyAlignment="1">
      <alignment horizontal="center" vertical="center"/>
    </xf>
    <xf numFmtId="1" fontId="11472" fillId="8" borderId="1" xfId="0" applyNumberFormat="1" applyFont="1" applyFill="1" applyBorder="1" applyAlignment="1">
      <alignment horizontal="center" vertical="center"/>
    </xf>
    <xf numFmtId="1" fontId="11473" fillId="8" borderId="1" xfId="0" applyNumberFormat="1" applyFont="1" applyFill="1" applyBorder="1" applyAlignment="1">
      <alignment horizontal="center" vertical="center"/>
    </xf>
    <xf numFmtId="1" fontId="11474" fillId="8" borderId="1" xfId="0" applyNumberFormat="1" applyFont="1" applyFill="1" applyBorder="1" applyAlignment="1">
      <alignment horizontal="center" vertical="center"/>
    </xf>
    <xf numFmtId="1" fontId="11475" fillId="8" borderId="1" xfId="0" applyNumberFormat="1" applyFont="1" applyFill="1" applyBorder="1" applyAlignment="1">
      <alignment horizontal="center" vertical="center"/>
    </xf>
    <xf numFmtId="1" fontId="11476" fillId="8" borderId="1" xfId="0" applyNumberFormat="1" applyFont="1" applyFill="1" applyBorder="1" applyAlignment="1">
      <alignment horizontal="center" vertical="center"/>
    </xf>
    <xf numFmtId="0" fontId="11477" fillId="8" borderId="1" xfId="0" applyNumberFormat="1" applyFont="1" applyFill="1" applyBorder="1" applyAlignment="1">
      <alignment horizontal="center" vertical="center"/>
    </xf>
    <xf numFmtId="0" fontId="11478" fillId="8" borderId="1" xfId="0" applyNumberFormat="1" applyFont="1" applyFill="1" applyBorder="1" applyAlignment="1">
      <alignment horizontal="center" vertical="center"/>
    </xf>
    <xf numFmtId="1" fontId="11479" fillId="8" borderId="1" xfId="0" applyNumberFormat="1" applyFont="1" applyFill="1" applyBorder="1" applyAlignment="1">
      <alignment horizontal="center" vertical="center"/>
    </xf>
    <xf numFmtId="1" fontId="11480" fillId="8" borderId="1" xfId="0" applyNumberFormat="1" applyFont="1" applyFill="1" applyBorder="1" applyAlignment="1">
      <alignment horizontal="center" vertical="center"/>
    </xf>
    <xf numFmtId="1" fontId="11481" fillId="8" borderId="1" xfId="0" applyNumberFormat="1" applyFont="1" applyFill="1" applyBorder="1" applyAlignment="1">
      <alignment horizontal="center" vertical="center"/>
    </xf>
    <xf numFmtId="165" fontId="11482" fillId="8" borderId="1" xfId="0" applyNumberFormat="1" applyFont="1" applyFill="1" applyBorder="1" applyAlignment="1">
      <alignment horizontal="center" vertical="center"/>
    </xf>
    <xf numFmtId="1" fontId="11483" fillId="8" borderId="1" xfId="0" applyNumberFormat="1" applyFont="1" applyFill="1" applyBorder="1" applyAlignment="1">
      <alignment horizontal="center" vertical="center"/>
    </xf>
    <xf numFmtId="165" fontId="11484" fillId="8" borderId="1" xfId="0" applyNumberFormat="1" applyFont="1" applyFill="1" applyBorder="1" applyAlignment="1">
      <alignment horizontal="center" vertical="center"/>
    </xf>
    <xf numFmtId="1" fontId="11485" fillId="8" borderId="1" xfId="0" applyNumberFormat="1" applyFont="1" applyFill="1" applyBorder="1" applyAlignment="1">
      <alignment horizontal="center" vertical="center"/>
    </xf>
    <xf numFmtId="165" fontId="11486" fillId="8" borderId="1" xfId="0" applyNumberFormat="1" applyFont="1" applyFill="1" applyBorder="1" applyAlignment="1">
      <alignment horizontal="center" vertical="center"/>
    </xf>
    <xf numFmtId="1" fontId="11487" fillId="8" borderId="1" xfId="0" applyNumberFormat="1" applyFont="1" applyFill="1" applyBorder="1" applyAlignment="1">
      <alignment horizontal="center" vertical="center"/>
    </xf>
    <xf numFmtId="165" fontId="11488" fillId="8" borderId="1" xfId="0" applyNumberFormat="1" applyFont="1" applyFill="1" applyBorder="1" applyAlignment="1">
      <alignment horizontal="center" vertical="center"/>
    </xf>
    <xf numFmtId="165" fontId="11489" fillId="8" borderId="1" xfId="0" applyNumberFormat="1" applyFont="1" applyFill="1" applyBorder="1" applyAlignment="1">
      <alignment horizontal="center" vertical="center"/>
    </xf>
    <xf numFmtId="1" fontId="11490" fillId="8" borderId="1" xfId="0" applyNumberFormat="1" applyFont="1" applyFill="1" applyBorder="1" applyAlignment="1">
      <alignment horizontal="center" vertical="center"/>
    </xf>
    <xf numFmtId="1" fontId="11491" fillId="8" borderId="1" xfId="0" applyNumberFormat="1" applyFont="1" applyFill="1" applyBorder="1" applyAlignment="1">
      <alignment horizontal="center" vertical="center"/>
    </xf>
    <xf numFmtId="1" fontId="11492" fillId="8" borderId="1" xfId="0" applyNumberFormat="1" applyFont="1" applyFill="1" applyBorder="1" applyAlignment="1">
      <alignment horizontal="center" vertical="center"/>
    </xf>
    <xf numFmtId="165" fontId="11493" fillId="8" borderId="1" xfId="0" applyNumberFormat="1" applyFont="1" applyFill="1" applyBorder="1" applyAlignment="1">
      <alignment horizontal="center" vertical="center"/>
    </xf>
    <xf numFmtId="164" fontId="11494" fillId="8" borderId="1" xfId="0" applyNumberFormat="1" applyFont="1" applyFill="1" applyBorder="1" applyAlignment="1">
      <alignment horizontal="center" vertical="center"/>
    </xf>
    <xf numFmtId="164" fontId="11495" fillId="8" borderId="1" xfId="0" applyNumberFormat="1" applyFont="1" applyFill="1" applyBorder="1" applyAlignment="1">
      <alignment horizontal="center" vertical="center"/>
    </xf>
    <xf numFmtId="1" fontId="11496" fillId="8" borderId="1" xfId="0" applyNumberFormat="1" applyFont="1" applyFill="1" applyBorder="1" applyAlignment="1">
      <alignment horizontal="center" vertical="center"/>
    </xf>
    <xf numFmtId="1" fontId="11497" fillId="8" borderId="1" xfId="0" applyNumberFormat="1" applyFont="1" applyFill="1" applyBorder="1" applyAlignment="1">
      <alignment horizontal="center" vertical="center"/>
    </xf>
    <xf numFmtId="1" fontId="11498" fillId="8" borderId="1" xfId="0" applyNumberFormat="1" applyFont="1" applyFill="1" applyBorder="1" applyAlignment="1">
      <alignment horizontal="center" vertical="center"/>
    </xf>
    <xf numFmtId="165" fontId="11499" fillId="8" borderId="1" xfId="0" applyNumberFormat="1" applyFont="1" applyFill="1" applyBorder="1" applyAlignment="1">
      <alignment horizontal="center" vertical="center"/>
    </xf>
    <xf numFmtId="1" fontId="11500" fillId="8" borderId="1" xfId="0" applyNumberFormat="1" applyFont="1" applyFill="1" applyBorder="1" applyAlignment="1">
      <alignment horizontal="center" vertical="center"/>
    </xf>
    <xf numFmtId="165" fontId="11501" fillId="8" borderId="1" xfId="0" applyNumberFormat="1" applyFont="1" applyFill="1" applyBorder="1" applyAlignment="1">
      <alignment horizontal="center" vertical="center"/>
    </xf>
    <xf numFmtId="1" fontId="11502" fillId="8" borderId="1" xfId="0" applyNumberFormat="1" applyFont="1" applyFill="1" applyBorder="1" applyAlignment="1">
      <alignment horizontal="center" vertical="center"/>
    </xf>
    <xf numFmtId="1" fontId="11503" fillId="8" borderId="1" xfId="0" applyNumberFormat="1" applyFont="1" applyFill="1" applyBorder="1" applyAlignment="1">
      <alignment horizontal="center" vertical="center"/>
    </xf>
    <xf numFmtId="1" fontId="11504" fillId="8" borderId="1" xfId="0" applyNumberFormat="1" applyFont="1" applyFill="1" applyBorder="1" applyAlignment="1">
      <alignment horizontal="center" vertical="center"/>
    </xf>
    <xf numFmtId="1" fontId="11505" fillId="8" borderId="1" xfId="0" applyNumberFormat="1" applyFont="1" applyFill="1" applyBorder="1" applyAlignment="1">
      <alignment horizontal="center" vertical="center"/>
    </xf>
    <xf numFmtId="165" fontId="11506" fillId="8" borderId="1" xfId="0" applyNumberFormat="1" applyFont="1" applyFill="1" applyBorder="1" applyAlignment="1">
      <alignment horizontal="center" vertical="center"/>
    </xf>
    <xf numFmtId="1" fontId="11507" fillId="8" borderId="1" xfId="0" applyNumberFormat="1" applyFont="1" applyFill="1" applyBorder="1" applyAlignment="1">
      <alignment horizontal="center" vertical="center"/>
    </xf>
    <xf numFmtId="165" fontId="11508" fillId="8" borderId="1" xfId="0" applyNumberFormat="1" applyFont="1" applyFill="1" applyBorder="1" applyAlignment="1">
      <alignment horizontal="center" vertical="center"/>
    </xf>
    <xf numFmtId="1" fontId="11509" fillId="8" borderId="1" xfId="0" applyNumberFormat="1" applyFont="1" applyFill="1" applyBorder="1" applyAlignment="1">
      <alignment horizontal="center" vertical="center"/>
    </xf>
    <xf numFmtId="165" fontId="11510" fillId="8" borderId="1" xfId="0" applyNumberFormat="1" applyFont="1" applyFill="1" applyBorder="1" applyAlignment="1">
      <alignment horizontal="center" vertical="center"/>
    </xf>
    <xf numFmtId="2" fontId="11511" fillId="8" borderId="1" xfId="0" applyNumberFormat="1" applyFont="1" applyFill="1" applyBorder="1" applyAlignment="1">
      <alignment horizontal="center" vertical="center"/>
    </xf>
    <xf numFmtId="2" fontId="11512" fillId="8" borderId="1" xfId="0" applyNumberFormat="1" applyFont="1" applyFill="1" applyBorder="1" applyAlignment="1">
      <alignment horizontal="center" vertical="center"/>
    </xf>
    <xf numFmtId="2" fontId="11513" fillId="8" borderId="1" xfId="0" applyNumberFormat="1" applyFont="1" applyFill="1" applyBorder="1" applyAlignment="1">
      <alignment horizontal="center" vertical="center"/>
    </xf>
    <xf numFmtId="2" fontId="11514" fillId="8" borderId="1" xfId="0" applyNumberFormat="1" applyFont="1" applyFill="1" applyBorder="1" applyAlignment="1">
      <alignment horizontal="center" vertical="center"/>
    </xf>
    <xf numFmtId="2" fontId="11515" fillId="8" borderId="1" xfId="0" applyNumberFormat="1" applyFont="1" applyFill="1" applyBorder="1" applyAlignment="1">
      <alignment horizontal="center" vertical="center"/>
    </xf>
    <xf numFmtId="2" fontId="11516" fillId="8" borderId="1" xfId="0" applyNumberFormat="1" applyFont="1" applyFill="1" applyBorder="1" applyAlignment="1">
      <alignment horizontal="center" vertical="center"/>
    </xf>
    <xf numFmtId="2" fontId="11517" fillId="8" borderId="1" xfId="0" applyNumberFormat="1" applyFont="1" applyFill="1" applyBorder="1" applyAlignment="1">
      <alignment horizontal="center" vertical="center"/>
    </xf>
    <xf numFmtId="2" fontId="11518" fillId="8" borderId="1" xfId="0" applyNumberFormat="1" applyFont="1" applyFill="1" applyBorder="1" applyAlignment="1">
      <alignment horizontal="center" vertical="center"/>
    </xf>
    <xf numFmtId="2" fontId="11519" fillId="8" borderId="1" xfId="0" applyNumberFormat="1" applyFont="1" applyFill="1" applyBorder="1" applyAlignment="1">
      <alignment horizontal="center" vertical="center"/>
    </xf>
    <xf numFmtId="2" fontId="11520" fillId="8" borderId="1" xfId="0" applyNumberFormat="1" applyFont="1" applyFill="1" applyBorder="1" applyAlignment="1">
      <alignment horizontal="center" vertical="center"/>
    </xf>
    <xf numFmtId="2" fontId="11521" fillId="8" borderId="1" xfId="0" applyNumberFormat="1" applyFont="1" applyFill="1" applyBorder="1" applyAlignment="1">
      <alignment horizontal="center" vertical="center"/>
    </xf>
    <xf numFmtId="2" fontId="11522" fillId="8" borderId="1" xfId="0" applyNumberFormat="1" applyFont="1" applyFill="1" applyBorder="1" applyAlignment="1">
      <alignment horizontal="center" vertical="center"/>
    </xf>
    <xf numFmtId="2" fontId="11523" fillId="8" borderId="1" xfId="0" applyNumberFormat="1" applyFont="1" applyFill="1" applyBorder="1" applyAlignment="1">
      <alignment horizontal="center" vertical="center"/>
    </xf>
    <xf numFmtId="2" fontId="11524" fillId="8" borderId="1" xfId="0" applyNumberFormat="1" applyFont="1" applyFill="1" applyBorder="1" applyAlignment="1">
      <alignment horizontal="center" vertical="center"/>
    </xf>
    <xf numFmtId="2" fontId="11525" fillId="8" borderId="1" xfId="0" applyNumberFormat="1" applyFont="1" applyFill="1" applyBorder="1" applyAlignment="1">
      <alignment horizontal="center" vertical="center"/>
    </xf>
    <xf numFmtId="2" fontId="11526" fillId="8" borderId="1" xfId="0" applyNumberFormat="1" applyFont="1" applyFill="1" applyBorder="1" applyAlignment="1">
      <alignment horizontal="center" vertical="center"/>
    </xf>
    <xf numFmtId="2" fontId="11527" fillId="8" borderId="1" xfId="0" applyNumberFormat="1" applyFont="1" applyFill="1" applyBorder="1" applyAlignment="1">
      <alignment horizontal="center" vertical="center"/>
    </xf>
    <xf numFmtId="2" fontId="11528" fillId="8" borderId="1" xfId="0" applyNumberFormat="1" applyFont="1" applyFill="1" applyBorder="1" applyAlignment="1">
      <alignment horizontal="center" vertical="center"/>
    </xf>
    <xf numFmtId="2" fontId="11529" fillId="8" borderId="1" xfId="0" applyNumberFormat="1" applyFont="1" applyFill="1" applyBorder="1" applyAlignment="1">
      <alignment horizontal="center" vertical="center"/>
    </xf>
    <xf numFmtId="2" fontId="11530" fillId="8" borderId="1" xfId="0" applyNumberFormat="1" applyFont="1" applyFill="1" applyBorder="1" applyAlignment="1">
      <alignment horizontal="center" vertical="center"/>
    </xf>
    <xf numFmtId="2" fontId="11531" fillId="8" borderId="1" xfId="0" applyNumberFormat="1" applyFont="1" applyFill="1" applyBorder="1" applyAlignment="1">
      <alignment horizontal="center" vertical="center"/>
    </xf>
    <xf numFmtId="2" fontId="11532" fillId="8" borderId="1" xfId="0" applyNumberFormat="1" applyFont="1" applyFill="1" applyBorder="1" applyAlignment="1">
      <alignment horizontal="center" vertical="center"/>
    </xf>
    <xf numFmtId="2" fontId="11533" fillId="8" borderId="1" xfId="0" applyNumberFormat="1" applyFont="1" applyFill="1" applyBorder="1" applyAlignment="1">
      <alignment horizontal="center" vertical="center"/>
    </xf>
    <xf numFmtId="2" fontId="11534" fillId="8" borderId="1" xfId="0" applyNumberFormat="1" applyFont="1" applyFill="1" applyBorder="1" applyAlignment="1">
      <alignment horizontal="center" vertical="center"/>
    </xf>
    <xf numFmtId="2" fontId="11535" fillId="8" borderId="1" xfId="0" applyNumberFormat="1" applyFont="1" applyFill="1" applyBorder="1" applyAlignment="1">
      <alignment horizontal="center" vertical="center"/>
    </xf>
    <xf numFmtId="2" fontId="11536" fillId="8" borderId="1" xfId="0" applyNumberFormat="1" applyFont="1" applyFill="1" applyBorder="1" applyAlignment="1">
      <alignment horizontal="center" vertical="center"/>
    </xf>
    <xf numFmtId="2" fontId="11537" fillId="8" borderId="1" xfId="0" applyNumberFormat="1" applyFont="1" applyFill="1" applyBorder="1" applyAlignment="1">
      <alignment horizontal="center" vertical="center"/>
    </xf>
    <xf numFmtId="2" fontId="11538" fillId="8" borderId="1" xfId="0" applyNumberFormat="1" applyFont="1" applyFill="1" applyBorder="1" applyAlignment="1">
      <alignment horizontal="center" vertical="center"/>
    </xf>
    <xf numFmtId="2" fontId="11539" fillId="8" borderId="1" xfId="0" applyNumberFormat="1" applyFont="1" applyFill="1" applyBorder="1" applyAlignment="1">
      <alignment horizontal="center" vertical="center"/>
    </xf>
    <xf numFmtId="2" fontId="11540" fillId="8" borderId="1" xfId="0" applyNumberFormat="1" applyFont="1" applyFill="1" applyBorder="1" applyAlignment="1">
      <alignment horizontal="center" vertical="center"/>
    </xf>
    <xf numFmtId="2" fontId="11541" fillId="8" borderId="1" xfId="0" applyNumberFormat="1" applyFont="1" applyFill="1" applyBorder="1" applyAlignment="1">
      <alignment horizontal="center" vertical="center"/>
    </xf>
    <xf numFmtId="2" fontId="11542" fillId="8" borderId="1" xfId="0" applyNumberFormat="1" applyFont="1" applyFill="1" applyBorder="1" applyAlignment="1">
      <alignment horizontal="center" vertical="center"/>
    </xf>
    <xf numFmtId="2" fontId="11543" fillId="8" borderId="1" xfId="0" applyNumberFormat="1" applyFont="1" applyFill="1" applyBorder="1" applyAlignment="1">
      <alignment horizontal="center" vertical="center"/>
    </xf>
    <xf numFmtId="2" fontId="11544" fillId="8" borderId="1" xfId="0" applyNumberFormat="1" applyFont="1" applyFill="1" applyBorder="1" applyAlignment="1">
      <alignment horizontal="center" vertical="center"/>
    </xf>
    <xf numFmtId="0" fontId="11545" fillId="7" borderId="1" xfId="0" applyNumberFormat="1" applyFont="1" applyFill="1" applyBorder="1" applyAlignment="1">
      <alignment horizontal="left" vertical="center"/>
    </xf>
    <xf numFmtId="0" fontId="11546" fillId="8" borderId="1" xfId="0" applyNumberFormat="1" applyFont="1" applyFill="1" applyBorder="1" applyAlignment="1">
      <alignment horizontal="center" vertical="center"/>
    </xf>
    <xf numFmtId="164" fontId="11547" fillId="8" borderId="1" xfId="0" applyNumberFormat="1" applyFont="1" applyFill="1" applyBorder="1" applyAlignment="1">
      <alignment horizontal="center" vertical="center"/>
    </xf>
    <xf numFmtId="1" fontId="11548" fillId="8" borderId="1" xfId="0" applyNumberFormat="1" applyFont="1" applyFill="1" applyBorder="1" applyAlignment="1">
      <alignment horizontal="center" vertical="center"/>
    </xf>
    <xf numFmtId="1" fontId="11549" fillId="8" borderId="1" xfId="0" applyNumberFormat="1" applyFont="1" applyFill="1" applyBorder="1" applyAlignment="1">
      <alignment horizontal="center" vertical="center"/>
    </xf>
    <xf numFmtId="1" fontId="11550" fillId="8" borderId="1" xfId="0" applyNumberFormat="1" applyFont="1" applyFill="1" applyBorder="1" applyAlignment="1">
      <alignment horizontal="center" vertical="center"/>
    </xf>
    <xf numFmtId="1" fontId="11551" fillId="8" borderId="1" xfId="0" applyNumberFormat="1" applyFont="1" applyFill="1" applyBorder="1" applyAlignment="1">
      <alignment horizontal="center" vertical="center"/>
    </xf>
    <xf numFmtId="1" fontId="11552" fillId="8" borderId="1" xfId="0" applyNumberFormat="1" applyFont="1" applyFill="1" applyBorder="1" applyAlignment="1">
      <alignment horizontal="center" vertical="center"/>
    </xf>
    <xf numFmtId="1" fontId="11553" fillId="8" borderId="1" xfId="0" applyNumberFormat="1" applyFont="1" applyFill="1" applyBorder="1" applyAlignment="1">
      <alignment horizontal="center" vertical="center"/>
    </xf>
    <xf numFmtId="1" fontId="11554" fillId="8" borderId="1" xfId="0" applyNumberFormat="1" applyFont="1" applyFill="1" applyBorder="1" applyAlignment="1">
      <alignment horizontal="center" vertical="center"/>
    </xf>
    <xf numFmtId="0" fontId="11555" fillId="8" borderId="1" xfId="0" applyNumberFormat="1" applyFont="1" applyFill="1" applyBorder="1" applyAlignment="1">
      <alignment horizontal="center" vertical="center"/>
    </xf>
    <xf numFmtId="0" fontId="11556" fillId="8" borderId="1" xfId="0" applyNumberFormat="1" applyFont="1" applyFill="1" applyBorder="1" applyAlignment="1">
      <alignment horizontal="center" vertical="center"/>
    </xf>
    <xf numFmtId="1" fontId="11557" fillId="8" borderId="1" xfId="0" applyNumberFormat="1" applyFont="1" applyFill="1" applyBorder="1" applyAlignment="1">
      <alignment horizontal="center" vertical="center"/>
    </xf>
    <xf numFmtId="1" fontId="11558" fillId="8" borderId="1" xfId="0" applyNumberFormat="1" applyFont="1" applyFill="1" applyBorder="1" applyAlignment="1">
      <alignment horizontal="center" vertical="center"/>
    </xf>
    <xf numFmtId="1" fontId="11559" fillId="8" borderId="1" xfId="0" applyNumberFormat="1" applyFont="1" applyFill="1" applyBorder="1" applyAlignment="1">
      <alignment horizontal="center" vertical="center"/>
    </xf>
    <xf numFmtId="165" fontId="11560" fillId="8" borderId="1" xfId="0" applyNumberFormat="1" applyFont="1" applyFill="1" applyBorder="1" applyAlignment="1">
      <alignment horizontal="center" vertical="center"/>
    </xf>
    <xf numFmtId="1" fontId="11561" fillId="8" borderId="1" xfId="0" applyNumberFormat="1" applyFont="1" applyFill="1" applyBorder="1" applyAlignment="1">
      <alignment horizontal="center" vertical="center"/>
    </xf>
    <xf numFmtId="165" fontId="11562" fillId="8" borderId="1" xfId="0" applyNumberFormat="1" applyFont="1" applyFill="1" applyBorder="1" applyAlignment="1">
      <alignment horizontal="center" vertical="center"/>
    </xf>
    <xf numFmtId="1" fontId="11563" fillId="8" borderId="1" xfId="0" applyNumberFormat="1" applyFont="1" applyFill="1" applyBorder="1" applyAlignment="1">
      <alignment horizontal="center" vertical="center"/>
    </xf>
    <xf numFmtId="165" fontId="11564" fillId="8" borderId="1" xfId="0" applyNumberFormat="1" applyFont="1" applyFill="1" applyBorder="1" applyAlignment="1">
      <alignment horizontal="center" vertical="center"/>
    </xf>
    <xf numFmtId="1" fontId="11565" fillId="8" borderId="1" xfId="0" applyNumberFormat="1" applyFont="1" applyFill="1" applyBorder="1" applyAlignment="1">
      <alignment horizontal="center" vertical="center"/>
    </xf>
    <xf numFmtId="165" fontId="11566" fillId="8" borderId="1" xfId="0" applyNumberFormat="1" applyFont="1" applyFill="1" applyBorder="1" applyAlignment="1">
      <alignment horizontal="center" vertical="center"/>
    </xf>
    <xf numFmtId="165" fontId="11567" fillId="8" borderId="1" xfId="0" applyNumberFormat="1" applyFont="1" applyFill="1" applyBorder="1" applyAlignment="1">
      <alignment horizontal="center" vertical="center"/>
    </xf>
    <xf numFmtId="1" fontId="11568" fillId="8" borderId="1" xfId="0" applyNumberFormat="1" applyFont="1" applyFill="1" applyBorder="1" applyAlignment="1">
      <alignment horizontal="center" vertical="center"/>
    </xf>
    <xf numFmtId="1" fontId="11569" fillId="8" borderId="1" xfId="0" applyNumberFormat="1" applyFont="1" applyFill="1" applyBorder="1" applyAlignment="1">
      <alignment horizontal="center" vertical="center"/>
    </xf>
    <xf numFmtId="1" fontId="11570" fillId="8" borderId="1" xfId="0" applyNumberFormat="1" applyFont="1" applyFill="1" applyBorder="1" applyAlignment="1">
      <alignment horizontal="center" vertical="center"/>
    </xf>
    <xf numFmtId="165" fontId="11571" fillId="8" borderId="1" xfId="0" applyNumberFormat="1" applyFont="1" applyFill="1" applyBorder="1" applyAlignment="1">
      <alignment horizontal="center" vertical="center"/>
    </xf>
    <xf numFmtId="164" fontId="11572" fillId="8" borderId="1" xfId="0" applyNumberFormat="1" applyFont="1" applyFill="1" applyBorder="1" applyAlignment="1">
      <alignment horizontal="center" vertical="center"/>
    </xf>
    <xf numFmtId="164" fontId="11573" fillId="8" borderId="1" xfId="0" applyNumberFormat="1" applyFont="1" applyFill="1" applyBorder="1" applyAlignment="1">
      <alignment horizontal="center" vertical="center"/>
    </xf>
    <xf numFmtId="1" fontId="11574" fillId="8" borderId="1" xfId="0" applyNumberFormat="1" applyFont="1" applyFill="1" applyBorder="1" applyAlignment="1">
      <alignment horizontal="center" vertical="center"/>
    </xf>
    <xf numFmtId="1" fontId="11575" fillId="8" borderId="1" xfId="0" applyNumberFormat="1" applyFont="1" applyFill="1" applyBorder="1" applyAlignment="1">
      <alignment horizontal="center" vertical="center"/>
    </xf>
    <xf numFmtId="1" fontId="11576" fillId="8" borderId="1" xfId="0" applyNumberFormat="1" applyFont="1" applyFill="1" applyBorder="1" applyAlignment="1">
      <alignment horizontal="center" vertical="center"/>
    </xf>
    <xf numFmtId="165" fontId="11577" fillId="8" borderId="1" xfId="0" applyNumberFormat="1" applyFont="1" applyFill="1" applyBorder="1" applyAlignment="1">
      <alignment horizontal="center" vertical="center"/>
    </xf>
    <xf numFmtId="1" fontId="11578" fillId="8" borderId="1" xfId="0" applyNumberFormat="1" applyFont="1" applyFill="1" applyBorder="1" applyAlignment="1">
      <alignment horizontal="center" vertical="center"/>
    </xf>
    <xf numFmtId="165" fontId="11579" fillId="8" borderId="1" xfId="0" applyNumberFormat="1" applyFont="1" applyFill="1" applyBorder="1" applyAlignment="1">
      <alignment horizontal="center" vertical="center"/>
    </xf>
    <xf numFmtId="1" fontId="11580" fillId="8" borderId="1" xfId="0" applyNumberFormat="1" applyFont="1" applyFill="1" applyBorder="1" applyAlignment="1">
      <alignment horizontal="center" vertical="center"/>
    </xf>
    <xf numFmtId="1" fontId="11581" fillId="8" borderId="1" xfId="0" applyNumberFormat="1" applyFont="1" applyFill="1" applyBorder="1" applyAlignment="1">
      <alignment horizontal="center" vertical="center"/>
    </xf>
    <xf numFmtId="1" fontId="11582" fillId="8" borderId="1" xfId="0" applyNumberFormat="1" applyFont="1" applyFill="1" applyBorder="1" applyAlignment="1">
      <alignment horizontal="center" vertical="center"/>
    </xf>
    <xf numFmtId="1" fontId="11583" fillId="8" borderId="1" xfId="0" applyNumberFormat="1" applyFont="1" applyFill="1" applyBorder="1" applyAlignment="1">
      <alignment horizontal="center" vertical="center"/>
    </xf>
    <xf numFmtId="165" fontId="11584" fillId="8" borderId="1" xfId="0" applyNumberFormat="1" applyFont="1" applyFill="1" applyBorder="1" applyAlignment="1">
      <alignment horizontal="center" vertical="center"/>
    </xf>
    <xf numFmtId="1" fontId="11585" fillId="8" borderId="1" xfId="0" applyNumberFormat="1" applyFont="1" applyFill="1" applyBorder="1" applyAlignment="1">
      <alignment horizontal="center" vertical="center"/>
    </xf>
    <xf numFmtId="165" fontId="11586" fillId="8" borderId="1" xfId="0" applyNumberFormat="1" applyFont="1" applyFill="1" applyBorder="1" applyAlignment="1">
      <alignment horizontal="center" vertical="center"/>
    </xf>
    <xf numFmtId="1" fontId="11587" fillId="8" borderId="1" xfId="0" applyNumberFormat="1" applyFont="1" applyFill="1" applyBorder="1" applyAlignment="1">
      <alignment horizontal="center" vertical="center"/>
    </xf>
    <xf numFmtId="165" fontId="11588" fillId="8" borderId="1" xfId="0" applyNumberFormat="1" applyFont="1" applyFill="1" applyBorder="1" applyAlignment="1">
      <alignment horizontal="center" vertical="center"/>
    </xf>
    <xf numFmtId="2" fontId="11589" fillId="8" borderId="1" xfId="0" applyNumberFormat="1" applyFont="1" applyFill="1" applyBorder="1" applyAlignment="1">
      <alignment horizontal="center" vertical="center"/>
    </xf>
    <xf numFmtId="2" fontId="11590" fillId="8" borderId="1" xfId="0" applyNumberFormat="1" applyFont="1" applyFill="1" applyBorder="1" applyAlignment="1">
      <alignment horizontal="center" vertical="center"/>
    </xf>
    <xf numFmtId="2" fontId="11591" fillId="8" borderId="1" xfId="0" applyNumberFormat="1" applyFont="1" applyFill="1" applyBorder="1" applyAlignment="1">
      <alignment horizontal="center" vertical="center"/>
    </xf>
    <xf numFmtId="2" fontId="11592" fillId="8" borderId="1" xfId="0" applyNumberFormat="1" applyFont="1" applyFill="1" applyBorder="1" applyAlignment="1">
      <alignment horizontal="center" vertical="center"/>
    </xf>
    <xf numFmtId="2" fontId="11593" fillId="8" borderId="1" xfId="0" applyNumberFormat="1" applyFont="1" applyFill="1" applyBorder="1" applyAlignment="1">
      <alignment horizontal="center" vertical="center"/>
    </xf>
    <xf numFmtId="2" fontId="11594" fillId="8" borderId="1" xfId="0" applyNumberFormat="1" applyFont="1" applyFill="1" applyBorder="1" applyAlignment="1">
      <alignment horizontal="center" vertical="center"/>
    </xf>
    <xf numFmtId="2" fontId="11595" fillId="8" borderId="1" xfId="0" applyNumberFormat="1" applyFont="1" applyFill="1" applyBorder="1" applyAlignment="1">
      <alignment horizontal="center" vertical="center"/>
    </xf>
    <xf numFmtId="2" fontId="11596" fillId="8" borderId="1" xfId="0" applyNumberFormat="1" applyFont="1" applyFill="1" applyBorder="1" applyAlignment="1">
      <alignment horizontal="center" vertical="center"/>
    </xf>
    <xf numFmtId="2" fontId="11597" fillId="8" borderId="1" xfId="0" applyNumberFormat="1" applyFont="1" applyFill="1" applyBorder="1" applyAlignment="1">
      <alignment horizontal="center" vertical="center"/>
    </xf>
    <xf numFmtId="2" fontId="11598" fillId="8" borderId="1" xfId="0" applyNumberFormat="1" applyFont="1" applyFill="1" applyBorder="1" applyAlignment="1">
      <alignment horizontal="center" vertical="center"/>
    </xf>
    <xf numFmtId="2" fontId="11599" fillId="8" borderId="1" xfId="0" applyNumberFormat="1" applyFont="1" applyFill="1" applyBorder="1" applyAlignment="1">
      <alignment horizontal="center" vertical="center"/>
    </xf>
    <xf numFmtId="2" fontId="11600" fillId="8" borderId="1" xfId="0" applyNumberFormat="1" applyFont="1" applyFill="1" applyBorder="1" applyAlignment="1">
      <alignment horizontal="center" vertical="center"/>
    </xf>
    <xf numFmtId="2" fontId="11601" fillId="8" borderId="1" xfId="0" applyNumberFormat="1" applyFont="1" applyFill="1" applyBorder="1" applyAlignment="1">
      <alignment horizontal="center" vertical="center"/>
    </xf>
    <xf numFmtId="2" fontId="11602" fillId="8" borderId="1" xfId="0" applyNumberFormat="1" applyFont="1" applyFill="1" applyBorder="1" applyAlignment="1">
      <alignment horizontal="center" vertical="center"/>
    </xf>
    <xf numFmtId="2" fontId="11603" fillId="8" borderId="1" xfId="0" applyNumberFormat="1" applyFont="1" applyFill="1" applyBorder="1" applyAlignment="1">
      <alignment horizontal="center" vertical="center"/>
    </xf>
    <xf numFmtId="2" fontId="11604" fillId="8" borderId="1" xfId="0" applyNumberFormat="1" applyFont="1" applyFill="1" applyBorder="1" applyAlignment="1">
      <alignment horizontal="center" vertical="center"/>
    </xf>
    <xf numFmtId="2" fontId="11605" fillId="8" borderId="1" xfId="0" applyNumberFormat="1" applyFont="1" applyFill="1" applyBorder="1" applyAlignment="1">
      <alignment horizontal="center" vertical="center"/>
    </xf>
    <xf numFmtId="2" fontId="11606" fillId="8" borderId="1" xfId="0" applyNumberFormat="1" applyFont="1" applyFill="1" applyBorder="1" applyAlignment="1">
      <alignment horizontal="center" vertical="center"/>
    </xf>
    <xf numFmtId="2" fontId="11607" fillId="8" borderId="1" xfId="0" applyNumberFormat="1" applyFont="1" applyFill="1" applyBorder="1" applyAlignment="1">
      <alignment horizontal="center" vertical="center"/>
    </xf>
    <xf numFmtId="2" fontId="11608" fillId="8" borderId="1" xfId="0" applyNumberFormat="1" applyFont="1" applyFill="1" applyBorder="1" applyAlignment="1">
      <alignment horizontal="center" vertical="center"/>
    </xf>
    <xf numFmtId="2" fontId="11609" fillId="8" borderId="1" xfId="0" applyNumberFormat="1" applyFont="1" applyFill="1" applyBorder="1" applyAlignment="1">
      <alignment horizontal="center" vertical="center"/>
    </xf>
    <xf numFmtId="2" fontId="11610" fillId="8" borderId="1" xfId="0" applyNumberFormat="1" applyFont="1" applyFill="1" applyBorder="1" applyAlignment="1">
      <alignment horizontal="center" vertical="center"/>
    </xf>
    <xf numFmtId="2" fontId="11611" fillId="8" borderId="1" xfId="0" applyNumberFormat="1" applyFont="1" applyFill="1" applyBorder="1" applyAlignment="1">
      <alignment horizontal="center" vertical="center"/>
    </xf>
    <xf numFmtId="2" fontId="11612" fillId="8" borderId="1" xfId="0" applyNumberFormat="1" applyFont="1" applyFill="1" applyBorder="1" applyAlignment="1">
      <alignment horizontal="center" vertical="center"/>
    </xf>
    <xf numFmtId="2" fontId="11613" fillId="8" borderId="1" xfId="0" applyNumberFormat="1" applyFont="1" applyFill="1" applyBorder="1" applyAlignment="1">
      <alignment horizontal="center" vertical="center"/>
    </xf>
    <xf numFmtId="2" fontId="11614" fillId="8" borderId="1" xfId="0" applyNumberFormat="1" applyFont="1" applyFill="1" applyBorder="1" applyAlignment="1">
      <alignment horizontal="center" vertical="center"/>
    </xf>
    <xf numFmtId="2" fontId="11615" fillId="8" borderId="1" xfId="0" applyNumberFormat="1" applyFont="1" applyFill="1" applyBorder="1" applyAlignment="1">
      <alignment horizontal="center" vertical="center"/>
    </xf>
    <xf numFmtId="2" fontId="11616" fillId="8" borderId="1" xfId="0" applyNumberFormat="1" applyFont="1" applyFill="1" applyBorder="1" applyAlignment="1">
      <alignment horizontal="center" vertical="center"/>
    </xf>
    <xf numFmtId="2" fontId="11617" fillId="8" borderId="1" xfId="0" applyNumberFormat="1" applyFont="1" applyFill="1" applyBorder="1" applyAlignment="1">
      <alignment horizontal="center" vertical="center"/>
    </xf>
    <xf numFmtId="2" fontId="11618" fillId="8" borderId="1" xfId="0" applyNumberFormat="1" applyFont="1" applyFill="1" applyBorder="1" applyAlignment="1">
      <alignment horizontal="center" vertical="center"/>
    </xf>
    <xf numFmtId="2" fontId="11619" fillId="8" borderId="1" xfId="0" applyNumberFormat="1" applyFont="1" applyFill="1" applyBorder="1" applyAlignment="1">
      <alignment horizontal="center" vertical="center"/>
    </xf>
    <xf numFmtId="2" fontId="11620" fillId="8" borderId="1" xfId="0" applyNumberFormat="1" applyFont="1" applyFill="1" applyBorder="1" applyAlignment="1">
      <alignment horizontal="center" vertical="center"/>
    </xf>
    <xf numFmtId="2" fontId="11621" fillId="8" borderId="1" xfId="0" applyNumberFormat="1" applyFont="1" applyFill="1" applyBorder="1" applyAlignment="1">
      <alignment horizontal="center" vertical="center"/>
    </xf>
    <xf numFmtId="2" fontId="11622" fillId="8" borderId="1" xfId="0" applyNumberFormat="1" applyFont="1" applyFill="1" applyBorder="1" applyAlignment="1">
      <alignment horizontal="center" vertical="center"/>
    </xf>
    <xf numFmtId="0" fontId="11623" fillId="7" borderId="1" xfId="0" applyNumberFormat="1" applyFont="1" applyFill="1" applyBorder="1" applyAlignment="1">
      <alignment horizontal="left" vertical="center"/>
    </xf>
    <xf numFmtId="0" fontId="11624" fillId="8" borderId="1" xfId="0" applyNumberFormat="1" applyFont="1" applyFill="1" applyBorder="1" applyAlignment="1">
      <alignment horizontal="center" vertical="center"/>
    </xf>
    <xf numFmtId="164" fontId="11625" fillId="8" borderId="1" xfId="0" applyNumberFormat="1" applyFont="1" applyFill="1" applyBorder="1" applyAlignment="1">
      <alignment horizontal="center" vertical="center"/>
    </xf>
    <xf numFmtId="1" fontId="11626" fillId="8" borderId="1" xfId="0" applyNumberFormat="1" applyFont="1" applyFill="1" applyBorder="1" applyAlignment="1">
      <alignment horizontal="center" vertical="center"/>
    </xf>
    <xf numFmtId="1" fontId="11627" fillId="8" borderId="1" xfId="0" applyNumberFormat="1" applyFont="1" applyFill="1" applyBorder="1" applyAlignment="1">
      <alignment horizontal="center" vertical="center"/>
    </xf>
    <xf numFmtId="1" fontId="11628" fillId="8" borderId="1" xfId="0" applyNumberFormat="1" applyFont="1" applyFill="1" applyBorder="1" applyAlignment="1">
      <alignment horizontal="center" vertical="center"/>
    </xf>
    <xf numFmtId="1" fontId="11629" fillId="8" borderId="1" xfId="0" applyNumberFormat="1" applyFont="1" applyFill="1" applyBorder="1" applyAlignment="1">
      <alignment horizontal="center" vertical="center"/>
    </xf>
    <xf numFmtId="1" fontId="11630" fillId="8" borderId="1" xfId="0" applyNumberFormat="1" applyFont="1" applyFill="1" applyBorder="1" applyAlignment="1">
      <alignment horizontal="center" vertical="center"/>
    </xf>
    <xf numFmtId="1" fontId="11631" fillId="8" borderId="1" xfId="0" applyNumberFormat="1" applyFont="1" applyFill="1" applyBorder="1" applyAlignment="1">
      <alignment horizontal="center" vertical="center"/>
    </xf>
    <xf numFmtId="1" fontId="11632" fillId="8" borderId="1" xfId="0" applyNumberFormat="1" applyFont="1" applyFill="1" applyBorder="1" applyAlignment="1">
      <alignment horizontal="center" vertical="center"/>
    </xf>
    <xf numFmtId="0" fontId="11633" fillId="8" borderId="1" xfId="0" applyNumberFormat="1" applyFont="1" applyFill="1" applyBorder="1" applyAlignment="1">
      <alignment horizontal="center" vertical="center"/>
    </xf>
    <xf numFmtId="0" fontId="11634" fillId="8" borderId="1" xfId="0" applyNumberFormat="1" applyFont="1" applyFill="1" applyBorder="1" applyAlignment="1">
      <alignment horizontal="center" vertical="center"/>
    </xf>
    <xf numFmtId="1" fontId="11635" fillId="8" borderId="1" xfId="0" applyNumberFormat="1" applyFont="1" applyFill="1" applyBorder="1" applyAlignment="1">
      <alignment horizontal="center" vertical="center"/>
    </xf>
    <xf numFmtId="1" fontId="11636" fillId="8" borderId="1" xfId="0" applyNumberFormat="1" applyFont="1" applyFill="1" applyBorder="1" applyAlignment="1">
      <alignment horizontal="center" vertical="center"/>
    </xf>
    <xf numFmtId="1" fontId="11637" fillId="8" borderId="1" xfId="0" applyNumberFormat="1" applyFont="1" applyFill="1" applyBorder="1" applyAlignment="1">
      <alignment horizontal="center" vertical="center"/>
    </xf>
    <xf numFmtId="165" fontId="11638" fillId="8" borderId="1" xfId="0" applyNumberFormat="1" applyFont="1" applyFill="1" applyBorder="1" applyAlignment="1">
      <alignment horizontal="center" vertical="center"/>
    </xf>
    <xf numFmtId="1" fontId="11639" fillId="8" borderId="1" xfId="0" applyNumberFormat="1" applyFont="1" applyFill="1" applyBorder="1" applyAlignment="1">
      <alignment horizontal="center" vertical="center"/>
    </xf>
    <xf numFmtId="165" fontId="11640" fillId="8" borderId="1" xfId="0" applyNumberFormat="1" applyFont="1" applyFill="1" applyBorder="1" applyAlignment="1">
      <alignment horizontal="center" vertical="center"/>
    </xf>
    <xf numFmtId="1" fontId="11641" fillId="8" borderId="1" xfId="0" applyNumberFormat="1" applyFont="1" applyFill="1" applyBorder="1" applyAlignment="1">
      <alignment horizontal="center" vertical="center"/>
    </xf>
    <xf numFmtId="165" fontId="11642" fillId="8" borderId="1" xfId="0" applyNumberFormat="1" applyFont="1" applyFill="1" applyBorder="1" applyAlignment="1">
      <alignment horizontal="center" vertical="center"/>
    </xf>
    <xf numFmtId="1" fontId="11643" fillId="8" borderId="1" xfId="0" applyNumberFormat="1" applyFont="1" applyFill="1" applyBorder="1" applyAlignment="1">
      <alignment horizontal="center" vertical="center"/>
    </xf>
    <xf numFmtId="165" fontId="11644" fillId="8" borderId="1" xfId="0" applyNumberFormat="1" applyFont="1" applyFill="1" applyBorder="1" applyAlignment="1">
      <alignment horizontal="center" vertical="center"/>
    </xf>
    <xf numFmtId="165" fontId="11645" fillId="8" borderId="1" xfId="0" applyNumberFormat="1" applyFont="1" applyFill="1" applyBorder="1" applyAlignment="1">
      <alignment horizontal="center" vertical="center"/>
    </xf>
    <xf numFmtId="1" fontId="11646" fillId="8" borderId="1" xfId="0" applyNumberFormat="1" applyFont="1" applyFill="1" applyBorder="1" applyAlignment="1">
      <alignment horizontal="center" vertical="center"/>
    </xf>
    <xf numFmtId="1" fontId="11647" fillId="8" borderId="1" xfId="0" applyNumberFormat="1" applyFont="1" applyFill="1" applyBorder="1" applyAlignment="1">
      <alignment horizontal="center" vertical="center"/>
    </xf>
    <xf numFmtId="1" fontId="11648" fillId="8" borderId="1" xfId="0" applyNumberFormat="1" applyFont="1" applyFill="1" applyBorder="1" applyAlignment="1">
      <alignment horizontal="center" vertical="center"/>
    </xf>
    <xf numFmtId="165" fontId="11649" fillId="8" borderId="1" xfId="0" applyNumberFormat="1" applyFont="1" applyFill="1" applyBorder="1" applyAlignment="1">
      <alignment horizontal="center" vertical="center"/>
    </xf>
    <xf numFmtId="164" fontId="11650" fillId="8" borderId="1" xfId="0" applyNumberFormat="1" applyFont="1" applyFill="1" applyBorder="1" applyAlignment="1">
      <alignment horizontal="center" vertical="center"/>
    </xf>
    <xf numFmtId="164" fontId="11651" fillId="8" borderId="1" xfId="0" applyNumberFormat="1" applyFont="1" applyFill="1" applyBorder="1" applyAlignment="1">
      <alignment horizontal="center" vertical="center"/>
    </xf>
    <xf numFmtId="1" fontId="11652" fillId="8" borderId="1" xfId="0" applyNumberFormat="1" applyFont="1" applyFill="1" applyBorder="1" applyAlignment="1">
      <alignment horizontal="center" vertical="center"/>
    </xf>
    <xf numFmtId="1" fontId="11653" fillId="8" borderId="1" xfId="0" applyNumberFormat="1" applyFont="1" applyFill="1" applyBorder="1" applyAlignment="1">
      <alignment horizontal="center" vertical="center"/>
    </xf>
    <xf numFmtId="1" fontId="11654" fillId="8" borderId="1" xfId="0" applyNumberFormat="1" applyFont="1" applyFill="1" applyBorder="1" applyAlignment="1">
      <alignment horizontal="center" vertical="center"/>
    </xf>
    <xf numFmtId="165" fontId="11655" fillId="8" borderId="1" xfId="0" applyNumberFormat="1" applyFont="1" applyFill="1" applyBorder="1" applyAlignment="1">
      <alignment horizontal="center" vertical="center"/>
    </xf>
    <xf numFmtId="1" fontId="11656" fillId="8" borderId="1" xfId="0" applyNumberFormat="1" applyFont="1" applyFill="1" applyBorder="1" applyAlignment="1">
      <alignment horizontal="center" vertical="center"/>
    </xf>
    <xf numFmtId="165" fontId="11657" fillId="8" borderId="1" xfId="0" applyNumberFormat="1" applyFont="1" applyFill="1" applyBorder="1" applyAlignment="1">
      <alignment horizontal="center" vertical="center"/>
    </xf>
    <xf numFmtId="1" fontId="11658" fillId="8" borderId="1" xfId="0" applyNumberFormat="1" applyFont="1" applyFill="1" applyBorder="1" applyAlignment="1">
      <alignment horizontal="center" vertical="center"/>
    </xf>
    <xf numFmtId="1" fontId="11659" fillId="8" borderId="1" xfId="0" applyNumberFormat="1" applyFont="1" applyFill="1" applyBorder="1" applyAlignment="1">
      <alignment horizontal="center" vertical="center"/>
    </xf>
    <xf numFmtId="1" fontId="11660" fillId="8" borderId="1" xfId="0" applyNumberFormat="1" applyFont="1" applyFill="1" applyBorder="1" applyAlignment="1">
      <alignment horizontal="center" vertical="center"/>
    </xf>
    <xf numFmtId="1" fontId="11661" fillId="8" borderId="1" xfId="0" applyNumberFormat="1" applyFont="1" applyFill="1" applyBorder="1" applyAlignment="1">
      <alignment horizontal="center" vertical="center"/>
    </xf>
    <xf numFmtId="165" fontId="11662" fillId="8" borderId="1" xfId="0" applyNumberFormat="1" applyFont="1" applyFill="1" applyBorder="1" applyAlignment="1">
      <alignment horizontal="center" vertical="center"/>
    </xf>
    <xf numFmtId="1" fontId="11663" fillId="8" borderId="1" xfId="0" applyNumberFormat="1" applyFont="1" applyFill="1" applyBorder="1" applyAlignment="1">
      <alignment horizontal="center" vertical="center"/>
    </xf>
    <xf numFmtId="165" fontId="11664" fillId="8" borderId="1" xfId="0" applyNumberFormat="1" applyFont="1" applyFill="1" applyBorder="1" applyAlignment="1">
      <alignment horizontal="center" vertical="center"/>
    </xf>
    <xf numFmtId="1" fontId="11665" fillId="8" borderId="1" xfId="0" applyNumberFormat="1" applyFont="1" applyFill="1" applyBorder="1" applyAlignment="1">
      <alignment horizontal="center" vertical="center"/>
    </xf>
    <xf numFmtId="165" fontId="11666" fillId="8" borderId="1" xfId="0" applyNumberFormat="1" applyFont="1" applyFill="1" applyBorder="1" applyAlignment="1">
      <alignment horizontal="center" vertical="center"/>
    </xf>
    <xf numFmtId="2" fontId="11667" fillId="8" borderId="1" xfId="0" applyNumberFormat="1" applyFont="1" applyFill="1" applyBorder="1" applyAlignment="1">
      <alignment horizontal="center" vertical="center"/>
    </xf>
    <xf numFmtId="2" fontId="11668" fillId="8" borderId="1" xfId="0" applyNumberFormat="1" applyFont="1" applyFill="1" applyBorder="1" applyAlignment="1">
      <alignment horizontal="center" vertical="center"/>
    </xf>
    <xf numFmtId="2" fontId="11669" fillId="8" borderId="1" xfId="0" applyNumberFormat="1" applyFont="1" applyFill="1" applyBorder="1" applyAlignment="1">
      <alignment horizontal="center" vertical="center"/>
    </xf>
    <xf numFmtId="2" fontId="11670" fillId="8" borderId="1" xfId="0" applyNumberFormat="1" applyFont="1" applyFill="1" applyBorder="1" applyAlignment="1">
      <alignment horizontal="center" vertical="center"/>
    </xf>
    <xf numFmtId="2" fontId="11671" fillId="8" borderId="1" xfId="0" applyNumberFormat="1" applyFont="1" applyFill="1" applyBorder="1" applyAlignment="1">
      <alignment horizontal="center" vertical="center"/>
    </xf>
    <xf numFmtId="2" fontId="11672" fillId="8" borderId="1" xfId="0" applyNumberFormat="1" applyFont="1" applyFill="1" applyBorder="1" applyAlignment="1">
      <alignment horizontal="center" vertical="center"/>
    </xf>
    <xf numFmtId="2" fontId="11673" fillId="8" borderId="1" xfId="0" applyNumberFormat="1" applyFont="1" applyFill="1" applyBorder="1" applyAlignment="1">
      <alignment horizontal="center" vertical="center"/>
    </xf>
    <xf numFmtId="2" fontId="11674" fillId="8" borderId="1" xfId="0" applyNumberFormat="1" applyFont="1" applyFill="1" applyBorder="1" applyAlignment="1">
      <alignment horizontal="center" vertical="center"/>
    </xf>
    <xf numFmtId="2" fontId="11675" fillId="8" borderId="1" xfId="0" applyNumberFormat="1" applyFont="1" applyFill="1" applyBorder="1" applyAlignment="1">
      <alignment horizontal="center" vertical="center"/>
    </xf>
    <xf numFmtId="2" fontId="11676" fillId="8" borderId="1" xfId="0" applyNumberFormat="1" applyFont="1" applyFill="1" applyBorder="1" applyAlignment="1">
      <alignment horizontal="center" vertical="center"/>
    </xf>
    <xf numFmtId="2" fontId="11677" fillId="8" borderId="1" xfId="0" applyNumberFormat="1" applyFont="1" applyFill="1" applyBorder="1" applyAlignment="1">
      <alignment horizontal="center" vertical="center"/>
    </xf>
    <xf numFmtId="2" fontId="11678" fillId="8" borderId="1" xfId="0" applyNumberFormat="1" applyFont="1" applyFill="1" applyBorder="1" applyAlignment="1">
      <alignment horizontal="center" vertical="center"/>
    </xf>
    <xf numFmtId="2" fontId="11679" fillId="8" borderId="1" xfId="0" applyNumberFormat="1" applyFont="1" applyFill="1" applyBorder="1" applyAlignment="1">
      <alignment horizontal="center" vertical="center"/>
    </xf>
    <xf numFmtId="2" fontId="11680" fillId="8" borderId="1" xfId="0" applyNumberFormat="1" applyFont="1" applyFill="1" applyBorder="1" applyAlignment="1">
      <alignment horizontal="center" vertical="center"/>
    </xf>
    <xf numFmtId="2" fontId="11681" fillId="8" borderId="1" xfId="0" applyNumberFormat="1" applyFont="1" applyFill="1" applyBorder="1" applyAlignment="1">
      <alignment horizontal="center" vertical="center"/>
    </xf>
    <xf numFmtId="2" fontId="11682" fillId="8" borderId="1" xfId="0" applyNumberFormat="1" applyFont="1" applyFill="1" applyBorder="1" applyAlignment="1">
      <alignment horizontal="center" vertical="center"/>
    </xf>
    <xf numFmtId="2" fontId="11683" fillId="8" borderId="1" xfId="0" applyNumberFormat="1" applyFont="1" applyFill="1" applyBorder="1" applyAlignment="1">
      <alignment horizontal="center" vertical="center"/>
    </xf>
    <xf numFmtId="2" fontId="11684" fillId="8" borderId="1" xfId="0" applyNumberFormat="1" applyFont="1" applyFill="1" applyBorder="1" applyAlignment="1">
      <alignment horizontal="center" vertical="center"/>
    </xf>
    <xf numFmtId="2" fontId="11685" fillId="8" borderId="1" xfId="0" applyNumberFormat="1" applyFont="1" applyFill="1" applyBorder="1" applyAlignment="1">
      <alignment horizontal="center" vertical="center"/>
    </xf>
    <xf numFmtId="2" fontId="11686" fillId="8" borderId="1" xfId="0" applyNumberFormat="1" applyFont="1" applyFill="1" applyBorder="1" applyAlignment="1">
      <alignment horizontal="center" vertical="center"/>
    </xf>
    <xf numFmtId="2" fontId="11687" fillId="8" borderId="1" xfId="0" applyNumberFormat="1" applyFont="1" applyFill="1" applyBorder="1" applyAlignment="1">
      <alignment horizontal="center" vertical="center"/>
    </xf>
    <xf numFmtId="2" fontId="11688" fillId="8" borderId="1" xfId="0" applyNumberFormat="1" applyFont="1" applyFill="1" applyBorder="1" applyAlignment="1">
      <alignment horizontal="center" vertical="center"/>
    </xf>
    <xf numFmtId="2" fontId="11689" fillId="8" borderId="1" xfId="0" applyNumberFormat="1" applyFont="1" applyFill="1" applyBorder="1" applyAlignment="1">
      <alignment horizontal="center" vertical="center"/>
    </xf>
    <xf numFmtId="2" fontId="11690" fillId="8" borderId="1" xfId="0" applyNumberFormat="1" applyFont="1" applyFill="1" applyBorder="1" applyAlignment="1">
      <alignment horizontal="center" vertical="center"/>
    </xf>
    <xf numFmtId="2" fontId="11691" fillId="8" borderId="1" xfId="0" applyNumberFormat="1" applyFont="1" applyFill="1" applyBorder="1" applyAlignment="1">
      <alignment horizontal="center" vertical="center"/>
    </xf>
    <xf numFmtId="2" fontId="11692" fillId="8" borderId="1" xfId="0" applyNumberFormat="1" applyFont="1" applyFill="1" applyBorder="1" applyAlignment="1">
      <alignment horizontal="center" vertical="center"/>
    </xf>
    <xf numFmtId="2" fontId="11693" fillId="8" borderId="1" xfId="0" applyNumberFormat="1" applyFont="1" applyFill="1" applyBorder="1" applyAlignment="1">
      <alignment horizontal="center" vertical="center"/>
    </xf>
    <xf numFmtId="2" fontId="11694" fillId="8" borderId="1" xfId="0" applyNumberFormat="1" applyFont="1" applyFill="1" applyBorder="1" applyAlignment="1">
      <alignment horizontal="center" vertical="center"/>
    </xf>
    <xf numFmtId="2" fontId="11695" fillId="8" borderId="1" xfId="0" applyNumberFormat="1" applyFont="1" applyFill="1" applyBorder="1" applyAlignment="1">
      <alignment horizontal="center" vertical="center"/>
    </xf>
    <xf numFmtId="2" fontId="11696" fillId="8" borderId="1" xfId="0" applyNumberFormat="1" applyFont="1" applyFill="1" applyBorder="1" applyAlignment="1">
      <alignment horizontal="center" vertical="center"/>
    </xf>
    <xf numFmtId="2" fontId="11697" fillId="8" borderId="1" xfId="0" applyNumberFormat="1" applyFont="1" applyFill="1" applyBorder="1" applyAlignment="1">
      <alignment horizontal="center" vertical="center"/>
    </xf>
    <xf numFmtId="2" fontId="11698" fillId="8" borderId="1" xfId="0" applyNumberFormat="1" applyFont="1" applyFill="1" applyBorder="1" applyAlignment="1">
      <alignment horizontal="center" vertical="center"/>
    </xf>
    <xf numFmtId="2" fontId="11699" fillId="8" borderId="1" xfId="0" applyNumberFormat="1" applyFont="1" applyFill="1" applyBorder="1" applyAlignment="1">
      <alignment horizontal="center" vertical="center"/>
    </xf>
    <xf numFmtId="2" fontId="11700" fillId="8" borderId="1" xfId="0" applyNumberFormat="1" applyFont="1" applyFill="1" applyBorder="1" applyAlignment="1">
      <alignment horizontal="center" vertical="center"/>
    </xf>
    <xf numFmtId="0" fontId="11701" fillId="7" borderId="1" xfId="0" applyNumberFormat="1" applyFont="1" applyFill="1" applyBorder="1" applyAlignment="1">
      <alignment horizontal="left" vertical="center"/>
    </xf>
    <xf numFmtId="0" fontId="11702" fillId="8" borderId="1" xfId="0" applyNumberFormat="1" applyFont="1" applyFill="1" applyBorder="1" applyAlignment="1">
      <alignment horizontal="center" vertical="center"/>
    </xf>
    <xf numFmtId="164" fontId="11703" fillId="8" borderId="1" xfId="0" applyNumberFormat="1" applyFont="1" applyFill="1" applyBorder="1" applyAlignment="1">
      <alignment horizontal="center" vertical="center"/>
    </xf>
    <xf numFmtId="1" fontId="11704" fillId="8" borderId="1" xfId="0" applyNumberFormat="1" applyFont="1" applyFill="1" applyBorder="1" applyAlignment="1">
      <alignment horizontal="center" vertical="center"/>
    </xf>
    <xf numFmtId="1" fontId="11705" fillId="8" borderId="1" xfId="0" applyNumberFormat="1" applyFont="1" applyFill="1" applyBorder="1" applyAlignment="1">
      <alignment horizontal="center" vertical="center"/>
    </xf>
    <xf numFmtId="1" fontId="11706" fillId="8" borderId="1" xfId="0" applyNumberFormat="1" applyFont="1" applyFill="1" applyBorder="1" applyAlignment="1">
      <alignment horizontal="center" vertical="center"/>
    </xf>
    <xf numFmtId="1" fontId="11707" fillId="8" borderId="1" xfId="0" applyNumberFormat="1" applyFont="1" applyFill="1" applyBorder="1" applyAlignment="1">
      <alignment horizontal="center" vertical="center"/>
    </xf>
    <xf numFmtId="1" fontId="11708" fillId="8" borderId="1" xfId="0" applyNumberFormat="1" applyFont="1" applyFill="1" applyBorder="1" applyAlignment="1">
      <alignment horizontal="center" vertical="center"/>
    </xf>
    <xf numFmtId="1" fontId="11709" fillId="8" borderId="1" xfId="0" applyNumberFormat="1" applyFont="1" applyFill="1" applyBorder="1" applyAlignment="1">
      <alignment horizontal="center" vertical="center"/>
    </xf>
    <xf numFmtId="1" fontId="11710" fillId="8" borderId="1" xfId="0" applyNumberFormat="1" applyFont="1" applyFill="1" applyBorder="1" applyAlignment="1">
      <alignment horizontal="center" vertical="center"/>
    </xf>
    <xf numFmtId="0" fontId="11711" fillId="8" borderId="1" xfId="0" applyNumberFormat="1" applyFont="1" applyFill="1" applyBorder="1" applyAlignment="1">
      <alignment horizontal="center" vertical="center"/>
    </xf>
    <xf numFmtId="0" fontId="11712" fillId="8" borderId="1" xfId="0" applyNumberFormat="1" applyFont="1" applyFill="1" applyBorder="1" applyAlignment="1">
      <alignment horizontal="center" vertical="center"/>
    </xf>
    <xf numFmtId="1" fontId="11713" fillId="8" borderId="1" xfId="0" applyNumberFormat="1" applyFont="1" applyFill="1" applyBorder="1" applyAlignment="1">
      <alignment horizontal="center" vertical="center"/>
    </xf>
    <xf numFmtId="1" fontId="11714" fillId="8" borderId="1" xfId="0" applyNumberFormat="1" applyFont="1" applyFill="1" applyBorder="1" applyAlignment="1">
      <alignment horizontal="center" vertical="center"/>
    </xf>
    <xf numFmtId="1" fontId="11715" fillId="8" borderId="1" xfId="0" applyNumberFormat="1" applyFont="1" applyFill="1" applyBorder="1" applyAlignment="1">
      <alignment horizontal="center" vertical="center"/>
    </xf>
    <xf numFmtId="165" fontId="11716" fillId="8" borderId="1" xfId="0" applyNumberFormat="1" applyFont="1" applyFill="1" applyBorder="1" applyAlignment="1">
      <alignment horizontal="center" vertical="center"/>
    </xf>
    <xf numFmtId="1" fontId="11717" fillId="8" borderId="1" xfId="0" applyNumberFormat="1" applyFont="1" applyFill="1" applyBorder="1" applyAlignment="1">
      <alignment horizontal="center" vertical="center"/>
    </xf>
    <xf numFmtId="165" fontId="11718" fillId="8" borderId="1" xfId="0" applyNumberFormat="1" applyFont="1" applyFill="1" applyBorder="1" applyAlignment="1">
      <alignment horizontal="center" vertical="center"/>
    </xf>
    <xf numFmtId="1" fontId="11719" fillId="8" borderId="1" xfId="0" applyNumberFormat="1" applyFont="1" applyFill="1" applyBorder="1" applyAlignment="1">
      <alignment horizontal="center" vertical="center"/>
    </xf>
    <xf numFmtId="165" fontId="11720" fillId="8" borderId="1" xfId="0" applyNumberFormat="1" applyFont="1" applyFill="1" applyBorder="1" applyAlignment="1">
      <alignment horizontal="center" vertical="center"/>
    </xf>
    <xf numFmtId="1" fontId="11721" fillId="8" borderId="1" xfId="0" applyNumberFormat="1" applyFont="1" applyFill="1" applyBorder="1" applyAlignment="1">
      <alignment horizontal="center" vertical="center"/>
    </xf>
    <xf numFmtId="165" fontId="11722" fillId="8" borderId="1" xfId="0" applyNumberFormat="1" applyFont="1" applyFill="1" applyBorder="1" applyAlignment="1">
      <alignment horizontal="center" vertical="center"/>
    </xf>
    <xf numFmtId="165" fontId="11723" fillId="8" borderId="1" xfId="0" applyNumberFormat="1" applyFont="1" applyFill="1" applyBorder="1" applyAlignment="1">
      <alignment horizontal="center" vertical="center"/>
    </xf>
    <xf numFmtId="1" fontId="11724" fillId="8" borderId="1" xfId="0" applyNumberFormat="1" applyFont="1" applyFill="1" applyBorder="1" applyAlignment="1">
      <alignment horizontal="center" vertical="center"/>
    </xf>
    <xf numFmtId="1" fontId="11725" fillId="8" borderId="1" xfId="0" applyNumberFormat="1" applyFont="1" applyFill="1" applyBorder="1" applyAlignment="1">
      <alignment horizontal="center" vertical="center"/>
    </xf>
    <xf numFmtId="1" fontId="11726" fillId="8" borderId="1" xfId="0" applyNumberFormat="1" applyFont="1" applyFill="1" applyBorder="1" applyAlignment="1">
      <alignment horizontal="center" vertical="center"/>
    </xf>
    <xf numFmtId="165" fontId="11727" fillId="8" borderId="1" xfId="0" applyNumberFormat="1" applyFont="1" applyFill="1" applyBorder="1" applyAlignment="1">
      <alignment horizontal="center" vertical="center"/>
    </xf>
    <xf numFmtId="164" fontId="11728" fillId="8" borderId="1" xfId="0" applyNumberFormat="1" applyFont="1" applyFill="1" applyBorder="1" applyAlignment="1">
      <alignment horizontal="center" vertical="center"/>
    </xf>
    <xf numFmtId="164" fontId="11729" fillId="8" borderId="1" xfId="0" applyNumberFormat="1" applyFont="1" applyFill="1" applyBorder="1" applyAlignment="1">
      <alignment horizontal="center" vertical="center"/>
    </xf>
    <xf numFmtId="1" fontId="11730" fillId="8" borderId="1" xfId="0" applyNumberFormat="1" applyFont="1" applyFill="1" applyBorder="1" applyAlignment="1">
      <alignment horizontal="center" vertical="center"/>
    </xf>
    <xf numFmtId="1" fontId="11731" fillId="8" borderId="1" xfId="0" applyNumberFormat="1" applyFont="1" applyFill="1" applyBorder="1" applyAlignment="1">
      <alignment horizontal="center" vertical="center"/>
    </xf>
    <xf numFmtId="1" fontId="11732" fillId="8" borderId="1" xfId="0" applyNumberFormat="1" applyFont="1" applyFill="1" applyBorder="1" applyAlignment="1">
      <alignment horizontal="center" vertical="center"/>
    </xf>
    <xf numFmtId="165" fontId="11733" fillId="8" borderId="1" xfId="0" applyNumberFormat="1" applyFont="1" applyFill="1" applyBorder="1" applyAlignment="1">
      <alignment horizontal="center" vertical="center"/>
    </xf>
    <xf numFmtId="1" fontId="11734" fillId="8" borderId="1" xfId="0" applyNumberFormat="1" applyFont="1" applyFill="1" applyBorder="1" applyAlignment="1">
      <alignment horizontal="center" vertical="center"/>
    </xf>
    <xf numFmtId="165" fontId="11735" fillId="8" borderId="1" xfId="0" applyNumberFormat="1" applyFont="1" applyFill="1" applyBorder="1" applyAlignment="1">
      <alignment horizontal="center" vertical="center"/>
    </xf>
    <xf numFmtId="1" fontId="11736" fillId="8" borderId="1" xfId="0" applyNumberFormat="1" applyFont="1" applyFill="1" applyBorder="1" applyAlignment="1">
      <alignment horizontal="center" vertical="center"/>
    </xf>
    <xf numFmtId="1" fontId="11737" fillId="8" borderId="1" xfId="0" applyNumberFormat="1" applyFont="1" applyFill="1" applyBorder="1" applyAlignment="1">
      <alignment horizontal="center" vertical="center"/>
    </xf>
    <xf numFmtId="1" fontId="11738" fillId="8" borderId="1" xfId="0" applyNumberFormat="1" applyFont="1" applyFill="1" applyBorder="1" applyAlignment="1">
      <alignment horizontal="center" vertical="center"/>
    </xf>
    <xf numFmtId="1" fontId="11739" fillId="8" borderId="1" xfId="0" applyNumberFormat="1" applyFont="1" applyFill="1" applyBorder="1" applyAlignment="1">
      <alignment horizontal="center" vertical="center"/>
    </xf>
    <xf numFmtId="165" fontId="11740" fillId="8" borderId="1" xfId="0" applyNumberFormat="1" applyFont="1" applyFill="1" applyBorder="1" applyAlignment="1">
      <alignment horizontal="center" vertical="center"/>
    </xf>
    <xf numFmtId="1" fontId="11741" fillId="8" borderId="1" xfId="0" applyNumberFormat="1" applyFont="1" applyFill="1" applyBorder="1" applyAlignment="1">
      <alignment horizontal="center" vertical="center"/>
    </xf>
    <xf numFmtId="165" fontId="11742" fillId="8" borderId="1" xfId="0" applyNumberFormat="1" applyFont="1" applyFill="1" applyBorder="1" applyAlignment="1">
      <alignment horizontal="center" vertical="center"/>
    </xf>
    <xf numFmtId="1" fontId="11743" fillId="8" borderId="1" xfId="0" applyNumberFormat="1" applyFont="1" applyFill="1" applyBorder="1" applyAlignment="1">
      <alignment horizontal="center" vertical="center"/>
    </xf>
    <xf numFmtId="165" fontId="11744" fillId="8" borderId="1" xfId="0" applyNumberFormat="1" applyFont="1" applyFill="1" applyBorder="1" applyAlignment="1">
      <alignment horizontal="center" vertical="center"/>
    </xf>
    <xf numFmtId="2" fontId="11745" fillId="8" borderId="1" xfId="0" applyNumberFormat="1" applyFont="1" applyFill="1" applyBorder="1" applyAlignment="1">
      <alignment horizontal="center" vertical="center"/>
    </xf>
    <xf numFmtId="2" fontId="11746" fillId="8" borderId="1" xfId="0" applyNumberFormat="1" applyFont="1" applyFill="1" applyBorder="1" applyAlignment="1">
      <alignment horizontal="center" vertical="center"/>
    </xf>
    <xf numFmtId="2" fontId="11747" fillId="8" borderId="1" xfId="0" applyNumberFormat="1" applyFont="1" applyFill="1" applyBorder="1" applyAlignment="1">
      <alignment horizontal="center" vertical="center"/>
    </xf>
    <xf numFmtId="2" fontId="11748" fillId="8" borderId="1" xfId="0" applyNumberFormat="1" applyFont="1" applyFill="1" applyBorder="1" applyAlignment="1">
      <alignment horizontal="center" vertical="center"/>
    </xf>
    <xf numFmtId="2" fontId="11749" fillId="8" borderId="1" xfId="0" applyNumberFormat="1" applyFont="1" applyFill="1" applyBorder="1" applyAlignment="1">
      <alignment horizontal="center" vertical="center"/>
    </xf>
    <xf numFmtId="2" fontId="11750" fillId="8" borderId="1" xfId="0" applyNumberFormat="1" applyFont="1" applyFill="1" applyBorder="1" applyAlignment="1">
      <alignment horizontal="center" vertical="center"/>
    </xf>
    <xf numFmtId="2" fontId="11751" fillId="8" borderId="1" xfId="0" applyNumberFormat="1" applyFont="1" applyFill="1" applyBorder="1" applyAlignment="1">
      <alignment horizontal="center" vertical="center"/>
    </xf>
    <xf numFmtId="2" fontId="11752" fillId="8" borderId="1" xfId="0" applyNumberFormat="1" applyFont="1" applyFill="1" applyBorder="1" applyAlignment="1">
      <alignment horizontal="center" vertical="center"/>
    </xf>
    <xf numFmtId="2" fontId="11753" fillId="8" borderId="1" xfId="0" applyNumberFormat="1" applyFont="1" applyFill="1" applyBorder="1" applyAlignment="1">
      <alignment horizontal="center" vertical="center"/>
    </xf>
    <xf numFmtId="2" fontId="11754" fillId="8" borderId="1" xfId="0" applyNumberFormat="1" applyFont="1" applyFill="1" applyBorder="1" applyAlignment="1">
      <alignment horizontal="center" vertical="center"/>
    </xf>
    <xf numFmtId="2" fontId="11755" fillId="8" borderId="1" xfId="0" applyNumberFormat="1" applyFont="1" applyFill="1" applyBorder="1" applyAlignment="1">
      <alignment horizontal="center" vertical="center"/>
    </xf>
    <xf numFmtId="2" fontId="11756" fillId="8" borderId="1" xfId="0" applyNumberFormat="1" applyFont="1" applyFill="1" applyBorder="1" applyAlignment="1">
      <alignment horizontal="center" vertical="center"/>
    </xf>
    <xf numFmtId="2" fontId="11757" fillId="8" borderId="1" xfId="0" applyNumberFormat="1" applyFont="1" applyFill="1" applyBorder="1" applyAlignment="1">
      <alignment horizontal="center" vertical="center"/>
    </xf>
    <xf numFmtId="2" fontId="11758" fillId="8" borderId="1" xfId="0" applyNumberFormat="1" applyFont="1" applyFill="1" applyBorder="1" applyAlignment="1">
      <alignment horizontal="center" vertical="center"/>
    </xf>
    <xf numFmtId="2" fontId="11759" fillId="8" borderId="1" xfId="0" applyNumberFormat="1" applyFont="1" applyFill="1" applyBorder="1" applyAlignment="1">
      <alignment horizontal="center" vertical="center"/>
    </xf>
    <xf numFmtId="2" fontId="11760" fillId="8" borderId="1" xfId="0" applyNumberFormat="1" applyFont="1" applyFill="1" applyBorder="1" applyAlignment="1">
      <alignment horizontal="center" vertical="center"/>
    </xf>
    <xf numFmtId="2" fontId="11761" fillId="8" borderId="1" xfId="0" applyNumberFormat="1" applyFont="1" applyFill="1" applyBorder="1" applyAlignment="1">
      <alignment horizontal="center" vertical="center"/>
    </xf>
    <xf numFmtId="2" fontId="11762" fillId="8" borderId="1" xfId="0" applyNumberFormat="1" applyFont="1" applyFill="1" applyBorder="1" applyAlignment="1">
      <alignment horizontal="center" vertical="center"/>
    </xf>
    <xf numFmtId="2" fontId="11763" fillId="8" borderId="1" xfId="0" applyNumberFormat="1" applyFont="1" applyFill="1" applyBorder="1" applyAlignment="1">
      <alignment horizontal="center" vertical="center"/>
    </xf>
    <xf numFmtId="2" fontId="11764" fillId="8" borderId="1" xfId="0" applyNumberFormat="1" applyFont="1" applyFill="1" applyBorder="1" applyAlignment="1">
      <alignment horizontal="center" vertical="center"/>
    </xf>
    <xf numFmtId="2" fontId="11765" fillId="8" borderId="1" xfId="0" applyNumberFormat="1" applyFont="1" applyFill="1" applyBorder="1" applyAlignment="1">
      <alignment horizontal="center" vertical="center"/>
    </xf>
    <xf numFmtId="2" fontId="11766" fillId="8" borderId="1" xfId="0" applyNumberFormat="1" applyFont="1" applyFill="1" applyBorder="1" applyAlignment="1">
      <alignment horizontal="center" vertical="center"/>
    </xf>
    <xf numFmtId="2" fontId="11767" fillId="8" borderId="1" xfId="0" applyNumberFormat="1" applyFont="1" applyFill="1" applyBorder="1" applyAlignment="1">
      <alignment horizontal="center" vertical="center"/>
    </xf>
    <xf numFmtId="2" fontId="11768" fillId="8" borderId="1" xfId="0" applyNumberFormat="1" applyFont="1" applyFill="1" applyBorder="1" applyAlignment="1">
      <alignment horizontal="center" vertical="center"/>
    </xf>
    <xf numFmtId="2" fontId="11769" fillId="8" borderId="1" xfId="0" applyNumberFormat="1" applyFont="1" applyFill="1" applyBorder="1" applyAlignment="1">
      <alignment horizontal="center" vertical="center"/>
    </xf>
    <xf numFmtId="2" fontId="11770" fillId="8" borderId="1" xfId="0" applyNumberFormat="1" applyFont="1" applyFill="1" applyBorder="1" applyAlignment="1">
      <alignment horizontal="center" vertical="center"/>
    </xf>
    <xf numFmtId="2" fontId="11771" fillId="8" borderId="1" xfId="0" applyNumberFormat="1" applyFont="1" applyFill="1" applyBorder="1" applyAlignment="1">
      <alignment horizontal="center" vertical="center"/>
    </xf>
    <xf numFmtId="2" fontId="11772" fillId="8" borderId="1" xfId="0" applyNumberFormat="1" applyFont="1" applyFill="1" applyBorder="1" applyAlignment="1">
      <alignment horizontal="center" vertical="center"/>
    </xf>
    <xf numFmtId="2" fontId="11773" fillId="8" borderId="1" xfId="0" applyNumberFormat="1" applyFont="1" applyFill="1" applyBorder="1" applyAlignment="1">
      <alignment horizontal="center" vertical="center"/>
    </xf>
    <xf numFmtId="2" fontId="11774" fillId="8" borderId="1" xfId="0" applyNumberFormat="1" applyFont="1" applyFill="1" applyBorder="1" applyAlignment="1">
      <alignment horizontal="center" vertical="center"/>
    </xf>
    <xf numFmtId="2" fontId="11775" fillId="8" borderId="1" xfId="0" applyNumberFormat="1" applyFont="1" applyFill="1" applyBorder="1" applyAlignment="1">
      <alignment horizontal="center" vertical="center"/>
    </xf>
    <xf numFmtId="2" fontId="11776" fillId="8" borderId="1" xfId="0" applyNumberFormat="1" applyFont="1" applyFill="1" applyBorder="1" applyAlignment="1">
      <alignment horizontal="center" vertical="center"/>
    </xf>
    <xf numFmtId="2" fontId="11777" fillId="8" borderId="1" xfId="0" applyNumberFormat="1" applyFont="1" applyFill="1" applyBorder="1" applyAlignment="1">
      <alignment horizontal="center" vertical="center"/>
    </xf>
    <xf numFmtId="2" fontId="11778" fillId="8" borderId="1" xfId="0" applyNumberFormat="1" applyFont="1" applyFill="1" applyBorder="1" applyAlignment="1">
      <alignment horizontal="center" vertical="center"/>
    </xf>
    <xf numFmtId="0" fontId="11779" fillId="7" borderId="1" xfId="0" applyNumberFormat="1" applyFont="1" applyFill="1" applyBorder="1" applyAlignment="1">
      <alignment horizontal="left" vertical="center"/>
    </xf>
    <xf numFmtId="0" fontId="11780" fillId="8" borderId="1" xfId="0" applyNumberFormat="1" applyFont="1" applyFill="1" applyBorder="1" applyAlignment="1">
      <alignment horizontal="center" vertical="center"/>
    </xf>
    <xf numFmtId="164" fontId="11781" fillId="8" borderId="1" xfId="0" applyNumberFormat="1" applyFont="1" applyFill="1" applyBorder="1" applyAlignment="1">
      <alignment horizontal="center" vertical="center"/>
    </xf>
    <xf numFmtId="1" fontId="11782" fillId="8" borderId="1" xfId="0" applyNumberFormat="1" applyFont="1" applyFill="1" applyBorder="1" applyAlignment="1">
      <alignment horizontal="center" vertical="center"/>
    </xf>
    <xf numFmtId="1" fontId="11783" fillId="8" borderId="1" xfId="0" applyNumberFormat="1" applyFont="1" applyFill="1" applyBorder="1" applyAlignment="1">
      <alignment horizontal="center" vertical="center"/>
    </xf>
    <xf numFmtId="1" fontId="11784" fillId="8" borderId="1" xfId="0" applyNumberFormat="1" applyFont="1" applyFill="1" applyBorder="1" applyAlignment="1">
      <alignment horizontal="center" vertical="center"/>
    </xf>
    <xf numFmtId="1" fontId="11785" fillId="8" borderId="1" xfId="0" applyNumberFormat="1" applyFont="1" applyFill="1" applyBorder="1" applyAlignment="1">
      <alignment horizontal="center" vertical="center"/>
    </xf>
    <xf numFmtId="1" fontId="11786" fillId="8" borderId="1" xfId="0" applyNumberFormat="1" applyFont="1" applyFill="1" applyBorder="1" applyAlignment="1">
      <alignment horizontal="center" vertical="center"/>
    </xf>
    <xf numFmtId="1" fontId="11787" fillId="8" borderId="1" xfId="0" applyNumberFormat="1" applyFont="1" applyFill="1" applyBorder="1" applyAlignment="1">
      <alignment horizontal="center" vertical="center"/>
    </xf>
    <xf numFmtId="1" fontId="11788" fillId="8" borderId="1" xfId="0" applyNumberFormat="1" applyFont="1" applyFill="1" applyBorder="1" applyAlignment="1">
      <alignment horizontal="center" vertical="center"/>
    </xf>
    <xf numFmtId="0" fontId="11789" fillId="8" borderId="1" xfId="0" applyNumberFormat="1" applyFont="1" applyFill="1" applyBorder="1" applyAlignment="1">
      <alignment horizontal="center" vertical="center"/>
    </xf>
    <xf numFmtId="0" fontId="11790" fillId="8" borderId="1" xfId="0" applyNumberFormat="1" applyFont="1" applyFill="1" applyBorder="1" applyAlignment="1">
      <alignment horizontal="center" vertical="center"/>
    </xf>
    <xf numFmtId="1" fontId="11791" fillId="8" borderId="1" xfId="0" applyNumberFormat="1" applyFont="1" applyFill="1" applyBorder="1" applyAlignment="1">
      <alignment horizontal="center" vertical="center"/>
    </xf>
    <xf numFmtId="1" fontId="11792" fillId="8" borderId="1" xfId="0" applyNumberFormat="1" applyFont="1" applyFill="1" applyBorder="1" applyAlignment="1">
      <alignment horizontal="center" vertical="center"/>
    </xf>
    <xf numFmtId="1" fontId="11793" fillId="8" borderId="1" xfId="0" applyNumberFormat="1" applyFont="1" applyFill="1" applyBorder="1" applyAlignment="1">
      <alignment horizontal="center" vertical="center"/>
    </xf>
    <xf numFmtId="165" fontId="11794" fillId="8" borderId="1" xfId="0" applyNumberFormat="1" applyFont="1" applyFill="1" applyBorder="1" applyAlignment="1">
      <alignment horizontal="center" vertical="center"/>
    </xf>
    <xf numFmtId="1" fontId="11795" fillId="8" borderId="1" xfId="0" applyNumberFormat="1" applyFont="1" applyFill="1" applyBorder="1" applyAlignment="1">
      <alignment horizontal="center" vertical="center"/>
    </xf>
    <xf numFmtId="165" fontId="11796" fillId="8" borderId="1" xfId="0" applyNumberFormat="1" applyFont="1" applyFill="1" applyBorder="1" applyAlignment="1">
      <alignment horizontal="center" vertical="center"/>
    </xf>
    <xf numFmtId="1" fontId="11797" fillId="8" borderId="1" xfId="0" applyNumberFormat="1" applyFont="1" applyFill="1" applyBorder="1" applyAlignment="1">
      <alignment horizontal="center" vertical="center"/>
    </xf>
    <xf numFmtId="165" fontId="11798" fillId="8" borderId="1" xfId="0" applyNumberFormat="1" applyFont="1" applyFill="1" applyBorder="1" applyAlignment="1">
      <alignment horizontal="center" vertical="center"/>
    </xf>
    <xf numFmtId="1" fontId="11799" fillId="8" borderId="1" xfId="0" applyNumberFormat="1" applyFont="1" applyFill="1" applyBorder="1" applyAlignment="1">
      <alignment horizontal="center" vertical="center"/>
    </xf>
    <xf numFmtId="165" fontId="11800" fillId="8" borderId="1" xfId="0" applyNumberFormat="1" applyFont="1" applyFill="1" applyBorder="1" applyAlignment="1">
      <alignment horizontal="center" vertical="center"/>
    </xf>
    <xf numFmtId="165" fontId="11801" fillId="8" borderId="1" xfId="0" applyNumberFormat="1" applyFont="1" applyFill="1" applyBorder="1" applyAlignment="1">
      <alignment horizontal="center" vertical="center"/>
    </xf>
    <xf numFmtId="1" fontId="11802" fillId="8" borderId="1" xfId="0" applyNumberFormat="1" applyFont="1" applyFill="1" applyBorder="1" applyAlignment="1">
      <alignment horizontal="center" vertical="center"/>
    </xf>
    <xf numFmtId="1" fontId="11803" fillId="8" borderId="1" xfId="0" applyNumberFormat="1" applyFont="1" applyFill="1" applyBorder="1" applyAlignment="1">
      <alignment horizontal="center" vertical="center"/>
    </xf>
    <xf numFmtId="1" fontId="11804" fillId="8" borderId="1" xfId="0" applyNumberFormat="1" applyFont="1" applyFill="1" applyBorder="1" applyAlignment="1">
      <alignment horizontal="center" vertical="center"/>
    </xf>
    <xf numFmtId="165" fontId="11805" fillId="8" borderId="1" xfId="0" applyNumberFormat="1" applyFont="1" applyFill="1" applyBorder="1" applyAlignment="1">
      <alignment horizontal="center" vertical="center"/>
    </xf>
    <xf numFmtId="164" fontId="11806" fillId="8" borderId="1" xfId="0" applyNumberFormat="1" applyFont="1" applyFill="1" applyBorder="1" applyAlignment="1">
      <alignment horizontal="center" vertical="center"/>
    </xf>
    <xf numFmtId="164" fontId="11807" fillId="8" borderId="1" xfId="0" applyNumberFormat="1" applyFont="1" applyFill="1" applyBorder="1" applyAlignment="1">
      <alignment horizontal="center" vertical="center"/>
    </xf>
    <xf numFmtId="1" fontId="11808" fillId="8" borderId="1" xfId="0" applyNumberFormat="1" applyFont="1" applyFill="1" applyBorder="1" applyAlignment="1">
      <alignment horizontal="center" vertical="center"/>
    </xf>
    <xf numFmtId="1" fontId="11809" fillId="8" borderId="1" xfId="0" applyNumberFormat="1" applyFont="1" applyFill="1" applyBorder="1" applyAlignment="1">
      <alignment horizontal="center" vertical="center"/>
    </xf>
    <xf numFmtId="1" fontId="11810" fillId="8" borderId="1" xfId="0" applyNumberFormat="1" applyFont="1" applyFill="1" applyBorder="1" applyAlignment="1">
      <alignment horizontal="center" vertical="center"/>
    </xf>
    <xf numFmtId="165" fontId="11811" fillId="8" borderId="1" xfId="0" applyNumberFormat="1" applyFont="1" applyFill="1" applyBorder="1" applyAlignment="1">
      <alignment horizontal="center" vertical="center"/>
    </xf>
    <xf numFmtId="1" fontId="11812" fillId="8" borderId="1" xfId="0" applyNumberFormat="1" applyFont="1" applyFill="1" applyBorder="1" applyAlignment="1">
      <alignment horizontal="center" vertical="center"/>
    </xf>
    <xf numFmtId="165" fontId="11813" fillId="8" borderId="1" xfId="0" applyNumberFormat="1" applyFont="1" applyFill="1" applyBorder="1" applyAlignment="1">
      <alignment horizontal="center" vertical="center"/>
    </xf>
    <xf numFmtId="1" fontId="11814" fillId="8" borderId="1" xfId="0" applyNumberFormat="1" applyFont="1" applyFill="1" applyBorder="1" applyAlignment="1">
      <alignment horizontal="center" vertical="center"/>
    </xf>
    <xf numFmtId="1" fontId="11815" fillId="8" borderId="1" xfId="0" applyNumberFormat="1" applyFont="1" applyFill="1" applyBorder="1" applyAlignment="1">
      <alignment horizontal="center" vertical="center"/>
    </xf>
    <xf numFmtId="1" fontId="11816" fillId="8" borderId="1" xfId="0" applyNumberFormat="1" applyFont="1" applyFill="1" applyBorder="1" applyAlignment="1">
      <alignment horizontal="center" vertical="center"/>
    </xf>
    <xf numFmtId="1" fontId="11817" fillId="8" borderId="1" xfId="0" applyNumberFormat="1" applyFont="1" applyFill="1" applyBorder="1" applyAlignment="1">
      <alignment horizontal="center" vertical="center"/>
    </xf>
    <xf numFmtId="165" fontId="11818" fillId="8" borderId="1" xfId="0" applyNumberFormat="1" applyFont="1" applyFill="1" applyBorder="1" applyAlignment="1">
      <alignment horizontal="center" vertical="center"/>
    </xf>
    <xf numFmtId="1" fontId="11819" fillId="8" borderId="1" xfId="0" applyNumberFormat="1" applyFont="1" applyFill="1" applyBorder="1" applyAlignment="1">
      <alignment horizontal="center" vertical="center"/>
    </xf>
    <xf numFmtId="165" fontId="11820" fillId="8" borderId="1" xfId="0" applyNumberFormat="1" applyFont="1" applyFill="1" applyBorder="1" applyAlignment="1">
      <alignment horizontal="center" vertical="center"/>
    </xf>
    <xf numFmtId="1" fontId="11821" fillId="8" borderId="1" xfId="0" applyNumberFormat="1" applyFont="1" applyFill="1" applyBorder="1" applyAlignment="1">
      <alignment horizontal="center" vertical="center"/>
    </xf>
    <xf numFmtId="165" fontId="11822" fillId="8" borderId="1" xfId="0" applyNumberFormat="1" applyFont="1" applyFill="1" applyBorder="1" applyAlignment="1">
      <alignment horizontal="center" vertical="center"/>
    </xf>
    <xf numFmtId="2" fontId="11823" fillId="8" borderId="1" xfId="0" applyNumberFormat="1" applyFont="1" applyFill="1" applyBorder="1" applyAlignment="1">
      <alignment horizontal="center" vertical="center"/>
    </xf>
    <xf numFmtId="2" fontId="11824" fillId="8" borderId="1" xfId="0" applyNumberFormat="1" applyFont="1" applyFill="1" applyBorder="1" applyAlignment="1">
      <alignment horizontal="center" vertical="center"/>
    </xf>
    <xf numFmtId="2" fontId="11825" fillId="8" borderId="1" xfId="0" applyNumberFormat="1" applyFont="1" applyFill="1" applyBorder="1" applyAlignment="1">
      <alignment horizontal="center" vertical="center"/>
    </xf>
    <xf numFmtId="2" fontId="11826" fillId="8" borderId="1" xfId="0" applyNumberFormat="1" applyFont="1" applyFill="1" applyBorder="1" applyAlignment="1">
      <alignment horizontal="center" vertical="center"/>
    </xf>
    <xf numFmtId="2" fontId="11827" fillId="8" borderId="1" xfId="0" applyNumberFormat="1" applyFont="1" applyFill="1" applyBorder="1" applyAlignment="1">
      <alignment horizontal="center" vertical="center"/>
    </xf>
    <xf numFmtId="2" fontId="11828" fillId="8" borderId="1" xfId="0" applyNumberFormat="1" applyFont="1" applyFill="1" applyBorder="1" applyAlignment="1">
      <alignment horizontal="center" vertical="center"/>
    </xf>
    <xf numFmtId="2" fontId="11829" fillId="8" borderId="1" xfId="0" applyNumberFormat="1" applyFont="1" applyFill="1" applyBorder="1" applyAlignment="1">
      <alignment horizontal="center" vertical="center"/>
    </xf>
    <xf numFmtId="2" fontId="11830" fillId="8" borderId="1" xfId="0" applyNumberFormat="1" applyFont="1" applyFill="1" applyBorder="1" applyAlignment="1">
      <alignment horizontal="center" vertical="center"/>
    </xf>
    <xf numFmtId="2" fontId="11831" fillId="8" borderId="1" xfId="0" applyNumberFormat="1" applyFont="1" applyFill="1" applyBorder="1" applyAlignment="1">
      <alignment horizontal="center" vertical="center"/>
    </xf>
    <xf numFmtId="2" fontId="11832" fillId="8" borderId="1" xfId="0" applyNumberFormat="1" applyFont="1" applyFill="1" applyBorder="1" applyAlignment="1">
      <alignment horizontal="center" vertical="center"/>
    </xf>
    <xf numFmtId="2" fontId="11833" fillId="8" borderId="1" xfId="0" applyNumberFormat="1" applyFont="1" applyFill="1" applyBorder="1" applyAlignment="1">
      <alignment horizontal="center" vertical="center"/>
    </xf>
    <xf numFmtId="2" fontId="11834" fillId="8" borderId="1" xfId="0" applyNumberFormat="1" applyFont="1" applyFill="1" applyBorder="1" applyAlignment="1">
      <alignment horizontal="center" vertical="center"/>
    </xf>
    <xf numFmtId="2" fontId="11835" fillId="8" borderId="1" xfId="0" applyNumberFormat="1" applyFont="1" applyFill="1" applyBorder="1" applyAlignment="1">
      <alignment horizontal="center" vertical="center"/>
    </xf>
    <xf numFmtId="2" fontId="11836" fillId="8" borderId="1" xfId="0" applyNumberFormat="1" applyFont="1" applyFill="1" applyBorder="1" applyAlignment="1">
      <alignment horizontal="center" vertical="center"/>
    </xf>
    <xf numFmtId="2" fontId="11837" fillId="8" borderId="1" xfId="0" applyNumberFormat="1" applyFont="1" applyFill="1" applyBorder="1" applyAlignment="1">
      <alignment horizontal="center" vertical="center"/>
    </xf>
    <xf numFmtId="2" fontId="11838" fillId="8" borderId="1" xfId="0" applyNumberFormat="1" applyFont="1" applyFill="1" applyBorder="1" applyAlignment="1">
      <alignment horizontal="center" vertical="center"/>
    </xf>
    <xf numFmtId="2" fontId="11839" fillId="8" borderId="1" xfId="0" applyNumberFormat="1" applyFont="1" applyFill="1" applyBorder="1" applyAlignment="1">
      <alignment horizontal="center" vertical="center"/>
    </xf>
    <xf numFmtId="2" fontId="11840" fillId="8" borderId="1" xfId="0" applyNumberFormat="1" applyFont="1" applyFill="1" applyBorder="1" applyAlignment="1">
      <alignment horizontal="center" vertical="center"/>
    </xf>
    <xf numFmtId="2" fontId="11841" fillId="8" borderId="1" xfId="0" applyNumberFormat="1" applyFont="1" applyFill="1" applyBorder="1" applyAlignment="1">
      <alignment horizontal="center" vertical="center"/>
    </xf>
    <xf numFmtId="2" fontId="11842" fillId="8" borderId="1" xfId="0" applyNumberFormat="1" applyFont="1" applyFill="1" applyBorder="1" applyAlignment="1">
      <alignment horizontal="center" vertical="center"/>
    </xf>
    <xf numFmtId="2" fontId="11843" fillId="8" borderId="1" xfId="0" applyNumberFormat="1" applyFont="1" applyFill="1" applyBorder="1" applyAlignment="1">
      <alignment horizontal="center" vertical="center"/>
    </xf>
    <xf numFmtId="2" fontId="11844" fillId="8" borderId="1" xfId="0" applyNumberFormat="1" applyFont="1" applyFill="1" applyBorder="1" applyAlignment="1">
      <alignment horizontal="center" vertical="center"/>
    </xf>
    <xf numFmtId="2" fontId="11845" fillId="8" borderId="1" xfId="0" applyNumberFormat="1" applyFont="1" applyFill="1" applyBorder="1" applyAlignment="1">
      <alignment horizontal="center" vertical="center"/>
    </xf>
    <xf numFmtId="2" fontId="11846" fillId="8" borderId="1" xfId="0" applyNumberFormat="1" applyFont="1" applyFill="1" applyBorder="1" applyAlignment="1">
      <alignment horizontal="center" vertical="center"/>
    </xf>
    <xf numFmtId="2" fontId="11847" fillId="8" borderId="1" xfId="0" applyNumberFormat="1" applyFont="1" applyFill="1" applyBorder="1" applyAlignment="1">
      <alignment horizontal="center" vertical="center"/>
    </xf>
    <xf numFmtId="2" fontId="11848" fillId="8" borderId="1" xfId="0" applyNumberFormat="1" applyFont="1" applyFill="1" applyBorder="1" applyAlignment="1">
      <alignment horizontal="center" vertical="center"/>
    </xf>
    <xf numFmtId="2" fontId="11849" fillId="8" borderId="1" xfId="0" applyNumberFormat="1" applyFont="1" applyFill="1" applyBorder="1" applyAlignment="1">
      <alignment horizontal="center" vertical="center"/>
    </xf>
    <xf numFmtId="2" fontId="11850" fillId="8" borderId="1" xfId="0" applyNumberFormat="1" applyFont="1" applyFill="1" applyBorder="1" applyAlignment="1">
      <alignment horizontal="center" vertical="center"/>
    </xf>
    <xf numFmtId="2" fontId="11851" fillId="8" borderId="1" xfId="0" applyNumberFormat="1" applyFont="1" applyFill="1" applyBorder="1" applyAlignment="1">
      <alignment horizontal="center" vertical="center"/>
    </xf>
    <xf numFmtId="2" fontId="11852" fillId="8" borderId="1" xfId="0" applyNumberFormat="1" applyFont="1" applyFill="1" applyBorder="1" applyAlignment="1">
      <alignment horizontal="center" vertical="center"/>
    </xf>
    <xf numFmtId="2" fontId="11853" fillId="8" borderId="1" xfId="0" applyNumberFormat="1" applyFont="1" applyFill="1" applyBorder="1" applyAlignment="1">
      <alignment horizontal="center" vertical="center"/>
    </xf>
    <xf numFmtId="2" fontId="11854" fillId="8" borderId="1" xfId="0" applyNumberFormat="1" applyFont="1" applyFill="1" applyBorder="1" applyAlignment="1">
      <alignment horizontal="center" vertical="center"/>
    </xf>
    <xf numFmtId="2" fontId="11855" fillId="8" borderId="1" xfId="0" applyNumberFormat="1" applyFont="1" applyFill="1" applyBorder="1" applyAlignment="1">
      <alignment horizontal="center" vertical="center"/>
    </xf>
    <xf numFmtId="2" fontId="11856" fillId="8" borderId="1" xfId="0" applyNumberFormat="1" applyFont="1" applyFill="1" applyBorder="1" applyAlignment="1">
      <alignment horizontal="center" vertical="center"/>
    </xf>
    <xf numFmtId="0" fontId="11857" fillId="7" borderId="1" xfId="0" applyNumberFormat="1" applyFont="1" applyFill="1" applyBorder="1" applyAlignment="1">
      <alignment horizontal="left" vertical="center"/>
    </xf>
    <xf numFmtId="0" fontId="11858" fillId="8" borderId="1" xfId="0" applyNumberFormat="1" applyFont="1" applyFill="1" applyBorder="1" applyAlignment="1">
      <alignment horizontal="center" vertical="center"/>
    </xf>
    <xf numFmtId="164" fontId="11859" fillId="8" borderId="1" xfId="0" applyNumberFormat="1" applyFont="1" applyFill="1" applyBorder="1" applyAlignment="1">
      <alignment horizontal="center" vertical="center"/>
    </xf>
    <xf numFmtId="1" fontId="11860" fillId="8" borderId="1" xfId="0" applyNumberFormat="1" applyFont="1" applyFill="1" applyBorder="1" applyAlignment="1">
      <alignment horizontal="center" vertical="center"/>
    </xf>
    <xf numFmtId="1" fontId="11861" fillId="8" borderId="1" xfId="0" applyNumberFormat="1" applyFont="1" applyFill="1" applyBorder="1" applyAlignment="1">
      <alignment horizontal="center" vertical="center"/>
    </xf>
    <xf numFmtId="1" fontId="11862" fillId="8" borderId="1" xfId="0" applyNumberFormat="1" applyFont="1" applyFill="1" applyBorder="1" applyAlignment="1">
      <alignment horizontal="center" vertical="center"/>
    </xf>
    <xf numFmtId="1" fontId="11863" fillId="8" borderId="1" xfId="0" applyNumberFormat="1" applyFont="1" applyFill="1" applyBorder="1" applyAlignment="1">
      <alignment horizontal="center" vertical="center"/>
    </xf>
    <xf numFmtId="1" fontId="11864" fillId="8" borderId="1" xfId="0" applyNumberFormat="1" applyFont="1" applyFill="1" applyBorder="1" applyAlignment="1">
      <alignment horizontal="center" vertical="center"/>
    </xf>
    <xf numFmtId="1" fontId="11865" fillId="8" borderId="1" xfId="0" applyNumberFormat="1" applyFont="1" applyFill="1" applyBorder="1" applyAlignment="1">
      <alignment horizontal="center" vertical="center"/>
    </xf>
    <xf numFmtId="1" fontId="11866" fillId="8" borderId="1" xfId="0" applyNumberFormat="1" applyFont="1" applyFill="1" applyBorder="1" applyAlignment="1">
      <alignment horizontal="center" vertical="center"/>
    </xf>
    <xf numFmtId="0" fontId="11867" fillId="8" borderId="1" xfId="0" applyNumberFormat="1" applyFont="1" applyFill="1" applyBorder="1" applyAlignment="1">
      <alignment horizontal="center" vertical="center"/>
    </xf>
    <xf numFmtId="0" fontId="11868" fillId="8" borderId="1" xfId="0" applyNumberFormat="1" applyFont="1" applyFill="1" applyBorder="1" applyAlignment="1">
      <alignment horizontal="center" vertical="center"/>
    </xf>
    <xf numFmtId="1" fontId="11869" fillId="8" borderId="1" xfId="0" applyNumberFormat="1" applyFont="1" applyFill="1" applyBorder="1" applyAlignment="1">
      <alignment horizontal="center" vertical="center"/>
    </xf>
    <xf numFmtId="1" fontId="11870" fillId="8" borderId="1" xfId="0" applyNumberFormat="1" applyFont="1" applyFill="1" applyBorder="1" applyAlignment="1">
      <alignment horizontal="center" vertical="center"/>
    </xf>
    <xf numFmtId="1" fontId="11871" fillId="8" borderId="1" xfId="0" applyNumberFormat="1" applyFont="1" applyFill="1" applyBorder="1" applyAlignment="1">
      <alignment horizontal="center" vertical="center"/>
    </xf>
    <xf numFmtId="165" fontId="11872" fillId="8" borderId="1" xfId="0" applyNumberFormat="1" applyFont="1" applyFill="1" applyBorder="1" applyAlignment="1">
      <alignment horizontal="center" vertical="center"/>
    </xf>
    <xf numFmtId="1" fontId="11873" fillId="8" borderId="1" xfId="0" applyNumberFormat="1" applyFont="1" applyFill="1" applyBorder="1" applyAlignment="1">
      <alignment horizontal="center" vertical="center"/>
    </xf>
    <xf numFmtId="165" fontId="11874" fillId="8" borderId="1" xfId="0" applyNumberFormat="1" applyFont="1" applyFill="1" applyBorder="1" applyAlignment="1">
      <alignment horizontal="center" vertical="center"/>
    </xf>
    <xf numFmtId="1" fontId="11875" fillId="8" borderId="1" xfId="0" applyNumberFormat="1" applyFont="1" applyFill="1" applyBorder="1" applyAlignment="1">
      <alignment horizontal="center" vertical="center"/>
    </xf>
    <xf numFmtId="165" fontId="11876" fillId="8" borderId="1" xfId="0" applyNumberFormat="1" applyFont="1" applyFill="1" applyBorder="1" applyAlignment="1">
      <alignment horizontal="center" vertical="center"/>
    </xf>
    <xf numFmtId="1" fontId="11877" fillId="8" borderId="1" xfId="0" applyNumberFormat="1" applyFont="1" applyFill="1" applyBorder="1" applyAlignment="1">
      <alignment horizontal="center" vertical="center"/>
    </xf>
    <xf numFmtId="165" fontId="11878" fillId="8" borderId="1" xfId="0" applyNumberFormat="1" applyFont="1" applyFill="1" applyBorder="1" applyAlignment="1">
      <alignment horizontal="center" vertical="center"/>
    </xf>
    <xf numFmtId="165" fontId="11879" fillId="8" borderId="1" xfId="0" applyNumberFormat="1" applyFont="1" applyFill="1" applyBorder="1" applyAlignment="1">
      <alignment horizontal="center" vertical="center"/>
    </xf>
    <xf numFmtId="1" fontId="11880" fillId="8" borderId="1" xfId="0" applyNumberFormat="1" applyFont="1" applyFill="1" applyBorder="1" applyAlignment="1">
      <alignment horizontal="center" vertical="center"/>
    </xf>
    <xf numFmtId="1" fontId="11881" fillId="8" borderId="1" xfId="0" applyNumberFormat="1" applyFont="1" applyFill="1" applyBorder="1" applyAlignment="1">
      <alignment horizontal="center" vertical="center"/>
    </xf>
    <xf numFmtId="1" fontId="11882" fillId="8" borderId="1" xfId="0" applyNumberFormat="1" applyFont="1" applyFill="1" applyBorder="1" applyAlignment="1">
      <alignment horizontal="center" vertical="center"/>
    </xf>
    <xf numFmtId="165" fontId="11883" fillId="8" borderId="1" xfId="0" applyNumberFormat="1" applyFont="1" applyFill="1" applyBorder="1" applyAlignment="1">
      <alignment horizontal="center" vertical="center"/>
    </xf>
    <xf numFmtId="164" fontId="11884" fillId="8" borderId="1" xfId="0" applyNumberFormat="1" applyFont="1" applyFill="1" applyBorder="1" applyAlignment="1">
      <alignment horizontal="center" vertical="center"/>
    </xf>
    <xf numFmtId="164" fontId="11885" fillId="8" borderId="1" xfId="0" applyNumberFormat="1" applyFont="1" applyFill="1" applyBorder="1" applyAlignment="1">
      <alignment horizontal="center" vertical="center"/>
    </xf>
    <xf numFmtId="1" fontId="11886" fillId="8" borderId="1" xfId="0" applyNumberFormat="1" applyFont="1" applyFill="1" applyBorder="1" applyAlignment="1">
      <alignment horizontal="center" vertical="center"/>
    </xf>
    <xf numFmtId="1" fontId="11887" fillId="8" borderId="1" xfId="0" applyNumberFormat="1" applyFont="1" applyFill="1" applyBorder="1" applyAlignment="1">
      <alignment horizontal="center" vertical="center"/>
    </xf>
    <xf numFmtId="1" fontId="11888" fillId="8" borderId="1" xfId="0" applyNumberFormat="1" applyFont="1" applyFill="1" applyBorder="1" applyAlignment="1">
      <alignment horizontal="center" vertical="center"/>
    </xf>
    <xf numFmtId="165" fontId="11889" fillId="8" borderId="1" xfId="0" applyNumberFormat="1" applyFont="1" applyFill="1" applyBorder="1" applyAlignment="1">
      <alignment horizontal="center" vertical="center"/>
    </xf>
    <xf numFmtId="1" fontId="11890" fillId="8" borderId="1" xfId="0" applyNumberFormat="1" applyFont="1" applyFill="1" applyBorder="1" applyAlignment="1">
      <alignment horizontal="center" vertical="center"/>
    </xf>
    <xf numFmtId="165" fontId="11891" fillId="8" borderId="1" xfId="0" applyNumberFormat="1" applyFont="1" applyFill="1" applyBorder="1" applyAlignment="1">
      <alignment horizontal="center" vertical="center"/>
    </xf>
    <xf numFmtId="1" fontId="11892" fillId="8" borderId="1" xfId="0" applyNumberFormat="1" applyFont="1" applyFill="1" applyBorder="1" applyAlignment="1">
      <alignment horizontal="center" vertical="center"/>
    </xf>
    <xf numFmtId="1" fontId="11893" fillId="8" borderId="1" xfId="0" applyNumberFormat="1" applyFont="1" applyFill="1" applyBorder="1" applyAlignment="1">
      <alignment horizontal="center" vertical="center"/>
    </xf>
    <xf numFmtId="1" fontId="11894" fillId="8" borderId="1" xfId="0" applyNumberFormat="1" applyFont="1" applyFill="1" applyBorder="1" applyAlignment="1">
      <alignment horizontal="center" vertical="center"/>
    </xf>
    <xf numFmtId="1" fontId="11895" fillId="8" borderId="1" xfId="0" applyNumberFormat="1" applyFont="1" applyFill="1" applyBorder="1" applyAlignment="1">
      <alignment horizontal="center" vertical="center"/>
    </xf>
    <xf numFmtId="165" fontId="11896" fillId="8" borderId="1" xfId="0" applyNumberFormat="1" applyFont="1" applyFill="1" applyBorder="1" applyAlignment="1">
      <alignment horizontal="center" vertical="center"/>
    </xf>
    <xf numFmtId="1" fontId="11897" fillId="8" borderId="1" xfId="0" applyNumberFormat="1" applyFont="1" applyFill="1" applyBorder="1" applyAlignment="1">
      <alignment horizontal="center" vertical="center"/>
    </xf>
    <xf numFmtId="165" fontId="11898" fillId="8" borderId="1" xfId="0" applyNumberFormat="1" applyFont="1" applyFill="1" applyBorder="1" applyAlignment="1">
      <alignment horizontal="center" vertical="center"/>
    </xf>
    <xf numFmtId="1" fontId="11899" fillId="8" borderId="1" xfId="0" applyNumberFormat="1" applyFont="1" applyFill="1" applyBorder="1" applyAlignment="1">
      <alignment horizontal="center" vertical="center"/>
    </xf>
    <xf numFmtId="165" fontId="11900" fillId="8" borderId="1" xfId="0" applyNumberFormat="1" applyFont="1" applyFill="1" applyBorder="1" applyAlignment="1">
      <alignment horizontal="center" vertical="center"/>
    </xf>
    <xf numFmtId="2" fontId="11901" fillId="8" borderId="1" xfId="0" applyNumberFormat="1" applyFont="1" applyFill="1" applyBorder="1" applyAlignment="1">
      <alignment horizontal="center" vertical="center"/>
    </xf>
    <xf numFmtId="2" fontId="11902" fillId="8" borderId="1" xfId="0" applyNumberFormat="1" applyFont="1" applyFill="1" applyBorder="1" applyAlignment="1">
      <alignment horizontal="center" vertical="center"/>
    </xf>
    <xf numFmtId="2" fontId="11903" fillId="8" borderId="1" xfId="0" applyNumberFormat="1" applyFont="1" applyFill="1" applyBorder="1" applyAlignment="1">
      <alignment horizontal="center" vertical="center"/>
    </xf>
    <xf numFmtId="2" fontId="11904" fillId="8" borderId="1" xfId="0" applyNumberFormat="1" applyFont="1" applyFill="1" applyBorder="1" applyAlignment="1">
      <alignment horizontal="center" vertical="center"/>
    </xf>
    <xf numFmtId="2" fontId="11905" fillId="8" borderId="1" xfId="0" applyNumberFormat="1" applyFont="1" applyFill="1" applyBorder="1" applyAlignment="1">
      <alignment horizontal="center" vertical="center"/>
    </xf>
    <xf numFmtId="2" fontId="11906" fillId="8" borderId="1" xfId="0" applyNumberFormat="1" applyFont="1" applyFill="1" applyBorder="1" applyAlignment="1">
      <alignment horizontal="center" vertical="center"/>
    </xf>
    <xf numFmtId="2" fontId="11907" fillId="8" borderId="1" xfId="0" applyNumberFormat="1" applyFont="1" applyFill="1" applyBorder="1" applyAlignment="1">
      <alignment horizontal="center" vertical="center"/>
    </xf>
    <xf numFmtId="2" fontId="11908" fillId="8" borderId="1" xfId="0" applyNumberFormat="1" applyFont="1" applyFill="1" applyBorder="1" applyAlignment="1">
      <alignment horizontal="center" vertical="center"/>
    </xf>
    <xf numFmtId="2" fontId="11909" fillId="8" borderId="1" xfId="0" applyNumberFormat="1" applyFont="1" applyFill="1" applyBorder="1" applyAlignment="1">
      <alignment horizontal="center" vertical="center"/>
    </xf>
    <xf numFmtId="2" fontId="11910" fillId="8" borderId="1" xfId="0" applyNumberFormat="1" applyFont="1" applyFill="1" applyBorder="1" applyAlignment="1">
      <alignment horizontal="center" vertical="center"/>
    </xf>
    <xf numFmtId="2" fontId="11911" fillId="8" borderId="1" xfId="0" applyNumberFormat="1" applyFont="1" applyFill="1" applyBorder="1" applyAlignment="1">
      <alignment horizontal="center" vertical="center"/>
    </xf>
    <xf numFmtId="2" fontId="11912" fillId="8" borderId="1" xfId="0" applyNumberFormat="1" applyFont="1" applyFill="1" applyBorder="1" applyAlignment="1">
      <alignment horizontal="center" vertical="center"/>
    </xf>
    <xf numFmtId="2" fontId="11913" fillId="8" borderId="1" xfId="0" applyNumberFormat="1" applyFont="1" applyFill="1" applyBorder="1" applyAlignment="1">
      <alignment horizontal="center" vertical="center"/>
    </xf>
    <xf numFmtId="2" fontId="11914" fillId="8" borderId="1" xfId="0" applyNumberFormat="1" applyFont="1" applyFill="1" applyBorder="1" applyAlignment="1">
      <alignment horizontal="center" vertical="center"/>
    </xf>
    <xf numFmtId="2" fontId="11915" fillId="8" borderId="1" xfId="0" applyNumberFormat="1" applyFont="1" applyFill="1" applyBorder="1" applyAlignment="1">
      <alignment horizontal="center" vertical="center"/>
    </xf>
    <xf numFmtId="2" fontId="11916" fillId="8" borderId="1" xfId="0" applyNumberFormat="1" applyFont="1" applyFill="1" applyBorder="1" applyAlignment="1">
      <alignment horizontal="center" vertical="center"/>
    </xf>
    <xf numFmtId="2" fontId="11917" fillId="8" borderId="1" xfId="0" applyNumberFormat="1" applyFont="1" applyFill="1" applyBorder="1" applyAlignment="1">
      <alignment horizontal="center" vertical="center"/>
    </xf>
    <xf numFmtId="2" fontId="11918" fillId="8" borderId="1" xfId="0" applyNumberFormat="1" applyFont="1" applyFill="1" applyBorder="1" applyAlignment="1">
      <alignment horizontal="center" vertical="center"/>
    </xf>
    <xf numFmtId="2" fontId="11919" fillId="8" borderId="1" xfId="0" applyNumberFormat="1" applyFont="1" applyFill="1" applyBorder="1" applyAlignment="1">
      <alignment horizontal="center" vertical="center"/>
    </xf>
    <xf numFmtId="2" fontId="11920" fillId="8" borderId="1" xfId="0" applyNumberFormat="1" applyFont="1" applyFill="1" applyBorder="1" applyAlignment="1">
      <alignment horizontal="center" vertical="center"/>
    </xf>
    <xf numFmtId="2" fontId="11921" fillId="8" borderId="1" xfId="0" applyNumberFormat="1" applyFont="1" applyFill="1" applyBorder="1" applyAlignment="1">
      <alignment horizontal="center" vertical="center"/>
    </xf>
    <xf numFmtId="2" fontId="11922" fillId="8" borderId="1" xfId="0" applyNumberFormat="1" applyFont="1" applyFill="1" applyBorder="1" applyAlignment="1">
      <alignment horizontal="center" vertical="center"/>
    </xf>
    <xf numFmtId="2" fontId="11923" fillId="8" borderId="1" xfId="0" applyNumberFormat="1" applyFont="1" applyFill="1" applyBorder="1" applyAlignment="1">
      <alignment horizontal="center" vertical="center"/>
    </xf>
    <xf numFmtId="2" fontId="11924" fillId="8" borderId="1" xfId="0" applyNumberFormat="1" applyFont="1" applyFill="1" applyBorder="1" applyAlignment="1">
      <alignment horizontal="center" vertical="center"/>
    </xf>
    <xf numFmtId="2" fontId="11925" fillId="8" borderId="1" xfId="0" applyNumberFormat="1" applyFont="1" applyFill="1" applyBorder="1" applyAlignment="1">
      <alignment horizontal="center" vertical="center"/>
    </xf>
    <xf numFmtId="2" fontId="11926" fillId="8" borderId="1" xfId="0" applyNumberFormat="1" applyFont="1" applyFill="1" applyBorder="1" applyAlignment="1">
      <alignment horizontal="center" vertical="center"/>
    </xf>
    <xf numFmtId="2" fontId="11927" fillId="8" borderId="1" xfId="0" applyNumberFormat="1" applyFont="1" applyFill="1" applyBorder="1" applyAlignment="1">
      <alignment horizontal="center" vertical="center"/>
    </xf>
    <xf numFmtId="2" fontId="11928" fillId="8" borderId="1" xfId="0" applyNumberFormat="1" applyFont="1" applyFill="1" applyBorder="1" applyAlignment="1">
      <alignment horizontal="center" vertical="center"/>
    </xf>
    <xf numFmtId="2" fontId="11929" fillId="8" borderId="1" xfId="0" applyNumberFormat="1" applyFont="1" applyFill="1" applyBorder="1" applyAlignment="1">
      <alignment horizontal="center" vertical="center"/>
    </xf>
    <xf numFmtId="2" fontId="11930" fillId="8" borderId="1" xfId="0" applyNumberFormat="1" applyFont="1" applyFill="1" applyBorder="1" applyAlignment="1">
      <alignment horizontal="center" vertical="center"/>
    </xf>
    <xf numFmtId="2" fontId="11931" fillId="8" borderId="1" xfId="0" applyNumberFormat="1" applyFont="1" applyFill="1" applyBorder="1" applyAlignment="1">
      <alignment horizontal="center" vertical="center"/>
    </xf>
    <xf numFmtId="2" fontId="11932" fillId="8" borderId="1" xfId="0" applyNumberFormat="1" applyFont="1" applyFill="1" applyBorder="1" applyAlignment="1">
      <alignment horizontal="center" vertical="center"/>
    </xf>
    <xf numFmtId="2" fontId="11933" fillId="8" borderId="1" xfId="0" applyNumberFormat="1" applyFont="1" applyFill="1" applyBorder="1" applyAlignment="1">
      <alignment horizontal="center" vertical="center"/>
    </xf>
    <xf numFmtId="2" fontId="11934" fillId="8" borderId="1" xfId="0" applyNumberFormat="1" applyFont="1" applyFill="1" applyBorder="1" applyAlignment="1">
      <alignment horizontal="center" vertical="center"/>
    </xf>
    <xf numFmtId="0" fontId="11935" fillId="7" borderId="1" xfId="0" applyNumberFormat="1" applyFont="1" applyFill="1" applyBorder="1" applyAlignment="1">
      <alignment horizontal="left" vertical="center"/>
    </xf>
    <xf numFmtId="0" fontId="11936" fillId="8" borderId="1" xfId="0" applyNumberFormat="1" applyFont="1" applyFill="1" applyBorder="1" applyAlignment="1">
      <alignment horizontal="center" vertical="center"/>
    </xf>
    <xf numFmtId="164" fontId="11937" fillId="8" borderId="1" xfId="0" applyNumberFormat="1" applyFont="1" applyFill="1" applyBorder="1" applyAlignment="1">
      <alignment horizontal="center" vertical="center"/>
    </xf>
    <xf numFmtId="1" fontId="11938" fillId="8" borderId="1" xfId="0" applyNumberFormat="1" applyFont="1" applyFill="1" applyBorder="1" applyAlignment="1">
      <alignment horizontal="center" vertical="center"/>
    </xf>
    <xf numFmtId="1" fontId="11939" fillId="8" borderId="1" xfId="0" applyNumberFormat="1" applyFont="1" applyFill="1" applyBorder="1" applyAlignment="1">
      <alignment horizontal="center" vertical="center"/>
    </xf>
    <xf numFmtId="1" fontId="11940" fillId="8" borderId="1" xfId="0" applyNumberFormat="1" applyFont="1" applyFill="1" applyBorder="1" applyAlignment="1">
      <alignment horizontal="center" vertical="center"/>
    </xf>
    <xf numFmtId="1" fontId="11941" fillId="8" borderId="1" xfId="0" applyNumberFormat="1" applyFont="1" applyFill="1" applyBorder="1" applyAlignment="1">
      <alignment horizontal="center" vertical="center"/>
    </xf>
    <xf numFmtId="1" fontId="11942" fillId="8" borderId="1" xfId="0" applyNumberFormat="1" applyFont="1" applyFill="1" applyBorder="1" applyAlignment="1">
      <alignment horizontal="center" vertical="center"/>
    </xf>
    <xf numFmtId="1" fontId="11943" fillId="8" borderId="1" xfId="0" applyNumberFormat="1" applyFont="1" applyFill="1" applyBorder="1" applyAlignment="1">
      <alignment horizontal="center" vertical="center"/>
    </xf>
    <xf numFmtId="1" fontId="11944" fillId="8" borderId="1" xfId="0" applyNumberFormat="1" applyFont="1" applyFill="1" applyBorder="1" applyAlignment="1">
      <alignment horizontal="center" vertical="center"/>
    </xf>
    <xf numFmtId="0" fontId="11945" fillId="8" borderId="1" xfId="0" applyNumberFormat="1" applyFont="1" applyFill="1" applyBorder="1" applyAlignment="1">
      <alignment horizontal="center" vertical="center"/>
    </xf>
    <xf numFmtId="0" fontId="11946" fillId="8" borderId="1" xfId="0" applyNumberFormat="1" applyFont="1" applyFill="1" applyBorder="1" applyAlignment="1">
      <alignment horizontal="center" vertical="center"/>
    </xf>
    <xf numFmtId="1" fontId="11947" fillId="8" borderId="1" xfId="0" applyNumberFormat="1" applyFont="1" applyFill="1" applyBorder="1" applyAlignment="1">
      <alignment horizontal="center" vertical="center"/>
    </xf>
    <xf numFmtId="1" fontId="11948" fillId="8" borderId="1" xfId="0" applyNumberFormat="1" applyFont="1" applyFill="1" applyBorder="1" applyAlignment="1">
      <alignment horizontal="center" vertical="center"/>
    </xf>
    <xf numFmtId="1" fontId="11949" fillId="8" borderId="1" xfId="0" applyNumberFormat="1" applyFont="1" applyFill="1" applyBorder="1" applyAlignment="1">
      <alignment horizontal="center" vertical="center"/>
    </xf>
    <xf numFmtId="165" fontId="11950" fillId="8" borderId="1" xfId="0" applyNumberFormat="1" applyFont="1" applyFill="1" applyBorder="1" applyAlignment="1">
      <alignment horizontal="center" vertical="center"/>
    </xf>
    <xf numFmtId="1" fontId="11951" fillId="8" borderId="1" xfId="0" applyNumberFormat="1" applyFont="1" applyFill="1" applyBorder="1" applyAlignment="1">
      <alignment horizontal="center" vertical="center"/>
    </xf>
    <xf numFmtId="165" fontId="11952" fillId="8" borderId="1" xfId="0" applyNumberFormat="1" applyFont="1" applyFill="1" applyBorder="1" applyAlignment="1">
      <alignment horizontal="center" vertical="center"/>
    </xf>
    <xf numFmtId="1" fontId="11953" fillId="8" borderId="1" xfId="0" applyNumberFormat="1" applyFont="1" applyFill="1" applyBorder="1" applyAlignment="1">
      <alignment horizontal="center" vertical="center"/>
    </xf>
    <xf numFmtId="165" fontId="11954" fillId="8" borderId="1" xfId="0" applyNumberFormat="1" applyFont="1" applyFill="1" applyBorder="1" applyAlignment="1">
      <alignment horizontal="center" vertical="center"/>
    </xf>
    <xf numFmtId="1" fontId="11955" fillId="8" borderId="1" xfId="0" applyNumberFormat="1" applyFont="1" applyFill="1" applyBorder="1" applyAlignment="1">
      <alignment horizontal="center" vertical="center"/>
    </xf>
    <xf numFmtId="165" fontId="11956" fillId="8" borderId="1" xfId="0" applyNumberFormat="1" applyFont="1" applyFill="1" applyBorder="1" applyAlignment="1">
      <alignment horizontal="center" vertical="center"/>
    </xf>
    <xf numFmtId="165" fontId="11957" fillId="8" borderId="1" xfId="0" applyNumberFormat="1" applyFont="1" applyFill="1" applyBorder="1" applyAlignment="1">
      <alignment horizontal="center" vertical="center"/>
    </xf>
    <xf numFmtId="1" fontId="11958" fillId="8" borderId="1" xfId="0" applyNumberFormat="1" applyFont="1" applyFill="1" applyBorder="1" applyAlignment="1">
      <alignment horizontal="center" vertical="center"/>
    </xf>
    <xf numFmtId="1" fontId="11959" fillId="8" borderId="1" xfId="0" applyNumberFormat="1" applyFont="1" applyFill="1" applyBorder="1" applyAlignment="1">
      <alignment horizontal="center" vertical="center"/>
    </xf>
    <xf numFmtId="1" fontId="11960" fillId="8" borderId="1" xfId="0" applyNumberFormat="1" applyFont="1" applyFill="1" applyBorder="1" applyAlignment="1">
      <alignment horizontal="center" vertical="center"/>
    </xf>
    <xf numFmtId="165" fontId="11961" fillId="8" borderId="1" xfId="0" applyNumberFormat="1" applyFont="1" applyFill="1" applyBorder="1" applyAlignment="1">
      <alignment horizontal="center" vertical="center"/>
    </xf>
    <xf numFmtId="164" fontId="11962" fillId="8" borderId="1" xfId="0" applyNumberFormat="1" applyFont="1" applyFill="1" applyBorder="1" applyAlignment="1">
      <alignment horizontal="center" vertical="center"/>
    </xf>
    <xf numFmtId="164" fontId="11963" fillId="8" borderId="1" xfId="0" applyNumberFormat="1" applyFont="1" applyFill="1" applyBorder="1" applyAlignment="1">
      <alignment horizontal="center" vertical="center"/>
    </xf>
    <xf numFmtId="1" fontId="11964" fillId="8" borderId="1" xfId="0" applyNumberFormat="1" applyFont="1" applyFill="1" applyBorder="1" applyAlignment="1">
      <alignment horizontal="center" vertical="center"/>
    </xf>
    <xf numFmtId="1" fontId="11965" fillId="8" borderId="1" xfId="0" applyNumberFormat="1" applyFont="1" applyFill="1" applyBorder="1" applyAlignment="1">
      <alignment horizontal="center" vertical="center"/>
    </xf>
    <xf numFmtId="1" fontId="11966" fillId="8" borderId="1" xfId="0" applyNumberFormat="1" applyFont="1" applyFill="1" applyBorder="1" applyAlignment="1">
      <alignment horizontal="center" vertical="center"/>
    </xf>
    <xf numFmtId="165" fontId="11967" fillId="8" borderId="1" xfId="0" applyNumberFormat="1" applyFont="1" applyFill="1" applyBorder="1" applyAlignment="1">
      <alignment horizontal="center" vertical="center"/>
    </xf>
    <xf numFmtId="1" fontId="11968" fillId="8" borderId="1" xfId="0" applyNumberFormat="1" applyFont="1" applyFill="1" applyBorder="1" applyAlignment="1">
      <alignment horizontal="center" vertical="center"/>
    </xf>
    <xf numFmtId="165" fontId="11969" fillId="8" borderId="1" xfId="0" applyNumberFormat="1" applyFont="1" applyFill="1" applyBorder="1" applyAlignment="1">
      <alignment horizontal="center" vertical="center"/>
    </xf>
    <xf numFmtId="1" fontId="11970" fillId="8" borderId="1" xfId="0" applyNumberFormat="1" applyFont="1" applyFill="1" applyBorder="1" applyAlignment="1">
      <alignment horizontal="center" vertical="center"/>
    </xf>
    <xf numFmtId="1" fontId="11971" fillId="8" borderId="1" xfId="0" applyNumberFormat="1" applyFont="1" applyFill="1" applyBorder="1" applyAlignment="1">
      <alignment horizontal="center" vertical="center"/>
    </xf>
    <xf numFmtId="1" fontId="11972" fillId="8" borderId="1" xfId="0" applyNumberFormat="1" applyFont="1" applyFill="1" applyBorder="1" applyAlignment="1">
      <alignment horizontal="center" vertical="center"/>
    </xf>
    <xf numFmtId="1" fontId="11973" fillId="8" borderId="1" xfId="0" applyNumberFormat="1" applyFont="1" applyFill="1" applyBorder="1" applyAlignment="1">
      <alignment horizontal="center" vertical="center"/>
    </xf>
    <xf numFmtId="165" fontId="11974" fillId="8" borderId="1" xfId="0" applyNumberFormat="1" applyFont="1" applyFill="1" applyBorder="1" applyAlignment="1">
      <alignment horizontal="center" vertical="center"/>
    </xf>
    <xf numFmtId="1" fontId="11975" fillId="8" borderId="1" xfId="0" applyNumberFormat="1" applyFont="1" applyFill="1" applyBorder="1" applyAlignment="1">
      <alignment horizontal="center" vertical="center"/>
    </xf>
    <xf numFmtId="165" fontId="11976" fillId="8" borderId="1" xfId="0" applyNumberFormat="1" applyFont="1" applyFill="1" applyBorder="1" applyAlignment="1">
      <alignment horizontal="center" vertical="center"/>
    </xf>
    <xf numFmtId="1" fontId="11977" fillId="8" borderId="1" xfId="0" applyNumberFormat="1" applyFont="1" applyFill="1" applyBorder="1" applyAlignment="1">
      <alignment horizontal="center" vertical="center"/>
    </xf>
    <xf numFmtId="165" fontId="11978" fillId="8" borderId="1" xfId="0" applyNumberFormat="1" applyFont="1" applyFill="1" applyBorder="1" applyAlignment="1">
      <alignment horizontal="center" vertical="center"/>
    </xf>
    <xf numFmtId="2" fontId="11979" fillId="8" borderId="1" xfId="0" applyNumberFormat="1" applyFont="1" applyFill="1" applyBorder="1" applyAlignment="1">
      <alignment horizontal="center" vertical="center"/>
    </xf>
    <xf numFmtId="2" fontId="11980" fillId="8" borderId="1" xfId="0" applyNumberFormat="1" applyFont="1" applyFill="1" applyBorder="1" applyAlignment="1">
      <alignment horizontal="center" vertical="center"/>
    </xf>
    <xf numFmtId="2" fontId="11981" fillId="8" borderId="1" xfId="0" applyNumberFormat="1" applyFont="1" applyFill="1" applyBorder="1" applyAlignment="1">
      <alignment horizontal="center" vertical="center"/>
    </xf>
    <xf numFmtId="2" fontId="11982" fillId="8" borderId="1" xfId="0" applyNumberFormat="1" applyFont="1" applyFill="1" applyBorder="1" applyAlignment="1">
      <alignment horizontal="center" vertical="center"/>
    </xf>
    <xf numFmtId="2" fontId="11983" fillId="8" borderId="1" xfId="0" applyNumberFormat="1" applyFont="1" applyFill="1" applyBorder="1" applyAlignment="1">
      <alignment horizontal="center" vertical="center"/>
    </xf>
    <xf numFmtId="2" fontId="11984" fillId="8" borderId="1" xfId="0" applyNumberFormat="1" applyFont="1" applyFill="1" applyBorder="1" applyAlignment="1">
      <alignment horizontal="center" vertical="center"/>
    </xf>
    <xf numFmtId="2" fontId="11985" fillId="8" borderId="1" xfId="0" applyNumberFormat="1" applyFont="1" applyFill="1" applyBorder="1" applyAlignment="1">
      <alignment horizontal="center" vertical="center"/>
    </xf>
    <xf numFmtId="2" fontId="11986" fillId="8" borderId="1" xfId="0" applyNumberFormat="1" applyFont="1" applyFill="1" applyBorder="1" applyAlignment="1">
      <alignment horizontal="center" vertical="center"/>
    </xf>
    <xf numFmtId="2" fontId="11987" fillId="8" borderId="1" xfId="0" applyNumberFormat="1" applyFont="1" applyFill="1" applyBorder="1" applyAlignment="1">
      <alignment horizontal="center" vertical="center"/>
    </xf>
    <xf numFmtId="2" fontId="11988" fillId="8" borderId="1" xfId="0" applyNumberFormat="1" applyFont="1" applyFill="1" applyBorder="1" applyAlignment="1">
      <alignment horizontal="center" vertical="center"/>
    </xf>
    <xf numFmtId="2" fontId="11989" fillId="8" borderId="1" xfId="0" applyNumberFormat="1" applyFont="1" applyFill="1" applyBorder="1" applyAlignment="1">
      <alignment horizontal="center" vertical="center"/>
    </xf>
    <xf numFmtId="2" fontId="11990" fillId="8" borderId="1" xfId="0" applyNumberFormat="1" applyFont="1" applyFill="1" applyBorder="1" applyAlignment="1">
      <alignment horizontal="center" vertical="center"/>
    </xf>
    <xf numFmtId="2" fontId="11991" fillId="8" borderId="1" xfId="0" applyNumberFormat="1" applyFont="1" applyFill="1" applyBorder="1" applyAlignment="1">
      <alignment horizontal="center" vertical="center"/>
    </xf>
    <xf numFmtId="2" fontId="11992" fillId="8" borderId="1" xfId="0" applyNumberFormat="1" applyFont="1" applyFill="1" applyBorder="1" applyAlignment="1">
      <alignment horizontal="center" vertical="center"/>
    </xf>
    <xf numFmtId="2" fontId="11993" fillId="8" borderId="1" xfId="0" applyNumberFormat="1" applyFont="1" applyFill="1" applyBorder="1" applyAlignment="1">
      <alignment horizontal="center" vertical="center"/>
    </xf>
    <xf numFmtId="2" fontId="11994" fillId="8" borderId="1" xfId="0" applyNumberFormat="1" applyFont="1" applyFill="1" applyBorder="1" applyAlignment="1">
      <alignment horizontal="center" vertical="center"/>
    </xf>
    <xf numFmtId="2" fontId="11995" fillId="8" borderId="1" xfId="0" applyNumberFormat="1" applyFont="1" applyFill="1" applyBorder="1" applyAlignment="1">
      <alignment horizontal="center" vertical="center"/>
    </xf>
    <xf numFmtId="2" fontId="11996" fillId="8" borderId="1" xfId="0" applyNumberFormat="1" applyFont="1" applyFill="1" applyBorder="1" applyAlignment="1">
      <alignment horizontal="center" vertical="center"/>
    </xf>
    <xf numFmtId="2" fontId="11997" fillId="8" borderId="1" xfId="0" applyNumberFormat="1" applyFont="1" applyFill="1" applyBorder="1" applyAlignment="1">
      <alignment horizontal="center" vertical="center"/>
    </xf>
    <xf numFmtId="2" fontId="11998" fillId="8" borderId="1" xfId="0" applyNumberFormat="1" applyFont="1" applyFill="1" applyBorder="1" applyAlignment="1">
      <alignment horizontal="center" vertical="center"/>
    </xf>
    <xf numFmtId="2" fontId="11999" fillId="8" borderId="1" xfId="0" applyNumberFormat="1" applyFont="1" applyFill="1" applyBorder="1" applyAlignment="1">
      <alignment horizontal="center" vertical="center"/>
    </xf>
    <xf numFmtId="2" fontId="12000" fillId="8" borderId="1" xfId="0" applyNumberFormat="1" applyFont="1" applyFill="1" applyBorder="1" applyAlignment="1">
      <alignment horizontal="center" vertical="center"/>
    </xf>
    <xf numFmtId="2" fontId="12001" fillId="8" borderId="1" xfId="0" applyNumberFormat="1" applyFont="1" applyFill="1" applyBorder="1" applyAlignment="1">
      <alignment horizontal="center" vertical="center"/>
    </xf>
    <xf numFmtId="2" fontId="12002" fillId="8" borderId="1" xfId="0" applyNumberFormat="1" applyFont="1" applyFill="1" applyBorder="1" applyAlignment="1">
      <alignment horizontal="center" vertical="center"/>
    </xf>
    <xf numFmtId="2" fontId="12003" fillId="8" borderId="1" xfId="0" applyNumberFormat="1" applyFont="1" applyFill="1" applyBorder="1" applyAlignment="1">
      <alignment horizontal="center" vertical="center"/>
    </xf>
    <xf numFmtId="2" fontId="12004" fillId="8" borderId="1" xfId="0" applyNumberFormat="1" applyFont="1" applyFill="1" applyBorder="1" applyAlignment="1">
      <alignment horizontal="center" vertical="center"/>
    </xf>
    <xf numFmtId="2" fontId="12005" fillId="8" borderId="1" xfId="0" applyNumberFormat="1" applyFont="1" applyFill="1" applyBorder="1" applyAlignment="1">
      <alignment horizontal="center" vertical="center"/>
    </xf>
    <xf numFmtId="2" fontId="12006" fillId="8" borderId="1" xfId="0" applyNumberFormat="1" applyFont="1" applyFill="1" applyBorder="1" applyAlignment="1">
      <alignment horizontal="center" vertical="center"/>
    </xf>
    <xf numFmtId="2" fontId="12007" fillId="8" borderId="1" xfId="0" applyNumberFormat="1" applyFont="1" applyFill="1" applyBorder="1" applyAlignment="1">
      <alignment horizontal="center" vertical="center"/>
    </xf>
    <xf numFmtId="2" fontId="12008" fillId="8" borderId="1" xfId="0" applyNumberFormat="1" applyFont="1" applyFill="1" applyBorder="1" applyAlignment="1">
      <alignment horizontal="center" vertical="center"/>
    </xf>
    <xf numFmtId="2" fontId="12009" fillId="8" borderId="1" xfId="0" applyNumberFormat="1" applyFont="1" applyFill="1" applyBorder="1" applyAlignment="1">
      <alignment horizontal="center" vertical="center"/>
    </xf>
    <xf numFmtId="2" fontId="12010" fillId="8" borderId="1" xfId="0" applyNumberFormat="1" applyFont="1" applyFill="1" applyBorder="1" applyAlignment="1">
      <alignment horizontal="center" vertical="center"/>
    </xf>
    <xf numFmtId="2" fontId="12011" fillId="8" borderId="1" xfId="0" applyNumberFormat="1" applyFont="1" applyFill="1" applyBorder="1" applyAlignment="1">
      <alignment horizontal="center" vertical="center"/>
    </xf>
    <xf numFmtId="2" fontId="12012" fillId="8" borderId="1" xfId="0" applyNumberFormat="1" applyFont="1" applyFill="1" applyBorder="1" applyAlignment="1">
      <alignment horizontal="center" vertical="center"/>
    </xf>
    <xf numFmtId="0" fontId="12013" fillId="7" borderId="1" xfId="0" applyNumberFormat="1" applyFont="1" applyFill="1" applyBorder="1" applyAlignment="1">
      <alignment horizontal="left" vertical="center"/>
    </xf>
    <xf numFmtId="0" fontId="12014" fillId="8" borderId="1" xfId="0" applyNumberFormat="1" applyFont="1" applyFill="1" applyBorder="1" applyAlignment="1">
      <alignment horizontal="center" vertical="center"/>
    </xf>
    <xf numFmtId="164" fontId="12015" fillId="8" borderId="1" xfId="0" applyNumberFormat="1" applyFont="1" applyFill="1" applyBorder="1" applyAlignment="1">
      <alignment horizontal="center" vertical="center"/>
    </xf>
    <xf numFmtId="1" fontId="12016" fillId="8" borderId="1" xfId="0" applyNumberFormat="1" applyFont="1" applyFill="1" applyBorder="1" applyAlignment="1">
      <alignment horizontal="center" vertical="center"/>
    </xf>
    <xf numFmtId="1" fontId="12017" fillId="8" borderId="1" xfId="0" applyNumberFormat="1" applyFont="1" applyFill="1" applyBorder="1" applyAlignment="1">
      <alignment horizontal="center" vertical="center"/>
    </xf>
    <xf numFmtId="1" fontId="12018" fillId="8" borderId="1" xfId="0" applyNumberFormat="1" applyFont="1" applyFill="1" applyBorder="1" applyAlignment="1">
      <alignment horizontal="center" vertical="center"/>
    </xf>
    <xf numFmtId="1" fontId="12019" fillId="8" borderId="1" xfId="0" applyNumberFormat="1" applyFont="1" applyFill="1" applyBorder="1" applyAlignment="1">
      <alignment horizontal="center" vertical="center"/>
    </xf>
    <xf numFmtId="1" fontId="12020" fillId="8" borderId="1" xfId="0" applyNumberFormat="1" applyFont="1" applyFill="1" applyBorder="1" applyAlignment="1">
      <alignment horizontal="center" vertical="center"/>
    </xf>
    <xf numFmtId="1" fontId="12021" fillId="8" borderId="1" xfId="0" applyNumberFormat="1" applyFont="1" applyFill="1" applyBorder="1" applyAlignment="1">
      <alignment horizontal="center" vertical="center"/>
    </xf>
    <xf numFmtId="1" fontId="12022" fillId="8" borderId="1" xfId="0" applyNumberFormat="1" applyFont="1" applyFill="1" applyBorder="1" applyAlignment="1">
      <alignment horizontal="center" vertical="center"/>
    </xf>
    <xf numFmtId="0" fontId="12023" fillId="8" borderId="1" xfId="0" applyNumberFormat="1" applyFont="1" applyFill="1" applyBorder="1" applyAlignment="1">
      <alignment horizontal="center" vertical="center"/>
    </xf>
    <xf numFmtId="0" fontId="12024" fillId="8" borderId="1" xfId="0" applyNumberFormat="1" applyFont="1" applyFill="1" applyBorder="1" applyAlignment="1">
      <alignment horizontal="center" vertical="center"/>
    </xf>
    <xf numFmtId="1" fontId="12025" fillId="8" borderId="1" xfId="0" applyNumberFormat="1" applyFont="1" applyFill="1" applyBorder="1" applyAlignment="1">
      <alignment horizontal="center" vertical="center"/>
    </xf>
    <xf numFmtId="1" fontId="12026" fillId="8" borderId="1" xfId="0" applyNumberFormat="1" applyFont="1" applyFill="1" applyBorder="1" applyAlignment="1">
      <alignment horizontal="center" vertical="center"/>
    </xf>
    <xf numFmtId="1" fontId="12027" fillId="8" borderId="1" xfId="0" applyNumberFormat="1" applyFont="1" applyFill="1" applyBorder="1" applyAlignment="1">
      <alignment horizontal="center" vertical="center"/>
    </xf>
    <xf numFmtId="165" fontId="12028" fillId="8" borderId="1" xfId="0" applyNumberFormat="1" applyFont="1" applyFill="1" applyBorder="1" applyAlignment="1">
      <alignment horizontal="center" vertical="center"/>
    </xf>
    <xf numFmtId="1" fontId="12029" fillId="8" borderId="1" xfId="0" applyNumberFormat="1" applyFont="1" applyFill="1" applyBorder="1" applyAlignment="1">
      <alignment horizontal="center" vertical="center"/>
    </xf>
    <xf numFmtId="165" fontId="12030" fillId="8" borderId="1" xfId="0" applyNumberFormat="1" applyFont="1" applyFill="1" applyBorder="1" applyAlignment="1">
      <alignment horizontal="center" vertical="center"/>
    </xf>
    <xf numFmtId="1" fontId="12031" fillId="8" borderId="1" xfId="0" applyNumberFormat="1" applyFont="1" applyFill="1" applyBorder="1" applyAlignment="1">
      <alignment horizontal="center" vertical="center"/>
    </xf>
    <xf numFmtId="165" fontId="12032" fillId="8" borderId="1" xfId="0" applyNumberFormat="1" applyFont="1" applyFill="1" applyBorder="1" applyAlignment="1">
      <alignment horizontal="center" vertical="center"/>
    </xf>
    <xf numFmtId="1" fontId="12033" fillId="8" borderId="1" xfId="0" applyNumberFormat="1" applyFont="1" applyFill="1" applyBorder="1" applyAlignment="1">
      <alignment horizontal="center" vertical="center"/>
    </xf>
    <xf numFmtId="165" fontId="12034" fillId="8" borderId="1" xfId="0" applyNumberFormat="1" applyFont="1" applyFill="1" applyBorder="1" applyAlignment="1">
      <alignment horizontal="center" vertical="center"/>
    </xf>
    <xf numFmtId="165" fontId="12035" fillId="8" borderId="1" xfId="0" applyNumberFormat="1" applyFont="1" applyFill="1" applyBorder="1" applyAlignment="1">
      <alignment horizontal="center" vertical="center"/>
    </xf>
    <xf numFmtId="1" fontId="12036" fillId="8" borderId="1" xfId="0" applyNumberFormat="1" applyFont="1" applyFill="1" applyBorder="1" applyAlignment="1">
      <alignment horizontal="center" vertical="center"/>
    </xf>
    <xf numFmtId="1" fontId="12037" fillId="8" borderId="1" xfId="0" applyNumberFormat="1" applyFont="1" applyFill="1" applyBorder="1" applyAlignment="1">
      <alignment horizontal="center" vertical="center"/>
    </xf>
    <xf numFmtId="1" fontId="12038" fillId="8" borderId="1" xfId="0" applyNumberFormat="1" applyFont="1" applyFill="1" applyBorder="1" applyAlignment="1">
      <alignment horizontal="center" vertical="center"/>
    </xf>
    <xf numFmtId="165" fontId="12039" fillId="8" borderId="1" xfId="0" applyNumberFormat="1" applyFont="1" applyFill="1" applyBorder="1" applyAlignment="1">
      <alignment horizontal="center" vertical="center"/>
    </xf>
    <xf numFmtId="164" fontId="12040" fillId="8" borderId="1" xfId="0" applyNumberFormat="1" applyFont="1" applyFill="1" applyBorder="1" applyAlignment="1">
      <alignment horizontal="center" vertical="center"/>
    </xf>
    <xf numFmtId="164" fontId="12041" fillId="8" borderId="1" xfId="0" applyNumberFormat="1" applyFont="1" applyFill="1" applyBorder="1" applyAlignment="1">
      <alignment horizontal="center" vertical="center"/>
    </xf>
    <xf numFmtId="1" fontId="12042" fillId="8" borderId="1" xfId="0" applyNumberFormat="1" applyFont="1" applyFill="1" applyBorder="1" applyAlignment="1">
      <alignment horizontal="center" vertical="center"/>
    </xf>
    <xf numFmtId="1" fontId="12043" fillId="8" borderId="1" xfId="0" applyNumberFormat="1" applyFont="1" applyFill="1" applyBorder="1" applyAlignment="1">
      <alignment horizontal="center" vertical="center"/>
    </xf>
    <xf numFmtId="1" fontId="12044" fillId="8" borderId="1" xfId="0" applyNumberFormat="1" applyFont="1" applyFill="1" applyBorder="1" applyAlignment="1">
      <alignment horizontal="center" vertical="center"/>
    </xf>
    <xf numFmtId="165" fontId="12045" fillId="8" borderId="1" xfId="0" applyNumberFormat="1" applyFont="1" applyFill="1" applyBorder="1" applyAlignment="1">
      <alignment horizontal="center" vertical="center"/>
    </xf>
    <xf numFmtId="1" fontId="12046" fillId="8" borderId="1" xfId="0" applyNumberFormat="1" applyFont="1" applyFill="1" applyBorder="1" applyAlignment="1">
      <alignment horizontal="center" vertical="center"/>
    </xf>
    <xf numFmtId="165" fontId="12047" fillId="8" borderId="1" xfId="0" applyNumberFormat="1" applyFont="1" applyFill="1" applyBorder="1" applyAlignment="1">
      <alignment horizontal="center" vertical="center"/>
    </xf>
    <xf numFmtId="1" fontId="12048" fillId="8" borderId="1" xfId="0" applyNumberFormat="1" applyFont="1" applyFill="1" applyBorder="1" applyAlignment="1">
      <alignment horizontal="center" vertical="center"/>
    </xf>
    <xf numFmtId="1" fontId="12049" fillId="8" borderId="1" xfId="0" applyNumberFormat="1" applyFont="1" applyFill="1" applyBorder="1" applyAlignment="1">
      <alignment horizontal="center" vertical="center"/>
    </xf>
    <xf numFmtId="1" fontId="12050" fillId="8" borderId="1" xfId="0" applyNumberFormat="1" applyFont="1" applyFill="1" applyBorder="1" applyAlignment="1">
      <alignment horizontal="center" vertical="center"/>
    </xf>
    <xf numFmtId="1" fontId="12051" fillId="8" borderId="1" xfId="0" applyNumberFormat="1" applyFont="1" applyFill="1" applyBorder="1" applyAlignment="1">
      <alignment horizontal="center" vertical="center"/>
    </xf>
    <xf numFmtId="165" fontId="12052" fillId="8" borderId="1" xfId="0" applyNumberFormat="1" applyFont="1" applyFill="1" applyBorder="1" applyAlignment="1">
      <alignment horizontal="center" vertical="center"/>
    </xf>
    <xf numFmtId="1" fontId="12053" fillId="8" borderId="1" xfId="0" applyNumberFormat="1" applyFont="1" applyFill="1" applyBorder="1" applyAlignment="1">
      <alignment horizontal="center" vertical="center"/>
    </xf>
    <xf numFmtId="165" fontId="12054" fillId="8" borderId="1" xfId="0" applyNumberFormat="1" applyFont="1" applyFill="1" applyBorder="1" applyAlignment="1">
      <alignment horizontal="center" vertical="center"/>
    </xf>
    <xf numFmtId="1" fontId="12055" fillId="8" borderId="1" xfId="0" applyNumberFormat="1" applyFont="1" applyFill="1" applyBorder="1" applyAlignment="1">
      <alignment horizontal="center" vertical="center"/>
    </xf>
    <xf numFmtId="165" fontId="12056" fillId="8" borderId="1" xfId="0" applyNumberFormat="1" applyFont="1" applyFill="1" applyBorder="1" applyAlignment="1">
      <alignment horizontal="center" vertical="center"/>
    </xf>
    <xf numFmtId="2" fontId="12057" fillId="8" borderId="1" xfId="0" applyNumberFormat="1" applyFont="1" applyFill="1" applyBorder="1" applyAlignment="1">
      <alignment horizontal="center" vertical="center"/>
    </xf>
    <xf numFmtId="2" fontId="12058" fillId="8" borderId="1" xfId="0" applyNumberFormat="1" applyFont="1" applyFill="1" applyBorder="1" applyAlignment="1">
      <alignment horizontal="center" vertical="center"/>
    </xf>
    <xf numFmtId="2" fontId="12059" fillId="8" borderId="1" xfId="0" applyNumberFormat="1" applyFont="1" applyFill="1" applyBorder="1" applyAlignment="1">
      <alignment horizontal="center" vertical="center"/>
    </xf>
    <xf numFmtId="2" fontId="12060" fillId="8" borderId="1" xfId="0" applyNumberFormat="1" applyFont="1" applyFill="1" applyBorder="1" applyAlignment="1">
      <alignment horizontal="center" vertical="center"/>
    </xf>
    <xf numFmtId="2" fontId="12061" fillId="8" borderId="1" xfId="0" applyNumberFormat="1" applyFont="1" applyFill="1" applyBorder="1" applyAlignment="1">
      <alignment horizontal="center" vertical="center"/>
    </xf>
    <xf numFmtId="2" fontId="12062" fillId="8" borderId="1" xfId="0" applyNumberFormat="1" applyFont="1" applyFill="1" applyBorder="1" applyAlignment="1">
      <alignment horizontal="center" vertical="center"/>
    </xf>
    <xf numFmtId="2" fontId="12063" fillId="8" borderId="1" xfId="0" applyNumberFormat="1" applyFont="1" applyFill="1" applyBorder="1" applyAlignment="1">
      <alignment horizontal="center" vertical="center"/>
    </xf>
    <xf numFmtId="2" fontId="12064" fillId="8" borderId="1" xfId="0" applyNumberFormat="1" applyFont="1" applyFill="1" applyBorder="1" applyAlignment="1">
      <alignment horizontal="center" vertical="center"/>
    </xf>
    <xf numFmtId="2" fontId="12065" fillId="8" borderId="1" xfId="0" applyNumberFormat="1" applyFont="1" applyFill="1" applyBorder="1" applyAlignment="1">
      <alignment horizontal="center" vertical="center"/>
    </xf>
    <xf numFmtId="2" fontId="12066" fillId="8" borderId="1" xfId="0" applyNumberFormat="1" applyFont="1" applyFill="1" applyBorder="1" applyAlignment="1">
      <alignment horizontal="center" vertical="center"/>
    </xf>
    <xf numFmtId="2" fontId="12067" fillId="8" borderId="1" xfId="0" applyNumberFormat="1" applyFont="1" applyFill="1" applyBorder="1" applyAlignment="1">
      <alignment horizontal="center" vertical="center"/>
    </xf>
    <xf numFmtId="2" fontId="12068" fillId="8" borderId="1" xfId="0" applyNumberFormat="1" applyFont="1" applyFill="1" applyBorder="1" applyAlignment="1">
      <alignment horizontal="center" vertical="center"/>
    </xf>
    <xf numFmtId="2" fontId="12069" fillId="8" borderId="1" xfId="0" applyNumberFormat="1" applyFont="1" applyFill="1" applyBorder="1" applyAlignment="1">
      <alignment horizontal="center" vertical="center"/>
    </xf>
    <xf numFmtId="2" fontId="12070" fillId="8" borderId="1" xfId="0" applyNumberFormat="1" applyFont="1" applyFill="1" applyBorder="1" applyAlignment="1">
      <alignment horizontal="center" vertical="center"/>
    </xf>
    <xf numFmtId="2" fontId="12071" fillId="8" borderId="1" xfId="0" applyNumberFormat="1" applyFont="1" applyFill="1" applyBorder="1" applyAlignment="1">
      <alignment horizontal="center" vertical="center"/>
    </xf>
    <xf numFmtId="2" fontId="12072" fillId="8" borderId="1" xfId="0" applyNumberFormat="1" applyFont="1" applyFill="1" applyBorder="1" applyAlignment="1">
      <alignment horizontal="center" vertical="center"/>
    </xf>
    <xf numFmtId="2" fontId="12073" fillId="8" borderId="1" xfId="0" applyNumberFormat="1" applyFont="1" applyFill="1" applyBorder="1" applyAlignment="1">
      <alignment horizontal="center" vertical="center"/>
    </xf>
    <xf numFmtId="2" fontId="12074" fillId="8" borderId="1" xfId="0" applyNumberFormat="1" applyFont="1" applyFill="1" applyBorder="1" applyAlignment="1">
      <alignment horizontal="center" vertical="center"/>
    </xf>
    <xf numFmtId="2" fontId="12075" fillId="8" borderId="1" xfId="0" applyNumberFormat="1" applyFont="1" applyFill="1" applyBorder="1" applyAlignment="1">
      <alignment horizontal="center" vertical="center"/>
    </xf>
    <xf numFmtId="2" fontId="12076" fillId="8" borderId="1" xfId="0" applyNumberFormat="1" applyFont="1" applyFill="1" applyBorder="1" applyAlignment="1">
      <alignment horizontal="center" vertical="center"/>
    </xf>
    <xf numFmtId="2" fontId="12077" fillId="8" borderId="1" xfId="0" applyNumberFormat="1" applyFont="1" applyFill="1" applyBorder="1" applyAlignment="1">
      <alignment horizontal="center" vertical="center"/>
    </xf>
    <xf numFmtId="2" fontId="12078" fillId="8" borderId="1" xfId="0" applyNumberFormat="1" applyFont="1" applyFill="1" applyBorder="1" applyAlignment="1">
      <alignment horizontal="center" vertical="center"/>
    </xf>
    <xf numFmtId="2" fontId="12079" fillId="8" borderId="1" xfId="0" applyNumberFormat="1" applyFont="1" applyFill="1" applyBorder="1" applyAlignment="1">
      <alignment horizontal="center" vertical="center"/>
    </xf>
    <xf numFmtId="2" fontId="12080" fillId="8" borderId="1" xfId="0" applyNumberFormat="1" applyFont="1" applyFill="1" applyBorder="1" applyAlignment="1">
      <alignment horizontal="center" vertical="center"/>
    </xf>
    <xf numFmtId="2" fontId="12081" fillId="8" borderId="1" xfId="0" applyNumberFormat="1" applyFont="1" applyFill="1" applyBorder="1" applyAlignment="1">
      <alignment horizontal="center" vertical="center"/>
    </xf>
    <xf numFmtId="2" fontId="12082" fillId="8" borderId="1" xfId="0" applyNumberFormat="1" applyFont="1" applyFill="1" applyBorder="1" applyAlignment="1">
      <alignment horizontal="center" vertical="center"/>
    </xf>
    <xf numFmtId="2" fontId="12083" fillId="8" borderId="1" xfId="0" applyNumberFormat="1" applyFont="1" applyFill="1" applyBorder="1" applyAlignment="1">
      <alignment horizontal="center" vertical="center"/>
    </xf>
    <xf numFmtId="2" fontId="12084" fillId="8" borderId="1" xfId="0" applyNumberFormat="1" applyFont="1" applyFill="1" applyBorder="1" applyAlignment="1">
      <alignment horizontal="center" vertical="center"/>
    </xf>
    <xf numFmtId="2" fontId="12085" fillId="8" borderId="1" xfId="0" applyNumberFormat="1" applyFont="1" applyFill="1" applyBorder="1" applyAlignment="1">
      <alignment horizontal="center" vertical="center"/>
    </xf>
    <xf numFmtId="2" fontId="12086" fillId="8" borderId="1" xfId="0" applyNumberFormat="1" applyFont="1" applyFill="1" applyBorder="1" applyAlignment="1">
      <alignment horizontal="center" vertical="center"/>
    </xf>
    <xf numFmtId="2" fontId="12087" fillId="8" borderId="1" xfId="0" applyNumberFormat="1" applyFont="1" applyFill="1" applyBorder="1" applyAlignment="1">
      <alignment horizontal="center" vertical="center"/>
    </xf>
    <xf numFmtId="2" fontId="12088" fillId="8" borderId="1" xfId="0" applyNumberFormat="1" applyFont="1" applyFill="1" applyBorder="1" applyAlignment="1">
      <alignment horizontal="center" vertical="center"/>
    </xf>
    <xf numFmtId="2" fontId="12089" fillId="8" borderId="1" xfId="0" applyNumberFormat="1" applyFont="1" applyFill="1" applyBorder="1" applyAlignment="1">
      <alignment horizontal="center" vertical="center"/>
    </xf>
    <xf numFmtId="2" fontId="12090" fillId="8" borderId="1" xfId="0" applyNumberFormat="1" applyFont="1" applyFill="1" applyBorder="1" applyAlignment="1">
      <alignment horizontal="center" vertical="center"/>
    </xf>
    <xf numFmtId="0" fontId="12091" fillId="7" borderId="1" xfId="0" applyNumberFormat="1" applyFont="1" applyFill="1" applyBorder="1" applyAlignment="1">
      <alignment horizontal="left" vertical="center"/>
    </xf>
    <xf numFmtId="0" fontId="12092" fillId="8" borderId="1" xfId="0" applyNumberFormat="1" applyFont="1" applyFill="1" applyBorder="1" applyAlignment="1">
      <alignment horizontal="center" vertical="center"/>
    </xf>
    <xf numFmtId="164" fontId="12093" fillId="8" borderId="1" xfId="0" applyNumberFormat="1" applyFont="1" applyFill="1" applyBorder="1" applyAlignment="1">
      <alignment horizontal="center" vertical="center"/>
    </xf>
    <xf numFmtId="1" fontId="12094" fillId="8" borderId="1" xfId="0" applyNumberFormat="1" applyFont="1" applyFill="1" applyBorder="1" applyAlignment="1">
      <alignment horizontal="center" vertical="center"/>
    </xf>
    <xf numFmtId="1" fontId="12095" fillId="8" borderId="1" xfId="0" applyNumberFormat="1" applyFont="1" applyFill="1" applyBorder="1" applyAlignment="1">
      <alignment horizontal="center" vertical="center"/>
    </xf>
    <xf numFmtId="1" fontId="12096" fillId="8" borderId="1" xfId="0" applyNumberFormat="1" applyFont="1" applyFill="1" applyBorder="1" applyAlignment="1">
      <alignment horizontal="center" vertical="center"/>
    </xf>
    <xf numFmtId="1" fontId="12097" fillId="8" borderId="1" xfId="0" applyNumberFormat="1" applyFont="1" applyFill="1" applyBorder="1" applyAlignment="1">
      <alignment horizontal="center" vertical="center"/>
    </xf>
    <xf numFmtId="1" fontId="12098" fillId="8" borderId="1" xfId="0" applyNumberFormat="1" applyFont="1" applyFill="1" applyBorder="1" applyAlignment="1">
      <alignment horizontal="center" vertical="center"/>
    </xf>
    <xf numFmtId="1" fontId="12099" fillId="8" borderId="1" xfId="0" applyNumberFormat="1" applyFont="1" applyFill="1" applyBorder="1" applyAlignment="1">
      <alignment horizontal="center" vertical="center"/>
    </xf>
    <xf numFmtId="1" fontId="12100" fillId="8" borderId="1" xfId="0" applyNumberFormat="1" applyFont="1" applyFill="1" applyBorder="1" applyAlignment="1">
      <alignment horizontal="center" vertical="center"/>
    </xf>
    <xf numFmtId="0" fontId="12101" fillId="8" borderId="1" xfId="0" applyNumberFormat="1" applyFont="1" applyFill="1" applyBorder="1" applyAlignment="1">
      <alignment horizontal="center" vertical="center"/>
    </xf>
    <xf numFmtId="0" fontId="12102" fillId="8" borderId="1" xfId="0" applyNumberFormat="1" applyFont="1" applyFill="1" applyBorder="1" applyAlignment="1">
      <alignment horizontal="center" vertical="center"/>
    </xf>
    <xf numFmtId="1" fontId="12103" fillId="8" borderId="1" xfId="0" applyNumberFormat="1" applyFont="1" applyFill="1" applyBorder="1" applyAlignment="1">
      <alignment horizontal="center" vertical="center"/>
    </xf>
    <xf numFmtId="1" fontId="12104" fillId="8" borderId="1" xfId="0" applyNumberFormat="1" applyFont="1" applyFill="1" applyBorder="1" applyAlignment="1">
      <alignment horizontal="center" vertical="center"/>
    </xf>
    <xf numFmtId="1" fontId="12105" fillId="8" borderId="1" xfId="0" applyNumberFormat="1" applyFont="1" applyFill="1" applyBorder="1" applyAlignment="1">
      <alignment horizontal="center" vertical="center"/>
    </xf>
    <xf numFmtId="165" fontId="12106" fillId="8" borderId="1" xfId="0" applyNumberFormat="1" applyFont="1" applyFill="1" applyBorder="1" applyAlignment="1">
      <alignment horizontal="center" vertical="center"/>
    </xf>
    <xf numFmtId="1" fontId="12107" fillId="8" borderId="1" xfId="0" applyNumberFormat="1" applyFont="1" applyFill="1" applyBorder="1" applyAlignment="1">
      <alignment horizontal="center" vertical="center"/>
    </xf>
    <xf numFmtId="165" fontId="12108" fillId="8" borderId="1" xfId="0" applyNumberFormat="1" applyFont="1" applyFill="1" applyBorder="1" applyAlignment="1">
      <alignment horizontal="center" vertical="center"/>
    </xf>
    <xf numFmtId="1" fontId="12109" fillId="8" borderId="1" xfId="0" applyNumberFormat="1" applyFont="1" applyFill="1" applyBorder="1" applyAlignment="1">
      <alignment horizontal="center" vertical="center"/>
    </xf>
    <xf numFmtId="165" fontId="12110" fillId="8" borderId="1" xfId="0" applyNumberFormat="1" applyFont="1" applyFill="1" applyBorder="1" applyAlignment="1">
      <alignment horizontal="center" vertical="center"/>
    </xf>
    <xf numFmtId="1" fontId="12111" fillId="8" borderId="1" xfId="0" applyNumberFormat="1" applyFont="1" applyFill="1" applyBorder="1" applyAlignment="1">
      <alignment horizontal="center" vertical="center"/>
    </xf>
    <xf numFmtId="165" fontId="12112" fillId="8" borderId="1" xfId="0" applyNumberFormat="1" applyFont="1" applyFill="1" applyBorder="1" applyAlignment="1">
      <alignment horizontal="center" vertical="center"/>
    </xf>
    <xf numFmtId="165" fontId="12113" fillId="8" borderId="1" xfId="0" applyNumberFormat="1" applyFont="1" applyFill="1" applyBorder="1" applyAlignment="1">
      <alignment horizontal="center" vertical="center"/>
    </xf>
    <xf numFmtId="1" fontId="12114" fillId="8" borderId="1" xfId="0" applyNumberFormat="1" applyFont="1" applyFill="1" applyBorder="1" applyAlignment="1">
      <alignment horizontal="center" vertical="center"/>
    </xf>
    <xf numFmtId="1" fontId="12115" fillId="8" borderId="1" xfId="0" applyNumberFormat="1" applyFont="1" applyFill="1" applyBorder="1" applyAlignment="1">
      <alignment horizontal="center" vertical="center"/>
    </xf>
    <xf numFmtId="1" fontId="12116" fillId="8" borderId="1" xfId="0" applyNumberFormat="1" applyFont="1" applyFill="1" applyBorder="1" applyAlignment="1">
      <alignment horizontal="center" vertical="center"/>
    </xf>
    <xf numFmtId="165" fontId="12117" fillId="8" borderId="1" xfId="0" applyNumberFormat="1" applyFont="1" applyFill="1" applyBorder="1" applyAlignment="1">
      <alignment horizontal="center" vertical="center"/>
    </xf>
    <xf numFmtId="164" fontId="12118" fillId="8" borderId="1" xfId="0" applyNumberFormat="1" applyFont="1" applyFill="1" applyBorder="1" applyAlignment="1">
      <alignment horizontal="center" vertical="center"/>
    </xf>
    <xf numFmtId="164" fontId="12119" fillId="8" borderId="1" xfId="0" applyNumberFormat="1" applyFont="1" applyFill="1" applyBorder="1" applyAlignment="1">
      <alignment horizontal="center" vertical="center"/>
    </xf>
    <xf numFmtId="1" fontId="12120" fillId="8" borderId="1" xfId="0" applyNumberFormat="1" applyFont="1" applyFill="1" applyBorder="1" applyAlignment="1">
      <alignment horizontal="center" vertical="center"/>
    </xf>
    <xf numFmtId="1" fontId="12121" fillId="8" borderId="1" xfId="0" applyNumberFormat="1" applyFont="1" applyFill="1" applyBorder="1" applyAlignment="1">
      <alignment horizontal="center" vertical="center"/>
    </xf>
    <xf numFmtId="1" fontId="12122" fillId="8" borderId="1" xfId="0" applyNumberFormat="1" applyFont="1" applyFill="1" applyBorder="1" applyAlignment="1">
      <alignment horizontal="center" vertical="center"/>
    </xf>
    <xf numFmtId="165" fontId="12123" fillId="8" borderId="1" xfId="0" applyNumberFormat="1" applyFont="1" applyFill="1" applyBorder="1" applyAlignment="1">
      <alignment horizontal="center" vertical="center"/>
    </xf>
    <xf numFmtId="1" fontId="12124" fillId="8" borderId="1" xfId="0" applyNumberFormat="1" applyFont="1" applyFill="1" applyBorder="1" applyAlignment="1">
      <alignment horizontal="center" vertical="center"/>
    </xf>
    <xf numFmtId="165" fontId="12125" fillId="8" borderId="1" xfId="0" applyNumberFormat="1" applyFont="1" applyFill="1" applyBorder="1" applyAlignment="1">
      <alignment horizontal="center" vertical="center"/>
    </xf>
    <xf numFmtId="1" fontId="12126" fillId="8" borderId="1" xfId="0" applyNumberFormat="1" applyFont="1" applyFill="1" applyBorder="1" applyAlignment="1">
      <alignment horizontal="center" vertical="center"/>
    </xf>
    <xf numFmtId="1" fontId="12127" fillId="8" borderId="1" xfId="0" applyNumberFormat="1" applyFont="1" applyFill="1" applyBorder="1" applyAlignment="1">
      <alignment horizontal="center" vertical="center"/>
    </xf>
    <xf numFmtId="1" fontId="12128" fillId="8" borderId="1" xfId="0" applyNumberFormat="1" applyFont="1" applyFill="1" applyBorder="1" applyAlignment="1">
      <alignment horizontal="center" vertical="center"/>
    </xf>
    <xf numFmtId="1" fontId="12129" fillId="8" borderId="1" xfId="0" applyNumberFormat="1" applyFont="1" applyFill="1" applyBorder="1" applyAlignment="1">
      <alignment horizontal="center" vertical="center"/>
    </xf>
    <xf numFmtId="165" fontId="12130" fillId="8" borderId="1" xfId="0" applyNumberFormat="1" applyFont="1" applyFill="1" applyBorder="1" applyAlignment="1">
      <alignment horizontal="center" vertical="center"/>
    </xf>
    <xf numFmtId="1" fontId="12131" fillId="8" borderId="1" xfId="0" applyNumberFormat="1" applyFont="1" applyFill="1" applyBorder="1" applyAlignment="1">
      <alignment horizontal="center" vertical="center"/>
    </xf>
    <xf numFmtId="165" fontId="12132" fillId="8" borderId="1" xfId="0" applyNumberFormat="1" applyFont="1" applyFill="1" applyBorder="1" applyAlignment="1">
      <alignment horizontal="center" vertical="center"/>
    </xf>
    <xf numFmtId="1" fontId="12133" fillId="8" borderId="1" xfId="0" applyNumberFormat="1" applyFont="1" applyFill="1" applyBorder="1" applyAlignment="1">
      <alignment horizontal="center" vertical="center"/>
    </xf>
    <xf numFmtId="165" fontId="12134" fillId="8" borderId="1" xfId="0" applyNumberFormat="1" applyFont="1" applyFill="1" applyBorder="1" applyAlignment="1">
      <alignment horizontal="center" vertical="center"/>
    </xf>
    <xf numFmtId="2" fontId="12135" fillId="8" borderId="1" xfId="0" applyNumberFormat="1" applyFont="1" applyFill="1" applyBorder="1" applyAlignment="1">
      <alignment horizontal="center" vertical="center"/>
    </xf>
    <xf numFmtId="2" fontId="12136" fillId="8" borderId="1" xfId="0" applyNumberFormat="1" applyFont="1" applyFill="1" applyBorder="1" applyAlignment="1">
      <alignment horizontal="center" vertical="center"/>
    </xf>
    <xf numFmtId="2" fontId="12137" fillId="8" borderId="1" xfId="0" applyNumberFormat="1" applyFont="1" applyFill="1" applyBorder="1" applyAlignment="1">
      <alignment horizontal="center" vertical="center"/>
    </xf>
    <xf numFmtId="2" fontId="12138" fillId="8" borderId="1" xfId="0" applyNumberFormat="1" applyFont="1" applyFill="1" applyBorder="1" applyAlignment="1">
      <alignment horizontal="center" vertical="center"/>
    </xf>
    <xf numFmtId="2" fontId="12139" fillId="8" borderId="1" xfId="0" applyNumberFormat="1" applyFont="1" applyFill="1" applyBorder="1" applyAlignment="1">
      <alignment horizontal="center" vertical="center"/>
    </xf>
    <xf numFmtId="2" fontId="12140" fillId="8" borderId="1" xfId="0" applyNumberFormat="1" applyFont="1" applyFill="1" applyBorder="1" applyAlignment="1">
      <alignment horizontal="center" vertical="center"/>
    </xf>
    <xf numFmtId="2" fontId="12141" fillId="8" borderId="1" xfId="0" applyNumberFormat="1" applyFont="1" applyFill="1" applyBorder="1" applyAlignment="1">
      <alignment horizontal="center" vertical="center"/>
    </xf>
    <xf numFmtId="2" fontId="12142" fillId="8" borderId="1" xfId="0" applyNumberFormat="1" applyFont="1" applyFill="1" applyBorder="1" applyAlignment="1">
      <alignment horizontal="center" vertical="center"/>
    </xf>
    <xf numFmtId="2" fontId="12143" fillId="8" borderId="1" xfId="0" applyNumberFormat="1" applyFont="1" applyFill="1" applyBorder="1" applyAlignment="1">
      <alignment horizontal="center" vertical="center"/>
    </xf>
    <xf numFmtId="2" fontId="12144" fillId="8" borderId="1" xfId="0" applyNumberFormat="1" applyFont="1" applyFill="1" applyBorder="1" applyAlignment="1">
      <alignment horizontal="center" vertical="center"/>
    </xf>
    <xf numFmtId="2" fontId="12145" fillId="8" borderId="1" xfId="0" applyNumberFormat="1" applyFont="1" applyFill="1" applyBorder="1" applyAlignment="1">
      <alignment horizontal="center" vertical="center"/>
    </xf>
    <xf numFmtId="2" fontId="12146" fillId="8" borderId="1" xfId="0" applyNumberFormat="1" applyFont="1" applyFill="1" applyBorder="1" applyAlignment="1">
      <alignment horizontal="center" vertical="center"/>
    </xf>
    <xf numFmtId="2" fontId="12147" fillId="8" borderId="1" xfId="0" applyNumberFormat="1" applyFont="1" applyFill="1" applyBorder="1" applyAlignment="1">
      <alignment horizontal="center" vertical="center"/>
    </xf>
    <xf numFmtId="2" fontId="12148" fillId="8" borderId="1" xfId="0" applyNumberFormat="1" applyFont="1" applyFill="1" applyBorder="1" applyAlignment="1">
      <alignment horizontal="center" vertical="center"/>
    </xf>
    <xf numFmtId="2" fontId="12149" fillId="8" borderId="1" xfId="0" applyNumberFormat="1" applyFont="1" applyFill="1" applyBorder="1" applyAlignment="1">
      <alignment horizontal="center" vertical="center"/>
    </xf>
    <xf numFmtId="2" fontId="12150" fillId="8" borderId="1" xfId="0" applyNumberFormat="1" applyFont="1" applyFill="1" applyBorder="1" applyAlignment="1">
      <alignment horizontal="center" vertical="center"/>
    </xf>
    <xf numFmtId="2" fontId="12151" fillId="8" borderId="1" xfId="0" applyNumberFormat="1" applyFont="1" applyFill="1" applyBorder="1" applyAlignment="1">
      <alignment horizontal="center" vertical="center"/>
    </xf>
    <xf numFmtId="2" fontId="12152" fillId="8" borderId="1" xfId="0" applyNumberFormat="1" applyFont="1" applyFill="1" applyBorder="1" applyAlignment="1">
      <alignment horizontal="center" vertical="center"/>
    </xf>
    <xf numFmtId="2" fontId="12153" fillId="8" borderId="1" xfId="0" applyNumberFormat="1" applyFont="1" applyFill="1" applyBorder="1" applyAlignment="1">
      <alignment horizontal="center" vertical="center"/>
    </xf>
    <xf numFmtId="2" fontId="12154" fillId="8" borderId="1" xfId="0" applyNumberFormat="1" applyFont="1" applyFill="1" applyBorder="1" applyAlignment="1">
      <alignment horizontal="center" vertical="center"/>
    </xf>
    <xf numFmtId="2" fontId="12155" fillId="8" borderId="1" xfId="0" applyNumberFormat="1" applyFont="1" applyFill="1" applyBorder="1" applyAlignment="1">
      <alignment horizontal="center" vertical="center"/>
    </xf>
    <xf numFmtId="2" fontId="12156" fillId="8" borderId="1" xfId="0" applyNumberFormat="1" applyFont="1" applyFill="1" applyBorder="1" applyAlignment="1">
      <alignment horizontal="center" vertical="center"/>
    </xf>
    <xf numFmtId="2" fontId="12157" fillId="8" borderId="1" xfId="0" applyNumberFormat="1" applyFont="1" applyFill="1" applyBorder="1" applyAlignment="1">
      <alignment horizontal="center" vertical="center"/>
    </xf>
    <xf numFmtId="2" fontId="12158" fillId="8" borderId="1" xfId="0" applyNumberFormat="1" applyFont="1" applyFill="1" applyBorder="1" applyAlignment="1">
      <alignment horizontal="center" vertical="center"/>
    </xf>
    <xf numFmtId="2" fontId="12159" fillId="8" borderId="1" xfId="0" applyNumberFormat="1" applyFont="1" applyFill="1" applyBorder="1" applyAlignment="1">
      <alignment horizontal="center" vertical="center"/>
    </xf>
    <xf numFmtId="2" fontId="12160" fillId="8" borderId="1" xfId="0" applyNumberFormat="1" applyFont="1" applyFill="1" applyBorder="1" applyAlignment="1">
      <alignment horizontal="center" vertical="center"/>
    </xf>
    <xf numFmtId="2" fontId="12161" fillId="8" borderId="1" xfId="0" applyNumberFormat="1" applyFont="1" applyFill="1" applyBorder="1" applyAlignment="1">
      <alignment horizontal="center" vertical="center"/>
    </xf>
    <xf numFmtId="2" fontId="12162" fillId="8" borderId="1" xfId="0" applyNumberFormat="1" applyFont="1" applyFill="1" applyBorder="1" applyAlignment="1">
      <alignment horizontal="center" vertical="center"/>
    </xf>
    <xf numFmtId="2" fontId="12163" fillId="8" borderId="1" xfId="0" applyNumberFormat="1" applyFont="1" applyFill="1" applyBorder="1" applyAlignment="1">
      <alignment horizontal="center" vertical="center"/>
    </xf>
    <xf numFmtId="2" fontId="12164" fillId="8" borderId="1" xfId="0" applyNumberFormat="1" applyFont="1" applyFill="1" applyBorder="1" applyAlignment="1">
      <alignment horizontal="center" vertical="center"/>
    </xf>
    <xf numFmtId="2" fontId="12165" fillId="8" borderId="1" xfId="0" applyNumberFormat="1" applyFont="1" applyFill="1" applyBorder="1" applyAlignment="1">
      <alignment horizontal="center" vertical="center"/>
    </xf>
    <xf numFmtId="2" fontId="12166" fillId="8" borderId="1" xfId="0" applyNumberFormat="1" applyFont="1" applyFill="1" applyBorder="1" applyAlignment="1">
      <alignment horizontal="center" vertical="center"/>
    </xf>
    <xf numFmtId="2" fontId="12167" fillId="8" borderId="1" xfId="0" applyNumberFormat="1" applyFont="1" applyFill="1" applyBorder="1" applyAlignment="1">
      <alignment horizontal="center" vertical="center"/>
    </xf>
    <xf numFmtId="2" fontId="12168" fillId="8" borderId="1" xfId="0" applyNumberFormat="1" applyFont="1" applyFill="1" applyBorder="1" applyAlignment="1">
      <alignment horizontal="center" vertical="center"/>
    </xf>
    <xf numFmtId="0" fontId="12169" fillId="7" borderId="1" xfId="0" applyNumberFormat="1" applyFont="1" applyFill="1" applyBorder="1" applyAlignment="1">
      <alignment horizontal="left" vertical="center"/>
    </xf>
    <xf numFmtId="0" fontId="12170" fillId="8" borderId="1" xfId="0" applyNumberFormat="1" applyFont="1" applyFill="1" applyBorder="1" applyAlignment="1">
      <alignment horizontal="center" vertical="center"/>
    </xf>
    <xf numFmtId="164" fontId="12171" fillId="8" borderId="1" xfId="0" applyNumberFormat="1" applyFont="1" applyFill="1" applyBorder="1" applyAlignment="1">
      <alignment horizontal="center" vertical="center"/>
    </xf>
    <xf numFmtId="1" fontId="12172" fillId="8" borderId="1" xfId="0" applyNumberFormat="1" applyFont="1" applyFill="1" applyBorder="1" applyAlignment="1">
      <alignment horizontal="center" vertical="center"/>
    </xf>
    <xf numFmtId="1" fontId="12173" fillId="8" borderId="1" xfId="0" applyNumberFormat="1" applyFont="1" applyFill="1" applyBorder="1" applyAlignment="1">
      <alignment horizontal="center" vertical="center"/>
    </xf>
    <xf numFmtId="1" fontId="12174" fillId="8" borderId="1" xfId="0" applyNumberFormat="1" applyFont="1" applyFill="1" applyBorder="1" applyAlignment="1">
      <alignment horizontal="center" vertical="center"/>
    </xf>
    <xf numFmtId="1" fontId="12175" fillId="8" borderId="1" xfId="0" applyNumberFormat="1" applyFont="1" applyFill="1" applyBorder="1" applyAlignment="1">
      <alignment horizontal="center" vertical="center"/>
    </xf>
    <xf numFmtId="1" fontId="12176" fillId="8" borderId="1" xfId="0" applyNumberFormat="1" applyFont="1" applyFill="1" applyBorder="1" applyAlignment="1">
      <alignment horizontal="center" vertical="center"/>
    </xf>
    <xf numFmtId="1" fontId="12177" fillId="8" borderId="1" xfId="0" applyNumberFormat="1" applyFont="1" applyFill="1" applyBorder="1" applyAlignment="1">
      <alignment horizontal="center" vertical="center"/>
    </xf>
    <xf numFmtId="1" fontId="12178" fillId="8" borderId="1" xfId="0" applyNumberFormat="1" applyFont="1" applyFill="1" applyBorder="1" applyAlignment="1">
      <alignment horizontal="center" vertical="center"/>
    </xf>
    <xf numFmtId="0" fontId="12179" fillId="8" borderId="1" xfId="0" applyNumberFormat="1" applyFont="1" applyFill="1" applyBorder="1" applyAlignment="1">
      <alignment horizontal="center" vertical="center"/>
    </xf>
    <xf numFmtId="0" fontId="12180" fillId="8" borderId="1" xfId="0" applyNumberFormat="1" applyFont="1" applyFill="1" applyBorder="1" applyAlignment="1">
      <alignment horizontal="center" vertical="center"/>
    </xf>
    <xf numFmtId="1" fontId="12181" fillId="8" borderId="1" xfId="0" applyNumberFormat="1" applyFont="1" applyFill="1" applyBorder="1" applyAlignment="1">
      <alignment horizontal="center" vertical="center"/>
    </xf>
    <xf numFmtId="1" fontId="12182" fillId="8" borderId="1" xfId="0" applyNumberFormat="1" applyFont="1" applyFill="1" applyBorder="1" applyAlignment="1">
      <alignment horizontal="center" vertical="center"/>
    </xf>
    <xf numFmtId="1" fontId="12183" fillId="8" borderId="1" xfId="0" applyNumberFormat="1" applyFont="1" applyFill="1" applyBorder="1" applyAlignment="1">
      <alignment horizontal="center" vertical="center"/>
    </xf>
    <xf numFmtId="165" fontId="12184" fillId="8" borderId="1" xfId="0" applyNumberFormat="1" applyFont="1" applyFill="1" applyBorder="1" applyAlignment="1">
      <alignment horizontal="center" vertical="center"/>
    </xf>
    <xf numFmtId="1" fontId="12185" fillId="8" borderId="1" xfId="0" applyNumberFormat="1" applyFont="1" applyFill="1" applyBorder="1" applyAlignment="1">
      <alignment horizontal="center" vertical="center"/>
    </xf>
    <xf numFmtId="165" fontId="12186" fillId="8" borderId="1" xfId="0" applyNumberFormat="1" applyFont="1" applyFill="1" applyBorder="1" applyAlignment="1">
      <alignment horizontal="center" vertical="center"/>
    </xf>
    <xf numFmtId="1" fontId="12187" fillId="8" borderId="1" xfId="0" applyNumberFormat="1" applyFont="1" applyFill="1" applyBorder="1" applyAlignment="1">
      <alignment horizontal="center" vertical="center"/>
    </xf>
    <xf numFmtId="165" fontId="12188" fillId="8" borderId="1" xfId="0" applyNumberFormat="1" applyFont="1" applyFill="1" applyBorder="1" applyAlignment="1">
      <alignment horizontal="center" vertical="center"/>
    </xf>
    <xf numFmtId="1" fontId="12189" fillId="8" borderId="1" xfId="0" applyNumberFormat="1" applyFont="1" applyFill="1" applyBorder="1" applyAlignment="1">
      <alignment horizontal="center" vertical="center"/>
    </xf>
    <xf numFmtId="165" fontId="12190" fillId="8" borderId="1" xfId="0" applyNumberFormat="1" applyFont="1" applyFill="1" applyBorder="1" applyAlignment="1">
      <alignment horizontal="center" vertical="center"/>
    </xf>
    <xf numFmtId="165" fontId="12191" fillId="8" borderId="1" xfId="0" applyNumberFormat="1" applyFont="1" applyFill="1" applyBorder="1" applyAlignment="1">
      <alignment horizontal="center" vertical="center"/>
    </xf>
    <xf numFmtId="1" fontId="12192" fillId="8" borderId="1" xfId="0" applyNumberFormat="1" applyFont="1" applyFill="1" applyBorder="1" applyAlignment="1">
      <alignment horizontal="center" vertical="center"/>
    </xf>
    <xf numFmtId="1" fontId="12193" fillId="8" borderId="1" xfId="0" applyNumberFormat="1" applyFont="1" applyFill="1" applyBorder="1" applyAlignment="1">
      <alignment horizontal="center" vertical="center"/>
    </xf>
    <xf numFmtId="1" fontId="12194" fillId="8" borderId="1" xfId="0" applyNumberFormat="1" applyFont="1" applyFill="1" applyBorder="1" applyAlignment="1">
      <alignment horizontal="center" vertical="center"/>
    </xf>
    <xf numFmtId="165" fontId="12195" fillId="8" borderId="1" xfId="0" applyNumberFormat="1" applyFont="1" applyFill="1" applyBorder="1" applyAlignment="1">
      <alignment horizontal="center" vertical="center"/>
    </xf>
    <xf numFmtId="164" fontId="12196" fillId="8" borderId="1" xfId="0" applyNumberFormat="1" applyFont="1" applyFill="1" applyBorder="1" applyAlignment="1">
      <alignment horizontal="center" vertical="center"/>
    </xf>
    <xf numFmtId="164" fontId="12197" fillId="8" borderId="1" xfId="0" applyNumberFormat="1" applyFont="1" applyFill="1" applyBorder="1" applyAlignment="1">
      <alignment horizontal="center" vertical="center"/>
    </xf>
    <xf numFmtId="1" fontId="12198" fillId="8" borderId="1" xfId="0" applyNumberFormat="1" applyFont="1" applyFill="1" applyBorder="1" applyAlignment="1">
      <alignment horizontal="center" vertical="center"/>
    </xf>
    <xf numFmtId="1" fontId="12199" fillId="8" borderId="1" xfId="0" applyNumberFormat="1" applyFont="1" applyFill="1" applyBorder="1" applyAlignment="1">
      <alignment horizontal="center" vertical="center"/>
    </xf>
    <xf numFmtId="1" fontId="12200" fillId="8" borderId="1" xfId="0" applyNumberFormat="1" applyFont="1" applyFill="1" applyBorder="1" applyAlignment="1">
      <alignment horizontal="center" vertical="center"/>
    </xf>
    <xf numFmtId="165" fontId="12201" fillId="8" borderId="1" xfId="0" applyNumberFormat="1" applyFont="1" applyFill="1" applyBorder="1" applyAlignment="1">
      <alignment horizontal="center" vertical="center"/>
    </xf>
    <xf numFmtId="1" fontId="12202" fillId="8" borderId="1" xfId="0" applyNumberFormat="1" applyFont="1" applyFill="1" applyBorder="1" applyAlignment="1">
      <alignment horizontal="center" vertical="center"/>
    </xf>
    <xf numFmtId="165" fontId="12203" fillId="8" borderId="1" xfId="0" applyNumberFormat="1" applyFont="1" applyFill="1" applyBorder="1" applyAlignment="1">
      <alignment horizontal="center" vertical="center"/>
    </xf>
    <xf numFmtId="1" fontId="12204" fillId="8" borderId="1" xfId="0" applyNumberFormat="1" applyFont="1" applyFill="1" applyBorder="1" applyAlignment="1">
      <alignment horizontal="center" vertical="center"/>
    </xf>
    <xf numFmtId="1" fontId="12205" fillId="8" borderId="1" xfId="0" applyNumberFormat="1" applyFont="1" applyFill="1" applyBorder="1" applyAlignment="1">
      <alignment horizontal="center" vertical="center"/>
    </xf>
    <xf numFmtId="1" fontId="12206" fillId="8" borderId="1" xfId="0" applyNumberFormat="1" applyFont="1" applyFill="1" applyBorder="1" applyAlignment="1">
      <alignment horizontal="center" vertical="center"/>
    </xf>
    <xf numFmtId="1" fontId="12207" fillId="8" borderId="1" xfId="0" applyNumberFormat="1" applyFont="1" applyFill="1" applyBorder="1" applyAlignment="1">
      <alignment horizontal="center" vertical="center"/>
    </xf>
    <xf numFmtId="165" fontId="12208" fillId="8" borderId="1" xfId="0" applyNumberFormat="1" applyFont="1" applyFill="1" applyBorder="1" applyAlignment="1">
      <alignment horizontal="center" vertical="center"/>
    </xf>
    <xf numFmtId="1" fontId="12209" fillId="8" borderId="1" xfId="0" applyNumberFormat="1" applyFont="1" applyFill="1" applyBorder="1" applyAlignment="1">
      <alignment horizontal="center" vertical="center"/>
    </xf>
    <xf numFmtId="165" fontId="12210" fillId="8" borderId="1" xfId="0" applyNumberFormat="1" applyFont="1" applyFill="1" applyBorder="1" applyAlignment="1">
      <alignment horizontal="center" vertical="center"/>
    </xf>
    <xf numFmtId="1" fontId="12211" fillId="8" borderId="1" xfId="0" applyNumberFormat="1" applyFont="1" applyFill="1" applyBorder="1" applyAlignment="1">
      <alignment horizontal="center" vertical="center"/>
    </xf>
    <xf numFmtId="165" fontId="12212" fillId="8" borderId="1" xfId="0" applyNumberFormat="1" applyFont="1" applyFill="1" applyBorder="1" applyAlignment="1">
      <alignment horizontal="center" vertical="center"/>
    </xf>
    <xf numFmtId="2" fontId="12213" fillId="8" borderId="1" xfId="0" applyNumberFormat="1" applyFont="1" applyFill="1" applyBorder="1" applyAlignment="1">
      <alignment horizontal="center" vertical="center"/>
    </xf>
    <xf numFmtId="2" fontId="12214" fillId="8" borderId="1" xfId="0" applyNumberFormat="1" applyFont="1" applyFill="1" applyBorder="1" applyAlignment="1">
      <alignment horizontal="center" vertical="center"/>
    </xf>
    <xf numFmtId="2" fontId="12215" fillId="8" borderId="1" xfId="0" applyNumberFormat="1" applyFont="1" applyFill="1" applyBorder="1" applyAlignment="1">
      <alignment horizontal="center" vertical="center"/>
    </xf>
    <xf numFmtId="2" fontId="12216" fillId="8" borderId="1" xfId="0" applyNumberFormat="1" applyFont="1" applyFill="1" applyBorder="1" applyAlignment="1">
      <alignment horizontal="center" vertical="center"/>
    </xf>
    <xf numFmtId="2" fontId="12217" fillId="8" borderId="1" xfId="0" applyNumberFormat="1" applyFont="1" applyFill="1" applyBorder="1" applyAlignment="1">
      <alignment horizontal="center" vertical="center"/>
    </xf>
    <xf numFmtId="2" fontId="12218" fillId="8" borderId="1" xfId="0" applyNumberFormat="1" applyFont="1" applyFill="1" applyBorder="1" applyAlignment="1">
      <alignment horizontal="center" vertical="center"/>
    </xf>
    <xf numFmtId="2" fontId="12219" fillId="8" borderId="1" xfId="0" applyNumberFormat="1" applyFont="1" applyFill="1" applyBorder="1" applyAlignment="1">
      <alignment horizontal="center" vertical="center"/>
    </xf>
    <xf numFmtId="2" fontId="12220" fillId="8" borderId="1" xfId="0" applyNumberFormat="1" applyFont="1" applyFill="1" applyBorder="1" applyAlignment="1">
      <alignment horizontal="center" vertical="center"/>
    </xf>
    <xf numFmtId="2" fontId="12221" fillId="8" borderId="1" xfId="0" applyNumberFormat="1" applyFont="1" applyFill="1" applyBorder="1" applyAlignment="1">
      <alignment horizontal="center" vertical="center"/>
    </xf>
    <xf numFmtId="2" fontId="12222" fillId="8" borderId="1" xfId="0" applyNumberFormat="1" applyFont="1" applyFill="1" applyBorder="1" applyAlignment="1">
      <alignment horizontal="center" vertical="center"/>
    </xf>
    <xf numFmtId="2" fontId="12223" fillId="8" borderId="1" xfId="0" applyNumberFormat="1" applyFont="1" applyFill="1" applyBorder="1" applyAlignment="1">
      <alignment horizontal="center" vertical="center"/>
    </xf>
    <xf numFmtId="2" fontId="12224" fillId="8" borderId="1" xfId="0" applyNumberFormat="1" applyFont="1" applyFill="1" applyBorder="1" applyAlignment="1">
      <alignment horizontal="center" vertical="center"/>
    </xf>
    <xf numFmtId="2" fontId="12225" fillId="8" borderId="1" xfId="0" applyNumberFormat="1" applyFont="1" applyFill="1" applyBorder="1" applyAlignment="1">
      <alignment horizontal="center" vertical="center"/>
    </xf>
    <xf numFmtId="2" fontId="12226" fillId="8" borderId="1" xfId="0" applyNumberFormat="1" applyFont="1" applyFill="1" applyBorder="1" applyAlignment="1">
      <alignment horizontal="center" vertical="center"/>
    </xf>
    <xf numFmtId="2" fontId="12227" fillId="8" borderId="1" xfId="0" applyNumberFormat="1" applyFont="1" applyFill="1" applyBorder="1" applyAlignment="1">
      <alignment horizontal="center" vertical="center"/>
    </xf>
    <xf numFmtId="2" fontId="12228" fillId="8" borderId="1" xfId="0" applyNumberFormat="1" applyFont="1" applyFill="1" applyBorder="1" applyAlignment="1">
      <alignment horizontal="center" vertical="center"/>
    </xf>
    <xf numFmtId="2" fontId="12229" fillId="8" borderId="1" xfId="0" applyNumberFormat="1" applyFont="1" applyFill="1" applyBorder="1" applyAlignment="1">
      <alignment horizontal="center" vertical="center"/>
    </xf>
    <xf numFmtId="2" fontId="12230" fillId="8" borderId="1" xfId="0" applyNumberFormat="1" applyFont="1" applyFill="1" applyBorder="1" applyAlignment="1">
      <alignment horizontal="center" vertical="center"/>
    </xf>
    <xf numFmtId="2" fontId="12231" fillId="8" borderId="1" xfId="0" applyNumberFormat="1" applyFont="1" applyFill="1" applyBorder="1" applyAlignment="1">
      <alignment horizontal="center" vertical="center"/>
    </xf>
    <xf numFmtId="2" fontId="12232" fillId="8" borderId="1" xfId="0" applyNumberFormat="1" applyFont="1" applyFill="1" applyBorder="1" applyAlignment="1">
      <alignment horizontal="center" vertical="center"/>
    </xf>
    <xf numFmtId="2" fontId="12233" fillId="8" borderId="1" xfId="0" applyNumberFormat="1" applyFont="1" applyFill="1" applyBorder="1" applyAlignment="1">
      <alignment horizontal="center" vertical="center"/>
    </xf>
    <xf numFmtId="2" fontId="12234" fillId="8" borderId="1" xfId="0" applyNumberFormat="1" applyFont="1" applyFill="1" applyBorder="1" applyAlignment="1">
      <alignment horizontal="center" vertical="center"/>
    </xf>
    <xf numFmtId="2" fontId="12235" fillId="8" borderId="1" xfId="0" applyNumberFormat="1" applyFont="1" applyFill="1" applyBorder="1" applyAlignment="1">
      <alignment horizontal="center" vertical="center"/>
    </xf>
    <xf numFmtId="2" fontId="12236" fillId="8" borderId="1" xfId="0" applyNumberFormat="1" applyFont="1" applyFill="1" applyBorder="1" applyAlignment="1">
      <alignment horizontal="center" vertical="center"/>
    </xf>
    <xf numFmtId="2" fontId="12237" fillId="8" borderId="1" xfId="0" applyNumberFormat="1" applyFont="1" applyFill="1" applyBorder="1" applyAlignment="1">
      <alignment horizontal="center" vertical="center"/>
    </xf>
    <xf numFmtId="2" fontId="12238" fillId="8" borderId="1" xfId="0" applyNumberFormat="1" applyFont="1" applyFill="1" applyBorder="1" applyAlignment="1">
      <alignment horizontal="center" vertical="center"/>
    </xf>
    <xf numFmtId="2" fontId="12239" fillId="8" borderId="1" xfId="0" applyNumberFormat="1" applyFont="1" applyFill="1" applyBorder="1" applyAlignment="1">
      <alignment horizontal="center" vertical="center"/>
    </xf>
    <xf numFmtId="2" fontId="12240" fillId="8" borderId="1" xfId="0" applyNumberFormat="1" applyFont="1" applyFill="1" applyBorder="1" applyAlignment="1">
      <alignment horizontal="center" vertical="center"/>
    </xf>
    <xf numFmtId="2" fontId="12241" fillId="8" borderId="1" xfId="0" applyNumberFormat="1" applyFont="1" applyFill="1" applyBorder="1" applyAlignment="1">
      <alignment horizontal="center" vertical="center"/>
    </xf>
    <xf numFmtId="2" fontId="12242" fillId="8" borderId="1" xfId="0" applyNumberFormat="1" applyFont="1" applyFill="1" applyBorder="1" applyAlignment="1">
      <alignment horizontal="center" vertical="center"/>
    </xf>
    <xf numFmtId="2" fontId="12243" fillId="8" borderId="1" xfId="0" applyNumberFormat="1" applyFont="1" applyFill="1" applyBorder="1" applyAlignment="1">
      <alignment horizontal="center" vertical="center"/>
    </xf>
    <xf numFmtId="2" fontId="12244" fillId="8" borderId="1" xfId="0" applyNumberFormat="1" applyFont="1" applyFill="1" applyBorder="1" applyAlignment="1">
      <alignment horizontal="center" vertical="center"/>
    </xf>
    <xf numFmtId="2" fontId="12245" fillId="8" borderId="1" xfId="0" applyNumberFormat="1" applyFont="1" applyFill="1" applyBorder="1" applyAlignment="1">
      <alignment horizontal="center" vertical="center"/>
    </xf>
    <xf numFmtId="2" fontId="12246" fillId="8" borderId="1" xfId="0" applyNumberFormat="1" applyFont="1" applyFill="1" applyBorder="1" applyAlignment="1">
      <alignment horizontal="center" vertical="center"/>
    </xf>
    <xf numFmtId="0" fontId="12247" fillId="7" borderId="1" xfId="0" applyNumberFormat="1" applyFont="1" applyFill="1" applyBorder="1" applyAlignment="1">
      <alignment horizontal="left" vertical="center"/>
    </xf>
    <xf numFmtId="0" fontId="12248" fillId="8" borderId="1" xfId="0" applyNumberFormat="1" applyFont="1" applyFill="1" applyBorder="1" applyAlignment="1">
      <alignment horizontal="center" vertical="center"/>
    </xf>
    <xf numFmtId="164" fontId="12249" fillId="8" borderId="1" xfId="0" applyNumberFormat="1" applyFont="1" applyFill="1" applyBorder="1" applyAlignment="1">
      <alignment horizontal="center" vertical="center"/>
    </xf>
    <xf numFmtId="1" fontId="12250" fillId="8" borderId="1" xfId="0" applyNumberFormat="1" applyFont="1" applyFill="1" applyBorder="1" applyAlignment="1">
      <alignment horizontal="center" vertical="center"/>
    </xf>
    <xf numFmtId="1" fontId="12251" fillId="8" borderId="1" xfId="0" applyNumberFormat="1" applyFont="1" applyFill="1" applyBorder="1" applyAlignment="1">
      <alignment horizontal="center" vertical="center"/>
    </xf>
    <xf numFmtId="1" fontId="12252" fillId="8" borderId="1" xfId="0" applyNumberFormat="1" applyFont="1" applyFill="1" applyBorder="1" applyAlignment="1">
      <alignment horizontal="center" vertical="center"/>
    </xf>
    <xf numFmtId="1" fontId="12253" fillId="8" borderId="1" xfId="0" applyNumberFormat="1" applyFont="1" applyFill="1" applyBorder="1" applyAlignment="1">
      <alignment horizontal="center" vertical="center"/>
    </xf>
    <xf numFmtId="1" fontId="12254" fillId="8" borderId="1" xfId="0" applyNumberFormat="1" applyFont="1" applyFill="1" applyBorder="1" applyAlignment="1">
      <alignment horizontal="center" vertical="center"/>
    </xf>
    <xf numFmtId="1" fontId="12255" fillId="8" borderId="1" xfId="0" applyNumberFormat="1" applyFont="1" applyFill="1" applyBorder="1" applyAlignment="1">
      <alignment horizontal="center" vertical="center"/>
    </xf>
    <xf numFmtId="1" fontId="12256" fillId="8" borderId="1" xfId="0" applyNumberFormat="1" applyFont="1" applyFill="1" applyBorder="1" applyAlignment="1">
      <alignment horizontal="center" vertical="center"/>
    </xf>
    <xf numFmtId="0" fontId="12257" fillId="8" borderId="1" xfId="0" applyNumberFormat="1" applyFont="1" applyFill="1" applyBorder="1" applyAlignment="1">
      <alignment horizontal="center" vertical="center"/>
    </xf>
    <xf numFmtId="0" fontId="12258" fillId="8" borderId="1" xfId="0" applyNumberFormat="1" applyFont="1" applyFill="1" applyBorder="1" applyAlignment="1">
      <alignment horizontal="center" vertical="center"/>
    </xf>
    <xf numFmtId="1" fontId="12259" fillId="8" borderId="1" xfId="0" applyNumberFormat="1" applyFont="1" applyFill="1" applyBorder="1" applyAlignment="1">
      <alignment horizontal="center" vertical="center"/>
    </xf>
    <xf numFmtId="1" fontId="12260" fillId="8" borderId="1" xfId="0" applyNumberFormat="1" applyFont="1" applyFill="1" applyBorder="1" applyAlignment="1">
      <alignment horizontal="center" vertical="center"/>
    </xf>
    <xf numFmtId="1" fontId="12261" fillId="8" borderId="1" xfId="0" applyNumberFormat="1" applyFont="1" applyFill="1" applyBorder="1" applyAlignment="1">
      <alignment horizontal="center" vertical="center"/>
    </xf>
    <xf numFmtId="165" fontId="12262" fillId="8" borderId="1" xfId="0" applyNumberFormat="1" applyFont="1" applyFill="1" applyBorder="1" applyAlignment="1">
      <alignment horizontal="center" vertical="center"/>
    </xf>
    <xf numFmtId="1" fontId="12263" fillId="8" borderId="1" xfId="0" applyNumberFormat="1" applyFont="1" applyFill="1" applyBorder="1" applyAlignment="1">
      <alignment horizontal="center" vertical="center"/>
    </xf>
    <xf numFmtId="165" fontId="12264" fillId="8" borderId="1" xfId="0" applyNumberFormat="1" applyFont="1" applyFill="1" applyBorder="1" applyAlignment="1">
      <alignment horizontal="center" vertical="center"/>
    </xf>
    <xf numFmtId="1" fontId="12265" fillId="8" borderId="1" xfId="0" applyNumberFormat="1" applyFont="1" applyFill="1" applyBorder="1" applyAlignment="1">
      <alignment horizontal="center" vertical="center"/>
    </xf>
    <xf numFmtId="165" fontId="12266" fillId="8" borderId="1" xfId="0" applyNumberFormat="1" applyFont="1" applyFill="1" applyBorder="1" applyAlignment="1">
      <alignment horizontal="center" vertical="center"/>
    </xf>
    <xf numFmtId="1" fontId="12267" fillId="8" borderId="1" xfId="0" applyNumberFormat="1" applyFont="1" applyFill="1" applyBorder="1" applyAlignment="1">
      <alignment horizontal="center" vertical="center"/>
    </xf>
    <xf numFmtId="165" fontId="12268" fillId="8" borderId="1" xfId="0" applyNumberFormat="1" applyFont="1" applyFill="1" applyBorder="1" applyAlignment="1">
      <alignment horizontal="center" vertical="center"/>
    </xf>
    <xf numFmtId="165" fontId="12269" fillId="8" borderId="1" xfId="0" applyNumberFormat="1" applyFont="1" applyFill="1" applyBorder="1" applyAlignment="1">
      <alignment horizontal="center" vertical="center"/>
    </xf>
    <xf numFmtId="1" fontId="12270" fillId="8" borderId="1" xfId="0" applyNumberFormat="1" applyFont="1" applyFill="1" applyBorder="1" applyAlignment="1">
      <alignment horizontal="center" vertical="center"/>
    </xf>
    <xf numFmtId="1" fontId="12271" fillId="8" borderId="1" xfId="0" applyNumberFormat="1" applyFont="1" applyFill="1" applyBorder="1" applyAlignment="1">
      <alignment horizontal="center" vertical="center"/>
    </xf>
    <xf numFmtId="1" fontId="12272" fillId="8" borderId="1" xfId="0" applyNumberFormat="1" applyFont="1" applyFill="1" applyBorder="1" applyAlignment="1">
      <alignment horizontal="center" vertical="center"/>
    </xf>
    <xf numFmtId="165" fontId="12273" fillId="8" borderId="1" xfId="0" applyNumberFormat="1" applyFont="1" applyFill="1" applyBorder="1" applyAlignment="1">
      <alignment horizontal="center" vertical="center"/>
    </xf>
    <xf numFmtId="164" fontId="12274" fillId="8" borderId="1" xfId="0" applyNumberFormat="1" applyFont="1" applyFill="1" applyBorder="1" applyAlignment="1">
      <alignment horizontal="center" vertical="center"/>
    </xf>
    <xf numFmtId="164" fontId="12275" fillId="8" borderId="1" xfId="0" applyNumberFormat="1" applyFont="1" applyFill="1" applyBorder="1" applyAlignment="1">
      <alignment horizontal="center" vertical="center"/>
    </xf>
    <xf numFmtId="1" fontId="12276" fillId="8" borderId="1" xfId="0" applyNumberFormat="1" applyFont="1" applyFill="1" applyBorder="1" applyAlignment="1">
      <alignment horizontal="center" vertical="center"/>
    </xf>
    <xf numFmtId="1" fontId="12277" fillId="8" borderId="1" xfId="0" applyNumberFormat="1" applyFont="1" applyFill="1" applyBorder="1" applyAlignment="1">
      <alignment horizontal="center" vertical="center"/>
    </xf>
    <xf numFmtId="1" fontId="12278" fillId="8" borderId="1" xfId="0" applyNumberFormat="1" applyFont="1" applyFill="1" applyBorder="1" applyAlignment="1">
      <alignment horizontal="center" vertical="center"/>
    </xf>
    <xf numFmtId="165" fontId="12279" fillId="8" borderId="1" xfId="0" applyNumberFormat="1" applyFont="1" applyFill="1" applyBorder="1" applyAlignment="1">
      <alignment horizontal="center" vertical="center"/>
    </xf>
    <xf numFmtId="1" fontId="12280" fillId="8" borderId="1" xfId="0" applyNumberFormat="1" applyFont="1" applyFill="1" applyBorder="1" applyAlignment="1">
      <alignment horizontal="center" vertical="center"/>
    </xf>
    <xf numFmtId="165" fontId="12281" fillId="8" borderId="1" xfId="0" applyNumberFormat="1" applyFont="1" applyFill="1" applyBorder="1" applyAlignment="1">
      <alignment horizontal="center" vertical="center"/>
    </xf>
    <xf numFmtId="1" fontId="12282" fillId="8" borderId="1" xfId="0" applyNumberFormat="1" applyFont="1" applyFill="1" applyBorder="1" applyAlignment="1">
      <alignment horizontal="center" vertical="center"/>
    </xf>
    <xf numFmtId="1" fontId="12283" fillId="8" borderId="1" xfId="0" applyNumberFormat="1" applyFont="1" applyFill="1" applyBorder="1" applyAlignment="1">
      <alignment horizontal="center" vertical="center"/>
    </xf>
    <xf numFmtId="1" fontId="12284" fillId="8" borderId="1" xfId="0" applyNumberFormat="1" applyFont="1" applyFill="1" applyBorder="1" applyAlignment="1">
      <alignment horizontal="center" vertical="center"/>
    </xf>
    <xf numFmtId="1" fontId="12285" fillId="8" borderId="1" xfId="0" applyNumberFormat="1" applyFont="1" applyFill="1" applyBorder="1" applyAlignment="1">
      <alignment horizontal="center" vertical="center"/>
    </xf>
    <xf numFmtId="165" fontId="12286" fillId="8" borderId="1" xfId="0" applyNumberFormat="1" applyFont="1" applyFill="1" applyBorder="1" applyAlignment="1">
      <alignment horizontal="center" vertical="center"/>
    </xf>
    <xf numFmtId="1" fontId="12287" fillId="8" borderId="1" xfId="0" applyNumberFormat="1" applyFont="1" applyFill="1" applyBorder="1" applyAlignment="1">
      <alignment horizontal="center" vertical="center"/>
    </xf>
    <xf numFmtId="165" fontId="12288" fillId="8" borderId="1" xfId="0" applyNumberFormat="1" applyFont="1" applyFill="1" applyBorder="1" applyAlignment="1">
      <alignment horizontal="center" vertical="center"/>
    </xf>
    <xf numFmtId="1" fontId="12289" fillId="8" borderId="1" xfId="0" applyNumberFormat="1" applyFont="1" applyFill="1" applyBorder="1" applyAlignment="1">
      <alignment horizontal="center" vertical="center"/>
    </xf>
    <xf numFmtId="165" fontId="12290" fillId="8" borderId="1" xfId="0" applyNumberFormat="1" applyFont="1" applyFill="1" applyBorder="1" applyAlignment="1">
      <alignment horizontal="center" vertical="center"/>
    </xf>
    <xf numFmtId="2" fontId="12291" fillId="8" borderId="1" xfId="0" applyNumberFormat="1" applyFont="1" applyFill="1" applyBorder="1" applyAlignment="1">
      <alignment horizontal="center" vertical="center"/>
    </xf>
    <xf numFmtId="2" fontId="12292" fillId="8" borderId="1" xfId="0" applyNumberFormat="1" applyFont="1" applyFill="1" applyBorder="1" applyAlignment="1">
      <alignment horizontal="center" vertical="center"/>
    </xf>
    <xf numFmtId="2" fontId="12293" fillId="8" borderId="1" xfId="0" applyNumberFormat="1" applyFont="1" applyFill="1" applyBorder="1" applyAlignment="1">
      <alignment horizontal="center" vertical="center"/>
    </xf>
    <xf numFmtId="2" fontId="12294" fillId="8" borderId="1" xfId="0" applyNumberFormat="1" applyFont="1" applyFill="1" applyBorder="1" applyAlignment="1">
      <alignment horizontal="center" vertical="center"/>
    </xf>
    <xf numFmtId="2" fontId="12295" fillId="8" borderId="1" xfId="0" applyNumberFormat="1" applyFont="1" applyFill="1" applyBorder="1" applyAlignment="1">
      <alignment horizontal="center" vertical="center"/>
    </xf>
    <xf numFmtId="2" fontId="12296" fillId="8" borderId="1" xfId="0" applyNumberFormat="1" applyFont="1" applyFill="1" applyBorder="1" applyAlignment="1">
      <alignment horizontal="center" vertical="center"/>
    </xf>
    <xf numFmtId="2" fontId="12297" fillId="8" borderId="1" xfId="0" applyNumberFormat="1" applyFont="1" applyFill="1" applyBorder="1" applyAlignment="1">
      <alignment horizontal="center" vertical="center"/>
    </xf>
    <xf numFmtId="2" fontId="12298" fillId="8" borderId="1" xfId="0" applyNumberFormat="1" applyFont="1" applyFill="1" applyBorder="1" applyAlignment="1">
      <alignment horizontal="center" vertical="center"/>
    </xf>
    <xf numFmtId="2" fontId="12299" fillId="8" borderId="1" xfId="0" applyNumberFormat="1" applyFont="1" applyFill="1" applyBorder="1" applyAlignment="1">
      <alignment horizontal="center" vertical="center"/>
    </xf>
    <xf numFmtId="2" fontId="12300" fillId="8" borderId="1" xfId="0" applyNumberFormat="1" applyFont="1" applyFill="1" applyBorder="1" applyAlignment="1">
      <alignment horizontal="center" vertical="center"/>
    </xf>
    <xf numFmtId="2" fontId="12301" fillId="8" borderId="1" xfId="0" applyNumberFormat="1" applyFont="1" applyFill="1" applyBorder="1" applyAlignment="1">
      <alignment horizontal="center" vertical="center"/>
    </xf>
    <xf numFmtId="2" fontId="12302" fillId="8" borderId="1" xfId="0" applyNumberFormat="1" applyFont="1" applyFill="1" applyBorder="1" applyAlignment="1">
      <alignment horizontal="center" vertical="center"/>
    </xf>
    <xf numFmtId="2" fontId="12303" fillId="8" borderId="1" xfId="0" applyNumberFormat="1" applyFont="1" applyFill="1" applyBorder="1" applyAlignment="1">
      <alignment horizontal="center" vertical="center"/>
    </xf>
    <xf numFmtId="2" fontId="12304" fillId="8" borderId="1" xfId="0" applyNumberFormat="1" applyFont="1" applyFill="1" applyBorder="1" applyAlignment="1">
      <alignment horizontal="center" vertical="center"/>
    </xf>
    <xf numFmtId="2" fontId="12305" fillId="8" borderId="1" xfId="0" applyNumberFormat="1" applyFont="1" applyFill="1" applyBorder="1" applyAlignment="1">
      <alignment horizontal="center" vertical="center"/>
    </xf>
    <xf numFmtId="2" fontId="12306" fillId="8" borderId="1" xfId="0" applyNumberFormat="1" applyFont="1" applyFill="1" applyBorder="1" applyAlignment="1">
      <alignment horizontal="center" vertical="center"/>
    </xf>
    <xf numFmtId="2" fontId="12307" fillId="8" borderId="1" xfId="0" applyNumberFormat="1" applyFont="1" applyFill="1" applyBorder="1" applyAlignment="1">
      <alignment horizontal="center" vertical="center"/>
    </xf>
    <xf numFmtId="2" fontId="12308" fillId="8" borderId="1" xfId="0" applyNumberFormat="1" applyFont="1" applyFill="1" applyBorder="1" applyAlignment="1">
      <alignment horizontal="center" vertical="center"/>
    </xf>
    <xf numFmtId="2" fontId="12309" fillId="8" borderId="1" xfId="0" applyNumberFormat="1" applyFont="1" applyFill="1" applyBorder="1" applyAlignment="1">
      <alignment horizontal="center" vertical="center"/>
    </xf>
    <xf numFmtId="2" fontId="12310" fillId="8" borderId="1" xfId="0" applyNumberFormat="1" applyFont="1" applyFill="1" applyBorder="1" applyAlignment="1">
      <alignment horizontal="center" vertical="center"/>
    </xf>
    <xf numFmtId="2" fontId="12311" fillId="8" borderId="1" xfId="0" applyNumberFormat="1" applyFont="1" applyFill="1" applyBorder="1" applyAlignment="1">
      <alignment horizontal="center" vertical="center"/>
    </xf>
    <xf numFmtId="2" fontId="12312" fillId="8" borderId="1" xfId="0" applyNumberFormat="1" applyFont="1" applyFill="1" applyBorder="1" applyAlignment="1">
      <alignment horizontal="center" vertical="center"/>
    </xf>
    <xf numFmtId="2" fontId="12313" fillId="8" borderId="1" xfId="0" applyNumberFormat="1" applyFont="1" applyFill="1" applyBorder="1" applyAlignment="1">
      <alignment horizontal="center" vertical="center"/>
    </xf>
    <xf numFmtId="2" fontId="12314" fillId="8" borderId="1" xfId="0" applyNumberFormat="1" applyFont="1" applyFill="1" applyBorder="1" applyAlignment="1">
      <alignment horizontal="center" vertical="center"/>
    </xf>
    <xf numFmtId="2" fontId="12315" fillId="8" borderId="1" xfId="0" applyNumberFormat="1" applyFont="1" applyFill="1" applyBorder="1" applyAlignment="1">
      <alignment horizontal="center" vertical="center"/>
    </xf>
    <xf numFmtId="2" fontId="12316" fillId="8" borderId="1" xfId="0" applyNumberFormat="1" applyFont="1" applyFill="1" applyBorder="1" applyAlignment="1">
      <alignment horizontal="center" vertical="center"/>
    </xf>
    <xf numFmtId="2" fontId="12317" fillId="8" borderId="1" xfId="0" applyNumberFormat="1" applyFont="1" applyFill="1" applyBorder="1" applyAlignment="1">
      <alignment horizontal="center" vertical="center"/>
    </xf>
    <xf numFmtId="2" fontId="12318" fillId="8" borderId="1" xfId="0" applyNumberFormat="1" applyFont="1" applyFill="1" applyBorder="1" applyAlignment="1">
      <alignment horizontal="center" vertical="center"/>
    </xf>
    <xf numFmtId="2" fontId="12319" fillId="8" borderId="1" xfId="0" applyNumberFormat="1" applyFont="1" applyFill="1" applyBorder="1" applyAlignment="1">
      <alignment horizontal="center" vertical="center"/>
    </xf>
    <xf numFmtId="2" fontId="12320" fillId="8" borderId="1" xfId="0" applyNumberFormat="1" applyFont="1" applyFill="1" applyBorder="1" applyAlignment="1">
      <alignment horizontal="center" vertical="center"/>
    </xf>
    <xf numFmtId="2" fontId="12321" fillId="8" borderId="1" xfId="0" applyNumberFormat="1" applyFont="1" applyFill="1" applyBorder="1" applyAlignment="1">
      <alignment horizontal="center" vertical="center"/>
    </xf>
    <xf numFmtId="2" fontId="12322" fillId="8" borderId="1" xfId="0" applyNumberFormat="1" applyFont="1" applyFill="1" applyBorder="1" applyAlignment="1">
      <alignment horizontal="center" vertical="center"/>
    </xf>
    <xf numFmtId="2" fontId="12323" fillId="8" borderId="1" xfId="0" applyNumberFormat="1" applyFont="1" applyFill="1" applyBorder="1" applyAlignment="1">
      <alignment horizontal="center" vertical="center"/>
    </xf>
    <xf numFmtId="2" fontId="12324" fillId="8" borderId="1" xfId="0" applyNumberFormat="1" applyFont="1" applyFill="1" applyBorder="1" applyAlignment="1">
      <alignment horizontal="center" vertical="center"/>
    </xf>
    <xf numFmtId="0" fontId="12325" fillId="7" borderId="1" xfId="0" applyNumberFormat="1" applyFont="1" applyFill="1" applyBorder="1" applyAlignment="1">
      <alignment horizontal="left" vertical="center"/>
    </xf>
    <xf numFmtId="0" fontId="12326" fillId="8" borderId="1" xfId="0" applyNumberFormat="1" applyFont="1" applyFill="1" applyBorder="1" applyAlignment="1">
      <alignment horizontal="center" vertical="center"/>
    </xf>
    <xf numFmtId="164" fontId="12327" fillId="8" borderId="1" xfId="0" applyNumberFormat="1" applyFont="1" applyFill="1" applyBorder="1" applyAlignment="1">
      <alignment horizontal="center" vertical="center"/>
    </xf>
    <xf numFmtId="1" fontId="12328" fillId="8" borderId="1" xfId="0" applyNumberFormat="1" applyFont="1" applyFill="1" applyBorder="1" applyAlignment="1">
      <alignment horizontal="center" vertical="center"/>
    </xf>
    <xf numFmtId="1" fontId="12329" fillId="8" borderId="1" xfId="0" applyNumberFormat="1" applyFont="1" applyFill="1" applyBorder="1" applyAlignment="1">
      <alignment horizontal="center" vertical="center"/>
    </xf>
    <xf numFmtId="1" fontId="12330" fillId="8" borderId="1" xfId="0" applyNumberFormat="1" applyFont="1" applyFill="1" applyBorder="1" applyAlignment="1">
      <alignment horizontal="center" vertical="center"/>
    </xf>
    <xf numFmtId="1" fontId="12331" fillId="8" borderId="1" xfId="0" applyNumberFormat="1" applyFont="1" applyFill="1" applyBorder="1" applyAlignment="1">
      <alignment horizontal="center" vertical="center"/>
    </xf>
    <xf numFmtId="1" fontId="12332" fillId="8" borderId="1" xfId="0" applyNumberFormat="1" applyFont="1" applyFill="1" applyBorder="1" applyAlignment="1">
      <alignment horizontal="center" vertical="center"/>
    </xf>
    <xf numFmtId="1" fontId="12333" fillId="8" borderId="1" xfId="0" applyNumberFormat="1" applyFont="1" applyFill="1" applyBorder="1" applyAlignment="1">
      <alignment horizontal="center" vertical="center"/>
    </xf>
    <xf numFmtId="1" fontId="12334" fillId="8" borderId="1" xfId="0" applyNumberFormat="1" applyFont="1" applyFill="1" applyBorder="1" applyAlignment="1">
      <alignment horizontal="center" vertical="center"/>
    </xf>
    <xf numFmtId="0" fontId="12335" fillId="8" borderId="1" xfId="0" applyNumberFormat="1" applyFont="1" applyFill="1" applyBorder="1" applyAlignment="1">
      <alignment horizontal="center" vertical="center"/>
    </xf>
    <xf numFmtId="0" fontId="12336" fillId="8" borderId="1" xfId="0" applyNumberFormat="1" applyFont="1" applyFill="1" applyBorder="1" applyAlignment="1">
      <alignment horizontal="center" vertical="center"/>
    </xf>
    <xf numFmtId="1" fontId="12337" fillId="8" borderId="1" xfId="0" applyNumberFormat="1" applyFont="1" applyFill="1" applyBorder="1" applyAlignment="1">
      <alignment horizontal="center" vertical="center"/>
    </xf>
    <xf numFmtId="1" fontId="12338" fillId="8" borderId="1" xfId="0" applyNumberFormat="1" applyFont="1" applyFill="1" applyBorder="1" applyAlignment="1">
      <alignment horizontal="center" vertical="center"/>
    </xf>
    <xf numFmtId="1" fontId="12339" fillId="8" borderId="1" xfId="0" applyNumberFormat="1" applyFont="1" applyFill="1" applyBorder="1" applyAlignment="1">
      <alignment horizontal="center" vertical="center"/>
    </xf>
    <xf numFmtId="165" fontId="12340" fillId="8" borderId="1" xfId="0" applyNumberFormat="1" applyFont="1" applyFill="1" applyBorder="1" applyAlignment="1">
      <alignment horizontal="center" vertical="center"/>
    </xf>
    <xf numFmtId="1" fontId="12341" fillId="8" borderId="1" xfId="0" applyNumberFormat="1" applyFont="1" applyFill="1" applyBorder="1" applyAlignment="1">
      <alignment horizontal="center" vertical="center"/>
    </xf>
    <xf numFmtId="165" fontId="12342" fillId="8" borderId="1" xfId="0" applyNumberFormat="1" applyFont="1" applyFill="1" applyBorder="1" applyAlignment="1">
      <alignment horizontal="center" vertical="center"/>
    </xf>
    <xf numFmtId="1" fontId="12343" fillId="8" borderId="1" xfId="0" applyNumberFormat="1" applyFont="1" applyFill="1" applyBorder="1" applyAlignment="1">
      <alignment horizontal="center" vertical="center"/>
    </xf>
    <xf numFmtId="165" fontId="12344" fillId="8" borderId="1" xfId="0" applyNumberFormat="1" applyFont="1" applyFill="1" applyBorder="1" applyAlignment="1">
      <alignment horizontal="center" vertical="center"/>
    </xf>
    <xf numFmtId="1" fontId="12345" fillId="8" borderId="1" xfId="0" applyNumberFormat="1" applyFont="1" applyFill="1" applyBorder="1" applyAlignment="1">
      <alignment horizontal="center" vertical="center"/>
    </xf>
    <xf numFmtId="165" fontId="12346" fillId="8" borderId="1" xfId="0" applyNumberFormat="1" applyFont="1" applyFill="1" applyBorder="1" applyAlignment="1">
      <alignment horizontal="center" vertical="center"/>
    </xf>
    <xf numFmtId="165" fontId="12347" fillId="8" borderId="1" xfId="0" applyNumberFormat="1" applyFont="1" applyFill="1" applyBorder="1" applyAlignment="1">
      <alignment horizontal="center" vertical="center"/>
    </xf>
    <xf numFmtId="1" fontId="12348" fillId="8" borderId="1" xfId="0" applyNumberFormat="1" applyFont="1" applyFill="1" applyBorder="1" applyAlignment="1">
      <alignment horizontal="center" vertical="center"/>
    </xf>
    <xf numFmtId="1" fontId="12349" fillId="8" borderId="1" xfId="0" applyNumberFormat="1" applyFont="1" applyFill="1" applyBorder="1" applyAlignment="1">
      <alignment horizontal="center" vertical="center"/>
    </xf>
    <xf numFmtId="1" fontId="12350" fillId="8" borderId="1" xfId="0" applyNumberFormat="1" applyFont="1" applyFill="1" applyBorder="1" applyAlignment="1">
      <alignment horizontal="center" vertical="center"/>
    </xf>
    <xf numFmtId="165" fontId="12351" fillId="8" borderId="1" xfId="0" applyNumberFormat="1" applyFont="1" applyFill="1" applyBorder="1" applyAlignment="1">
      <alignment horizontal="center" vertical="center"/>
    </xf>
    <xf numFmtId="164" fontId="12352" fillId="8" borderId="1" xfId="0" applyNumberFormat="1" applyFont="1" applyFill="1" applyBorder="1" applyAlignment="1">
      <alignment horizontal="center" vertical="center"/>
    </xf>
    <xf numFmtId="164" fontId="12353" fillId="8" borderId="1" xfId="0" applyNumberFormat="1" applyFont="1" applyFill="1" applyBorder="1" applyAlignment="1">
      <alignment horizontal="center" vertical="center"/>
    </xf>
    <xf numFmtId="1" fontId="12354" fillId="8" borderId="1" xfId="0" applyNumberFormat="1" applyFont="1" applyFill="1" applyBorder="1" applyAlignment="1">
      <alignment horizontal="center" vertical="center"/>
    </xf>
    <xf numFmtId="1" fontId="12355" fillId="8" borderId="1" xfId="0" applyNumberFormat="1" applyFont="1" applyFill="1" applyBorder="1" applyAlignment="1">
      <alignment horizontal="center" vertical="center"/>
    </xf>
    <xf numFmtId="1" fontId="12356" fillId="8" borderId="1" xfId="0" applyNumberFormat="1" applyFont="1" applyFill="1" applyBorder="1" applyAlignment="1">
      <alignment horizontal="center" vertical="center"/>
    </xf>
    <xf numFmtId="165" fontId="12357" fillId="8" borderId="1" xfId="0" applyNumberFormat="1" applyFont="1" applyFill="1" applyBorder="1" applyAlignment="1">
      <alignment horizontal="center" vertical="center"/>
    </xf>
    <xf numFmtId="1" fontId="12358" fillId="8" borderId="1" xfId="0" applyNumberFormat="1" applyFont="1" applyFill="1" applyBorder="1" applyAlignment="1">
      <alignment horizontal="center" vertical="center"/>
    </xf>
    <xf numFmtId="165" fontId="12359" fillId="8" borderId="1" xfId="0" applyNumberFormat="1" applyFont="1" applyFill="1" applyBorder="1" applyAlignment="1">
      <alignment horizontal="center" vertical="center"/>
    </xf>
    <xf numFmtId="1" fontId="12360" fillId="8" borderId="1" xfId="0" applyNumberFormat="1" applyFont="1" applyFill="1" applyBorder="1" applyAlignment="1">
      <alignment horizontal="center" vertical="center"/>
    </xf>
    <xf numFmtId="1" fontId="12361" fillId="8" borderId="1" xfId="0" applyNumberFormat="1" applyFont="1" applyFill="1" applyBorder="1" applyAlignment="1">
      <alignment horizontal="center" vertical="center"/>
    </xf>
    <xf numFmtId="1" fontId="12362" fillId="8" borderId="1" xfId="0" applyNumberFormat="1" applyFont="1" applyFill="1" applyBorder="1" applyAlignment="1">
      <alignment horizontal="center" vertical="center"/>
    </xf>
    <xf numFmtId="1" fontId="12363" fillId="8" borderId="1" xfId="0" applyNumberFormat="1" applyFont="1" applyFill="1" applyBorder="1" applyAlignment="1">
      <alignment horizontal="center" vertical="center"/>
    </xf>
    <xf numFmtId="165" fontId="12364" fillId="8" borderId="1" xfId="0" applyNumberFormat="1" applyFont="1" applyFill="1" applyBorder="1" applyAlignment="1">
      <alignment horizontal="center" vertical="center"/>
    </xf>
    <xf numFmtId="1" fontId="12365" fillId="8" borderId="1" xfId="0" applyNumberFormat="1" applyFont="1" applyFill="1" applyBorder="1" applyAlignment="1">
      <alignment horizontal="center" vertical="center"/>
    </xf>
    <xf numFmtId="165" fontId="12366" fillId="8" borderId="1" xfId="0" applyNumberFormat="1" applyFont="1" applyFill="1" applyBorder="1" applyAlignment="1">
      <alignment horizontal="center" vertical="center"/>
    </xf>
    <xf numFmtId="1" fontId="12367" fillId="8" borderId="1" xfId="0" applyNumberFormat="1" applyFont="1" applyFill="1" applyBorder="1" applyAlignment="1">
      <alignment horizontal="center" vertical="center"/>
    </xf>
    <xf numFmtId="165" fontId="12368" fillId="8" borderId="1" xfId="0" applyNumberFormat="1" applyFont="1" applyFill="1" applyBorder="1" applyAlignment="1">
      <alignment horizontal="center" vertical="center"/>
    </xf>
    <xf numFmtId="2" fontId="12369" fillId="8" borderId="1" xfId="0" applyNumberFormat="1" applyFont="1" applyFill="1" applyBorder="1" applyAlignment="1">
      <alignment horizontal="center" vertical="center"/>
    </xf>
    <xf numFmtId="2" fontId="12370" fillId="8" borderId="1" xfId="0" applyNumberFormat="1" applyFont="1" applyFill="1" applyBorder="1" applyAlignment="1">
      <alignment horizontal="center" vertical="center"/>
    </xf>
    <xf numFmtId="2" fontId="12371" fillId="8" borderId="1" xfId="0" applyNumberFormat="1" applyFont="1" applyFill="1" applyBorder="1" applyAlignment="1">
      <alignment horizontal="center" vertical="center"/>
    </xf>
    <xf numFmtId="2" fontId="12372" fillId="8" borderId="1" xfId="0" applyNumberFormat="1" applyFont="1" applyFill="1" applyBorder="1" applyAlignment="1">
      <alignment horizontal="center" vertical="center"/>
    </xf>
    <xf numFmtId="2" fontId="12373" fillId="8" borderId="1" xfId="0" applyNumberFormat="1" applyFont="1" applyFill="1" applyBorder="1" applyAlignment="1">
      <alignment horizontal="center" vertical="center"/>
    </xf>
    <xf numFmtId="2" fontId="12374" fillId="8" borderId="1" xfId="0" applyNumberFormat="1" applyFont="1" applyFill="1" applyBorder="1" applyAlignment="1">
      <alignment horizontal="center" vertical="center"/>
    </xf>
    <xf numFmtId="2" fontId="12375" fillId="8" borderId="1" xfId="0" applyNumberFormat="1" applyFont="1" applyFill="1" applyBorder="1" applyAlignment="1">
      <alignment horizontal="center" vertical="center"/>
    </xf>
    <xf numFmtId="2" fontId="12376" fillId="8" borderId="1" xfId="0" applyNumberFormat="1" applyFont="1" applyFill="1" applyBorder="1" applyAlignment="1">
      <alignment horizontal="center" vertical="center"/>
    </xf>
    <xf numFmtId="2" fontId="12377" fillId="8" borderId="1" xfId="0" applyNumberFormat="1" applyFont="1" applyFill="1" applyBorder="1" applyAlignment="1">
      <alignment horizontal="center" vertical="center"/>
    </xf>
    <xf numFmtId="2" fontId="12378" fillId="8" borderId="1" xfId="0" applyNumberFormat="1" applyFont="1" applyFill="1" applyBorder="1" applyAlignment="1">
      <alignment horizontal="center" vertical="center"/>
    </xf>
    <xf numFmtId="2" fontId="12379" fillId="8" borderId="1" xfId="0" applyNumberFormat="1" applyFont="1" applyFill="1" applyBorder="1" applyAlignment="1">
      <alignment horizontal="center" vertical="center"/>
    </xf>
    <xf numFmtId="2" fontId="12380" fillId="8" borderId="1" xfId="0" applyNumberFormat="1" applyFont="1" applyFill="1" applyBorder="1" applyAlignment="1">
      <alignment horizontal="center" vertical="center"/>
    </xf>
    <xf numFmtId="2" fontId="12381" fillId="8" borderId="1" xfId="0" applyNumberFormat="1" applyFont="1" applyFill="1" applyBorder="1" applyAlignment="1">
      <alignment horizontal="center" vertical="center"/>
    </xf>
    <xf numFmtId="2" fontId="12382" fillId="8" borderId="1" xfId="0" applyNumberFormat="1" applyFont="1" applyFill="1" applyBorder="1" applyAlignment="1">
      <alignment horizontal="center" vertical="center"/>
    </xf>
    <xf numFmtId="2" fontId="12383" fillId="8" borderId="1" xfId="0" applyNumberFormat="1" applyFont="1" applyFill="1" applyBorder="1" applyAlignment="1">
      <alignment horizontal="center" vertical="center"/>
    </xf>
    <xf numFmtId="2" fontId="12384" fillId="8" borderId="1" xfId="0" applyNumberFormat="1" applyFont="1" applyFill="1" applyBorder="1" applyAlignment="1">
      <alignment horizontal="center" vertical="center"/>
    </xf>
    <xf numFmtId="2" fontId="12385" fillId="8" borderId="1" xfId="0" applyNumberFormat="1" applyFont="1" applyFill="1" applyBorder="1" applyAlignment="1">
      <alignment horizontal="center" vertical="center"/>
    </xf>
    <xf numFmtId="2" fontId="12386" fillId="8" borderId="1" xfId="0" applyNumberFormat="1" applyFont="1" applyFill="1" applyBorder="1" applyAlignment="1">
      <alignment horizontal="center" vertical="center"/>
    </xf>
    <xf numFmtId="2" fontId="12387" fillId="8" borderId="1" xfId="0" applyNumberFormat="1" applyFont="1" applyFill="1" applyBorder="1" applyAlignment="1">
      <alignment horizontal="center" vertical="center"/>
    </xf>
    <xf numFmtId="2" fontId="12388" fillId="8" borderId="1" xfId="0" applyNumberFormat="1" applyFont="1" applyFill="1" applyBorder="1" applyAlignment="1">
      <alignment horizontal="center" vertical="center"/>
    </xf>
    <xf numFmtId="2" fontId="12389" fillId="8" borderId="1" xfId="0" applyNumberFormat="1" applyFont="1" applyFill="1" applyBorder="1" applyAlignment="1">
      <alignment horizontal="center" vertical="center"/>
    </xf>
    <xf numFmtId="2" fontId="12390" fillId="8" borderId="1" xfId="0" applyNumberFormat="1" applyFont="1" applyFill="1" applyBorder="1" applyAlignment="1">
      <alignment horizontal="center" vertical="center"/>
    </xf>
    <xf numFmtId="2" fontId="12391" fillId="8" borderId="1" xfId="0" applyNumberFormat="1" applyFont="1" applyFill="1" applyBorder="1" applyAlignment="1">
      <alignment horizontal="center" vertical="center"/>
    </xf>
    <xf numFmtId="2" fontId="12392" fillId="8" borderId="1" xfId="0" applyNumberFormat="1" applyFont="1" applyFill="1" applyBorder="1" applyAlignment="1">
      <alignment horizontal="center" vertical="center"/>
    </xf>
    <xf numFmtId="2" fontId="12393" fillId="8" borderId="1" xfId="0" applyNumberFormat="1" applyFont="1" applyFill="1" applyBorder="1" applyAlignment="1">
      <alignment horizontal="center" vertical="center"/>
    </xf>
    <xf numFmtId="2" fontId="12394" fillId="8" borderId="1" xfId="0" applyNumberFormat="1" applyFont="1" applyFill="1" applyBorder="1" applyAlignment="1">
      <alignment horizontal="center" vertical="center"/>
    </xf>
    <xf numFmtId="2" fontId="12395" fillId="8" borderId="1" xfId="0" applyNumberFormat="1" applyFont="1" applyFill="1" applyBorder="1" applyAlignment="1">
      <alignment horizontal="center" vertical="center"/>
    </xf>
    <xf numFmtId="2" fontId="12396" fillId="8" borderId="1" xfId="0" applyNumberFormat="1" applyFont="1" applyFill="1" applyBorder="1" applyAlignment="1">
      <alignment horizontal="center" vertical="center"/>
    </xf>
    <xf numFmtId="2" fontId="12397" fillId="8" borderId="1" xfId="0" applyNumberFormat="1" applyFont="1" applyFill="1" applyBorder="1" applyAlignment="1">
      <alignment horizontal="center" vertical="center"/>
    </xf>
    <xf numFmtId="2" fontId="12398" fillId="8" borderId="1" xfId="0" applyNumberFormat="1" applyFont="1" applyFill="1" applyBorder="1" applyAlignment="1">
      <alignment horizontal="center" vertical="center"/>
    </xf>
    <xf numFmtId="2" fontId="12399" fillId="8" borderId="1" xfId="0" applyNumberFormat="1" applyFont="1" applyFill="1" applyBorder="1" applyAlignment="1">
      <alignment horizontal="center" vertical="center"/>
    </xf>
    <xf numFmtId="2" fontId="12400" fillId="8" borderId="1" xfId="0" applyNumberFormat="1" applyFont="1" applyFill="1" applyBorder="1" applyAlignment="1">
      <alignment horizontal="center" vertical="center"/>
    </xf>
    <xf numFmtId="2" fontId="12401" fillId="8" borderId="1" xfId="0" applyNumberFormat="1" applyFont="1" applyFill="1" applyBorder="1" applyAlignment="1">
      <alignment horizontal="center" vertical="center"/>
    </xf>
    <xf numFmtId="2" fontId="12402" fillId="8" borderId="1" xfId="0" applyNumberFormat="1" applyFont="1" applyFill="1" applyBorder="1" applyAlignment="1">
      <alignment horizontal="center" vertical="center"/>
    </xf>
    <xf numFmtId="0" fontId="12403" fillId="7" borderId="1" xfId="0" applyNumberFormat="1" applyFont="1" applyFill="1" applyBorder="1" applyAlignment="1">
      <alignment horizontal="left" vertical="center"/>
    </xf>
    <xf numFmtId="0" fontId="12404" fillId="8" borderId="1" xfId="0" applyNumberFormat="1" applyFont="1" applyFill="1" applyBorder="1" applyAlignment="1">
      <alignment horizontal="center" vertical="center"/>
    </xf>
    <xf numFmtId="164" fontId="12405" fillId="8" borderId="1" xfId="0" applyNumberFormat="1" applyFont="1" applyFill="1" applyBorder="1" applyAlignment="1">
      <alignment horizontal="center" vertical="center"/>
    </xf>
    <xf numFmtId="1" fontId="12406" fillId="8" borderId="1" xfId="0" applyNumberFormat="1" applyFont="1" applyFill="1" applyBorder="1" applyAlignment="1">
      <alignment horizontal="center" vertical="center"/>
    </xf>
    <xf numFmtId="1" fontId="12407" fillId="8" borderId="1" xfId="0" applyNumberFormat="1" applyFont="1" applyFill="1" applyBorder="1" applyAlignment="1">
      <alignment horizontal="center" vertical="center"/>
    </xf>
    <xf numFmtId="1" fontId="12408" fillId="8" borderId="1" xfId="0" applyNumberFormat="1" applyFont="1" applyFill="1" applyBorder="1" applyAlignment="1">
      <alignment horizontal="center" vertical="center"/>
    </xf>
    <xf numFmtId="1" fontId="12409" fillId="8" borderId="1" xfId="0" applyNumberFormat="1" applyFont="1" applyFill="1" applyBorder="1" applyAlignment="1">
      <alignment horizontal="center" vertical="center"/>
    </xf>
    <xf numFmtId="1" fontId="12410" fillId="8" borderId="1" xfId="0" applyNumberFormat="1" applyFont="1" applyFill="1" applyBorder="1" applyAlignment="1">
      <alignment horizontal="center" vertical="center"/>
    </xf>
    <xf numFmtId="1" fontId="12411" fillId="8" borderId="1" xfId="0" applyNumberFormat="1" applyFont="1" applyFill="1" applyBorder="1" applyAlignment="1">
      <alignment horizontal="center" vertical="center"/>
    </xf>
    <xf numFmtId="1" fontId="12412" fillId="8" borderId="1" xfId="0" applyNumberFormat="1" applyFont="1" applyFill="1" applyBorder="1" applyAlignment="1">
      <alignment horizontal="center" vertical="center"/>
    </xf>
    <xf numFmtId="0" fontId="12413" fillId="8" borderId="1" xfId="0" applyNumberFormat="1" applyFont="1" applyFill="1" applyBorder="1" applyAlignment="1">
      <alignment horizontal="center" vertical="center"/>
    </xf>
    <xf numFmtId="0" fontId="12414" fillId="8" borderId="1" xfId="0" applyNumberFormat="1" applyFont="1" applyFill="1" applyBorder="1" applyAlignment="1">
      <alignment horizontal="center" vertical="center"/>
    </xf>
    <xf numFmtId="1" fontId="12415" fillId="8" borderId="1" xfId="0" applyNumberFormat="1" applyFont="1" applyFill="1" applyBorder="1" applyAlignment="1">
      <alignment horizontal="center" vertical="center"/>
    </xf>
    <xf numFmtId="1" fontId="12416" fillId="8" borderId="1" xfId="0" applyNumberFormat="1" applyFont="1" applyFill="1" applyBorder="1" applyAlignment="1">
      <alignment horizontal="center" vertical="center"/>
    </xf>
    <xf numFmtId="1" fontId="12417" fillId="8" borderId="1" xfId="0" applyNumberFormat="1" applyFont="1" applyFill="1" applyBorder="1" applyAlignment="1">
      <alignment horizontal="center" vertical="center"/>
    </xf>
    <xf numFmtId="165" fontId="12418" fillId="8" borderId="1" xfId="0" applyNumberFormat="1" applyFont="1" applyFill="1" applyBorder="1" applyAlignment="1">
      <alignment horizontal="center" vertical="center"/>
    </xf>
    <xf numFmtId="1" fontId="12419" fillId="8" borderId="1" xfId="0" applyNumberFormat="1" applyFont="1" applyFill="1" applyBorder="1" applyAlignment="1">
      <alignment horizontal="center" vertical="center"/>
    </xf>
    <xf numFmtId="165" fontId="12420" fillId="8" borderId="1" xfId="0" applyNumberFormat="1" applyFont="1" applyFill="1" applyBorder="1" applyAlignment="1">
      <alignment horizontal="center" vertical="center"/>
    </xf>
    <xf numFmtId="1" fontId="12421" fillId="8" borderId="1" xfId="0" applyNumberFormat="1" applyFont="1" applyFill="1" applyBorder="1" applyAlignment="1">
      <alignment horizontal="center" vertical="center"/>
    </xf>
    <xf numFmtId="165" fontId="12422" fillId="8" borderId="1" xfId="0" applyNumberFormat="1" applyFont="1" applyFill="1" applyBorder="1" applyAlignment="1">
      <alignment horizontal="center" vertical="center"/>
    </xf>
    <xf numFmtId="1" fontId="12423" fillId="8" borderId="1" xfId="0" applyNumberFormat="1" applyFont="1" applyFill="1" applyBorder="1" applyAlignment="1">
      <alignment horizontal="center" vertical="center"/>
    </xf>
    <xf numFmtId="165" fontId="12424" fillId="8" borderId="1" xfId="0" applyNumberFormat="1" applyFont="1" applyFill="1" applyBorder="1" applyAlignment="1">
      <alignment horizontal="center" vertical="center"/>
    </xf>
    <xf numFmtId="165" fontId="12425" fillId="8" borderId="1" xfId="0" applyNumberFormat="1" applyFont="1" applyFill="1" applyBorder="1" applyAlignment="1">
      <alignment horizontal="center" vertical="center"/>
    </xf>
    <xf numFmtId="1" fontId="12426" fillId="8" borderId="1" xfId="0" applyNumberFormat="1" applyFont="1" applyFill="1" applyBorder="1" applyAlignment="1">
      <alignment horizontal="center" vertical="center"/>
    </xf>
    <xf numFmtId="1" fontId="12427" fillId="8" borderId="1" xfId="0" applyNumberFormat="1" applyFont="1" applyFill="1" applyBorder="1" applyAlignment="1">
      <alignment horizontal="center" vertical="center"/>
    </xf>
    <xf numFmtId="1" fontId="12428" fillId="8" borderId="1" xfId="0" applyNumberFormat="1" applyFont="1" applyFill="1" applyBorder="1" applyAlignment="1">
      <alignment horizontal="center" vertical="center"/>
    </xf>
    <xf numFmtId="165" fontId="12429" fillId="8" borderId="1" xfId="0" applyNumberFormat="1" applyFont="1" applyFill="1" applyBorder="1" applyAlignment="1">
      <alignment horizontal="center" vertical="center"/>
    </xf>
    <xf numFmtId="164" fontId="12430" fillId="8" borderId="1" xfId="0" applyNumberFormat="1" applyFont="1" applyFill="1" applyBorder="1" applyAlignment="1">
      <alignment horizontal="center" vertical="center"/>
    </xf>
    <xf numFmtId="164" fontId="12431" fillId="8" borderId="1" xfId="0" applyNumberFormat="1" applyFont="1" applyFill="1" applyBorder="1" applyAlignment="1">
      <alignment horizontal="center" vertical="center"/>
    </xf>
    <xf numFmtId="1" fontId="12432" fillId="8" borderId="1" xfId="0" applyNumberFormat="1" applyFont="1" applyFill="1" applyBorder="1" applyAlignment="1">
      <alignment horizontal="center" vertical="center"/>
    </xf>
    <xf numFmtId="1" fontId="12433" fillId="8" borderId="1" xfId="0" applyNumberFormat="1" applyFont="1" applyFill="1" applyBorder="1" applyAlignment="1">
      <alignment horizontal="center" vertical="center"/>
    </xf>
    <xf numFmtId="1" fontId="12434" fillId="8" borderId="1" xfId="0" applyNumberFormat="1" applyFont="1" applyFill="1" applyBorder="1" applyAlignment="1">
      <alignment horizontal="center" vertical="center"/>
    </xf>
    <xf numFmtId="165" fontId="12435" fillId="8" borderId="1" xfId="0" applyNumberFormat="1" applyFont="1" applyFill="1" applyBorder="1" applyAlignment="1">
      <alignment horizontal="center" vertical="center"/>
    </xf>
    <xf numFmtId="1" fontId="12436" fillId="8" borderId="1" xfId="0" applyNumberFormat="1" applyFont="1" applyFill="1" applyBorder="1" applyAlignment="1">
      <alignment horizontal="center" vertical="center"/>
    </xf>
    <xf numFmtId="165" fontId="12437" fillId="8" borderId="1" xfId="0" applyNumberFormat="1" applyFont="1" applyFill="1" applyBorder="1" applyAlignment="1">
      <alignment horizontal="center" vertical="center"/>
    </xf>
    <xf numFmtId="1" fontId="12438" fillId="8" borderId="1" xfId="0" applyNumberFormat="1" applyFont="1" applyFill="1" applyBorder="1" applyAlignment="1">
      <alignment horizontal="center" vertical="center"/>
    </xf>
    <xf numFmtId="1" fontId="12439" fillId="8" borderId="1" xfId="0" applyNumberFormat="1" applyFont="1" applyFill="1" applyBorder="1" applyAlignment="1">
      <alignment horizontal="center" vertical="center"/>
    </xf>
    <xf numFmtId="1" fontId="12440" fillId="8" borderId="1" xfId="0" applyNumberFormat="1" applyFont="1" applyFill="1" applyBorder="1" applyAlignment="1">
      <alignment horizontal="center" vertical="center"/>
    </xf>
    <xf numFmtId="1" fontId="12441" fillId="8" borderId="1" xfId="0" applyNumberFormat="1" applyFont="1" applyFill="1" applyBorder="1" applyAlignment="1">
      <alignment horizontal="center" vertical="center"/>
    </xf>
    <xf numFmtId="165" fontId="12442" fillId="8" borderId="1" xfId="0" applyNumberFormat="1" applyFont="1" applyFill="1" applyBorder="1" applyAlignment="1">
      <alignment horizontal="center" vertical="center"/>
    </xf>
    <xf numFmtId="1" fontId="12443" fillId="8" borderId="1" xfId="0" applyNumberFormat="1" applyFont="1" applyFill="1" applyBorder="1" applyAlignment="1">
      <alignment horizontal="center" vertical="center"/>
    </xf>
    <xf numFmtId="165" fontId="12444" fillId="8" borderId="1" xfId="0" applyNumberFormat="1" applyFont="1" applyFill="1" applyBorder="1" applyAlignment="1">
      <alignment horizontal="center" vertical="center"/>
    </xf>
    <xf numFmtId="1" fontId="12445" fillId="8" borderId="1" xfId="0" applyNumberFormat="1" applyFont="1" applyFill="1" applyBorder="1" applyAlignment="1">
      <alignment horizontal="center" vertical="center"/>
    </xf>
    <xf numFmtId="165" fontId="12446" fillId="8" borderId="1" xfId="0" applyNumberFormat="1" applyFont="1" applyFill="1" applyBorder="1" applyAlignment="1">
      <alignment horizontal="center" vertical="center"/>
    </xf>
    <xf numFmtId="2" fontId="12447" fillId="8" borderId="1" xfId="0" applyNumberFormat="1" applyFont="1" applyFill="1" applyBorder="1" applyAlignment="1">
      <alignment horizontal="center" vertical="center"/>
    </xf>
    <xf numFmtId="2" fontId="12448" fillId="8" borderId="1" xfId="0" applyNumberFormat="1" applyFont="1" applyFill="1" applyBorder="1" applyAlignment="1">
      <alignment horizontal="center" vertical="center"/>
    </xf>
    <xf numFmtId="2" fontId="12449" fillId="8" borderId="1" xfId="0" applyNumberFormat="1" applyFont="1" applyFill="1" applyBorder="1" applyAlignment="1">
      <alignment horizontal="center" vertical="center"/>
    </xf>
    <xf numFmtId="2" fontId="12450" fillId="8" borderId="1" xfId="0" applyNumberFormat="1" applyFont="1" applyFill="1" applyBorder="1" applyAlignment="1">
      <alignment horizontal="center" vertical="center"/>
    </xf>
    <xf numFmtId="2" fontId="12451" fillId="8" borderId="1" xfId="0" applyNumberFormat="1" applyFont="1" applyFill="1" applyBorder="1" applyAlignment="1">
      <alignment horizontal="center" vertical="center"/>
    </xf>
    <xf numFmtId="2" fontId="12452" fillId="8" borderId="1" xfId="0" applyNumberFormat="1" applyFont="1" applyFill="1" applyBorder="1" applyAlignment="1">
      <alignment horizontal="center" vertical="center"/>
    </xf>
    <xf numFmtId="2" fontId="12453" fillId="8" borderId="1" xfId="0" applyNumberFormat="1" applyFont="1" applyFill="1" applyBorder="1" applyAlignment="1">
      <alignment horizontal="center" vertical="center"/>
    </xf>
    <xf numFmtId="2" fontId="12454" fillId="8" borderId="1" xfId="0" applyNumberFormat="1" applyFont="1" applyFill="1" applyBorder="1" applyAlignment="1">
      <alignment horizontal="center" vertical="center"/>
    </xf>
    <xf numFmtId="2" fontId="12455" fillId="8" borderId="1" xfId="0" applyNumberFormat="1" applyFont="1" applyFill="1" applyBorder="1" applyAlignment="1">
      <alignment horizontal="center" vertical="center"/>
    </xf>
    <xf numFmtId="2" fontId="12456" fillId="8" borderId="1" xfId="0" applyNumberFormat="1" applyFont="1" applyFill="1" applyBorder="1" applyAlignment="1">
      <alignment horizontal="center" vertical="center"/>
    </xf>
    <xf numFmtId="2" fontId="12457" fillId="8" borderId="1" xfId="0" applyNumberFormat="1" applyFont="1" applyFill="1" applyBorder="1" applyAlignment="1">
      <alignment horizontal="center" vertical="center"/>
    </xf>
    <xf numFmtId="2" fontId="12458" fillId="8" borderId="1" xfId="0" applyNumberFormat="1" applyFont="1" applyFill="1" applyBorder="1" applyAlignment="1">
      <alignment horizontal="center" vertical="center"/>
    </xf>
    <xf numFmtId="2" fontId="12459" fillId="8" borderId="1" xfId="0" applyNumberFormat="1" applyFont="1" applyFill="1" applyBorder="1" applyAlignment="1">
      <alignment horizontal="center" vertical="center"/>
    </xf>
    <xf numFmtId="2" fontId="12460" fillId="8" borderId="1" xfId="0" applyNumberFormat="1" applyFont="1" applyFill="1" applyBorder="1" applyAlignment="1">
      <alignment horizontal="center" vertical="center"/>
    </xf>
    <xf numFmtId="2" fontId="12461" fillId="8" borderId="1" xfId="0" applyNumberFormat="1" applyFont="1" applyFill="1" applyBorder="1" applyAlignment="1">
      <alignment horizontal="center" vertical="center"/>
    </xf>
    <xf numFmtId="2" fontId="12462" fillId="8" borderId="1" xfId="0" applyNumberFormat="1" applyFont="1" applyFill="1" applyBorder="1" applyAlignment="1">
      <alignment horizontal="center" vertical="center"/>
    </xf>
    <xf numFmtId="2" fontId="12463" fillId="8" borderId="1" xfId="0" applyNumberFormat="1" applyFont="1" applyFill="1" applyBorder="1" applyAlignment="1">
      <alignment horizontal="center" vertical="center"/>
    </xf>
    <xf numFmtId="2" fontId="12464" fillId="8" borderId="1" xfId="0" applyNumberFormat="1" applyFont="1" applyFill="1" applyBorder="1" applyAlignment="1">
      <alignment horizontal="center" vertical="center"/>
    </xf>
    <xf numFmtId="2" fontId="12465" fillId="8" borderId="1" xfId="0" applyNumberFormat="1" applyFont="1" applyFill="1" applyBorder="1" applyAlignment="1">
      <alignment horizontal="center" vertical="center"/>
    </xf>
    <xf numFmtId="2" fontId="12466" fillId="8" borderId="1" xfId="0" applyNumberFormat="1" applyFont="1" applyFill="1" applyBorder="1" applyAlignment="1">
      <alignment horizontal="center" vertical="center"/>
    </xf>
    <xf numFmtId="2" fontId="12467" fillId="8" borderId="1" xfId="0" applyNumberFormat="1" applyFont="1" applyFill="1" applyBorder="1" applyAlignment="1">
      <alignment horizontal="center" vertical="center"/>
    </xf>
    <xf numFmtId="2" fontId="12468" fillId="8" borderId="1" xfId="0" applyNumberFormat="1" applyFont="1" applyFill="1" applyBorder="1" applyAlignment="1">
      <alignment horizontal="center" vertical="center"/>
    </xf>
    <xf numFmtId="2" fontId="12469" fillId="8" borderId="1" xfId="0" applyNumberFormat="1" applyFont="1" applyFill="1" applyBorder="1" applyAlignment="1">
      <alignment horizontal="center" vertical="center"/>
    </xf>
    <xf numFmtId="2" fontId="12470" fillId="8" borderId="1" xfId="0" applyNumberFormat="1" applyFont="1" applyFill="1" applyBorder="1" applyAlignment="1">
      <alignment horizontal="center" vertical="center"/>
    </xf>
    <xf numFmtId="2" fontId="12471" fillId="8" borderId="1" xfId="0" applyNumberFormat="1" applyFont="1" applyFill="1" applyBorder="1" applyAlignment="1">
      <alignment horizontal="center" vertical="center"/>
    </xf>
    <xf numFmtId="2" fontId="12472" fillId="8" borderId="1" xfId="0" applyNumberFormat="1" applyFont="1" applyFill="1" applyBorder="1" applyAlignment="1">
      <alignment horizontal="center" vertical="center"/>
    </xf>
    <xf numFmtId="2" fontId="12473" fillId="8" borderId="1" xfId="0" applyNumberFormat="1" applyFont="1" applyFill="1" applyBorder="1" applyAlignment="1">
      <alignment horizontal="center" vertical="center"/>
    </xf>
    <xf numFmtId="2" fontId="12474" fillId="8" borderId="1" xfId="0" applyNumberFormat="1" applyFont="1" applyFill="1" applyBorder="1" applyAlignment="1">
      <alignment horizontal="center" vertical="center"/>
    </xf>
    <xf numFmtId="2" fontId="12475" fillId="8" borderId="1" xfId="0" applyNumberFormat="1" applyFont="1" applyFill="1" applyBorder="1" applyAlignment="1">
      <alignment horizontal="center" vertical="center"/>
    </xf>
    <xf numFmtId="2" fontId="12476" fillId="8" borderId="1" xfId="0" applyNumberFormat="1" applyFont="1" applyFill="1" applyBorder="1" applyAlignment="1">
      <alignment horizontal="center" vertical="center"/>
    </xf>
    <xf numFmtId="2" fontId="12477" fillId="8" borderId="1" xfId="0" applyNumberFormat="1" applyFont="1" applyFill="1" applyBorder="1" applyAlignment="1">
      <alignment horizontal="center" vertical="center"/>
    </xf>
    <xf numFmtId="2" fontId="12478" fillId="8" borderId="1" xfId="0" applyNumberFormat="1" applyFont="1" applyFill="1" applyBorder="1" applyAlignment="1">
      <alignment horizontal="center" vertical="center"/>
    </xf>
    <xf numFmtId="2" fontId="12479" fillId="8" borderId="1" xfId="0" applyNumberFormat="1" applyFont="1" applyFill="1" applyBorder="1" applyAlignment="1">
      <alignment horizontal="center" vertical="center"/>
    </xf>
    <xf numFmtId="2" fontId="12480" fillId="8" borderId="1" xfId="0" applyNumberFormat="1" applyFont="1" applyFill="1" applyBorder="1" applyAlignment="1">
      <alignment horizontal="center" vertical="center"/>
    </xf>
    <xf numFmtId="0" fontId="12481" fillId="7" borderId="1" xfId="0" applyNumberFormat="1" applyFont="1" applyFill="1" applyBorder="1" applyAlignment="1">
      <alignment horizontal="left" vertical="center"/>
    </xf>
    <xf numFmtId="0" fontId="12482" fillId="8" borderId="1" xfId="0" applyNumberFormat="1" applyFont="1" applyFill="1" applyBorder="1" applyAlignment="1">
      <alignment horizontal="center" vertical="center"/>
    </xf>
    <xf numFmtId="164" fontId="12483" fillId="8" borderId="1" xfId="0" applyNumberFormat="1" applyFont="1" applyFill="1" applyBorder="1" applyAlignment="1">
      <alignment horizontal="center" vertical="center"/>
    </xf>
    <xf numFmtId="1" fontId="12484" fillId="8" borderId="1" xfId="0" applyNumberFormat="1" applyFont="1" applyFill="1" applyBorder="1" applyAlignment="1">
      <alignment horizontal="center" vertical="center"/>
    </xf>
    <xf numFmtId="1" fontId="12485" fillId="8" borderId="1" xfId="0" applyNumberFormat="1" applyFont="1" applyFill="1" applyBorder="1" applyAlignment="1">
      <alignment horizontal="center" vertical="center"/>
    </xf>
    <xf numFmtId="1" fontId="12486" fillId="8" borderId="1" xfId="0" applyNumberFormat="1" applyFont="1" applyFill="1" applyBorder="1" applyAlignment="1">
      <alignment horizontal="center" vertical="center"/>
    </xf>
    <xf numFmtId="1" fontId="12487" fillId="8" borderId="1" xfId="0" applyNumberFormat="1" applyFont="1" applyFill="1" applyBorder="1" applyAlignment="1">
      <alignment horizontal="center" vertical="center"/>
    </xf>
    <xf numFmtId="1" fontId="12488" fillId="8" borderId="1" xfId="0" applyNumberFormat="1" applyFont="1" applyFill="1" applyBorder="1" applyAlignment="1">
      <alignment horizontal="center" vertical="center"/>
    </xf>
    <xf numFmtId="1" fontId="12489" fillId="8" borderId="1" xfId="0" applyNumberFormat="1" applyFont="1" applyFill="1" applyBorder="1" applyAlignment="1">
      <alignment horizontal="center" vertical="center"/>
    </xf>
    <xf numFmtId="1" fontId="12490" fillId="8" borderId="1" xfId="0" applyNumberFormat="1" applyFont="1" applyFill="1" applyBorder="1" applyAlignment="1">
      <alignment horizontal="center" vertical="center"/>
    </xf>
    <xf numFmtId="0" fontId="12491" fillId="8" borderId="1" xfId="0" applyNumberFormat="1" applyFont="1" applyFill="1" applyBorder="1" applyAlignment="1">
      <alignment horizontal="center" vertical="center"/>
    </xf>
    <xf numFmtId="0" fontId="12492" fillId="8" borderId="1" xfId="0" applyNumberFormat="1" applyFont="1" applyFill="1" applyBorder="1" applyAlignment="1">
      <alignment horizontal="center" vertical="center"/>
    </xf>
    <xf numFmtId="1" fontId="12493" fillId="8" borderId="1" xfId="0" applyNumberFormat="1" applyFont="1" applyFill="1" applyBorder="1" applyAlignment="1">
      <alignment horizontal="center" vertical="center"/>
    </xf>
    <xf numFmtId="1" fontId="12494" fillId="8" borderId="1" xfId="0" applyNumberFormat="1" applyFont="1" applyFill="1" applyBorder="1" applyAlignment="1">
      <alignment horizontal="center" vertical="center"/>
    </xf>
    <xf numFmtId="1" fontId="12495" fillId="8" borderId="1" xfId="0" applyNumberFormat="1" applyFont="1" applyFill="1" applyBorder="1" applyAlignment="1">
      <alignment horizontal="center" vertical="center"/>
    </xf>
    <xf numFmtId="165" fontId="12496" fillId="8" borderId="1" xfId="0" applyNumberFormat="1" applyFont="1" applyFill="1" applyBorder="1" applyAlignment="1">
      <alignment horizontal="center" vertical="center"/>
    </xf>
    <xf numFmtId="1" fontId="12497" fillId="8" borderId="1" xfId="0" applyNumberFormat="1" applyFont="1" applyFill="1" applyBorder="1" applyAlignment="1">
      <alignment horizontal="center" vertical="center"/>
    </xf>
    <xf numFmtId="165" fontId="12498" fillId="8" borderId="1" xfId="0" applyNumberFormat="1" applyFont="1" applyFill="1" applyBorder="1" applyAlignment="1">
      <alignment horizontal="center" vertical="center"/>
    </xf>
    <xf numFmtId="1" fontId="12499" fillId="8" borderId="1" xfId="0" applyNumberFormat="1" applyFont="1" applyFill="1" applyBorder="1" applyAlignment="1">
      <alignment horizontal="center" vertical="center"/>
    </xf>
    <xf numFmtId="165" fontId="12500" fillId="8" borderId="1" xfId="0" applyNumberFormat="1" applyFont="1" applyFill="1" applyBorder="1" applyAlignment="1">
      <alignment horizontal="center" vertical="center"/>
    </xf>
    <xf numFmtId="1" fontId="12501" fillId="8" borderId="1" xfId="0" applyNumberFormat="1" applyFont="1" applyFill="1" applyBorder="1" applyAlignment="1">
      <alignment horizontal="center" vertical="center"/>
    </xf>
    <xf numFmtId="165" fontId="12502" fillId="8" borderId="1" xfId="0" applyNumberFormat="1" applyFont="1" applyFill="1" applyBorder="1" applyAlignment="1">
      <alignment horizontal="center" vertical="center"/>
    </xf>
    <xf numFmtId="165" fontId="12503" fillId="8" borderId="1" xfId="0" applyNumberFormat="1" applyFont="1" applyFill="1" applyBorder="1" applyAlignment="1">
      <alignment horizontal="center" vertical="center"/>
    </xf>
    <xf numFmtId="1" fontId="12504" fillId="8" borderId="1" xfId="0" applyNumberFormat="1" applyFont="1" applyFill="1" applyBorder="1" applyAlignment="1">
      <alignment horizontal="center" vertical="center"/>
    </xf>
    <xf numFmtId="1" fontId="12505" fillId="8" borderId="1" xfId="0" applyNumberFormat="1" applyFont="1" applyFill="1" applyBorder="1" applyAlignment="1">
      <alignment horizontal="center" vertical="center"/>
    </xf>
    <xf numFmtId="1" fontId="12506" fillId="8" borderId="1" xfId="0" applyNumberFormat="1" applyFont="1" applyFill="1" applyBorder="1" applyAlignment="1">
      <alignment horizontal="center" vertical="center"/>
    </xf>
    <xf numFmtId="165" fontId="12507" fillId="8" borderId="1" xfId="0" applyNumberFormat="1" applyFont="1" applyFill="1" applyBorder="1" applyAlignment="1">
      <alignment horizontal="center" vertical="center"/>
    </xf>
    <xf numFmtId="164" fontId="12508" fillId="8" borderId="1" xfId="0" applyNumberFormat="1" applyFont="1" applyFill="1" applyBorder="1" applyAlignment="1">
      <alignment horizontal="center" vertical="center"/>
    </xf>
    <xf numFmtId="164" fontId="12509" fillId="8" borderId="1" xfId="0" applyNumberFormat="1" applyFont="1" applyFill="1" applyBorder="1" applyAlignment="1">
      <alignment horizontal="center" vertical="center"/>
    </xf>
    <xf numFmtId="1" fontId="12510" fillId="8" borderId="1" xfId="0" applyNumberFormat="1" applyFont="1" applyFill="1" applyBorder="1" applyAlignment="1">
      <alignment horizontal="center" vertical="center"/>
    </xf>
    <xf numFmtId="1" fontId="12511" fillId="8" borderId="1" xfId="0" applyNumberFormat="1" applyFont="1" applyFill="1" applyBorder="1" applyAlignment="1">
      <alignment horizontal="center" vertical="center"/>
    </xf>
    <xf numFmtId="1" fontId="12512" fillId="8" borderId="1" xfId="0" applyNumberFormat="1" applyFont="1" applyFill="1" applyBorder="1" applyAlignment="1">
      <alignment horizontal="center" vertical="center"/>
    </xf>
    <xf numFmtId="165" fontId="12513" fillId="8" borderId="1" xfId="0" applyNumberFormat="1" applyFont="1" applyFill="1" applyBorder="1" applyAlignment="1">
      <alignment horizontal="center" vertical="center"/>
    </xf>
    <xf numFmtId="1" fontId="12514" fillId="8" borderId="1" xfId="0" applyNumberFormat="1" applyFont="1" applyFill="1" applyBorder="1" applyAlignment="1">
      <alignment horizontal="center" vertical="center"/>
    </xf>
    <xf numFmtId="165" fontId="12515" fillId="8" borderId="1" xfId="0" applyNumberFormat="1" applyFont="1" applyFill="1" applyBorder="1" applyAlignment="1">
      <alignment horizontal="center" vertical="center"/>
    </xf>
    <xf numFmtId="1" fontId="12516" fillId="8" borderId="1" xfId="0" applyNumberFormat="1" applyFont="1" applyFill="1" applyBorder="1" applyAlignment="1">
      <alignment horizontal="center" vertical="center"/>
    </xf>
    <xf numFmtId="1" fontId="12517" fillId="8" borderId="1" xfId="0" applyNumberFormat="1" applyFont="1" applyFill="1" applyBorder="1" applyAlignment="1">
      <alignment horizontal="center" vertical="center"/>
    </xf>
    <xf numFmtId="1" fontId="12518" fillId="8" borderId="1" xfId="0" applyNumberFormat="1" applyFont="1" applyFill="1" applyBorder="1" applyAlignment="1">
      <alignment horizontal="center" vertical="center"/>
    </xf>
    <xf numFmtId="1" fontId="12519" fillId="8" borderId="1" xfId="0" applyNumberFormat="1" applyFont="1" applyFill="1" applyBorder="1" applyAlignment="1">
      <alignment horizontal="center" vertical="center"/>
    </xf>
    <xf numFmtId="165" fontId="12520" fillId="8" borderId="1" xfId="0" applyNumberFormat="1" applyFont="1" applyFill="1" applyBorder="1" applyAlignment="1">
      <alignment horizontal="center" vertical="center"/>
    </xf>
    <xf numFmtId="1" fontId="12521" fillId="8" borderId="1" xfId="0" applyNumberFormat="1" applyFont="1" applyFill="1" applyBorder="1" applyAlignment="1">
      <alignment horizontal="center" vertical="center"/>
    </xf>
    <xf numFmtId="165" fontId="12522" fillId="8" borderId="1" xfId="0" applyNumberFormat="1" applyFont="1" applyFill="1" applyBorder="1" applyAlignment="1">
      <alignment horizontal="center" vertical="center"/>
    </xf>
    <xf numFmtId="1" fontId="12523" fillId="8" borderId="1" xfId="0" applyNumberFormat="1" applyFont="1" applyFill="1" applyBorder="1" applyAlignment="1">
      <alignment horizontal="center" vertical="center"/>
    </xf>
    <xf numFmtId="165" fontId="12524" fillId="8" borderId="1" xfId="0" applyNumberFormat="1" applyFont="1" applyFill="1" applyBorder="1" applyAlignment="1">
      <alignment horizontal="center" vertical="center"/>
    </xf>
    <xf numFmtId="2" fontId="12525" fillId="8" borderId="1" xfId="0" applyNumberFormat="1" applyFont="1" applyFill="1" applyBorder="1" applyAlignment="1">
      <alignment horizontal="center" vertical="center"/>
    </xf>
    <xf numFmtId="2" fontId="12526" fillId="8" borderId="1" xfId="0" applyNumberFormat="1" applyFont="1" applyFill="1" applyBorder="1" applyAlignment="1">
      <alignment horizontal="center" vertical="center"/>
    </xf>
    <xf numFmtId="2" fontId="12527" fillId="8" borderId="1" xfId="0" applyNumberFormat="1" applyFont="1" applyFill="1" applyBorder="1" applyAlignment="1">
      <alignment horizontal="center" vertical="center"/>
    </xf>
    <xf numFmtId="2" fontId="12528" fillId="8" borderId="1" xfId="0" applyNumberFormat="1" applyFont="1" applyFill="1" applyBorder="1" applyAlignment="1">
      <alignment horizontal="center" vertical="center"/>
    </xf>
    <xf numFmtId="2" fontId="12529" fillId="8" borderId="1" xfId="0" applyNumberFormat="1" applyFont="1" applyFill="1" applyBorder="1" applyAlignment="1">
      <alignment horizontal="center" vertical="center"/>
    </xf>
    <xf numFmtId="2" fontId="12530" fillId="8" borderId="1" xfId="0" applyNumberFormat="1" applyFont="1" applyFill="1" applyBorder="1" applyAlignment="1">
      <alignment horizontal="center" vertical="center"/>
    </xf>
    <xf numFmtId="2" fontId="12531" fillId="8" borderId="1" xfId="0" applyNumberFormat="1" applyFont="1" applyFill="1" applyBorder="1" applyAlignment="1">
      <alignment horizontal="center" vertical="center"/>
    </xf>
    <xf numFmtId="2" fontId="12532" fillId="8" borderId="1" xfId="0" applyNumberFormat="1" applyFont="1" applyFill="1" applyBorder="1" applyAlignment="1">
      <alignment horizontal="center" vertical="center"/>
    </xf>
    <xf numFmtId="2" fontId="12533" fillId="8" borderId="1" xfId="0" applyNumberFormat="1" applyFont="1" applyFill="1" applyBorder="1" applyAlignment="1">
      <alignment horizontal="center" vertical="center"/>
    </xf>
    <xf numFmtId="2" fontId="12534" fillId="8" borderId="1" xfId="0" applyNumberFormat="1" applyFont="1" applyFill="1" applyBorder="1" applyAlignment="1">
      <alignment horizontal="center" vertical="center"/>
    </xf>
    <xf numFmtId="2" fontId="12535" fillId="8" borderId="1" xfId="0" applyNumberFormat="1" applyFont="1" applyFill="1" applyBorder="1" applyAlignment="1">
      <alignment horizontal="center" vertical="center"/>
    </xf>
    <xf numFmtId="2" fontId="12536" fillId="8" borderId="1" xfId="0" applyNumberFormat="1" applyFont="1" applyFill="1" applyBorder="1" applyAlignment="1">
      <alignment horizontal="center" vertical="center"/>
    </xf>
    <xf numFmtId="2" fontId="12537" fillId="8" borderId="1" xfId="0" applyNumberFormat="1" applyFont="1" applyFill="1" applyBorder="1" applyAlignment="1">
      <alignment horizontal="center" vertical="center"/>
    </xf>
    <xf numFmtId="2" fontId="12538" fillId="8" borderId="1" xfId="0" applyNumberFormat="1" applyFont="1" applyFill="1" applyBorder="1" applyAlignment="1">
      <alignment horizontal="center" vertical="center"/>
    </xf>
    <xf numFmtId="2" fontId="12539" fillId="8" borderId="1" xfId="0" applyNumberFormat="1" applyFont="1" applyFill="1" applyBorder="1" applyAlignment="1">
      <alignment horizontal="center" vertical="center"/>
    </xf>
    <xf numFmtId="2" fontId="12540" fillId="8" borderId="1" xfId="0" applyNumberFormat="1" applyFont="1" applyFill="1" applyBorder="1" applyAlignment="1">
      <alignment horizontal="center" vertical="center"/>
    </xf>
    <xf numFmtId="2" fontId="12541" fillId="8" borderId="1" xfId="0" applyNumberFormat="1" applyFont="1" applyFill="1" applyBorder="1" applyAlignment="1">
      <alignment horizontal="center" vertical="center"/>
    </xf>
    <xf numFmtId="2" fontId="12542" fillId="8" borderId="1" xfId="0" applyNumberFormat="1" applyFont="1" applyFill="1" applyBorder="1" applyAlignment="1">
      <alignment horizontal="center" vertical="center"/>
    </xf>
    <xf numFmtId="2" fontId="12543" fillId="8" borderId="1" xfId="0" applyNumberFormat="1" applyFont="1" applyFill="1" applyBorder="1" applyAlignment="1">
      <alignment horizontal="center" vertical="center"/>
    </xf>
    <xf numFmtId="2" fontId="12544" fillId="8" borderId="1" xfId="0" applyNumberFormat="1" applyFont="1" applyFill="1" applyBorder="1" applyAlignment="1">
      <alignment horizontal="center" vertical="center"/>
    </xf>
    <xf numFmtId="2" fontId="12545" fillId="8" borderId="1" xfId="0" applyNumberFormat="1" applyFont="1" applyFill="1" applyBorder="1" applyAlignment="1">
      <alignment horizontal="center" vertical="center"/>
    </xf>
    <xf numFmtId="2" fontId="12546" fillId="8" borderId="1" xfId="0" applyNumberFormat="1" applyFont="1" applyFill="1" applyBorder="1" applyAlignment="1">
      <alignment horizontal="center" vertical="center"/>
    </xf>
    <xf numFmtId="2" fontId="12547" fillId="8" borderId="1" xfId="0" applyNumberFormat="1" applyFont="1" applyFill="1" applyBorder="1" applyAlignment="1">
      <alignment horizontal="center" vertical="center"/>
    </xf>
    <xf numFmtId="2" fontId="12548" fillId="8" borderId="1" xfId="0" applyNumberFormat="1" applyFont="1" applyFill="1" applyBorder="1" applyAlignment="1">
      <alignment horizontal="center" vertical="center"/>
    </xf>
    <xf numFmtId="2" fontId="12549" fillId="8" borderId="1" xfId="0" applyNumberFormat="1" applyFont="1" applyFill="1" applyBorder="1" applyAlignment="1">
      <alignment horizontal="center" vertical="center"/>
    </xf>
    <xf numFmtId="2" fontId="12550" fillId="8" borderId="1" xfId="0" applyNumberFormat="1" applyFont="1" applyFill="1" applyBorder="1" applyAlignment="1">
      <alignment horizontal="center" vertical="center"/>
    </xf>
    <xf numFmtId="2" fontId="12551" fillId="8" borderId="1" xfId="0" applyNumberFormat="1" applyFont="1" applyFill="1" applyBorder="1" applyAlignment="1">
      <alignment horizontal="center" vertical="center"/>
    </xf>
    <xf numFmtId="2" fontId="12552" fillId="8" borderId="1" xfId="0" applyNumberFormat="1" applyFont="1" applyFill="1" applyBorder="1" applyAlignment="1">
      <alignment horizontal="center" vertical="center"/>
    </xf>
    <xf numFmtId="2" fontId="12553" fillId="8" borderId="1" xfId="0" applyNumberFormat="1" applyFont="1" applyFill="1" applyBorder="1" applyAlignment="1">
      <alignment horizontal="center" vertical="center"/>
    </xf>
    <xf numFmtId="2" fontId="12554" fillId="8" borderId="1" xfId="0" applyNumberFormat="1" applyFont="1" applyFill="1" applyBorder="1" applyAlignment="1">
      <alignment horizontal="center" vertical="center"/>
    </xf>
    <xf numFmtId="2" fontId="12555" fillId="8" borderId="1" xfId="0" applyNumberFormat="1" applyFont="1" applyFill="1" applyBorder="1" applyAlignment="1">
      <alignment horizontal="center" vertical="center"/>
    </xf>
    <xf numFmtId="2" fontId="12556" fillId="8" borderId="1" xfId="0" applyNumberFormat="1" applyFont="1" applyFill="1" applyBorder="1" applyAlignment="1">
      <alignment horizontal="center" vertical="center"/>
    </xf>
    <xf numFmtId="2" fontId="12557" fillId="8" borderId="1" xfId="0" applyNumberFormat="1" applyFont="1" applyFill="1" applyBorder="1" applyAlignment="1">
      <alignment horizontal="center" vertical="center"/>
    </xf>
    <xf numFmtId="2" fontId="12558" fillId="8" borderId="1" xfId="0" applyNumberFormat="1" applyFont="1" applyFill="1" applyBorder="1" applyAlignment="1">
      <alignment horizontal="center" vertical="center"/>
    </xf>
    <xf numFmtId="0" fontId="12559" fillId="7" borderId="1" xfId="0" applyNumberFormat="1" applyFont="1" applyFill="1" applyBorder="1" applyAlignment="1">
      <alignment horizontal="left" vertical="center"/>
    </xf>
    <xf numFmtId="0" fontId="12560" fillId="8" borderId="1" xfId="0" applyNumberFormat="1" applyFont="1" applyFill="1" applyBorder="1" applyAlignment="1">
      <alignment horizontal="center" vertical="center"/>
    </xf>
    <xf numFmtId="164" fontId="12561" fillId="8" borderId="1" xfId="0" applyNumberFormat="1" applyFont="1" applyFill="1" applyBorder="1" applyAlignment="1">
      <alignment horizontal="center" vertical="center"/>
    </xf>
    <xf numFmtId="1" fontId="12562" fillId="8" borderId="1" xfId="0" applyNumberFormat="1" applyFont="1" applyFill="1" applyBorder="1" applyAlignment="1">
      <alignment horizontal="center" vertical="center"/>
    </xf>
    <xf numFmtId="1" fontId="12563" fillId="8" borderId="1" xfId="0" applyNumberFormat="1" applyFont="1" applyFill="1" applyBorder="1" applyAlignment="1">
      <alignment horizontal="center" vertical="center"/>
    </xf>
    <xf numFmtId="1" fontId="12564" fillId="8" borderId="1" xfId="0" applyNumberFormat="1" applyFont="1" applyFill="1" applyBorder="1" applyAlignment="1">
      <alignment horizontal="center" vertical="center"/>
    </xf>
    <xf numFmtId="1" fontId="12565" fillId="8" borderId="1" xfId="0" applyNumberFormat="1" applyFont="1" applyFill="1" applyBorder="1" applyAlignment="1">
      <alignment horizontal="center" vertical="center"/>
    </xf>
    <xf numFmtId="1" fontId="12566" fillId="8" borderId="1" xfId="0" applyNumberFormat="1" applyFont="1" applyFill="1" applyBorder="1" applyAlignment="1">
      <alignment horizontal="center" vertical="center"/>
    </xf>
    <xf numFmtId="1" fontId="12567" fillId="8" borderId="1" xfId="0" applyNumberFormat="1" applyFont="1" applyFill="1" applyBorder="1" applyAlignment="1">
      <alignment horizontal="center" vertical="center"/>
    </xf>
    <xf numFmtId="1" fontId="12568" fillId="8" borderId="1" xfId="0" applyNumberFormat="1" applyFont="1" applyFill="1" applyBorder="1" applyAlignment="1">
      <alignment horizontal="center" vertical="center"/>
    </xf>
    <xf numFmtId="0" fontId="12569" fillId="8" borderId="1" xfId="0" applyNumberFormat="1" applyFont="1" applyFill="1" applyBorder="1" applyAlignment="1">
      <alignment horizontal="center" vertical="center"/>
    </xf>
    <xf numFmtId="0" fontId="12570" fillId="8" borderId="1" xfId="0" applyNumberFormat="1" applyFont="1" applyFill="1" applyBorder="1" applyAlignment="1">
      <alignment horizontal="center" vertical="center"/>
    </xf>
    <xf numFmtId="1" fontId="12571" fillId="8" borderId="1" xfId="0" applyNumberFormat="1" applyFont="1" applyFill="1" applyBorder="1" applyAlignment="1">
      <alignment horizontal="center" vertical="center"/>
    </xf>
    <xf numFmtId="1" fontId="12572" fillId="8" borderId="1" xfId="0" applyNumberFormat="1" applyFont="1" applyFill="1" applyBorder="1" applyAlignment="1">
      <alignment horizontal="center" vertical="center"/>
    </xf>
    <xf numFmtId="1" fontId="12573" fillId="8" borderId="1" xfId="0" applyNumberFormat="1" applyFont="1" applyFill="1" applyBorder="1" applyAlignment="1">
      <alignment horizontal="center" vertical="center"/>
    </xf>
    <xf numFmtId="165" fontId="12574" fillId="8" borderId="1" xfId="0" applyNumberFormat="1" applyFont="1" applyFill="1" applyBorder="1" applyAlignment="1">
      <alignment horizontal="center" vertical="center"/>
    </xf>
    <xf numFmtId="1" fontId="12575" fillId="8" borderId="1" xfId="0" applyNumberFormat="1" applyFont="1" applyFill="1" applyBorder="1" applyAlignment="1">
      <alignment horizontal="center" vertical="center"/>
    </xf>
    <xf numFmtId="165" fontId="12576" fillId="8" borderId="1" xfId="0" applyNumberFormat="1" applyFont="1" applyFill="1" applyBorder="1" applyAlignment="1">
      <alignment horizontal="center" vertical="center"/>
    </xf>
    <xf numFmtId="1" fontId="12577" fillId="8" borderId="1" xfId="0" applyNumberFormat="1" applyFont="1" applyFill="1" applyBorder="1" applyAlignment="1">
      <alignment horizontal="center" vertical="center"/>
    </xf>
    <xf numFmtId="165" fontId="12578" fillId="8" borderId="1" xfId="0" applyNumberFormat="1" applyFont="1" applyFill="1" applyBorder="1" applyAlignment="1">
      <alignment horizontal="center" vertical="center"/>
    </xf>
    <xf numFmtId="1" fontId="12579" fillId="8" borderId="1" xfId="0" applyNumberFormat="1" applyFont="1" applyFill="1" applyBorder="1" applyAlignment="1">
      <alignment horizontal="center" vertical="center"/>
    </xf>
    <xf numFmtId="165" fontId="12580" fillId="8" borderId="1" xfId="0" applyNumberFormat="1" applyFont="1" applyFill="1" applyBorder="1" applyAlignment="1">
      <alignment horizontal="center" vertical="center"/>
    </xf>
    <xf numFmtId="165" fontId="12581" fillId="8" borderId="1" xfId="0" applyNumberFormat="1" applyFont="1" applyFill="1" applyBorder="1" applyAlignment="1">
      <alignment horizontal="center" vertical="center"/>
    </xf>
    <xf numFmtId="1" fontId="12582" fillId="8" borderId="1" xfId="0" applyNumberFormat="1" applyFont="1" applyFill="1" applyBorder="1" applyAlignment="1">
      <alignment horizontal="center" vertical="center"/>
    </xf>
    <xf numFmtId="1" fontId="12583" fillId="8" borderId="1" xfId="0" applyNumberFormat="1" applyFont="1" applyFill="1" applyBorder="1" applyAlignment="1">
      <alignment horizontal="center" vertical="center"/>
    </xf>
    <xf numFmtId="1" fontId="12584" fillId="8" borderId="1" xfId="0" applyNumberFormat="1" applyFont="1" applyFill="1" applyBorder="1" applyAlignment="1">
      <alignment horizontal="center" vertical="center"/>
    </xf>
    <xf numFmtId="165" fontId="12585" fillId="8" borderId="1" xfId="0" applyNumberFormat="1" applyFont="1" applyFill="1" applyBorder="1" applyAlignment="1">
      <alignment horizontal="center" vertical="center"/>
    </xf>
    <xf numFmtId="164" fontId="12586" fillId="8" borderId="1" xfId="0" applyNumberFormat="1" applyFont="1" applyFill="1" applyBorder="1" applyAlignment="1">
      <alignment horizontal="center" vertical="center"/>
    </xf>
    <xf numFmtId="164" fontId="12587" fillId="8" borderId="1" xfId="0" applyNumberFormat="1" applyFont="1" applyFill="1" applyBorder="1" applyAlignment="1">
      <alignment horizontal="center" vertical="center"/>
    </xf>
    <xf numFmtId="1" fontId="12588" fillId="8" borderId="1" xfId="0" applyNumberFormat="1" applyFont="1" applyFill="1" applyBorder="1" applyAlignment="1">
      <alignment horizontal="center" vertical="center"/>
    </xf>
    <xf numFmtId="1" fontId="12589" fillId="8" borderId="1" xfId="0" applyNumberFormat="1" applyFont="1" applyFill="1" applyBorder="1" applyAlignment="1">
      <alignment horizontal="center" vertical="center"/>
    </xf>
    <xf numFmtId="1" fontId="12590" fillId="8" borderId="1" xfId="0" applyNumberFormat="1" applyFont="1" applyFill="1" applyBorder="1" applyAlignment="1">
      <alignment horizontal="center" vertical="center"/>
    </xf>
    <xf numFmtId="165" fontId="12591" fillId="8" borderId="1" xfId="0" applyNumberFormat="1" applyFont="1" applyFill="1" applyBorder="1" applyAlignment="1">
      <alignment horizontal="center" vertical="center"/>
    </xf>
    <xf numFmtId="1" fontId="12592" fillId="8" borderId="1" xfId="0" applyNumberFormat="1" applyFont="1" applyFill="1" applyBorder="1" applyAlignment="1">
      <alignment horizontal="center" vertical="center"/>
    </xf>
    <xf numFmtId="165" fontId="12593" fillId="8" borderId="1" xfId="0" applyNumberFormat="1" applyFont="1" applyFill="1" applyBorder="1" applyAlignment="1">
      <alignment horizontal="center" vertical="center"/>
    </xf>
    <xf numFmtId="1" fontId="12594" fillId="8" borderId="1" xfId="0" applyNumberFormat="1" applyFont="1" applyFill="1" applyBorder="1" applyAlignment="1">
      <alignment horizontal="center" vertical="center"/>
    </xf>
    <xf numFmtId="1" fontId="12595" fillId="8" borderId="1" xfId="0" applyNumberFormat="1" applyFont="1" applyFill="1" applyBorder="1" applyAlignment="1">
      <alignment horizontal="center" vertical="center"/>
    </xf>
    <xf numFmtId="1" fontId="12596" fillId="8" borderId="1" xfId="0" applyNumberFormat="1" applyFont="1" applyFill="1" applyBorder="1" applyAlignment="1">
      <alignment horizontal="center" vertical="center"/>
    </xf>
    <xf numFmtId="1" fontId="12597" fillId="8" borderId="1" xfId="0" applyNumberFormat="1" applyFont="1" applyFill="1" applyBorder="1" applyAlignment="1">
      <alignment horizontal="center" vertical="center"/>
    </xf>
    <xf numFmtId="165" fontId="12598" fillId="8" borderId="1" xfId="0" applyNumberFormat="1" applyFont="1" applyFill="1" applyBorder="1" applyAlignment="1">
      <alignment horizontal="center" vertical="center"/>
    </xf>
    <xf numFmtId="1" fontId="12599" fillId="8" borderId="1" xfId="0" applyNumberFormat="1" applyFont="1" applyFill="1" applyBorder="1" applyAlignment="1">
      <alignment horizontal="center" vertical="center"/>
    </xf>
    <xf numFmtId="165" fontId="12600" fillId="8" borderId="1" xfId="0" applyNumberFormat="1" applyFont="1" applyFill="1" applyBorder="1" applyAlignment="1">
      <alignment horizontal="center" vertical="center"/>
    </xf>
    <xf numFmtId="1" fontId="12601" fillId="8" borderId="1" xfId="0" applyNumberFormat="1" applyFont="1" applyFill="1" applyBorder="1" applyAlignment="1">
      <alignment horizontal="center" vertical="center"/>
    </xf>
    <xf numFmtId="165" fontId="12602" fillId="8" borderId="1" xfId="0" applyNumberFormat="1" applyFont="1" applyFill="1" applyBorder="1" applyAlignment="1">
      <alignment horizontal="center" vertical="center"/>
    </xf>
    <xf numFmtId="2" fontId="12603" fillId="8" borderId="1" xfId="0" applyNumberFormat="1" applyFont="1" applyFill="1" applyBorder="1" applyAlignment="1">
      <alignment horizontal="center" vertical="center"/>
    </xf>
    <xf numFmtId="2" fontId="12604" fillId="8" borderId="1" xfId="0" applyNumberFormat="1" applyFont="1" applyFill="1" applyBorder="1" applyAlignment="1">
      <alignment horizontal="center" vertical="center"/>
    </xf>
    <xf numFmtId="2" fontId="12605" fillId="8" borderId="1" xfId="0" applyNumberFormat="1" applyFont="1" applyFill="1" applyBorder="1" applyAlignment="1">
      <alignment horizontal="center" vertical="center"/>
    </xf>
    <xf numFmtId="2" fontId="12606" fillId="8" borderId="1" xfId="0" applyNumberFormat="1" applyFont="1" applyFill="1" applyBorder="1" applyAlignment="1">
      <alignment horizontal="center" vertical="center"/>
    </xf>
    <xf numFmtId="2" fontId="12607" fillId="8" borderId="1" xfId="0" applyNumberFormat="1" applyFont="1" applyFill="1" applyBorder="1" applyAlignment="1">
      <alignment horizontal="center" vertical="center"/>
    </xf>
    <xf numFmtId="2" fontId="12608" fillId="8" borderId="1" xfId="0" applyNumberFormat="1" applyFont="1" applyFill="1" applyBorder="1" applyAlignment="1">
      <alignment horizontal="center" vertical="center"/>
    </xf>
    <xf numFmtId="2" fontId="12609" fillId="8" borderId="1" xfId="0" applyNumberFormat="1" applyFont="1" applyFill="1" applyBorder="1" applyAlignment="1">
      <alignment horizontal="center" vertical="center"/>
    </xf>
    <xf numFmtId="2" fontId="12610" fillId="8" borderId="1" xfId="0" applyNumberFormat="1" applyFont="1" applyFill="1" applyBorder="1" applyAlignment="1">
      <alignment horizontal="center" vertical="center"/>
    </xf>
    <xf numFmtId="2" fontId="12611" fillId="8" borderId="1" xfId="0" applyNumberFormat="1" applyFont="1" applyFill="1" applyBorder="1" applyAlignment="1">
      <alignment horizontal="center" vertical="center"/>
    </xf>
    <xf numFmtId="2" fontId="12612" fillId="8" borderId="1" xfId="0" applyNumberFormat="1" applyFont="1" applyFill="1" applyBorder="1" applyAlignment="1">
      <alignment horizontal="center" vertical="center"/>
    </xf>
    <xf numFmtId="2" fontId="12613" fillId="8" borderId="1" xfId="0" applyNumberFormat="1" applyFont="1" applyFill="1" applyBorder="1" applyAlignment="1">
      <alignment horizontal="center" vertical="center"/>
    </xf>
    <xf numFmtId="2" fontId="12614" fillId="8" borderId="1" xfId="0" applyNumberFormat="1" applyFont="1" applyFill="1" applyBorder="1" applyAlignment="1">
      <alignment horizontal="center" vertical="center"/>
    </xf>
    <xf numFmtId="2" fontId="12615" fillId="8" borderId="1" xfId="0" applyNumberFormat="1" applyFont="1" applyFill="1" applyBorder="1" applyAlignment="1">
      <alignment horizontal="center" vertical="center"/>
    </xf>
    <xf numFmtId="2" fontId="12616" fillId="8" borderId="1" xfId="0" applyNumberFormat="1" applyFont="1" applyFill="1" applyBorder="1" applyAlignment="1">
      <alignment horizontal="center" vertical="center"/>
    </xf>
    <xf numFmtId="2" fontId="12617" fillId="8" borderId="1" xfId="0" applyNumberFormat="1" applyFont="1" applyFill="1" applyBorder="1" applyAlignment="1">
      <alignment horizontal="center" vertical="center"/>
    </xf>
    <xf numFmtId="2" fontId="12618" fillId="8" borderId="1" xfId="0" applyNumberFormat="1" applyFont="1" applyFill="1" applyBorder="1" applyAlignment="1">
      <alignment horizontal="center" vertical="center"/>
    </xf>
    <xf numFmtId="2" fontId="12619" fillId="8" borderId="1" xfId="0" applyNumberFormat="1" applyFont="1" applyFill="1" applyBorder="1" applyAlignment="1">
      <alignment horizontal="center" vertical="center"/>
    </xf>
    <xf numFmtId="2" fontId="12620" fillId="8" borderId="1" xfId="0" applyNumberFormat="1" applyFont="1" applyFill="1" applyBorder="1" applyAlignment="1">
      <alignment horizontal="center" vertical="center"/>
    </xf>
    <xf numFmtId="2" fontId="12621" fillId="8" borderId="1" xfId="0" applyNumberFormat="1" applyFont="1" applyFill="1" applyBorder="1" applyAlignment="1">
      <alignment horizontal="center" vertical="center"/>
    </xf>
    <xf numFmtId="2" fontId="12622" fillId="8" borderId="1" xfId="0" applyNumberFormat="1" applyFont="1" applyFill="1" applyBorder="1" applyAlignment="1">
      <alignment horizontal="center" vertical="center"/>
    </xf>
    <xf numFmtId="2" fontId="12623" fillId="8" borderId="1" xfId="0" applyNumberFormat="1" applyFont="1" applyFill="1" applyBorder="1" applyAlignment="1">
      <alignment horizontal="center" vertical="center"/>
    </xf>
    <xf numFmtId="2" fontId="12624" fillId="8" borderId="1" xfId="0" applyNumberFormat="1" applyFont="1" applyFill="1" applyBorder="1" applyAlignment="1">
      <alignment horizontal="center" vertical="center"/>
    </xf>
    <xf numFmtId="2" fontId="12625" fillId="8" borderId="1" xfId="0" applyNumberFormat="1" applyFont="1" applyFill="1" applyBorder="1" applyAlignment="1">
      <alignment horizontal="center" vertical="center"/>
    </xf>
    <xf numFmtId="2" fontId="12626" fillId="8" borderId="1" xfId="0" applyNumberFormat="1" applyFont="1" applyFill="1" applyBorder="1" applyAlignment="1">
      <alignment horizontal="center" vertical="center"/>
    </xf>
    <xf numFmtId="2" fontId="12627" fillId="8" borderId="1" xfId="0" applyNumberFormat="1" applyFont="1" applyFill="1" applyBorder="1" applyAlignment="1">
      <alignment horizontal="center" vertical="center"/>
    </xf>
    <xf numFmtId="2" fontId="12628" fillId="8" borderId="1" xfId="0" applyNumberFormat="1" applyFont="1" applyFill="1" applyBorder="1" applyAlignment="1">
      <alignment horizontal="center" vertical="center"/>
    </xf>
    <xf numFmtId="2" fontId="12629" fillId="8" borderId="1" xfId="0" applyNumberFormat="1" applyFont="1" applyFill="1" applyBorder="1" applyAlignment="1">
      <alignment horizontal="center" vertical="center"/>
    </xf>
    <xf numFmtId="2" fontId="12630" fillId="8" borderId="1" xfId="0" applyNumberFormat="1" applyFont="1" applyFill="1" applyBorder="1" applyAlignment="1">
      <alignment horizontal="center" vertical="center"/>
    </xf>
    <xf numFmtId="2" fontId="12631" fillId="8" borderId="1" xfId="0" applyNumberFormat="1" applyFont="1" applyFill="1" applyBorder="1" applyAlignment="1">
      <alignment horizontal="center" vertical="center"/>
    </xf>
    <xf numFmtId="2" fontId="12632" fillId="8" borderId="1" xfId="0" applyNumberFormat="1" applyFont="1" applyFill="1" applyBorder="1" applyAlignment="1">
      <alignment horizontal="center" vertical="center"/>
    </xf>
    <xf numFmtId="2" fontId="12633" fillId="8" borderId="1" xfId="0" applyNumberFormat="1" applyFont="1" applyFill="1" applyBorder="1" applyAlignment="1">
      <alignment horizontal="center" vertical="center"/>
    </xf>
    <xf numFmtId="2" fontId="12634" fillId="8" borderId="1" xfId="0" applyNumberFormat="1" applyFont="1" applyFill="1" applyBorder="1" applyAlignment="1">
      <alignment horizontal="center" vertical="center"/>
    </xf>
    <xf numFmtId="2" fontId="12635" fillId="8" borderId="1" xfId="0" applyNumberFormat="1" applyFont="1" applyFill="1" applyBorder="1" applyAlignment="1">
      <alignment horizontal="center" vertical="center"/>
    </xf>
    <xf numFmtId="2" fontId="12636" fillId="8" borderId="1" xfId="0" applyNumberFormat="1" applyFont="1" applyFill="1" applyBorder="1" applyAlignment="1">
      <alignment horizontal="center" vertical="center"/>
    </xf>
    <xf numFmtId="0" fontId="12637" fillId="7" borderId="1" xfId="0" applyNumberFormat="1" applyFont="1" applyFill="1" applyBorder="1" applyAlignment="1">
      <alignment horizontal="left" vertical="center"/>
    </xf>
    <xf numFmtId="0" fontId="12638" fillId="8" borderId="1" xfId="0" applyNumberFormat="1" applyFont="1" applyFill="1" applyBorder="1" applyAlignment="1">
      <alignment horizontal="center" vertical="center"/>
    </xf>
    <xf numFmtId="164" fontId="12639" fillId="8" borderId="1" xfId="0" applyNumberFormat="1" applyFont="1" applyFill="1" applyBorder="1" applyAlignment="1">
      <alignment horizontal="center" vertical="center"/>
    </xf>
    <xf numFmtId="1" fontId="12640" fillId="8" borderId="1" xfId="0" applyNumberFormat="1" applyFont="1" applyFill="1" applyBorder="1" applyAlignment="1">
      <alignment horizontal="center" vertical="center"/>
    </xf>
    <xf numFmtId="1" fontId="12641" fillId="8" borderId="1" xfId="0" applyNumberFormat="1" applyFont="1" applyFill="1" applyBorder="1" applyAlignment="1">
      <alignment horizontal="center" vertical="center"/>
    </xf>
    <xf numFmtId="1" fontId="12642" fillId="8" borderId="1" xfId="0" applyNumberFormat="1" applyFont="1" applyFill="1" applyBorder="1" applyAlignment="1">
      <alignment horizontal="center" vertical="center"/>
    </xf>
    <xf numFmtId="1" fontId="12643" fillId="8" borderId="1" xfId="0" applyNumberFormat="1" applyFont="1" applyFill="1" applyBorder="1" applyAlignment="1">
      <alignment horizontal="center" vertical="center"/>
    </xf>
    <xf numFmtId="1" fontId="12644" fillId="8" borderId="1" xfId="0" applyNumberFormat="1" applyFont="1" applyFill="1" applyBorder="1" applyAlignment="1">
      <alignment horizontal="center" vertical="center"/>
    </xf>
    <xf numFmtId="1" fontId="12645" fillId="8" borderId="1" xfId="0" applyNumberFormat="1" applyFont="1" applyFill="1" applyBorder="1" applyAlignment="1">
      <alignment horizontal="center" vertical="center"/>
    </xf>
    <xf numFmtId="1" fontId="12646" fillId="8" borderId="1" xfId="0" applyNumberFormat="1" applyFont="1" applyFill="1" applyBorder="1" applyAlignment="1">
      <alignment horizontal="center" vertical="center"/>
    </xf>
    <xf numFmtId="0" fontId="12647" fillId="8" borderId="1" xfId="0" applyNumberFormat="1" applyFont="1" applyFill="1" applyBorder="1" applyAlignment="1">
      <alignment horizontal="center" vertical="center"/>
    </xf>
    <xf numFmtId="0" fontId="12648" fillId="8" borderId="1" xfId="0" applyNumberFormat="1" applyFont="1" applyFill="1" applyBorder="1" applyAlignment="1">
      <alignment horizontal="center" vertical="center"/>
    </xf>
    <xf numFmtId="1" fontId="12649" fillId="8" borderId="1" xfId="0" applyNumberFormat="1" applyFont="1" applyFill="1" applyBorder="1" applyAlignment="1">
      <alignment horizontal="center" vertical="center"/>
    </xf>
    <xf numFmtId="1" fontId="12650" fillId="8" borderId="1" xfId="0" applyNumberFormat="1" applyFont="1" applyFill="1" applyBorder="1" applyAlignment="1">
      <alignment horizontal="center" vertical="center"/>
    </xf>
    <xf numFmtId="1" fontId="12651" fillId="8" borderId="1" xfId="0" applyNumberFormat="1" applyFont="1" applyFill="1" applyBorder="1" applyAlignment="1">
      <alignment horizontal="center" vertical="center"/>
    </xf>
    <xf numFmtId="165" fontId="12652" fillId="8" borderId="1" xfId="0" applyNumberFormat="1" applyFont="1" applyFill="1" applyBorder="1" applyAlignment="1">
      <alignment horizontal="center" vertical="center"/>
    </xf>
    <xf numFmtId="1" fontId="12653" fillId="8" borderId="1" xfId="0" applyNumberFormat="1" applyFont="1" applyFill="1" applyBorder="1" applyAlignment="1">
      <alignment horizontal="center" vertical="center"/>
    </xf>
    <xf numFmtId="165" fontId="12654" fillId="8" borderId="1" xfId="0" applyNumberFormat="1" applyFont="1" applyFill="1" applyBorder="1" applyAlignment="1">
      <alignment horizontal="center" vertical="center"/>
    </xf>
    <xf numFmtId="1" fontId="12655" fillId="8" borderId="1" xfId="0" applyNumberFormat="1" applyFont="1" applyFill="1" applyBorder="1" applyAlignment="1">
      <alignment horizontal="center" vertical="center"/>
    </xf>
    <xf numFmtId="165" fontId="12656" fillId="8" borderId="1" xfId="0" applyNumberFormat="1" applyFont="1" applyFill="1" applyBorder="1" applyAlignment="1">
      <alignment horizontal="center" vertical="center"/>
    </xf>
    <xf numFmtId="1" fontId="12657" fillId="8" borderId="1" xfId="0" applyNumberFormat="1" applyFont="1" applyFill="1" applyBorder="1" applyAlignment="1">
      <alignment horizontal="center" vertical="center"/>
    </xf>
    <xf numFmtId="165" fontId="12658" fillId="8" borderId="1" xfId="0" applyNumberFormat="1" applyFont="1" applyFill="1" applyBorder="1" applyAlignment="1">
      <alignment horizontal="center" vertical="center"/>
    </xf>
    <xf numFmtId="165" fontId="12659" fillId="8" borderId="1" xfId="0" applyNumberFormat="1" applyFont="1" applyFill="1" applyBorder="1" applyAlignment="1">
      <alignment horizontal="center" vertical="center"/>
    </xf>
    <xf numFmtId="1" fontId="12660" fillId="8" borderId="1" xfId="0" applyNumberFormat="1" applyFont="1" applyFill="1" applyBorder="1" applyAlignment="1">
      <alignment horizontal="center" vertical="center"/>
    </xf>
    <xf numFmtId="1" fontId="12661" fillId="8" borderId="1" xfId="0" applyNumberFormat="1" applyFont="1" applyFill="1" applyBorder="1" applyAlignment="1">
      <alignment horizontal="center" vertical="center"/>
    </xf>
    <xf numFmtId="1" fontId="12662" fillId="8" borderId="1" xfId="0" applyNumberFormat="1" applyFont="1" applyFill="1" applyBorder="1" applyAlignment="1">
      <alignment horizontal="center" vertical="center"/>
    </xf>
    <xf numFmtId="165" fontId="12663" fillId="8" borderId="1" xfId="0" applyNumberFormat="1" applyFont="1" applyFill="1" applyBorder="1" applyAlignment="1">
      <alignment horizontal="center" vertical="center"/>
    </xf>
    <xf numFmtId="164" fontId="12664" fillId="8" borderId="1" xfId="0" applyNumberFormat="1" applyFont="1" applyFill="1" applyBorder="1" applyAlignment="1">
      <alignment horizontal="center" vertical="center"/>
    </xf>
    <xf numFmtId="164" fontId="12665" fillId="8" borderId="1" xfId="0" applyNumberFormat="1" applyFont="1" applyFill="1" applyBorder="1" applyAlignment="1">
      <alignment horizontal="center" vertical="center"/>
    </xf>
    <xf numFmtId="1" fontId="12666" fillId="8" borderId="1" xfId="0" applyNumberFormat="1" applyFont="1" applyFill="1" applyBorder="1" applyAlignment="1">
      <alignment horizontal="center" vertical="center"/>
    </xf>
    <xf numFmtId="1" fontId="12667" fillId="8" borderId="1" xfId="0" applyNumberFormat="1" applyFont="1" applyFill="1" applyBorder="1" applyAlignment="1">
      <alignment horizontal="center" vertical="center"/>
    </xf>
    <xf numFmtId="1" fontId="12668" fillId="8" borderId="1" xfId="0" applyNumberFormat="1" applyFont="1" applyFill="1" applyBorder="1" applyAlignment="1">
      <alignment horizontal="center" vertical="center"/>
    </xf>
    <xf numFmtId="165" fontId="12669" fillId="8" borderId="1" xfId="0" applyNumberFormat="1" applyFont="1" applyFill="1" applyBorder="1" applyAlignment="1">
      <alignment horizontal="center" vertical="center"/>
    </xf>
    <xf numFmtId="1" fontId="12670" fillId="8" borderId="1" xfId="0" applyNumberFormat="1" applyFont="1" applyFill="1" applyBorder="1" applyAlignment="1">
      <alignment horizontal="center" vertical="center"/>
    </xf>
    <xf numFmtId="165" fontId="12671" fillId="8" borderId="1" xfId="0" applyNumberFormat="1" applyFont="1" applyFill="1" applyBorder="1" applyAlignment="1">
      <alignment horizontal="center" vertical="center"/>
    </xf>
    <xf numFmtId="1" fontId="12672" fillId="8" borderId="1" xfId="0" applyNumberFormat="1" applyFont="1" applyFill="1" applyBorder="1" applyAlignment="1">
      <alignment horizontal="center" vertical="center"/>
    </xf>
    <xf numFmtId="1" fontId="12673" fillId="8" borderId="1" xfId="0" applyNumberFormat="1" applyFont="1" applyFill="1" applyBorder="1" applyAlignment="1">
      <alignment horizontal="center" vertical="center"/>
    </xf>
    <xf numFmtId="1" fontId="12674" fillId="8" borderId="1" xfId="0" applyNumberFormat="1" applyFont="1" applyFill="1" applyBorder="1" applyAlignment="1">
      <alignment horizontal="center" vertical="center"/>
    </xf>
    <xf numFmtId="1" fontId="12675" fillId="8" borderId="1" xfId="0" applyNumberFormat="1" applyFont="1" applyFill="1" applyBorder="1" applyAlignment="1">
      <alignment horizontal="center" vertical="center"/>
    </xf>
    <xf numFmtId="165" fontId="12676" fillId="8" borderId="1" xfId="0" applyNumberFormat="1" applyFont="1" applyFill="1" applyBorder="1" applyAlignment="1">
      <alignment horizontal="center" vertical="center"/>
    </xf>
    <xf numFmtId="1" fontId="12677" fillId="8" borderId="1" xfId="0" applyNumberFormat="1" applyFont="1" applyFill="1" applyBorder="1" applyAlignment="1">
      <alignment horizontal="center" vertical="center"/>
    </xf>
    <xf numFmtId="165" fontId="12678" fillId="8" borderId="1" xfId="0" applyNumberFormat="1" applyFont="1" applyFill="1" applyBorder="1" applyAlignment="1">
      <alignment horizontal="center" vertical="center"/>
    </xf>
    <xf numFmtId="1" fontId="12679" fillId="8" borderId="1" xfId="0" applyNumberFormat="1" applyFont="1" applyFill="1" applyBorder="1" applyAlignment="1">
      <alignment horizontal="center" vertical="center"/>
    </xf>
    <xf numFmtId="165" fontId="12680" fillId="8" borderId="1" xfId="0" applyNumberFormat="1" applyFont="1" applyFill="1" applyBorder="1" applyAlignment="1">
      <alignment horizontal="center" vertical="center"/>
    </xf>
    <xf numFmtId="2" fontId="12681" fillId="8" borderId="1" xfId="0" applyNumberFormat="1" applyFont="1" applyFill="1" applyBorder="1" applyAlignment="1">
      <alignment horizontal="center" vertical="center"/>
    </xf>
    <xf numFmtId="2" fontId="12682" fillId="8" borderId="1" xfId="0" applyNumberFormat="1" applyFont="1" applyFill="1" applyBorder="1" applyAlignment="1">
      <alignment horizontal="center" vertical="center"/>
    </xf>
    <xf numFmtId="2" fontId="12683" fillId="8" borderId="1" xfId="0" applyNumberFormat="1" applyFont="1" applyFill="1" applyBorder="1" applyAlignment="1">
      <alignment horizontal="center" vertical="center"/>
    </xf>
    <xf numFmtId="2" fontId="12684" fillId="8" borderId="1" xfId="0" applyNumberFormat="1" applyFont="1" applyFill="1" applyBorder="1" applyAlignment="1">
      <alignment horizontal="center" vertical="center"/>
    </xf>
    <xf numFmtId="2" fontId="12685" fillId="8" borderId="1" xfId="0" applyNumberFormat="1" applyFont="1" applyFill="1" applyBorder="1" applyAlignment="1">
      <alignment horizontal="center" vertical="center"/>
    </xf>
    <xf numFmtId="2" fontId="12686" fillId="8" borderId="1" xfId="0" applyNumberFormat="1" applyFont="1" applyFill="1" applyBorder="1" applyAlignment="1">
      <alignment horizontal="center" vertical="center"/>
    </xf>
    <xf numFmtId="2" fontId="12687" fillId="8" borderId="1" xfId="0" applyNumberFormat="1" applyFont="1" applyFill="1" applyBorder="1" applyAlignment="1">
      <alignment horizontal="center" vertical="center"/>
    </xf>
    <xf numFmtId="2" fontId="12688" fillId="8" borderId="1" xfId="0" applyNumberFormat="1" applyFont="1" applyFill="1" applyBorder="1" applyAlignment="1">
      <alignment horizontal="center" vertical="center"/>
    </xf>
    <xf numFmtId="2" fontId="12689" fillId="8" borderId="1" xfId="0" applyNumberFormat="1" applyFont="1" applyFill="1" applyBorder="1" applyAlignment="1">
      <alignment horizontal="center" vertical="center"/>
    </xf>
    <xf numFmtId="2" fontId="12690" fillId="8" borderId="1" xfId="0" applyNumberFormat="1" applyFont="1" applyFill="1" applyBorder="1" applyAlignment="1">
      <alignment horizontal="center" vertical="center"/>
    </xf>
    <xf numFmtId="2" fontId="12691" fillId="8" borderId="1" xfId="0" applyNumberFormat="1" applyFont="1" applyFill="1" applyBorder="1" applyAlignment="1">
      <alignment horizontal="center" vertical="center"/>
    </xf>
    <xf numFmtId="2" fontId="12692" fillId="8" borderId="1" xfId="0" applyNumberFormat="1" applyFont="1" applyFill="1" applyBorder="1" applyAlignment="1">
      <alignment horizontal="center" vertical="center"/>
    </xf>
    <xf numFmtId="2" fontId="12693" fillId="8" borderId="1" xfId="0" applyNumberFormat="1" applyFont="1" applyFill="1" applyBorder="1" applyAlignment="1">
      <alignment horizontal="center" vertical="center"/>
    </xf>
    <xf numFmtId="2" fontId="12694" fillId="8" borderId="1" xfId="0" applyNumberFormat="1" applyFont="1" applyFill="1" applyBorder="1" applyAlignment="1">
      <alignment horizontal="center" vertical="center"/>
    </xf>
    <xf numFmtId="2" fontId="12695" fillId="8" borderId="1" xfId="0" applyNumberFormat="1" applyFont="1" applyFill="1" applyBorder="1" applyAlignment="1">
      <alignment horizontal="center" vertical="center"/>
    </xf>
    <xf numFmtId="2" fontId="12696" fillId="8" borderId="1" xfId="0" applyNumberFormat="1" applyFont="1" applyFill="1" applyBorder="1" applyAlignment="1">
      <alignment horizontal="center" vertical="center"/>
    </xf>
    <xf numFmtId="2" fontId="12697" fillId="8" borderId="1" xfId="0" applyNumberFormat="1" applyFont="1" applyFill="1" applyBorder="1" applyAlignment="1">
      <alignment horizontal="center" vertical="center"/>
    </xf>
    <xf numFmtId="2" fontId="12698" fillId="8" borderId="1" xfId="0" applyNumberFormat="1" applyFont="1" applyFill="1" applyBorder="1" applyAlignment="1">
      <alignment horizontal="center" vertical="center"/>
    </xf>
    <xf numFmtId="2" fontId="12699" fillId="8" borderId="1" xfId="0" applyNumberFormat="1" applyFont="1" applyFill="1" applyBorder="1" applyAlignment="1">
      <alignment horizontal="center" vertical="center"/>
    </xf>
    <xf numFmtId="2" fontId="12700" fillId="8" borderId="1" xfId="0" applyNumberFormat="1" applyFont="1" applyFill="1" applyBorder="1" applyAlignment="1">
      <alignment horizontal="center" vertical="center"/>
    </xf>
    <xf numFmtId="2" fontId="12701" fillId="8" borderId="1" xfId="0" applyNumberFormat="1" applyFont="1" applyFill="1" applyBorder="1" applyAlignment="1">
      <alignment horizontal="center" vertical="center"/>
    </xf>
    <xf numFmtId="2" fontId="12702" fillId="8" borderId="1" xfId="0" applyNumberFormat="1" applyFont="1" applyFill="1" applyBorder="1" applyAlignment="1">
      <alignment horizontal="center" vertical="center"/>
    </xf>
    <xf numFmtId="2" fontId="12703" fillId="8" borderId="1" xfId="0" applyNumberFormat="1" applyFont="1" applyFill="1" applyBorder="1" applyAlignment="1">
      <alignment horizontal="center" vertical="center"/>
    </xf>
    <xf numFmtId="2" fontId="12704" fillId="8" borderId="1" xfId="0" applyNumberFormat="1" applyFont="1" applyFill="1" applyBorder="1" applyAlignment="1">
      <alignment horizontal="center" vertical="center"/>
    </xf>
    <xf numFmtId="2" fontId="12705" fillId="8" borderId="1" xfId="0" applyNumberFormat="1" applyFont="1" applyFill="1" applyBorder="1" applyAlignment="1">
      <alignment horizontal="center" vertical="center"/>
    </xf>
    <xf numFmtId="2" fontId="12706" fillId="8" borderId="1" xfId="0" applyNumberFormat="1" applyFont="1" applyFill="1" applyBorder="1" applyAlignment="1">
      <alignment horizontal="center" vertical="center"/>
    </xf>
    <xf numFmtId="2" fontId="12707" fillId="8" borderId="1" xfId="0" applyNumberFormat="1" applyFont="1" applyFill="1" applyBorder="1" applyAlignment="1">
      <alignment horizontal="center" vertical="center"/>
    </xf>
    <xf numFmtId="2" fontId="12708" fillId="8" borderId="1" xfId="0" applyNumberFormat="1" applyFont="1" applyFill="1" applyBorder="1" applyAlignment="1">
      <alignment horizontal="center" vertical="center"/>
    </xf>
    <xf numFmtId="2" fontId="12709" fillId="8" borderId="1" xfId="0" applyNumberFormat="1" applyFont="1" applyFill="1" applyBorder="1" applyAlignment="1">
      <alignment horizontal="center" vertical="center"/>
    </xf>
    <xf numFmtId="2" fontId="12710" fillId="8" borderId="1" xfId="0" applyNumberFormat="1" applyFont="1" applyFill="1" applyBorder="1" applyAlignment="1">
      <alignment horizontal="center" vertical="center"/>
    </xf>
    <xf numFmtId="2" fontId="12711" fillId="8" borderId="1" xfId="0" applyNumberFormat="1" applyFont="1" applyFill="1" applyBorder="1" applyAlignment="1">
      <alignment horizontal="center" vertical="center"/>
    </xf>
    <xf numFmtId="2" fontId="12712" fillId="8" borderId="1" xfId="0" applyNumberFormat="1" applyFont="1" applyFill="1" applyBorder="1" applyAlignment="1">
      <alignment horizontal="center" vertical="center"/>
    </xf>
    <xf numFmtId="2" fontId="12713" fillId="8" borderId="1" xfId="0" applyNumberFormat="1" applyFont="1" applyFill="1" applyBorder="1" applyAlignment="1">
      <alignment horizontal="center" vertical="center"/>
    </xf>
    <xf numFmtId="2" fontId="12714" fillId="8" borderId="1" xfId="0" applyNumberFormat="1" applyFont="1" applyFill="1" applyBorder="1" applyAlignment="1">
      <alignment horizontal="center" vertical="center"/>
    </xf>
    <xf numFmtId="0" fontId="12715" fillId="7" borderId="1" xfId="0" applyNumberFormat="1" applyFont="1" applyFill="1" applyBorder="1" applyAlignment="1">
      <alignment horizontal="left" vertical="center"/>
    </xf>
    <xf numFmtId="0" fontId="12716" fillId="8" borderId="1" xfId="0" applyNumberFormat="1" applyFont="1" applyFill="1" applyBorder="1" applyAlignment="1">
      <alignment horizontal="center" vertical="center"/>
    </xf>
    <xf numFmtId="164" fontId="12717" fillId="8" borderId="1" xfId="0" applyNumberFormat="1" applyFont="1" applyFill="1" applyBorder="1" applyAlignment="1">
      <alignment horizontal="center" vertical="center"/>
    </xf>
    <xf numFmtId="1" fontId="12718" fillId="8" borderId="1" xfId="0" applyNumberFormat="1" applyFont="1" applyFill="1" applyBorder="1" applyAlignment="1">
      <alignment horizontal="center" vertical="center"/>
    </xf>
    <xf numFmtId="1" fontId="12719" fillId="8" borderId="1" xfId="0" applyNumberFormat="1" applyFont="1" applyFill="1" applyBorder="1" applyAlignment="1">
      <alignment horizontal="center" vertical="center"/>
    </xf>
    <xf numFmtId="1" fontId="12720" fillId="8" borderId="1" xfId="0" applyNumberFormat="1" applyFont="1" applyFill="1" applyBorder="1" applyAlignment="1">
      <alignment horizontal="center" vertical="center"/>
    </xf>
    <xf numFmtId="1" fontId="12721" fillId="8" borderId="1" xfId="0" applyNumberFormat="1" applyFont="1" applyFill="1" applyBorder="1" applyAlignment="1">
      <alignment horizontal="center" vertical="center"/>
    </xf>
    <xf numFmtId="1" fontId="12722" fillId="8" borderId="1" xfId="0" applyNumberFormat="1" applyFont="1" applyFill="1" applyBorder="1" applyAlignment="1">
      <alignment horizontal="center" vertical="center"/>
    </xf>
    <xf numFmtId="1" fontId="12723" fillId="8" borderId="1" xfId="0" applyNumberFormat="1" applyFont="1" applyFill="1" applyBorder="1" applyAlignment="1">
      <alignment horizontal="center" vertical="center"/>
    </xf>
    <xf numFmtId="1" fontId="12724" fillId="8" borderId="1" xfId="0" applyNumberFormat="1" applyFont="1" applyFill="1" applyBorder="1" applyAlignment="1">
      <alignment horizontal="center" vertical="center"/>
    </xf>
    <xf numFmtId="0" fontId="12725" fillId="8" borderId="1" xfId="0" applyNumberFormat="1" applyFont="1" applyFill="1" applyBorder="1" applyAlignment="1">
      <alignment horizontal="center" vertical="center"/>
    </xf>
    <xf numFmtId="0" fontId="12726" fillId="8" borderId="1" xfId="0" applyNumberFormat="1" applyFont="1" applyFill="1" applyBorder="1" applyAlignment="1">
      <alignment horizontal="center" vertical="center"/>
    </xf>
    <xf numFmtId="1" fontId="12727" fillId="8" borderId="1" xfId="0" applyNumberFormat="1" applyFont="1" applyFill="1" applyBorder="1" applyAlignment="1">
      <alignment horizontal="center" vertical="center"/>
    </xf>
    <xf numFmtId="1" fontId="12728" fillId="8" borderId="1" xfId="0" applyNumberFormat="1" applyFont="1" applyFill="1" applyBorder="1" applyAlignment="1">
      <alignment horizontal="center" vertical="center"/>
    </xf>
    <xf numFmtId="1" fontId="12729" fillId="8" borderId="1" xfId="0" applyNumberFormat="1" applyFont="1" applyFill="1" applyBorder="1" applyAlignment="1">
      <alignment horizontal="center" vertical="center"/>
    </xf>
    <xf numFmtId="165" fontId="12730" fillId="8" borderId="1" xfId="0" applyNumberFormat="1" applyFont="1" applyFill="1" applyBorder="1" applyAlignment="1">
      <alignment horizontal="center" vertical="center"/>
    </xf>
    <xf numFmtId="1" fontId="12731" fillId="8" borderId="1" xfId="0" applyNumberFormat="1" applyFont="1" applyFill="1" applyBorder="1" applyAlignment="1">
      <alignment horizontal="center" vertical="center"/>
    </xf>
    <xf numFmtId="165" fontId="12732" fillId="8" borderId="1" xfId="0" applyNumberFormat="1" applyFont="1" applyFill="1" applyBorder="1" applyAlignment="1">
      <alignment horizontal="center" vertical="center"/>
    </xf>
    <xf numFmtId="1" fontId="12733" fillId="8" borderId="1" xfId="0" applyNumberFormat="1" applyFont="1" applyFill="1" applyBorder="1" applyAlignment="1">
      <alignment horizontal="center" vertical="center"/>
    </xf>
    <xf numFmtId="165" fontId="12734" fillId="8" borderId="1" xfId="0" applyNumberFormat="1" applyFont="1" applyFill="1" applyBorder="1" applyAlignment="1">
      <alignment horizontal="center" vertical="center"/>
    </xf>
    <xf numFmtId="1" fontId="12735" fillId="8" borderId="1" xfId="0" applyNumberFormat="1" applyFont="1" applyFill="1" applyBorder="1" applyAlignment="1">
      <alignment horizontal="center" vertical="center"/>
    </xf>
    <xf numFmtId="165" fontId="12736" fillId="8" borderId="1" xfId="0" applyNumberFormat="1" applyFont="1" applyFill="1" applyBorder="1" applyAlignment="1">
      <alignment horizontal="center" vertical="center"/>
    </xf>
    <xf numFmtId="165" fontId="12737" fillId="8" borderId="1" xfId="0" applyNumberFormat="1" applyFont="1" applyFill="1" applyBorder="1" applyAlignment="1">
      <alignment horizontal="center" vertical="center"/>
    </xf>
    <xf numFmtId="1" fontId="12738" fillId="8" borderId="1" xfId="0" applyNumberFormat="1" applyFont="1" applyFill="1" applyBorder="1" applyAlignment="1">
      <alignment horizontal="center" vertical="center"/>
    </xf>
    <xf numFmtId="1" fontId="12739" fillId="8" borderId="1" xfId="0" applyNumberFormat="1" applyFont="1" applyFill="1" applyBorder="1" applyAlignment="1">
      <alignment horizontal="center" vertical="center"/>
    </xf>
    <xf numFmtId="1" fontId="12740" fillId="8" borderId="1" xfId="0" applyNumberFormat="1" applyFont="1" applyFill="1" applyBorder="1" applyAlignment="1">
      <alignment horizontal="center" vertical="center"/>
    </xf>
    <xf numFmtId="165" fontId="12741" fillId="8" borderId="1" xfId="0" applyNumberFormat="1" applyFont="1" applyFill="1" applyBorder="1" applyAlignment="1">
      <alignment horizontal="center" vertical="center"/>
    </xf>
    <xf numFmtId="164" fontId="12742" fillId="8" borderId="1" xfId="0" applyNumberFormat="1" applyFont="1" applyFill="1" applyBorder="1" applyAlignment="1">
      <alignment horizontal="center" vertical="center"/>
    </xf>
    <xf numFmtId="164" fontId="12743" fillId="8" borderId="1" xfId="0" applyNumberFormat="1" applyFont="1" applyFill="1" applyBorder="1" applyAlignment="1">
      <alignment horizontal="center" vertical="center"/>
    </xf>
    <xf numFmtId="1" fontId="12744" fillId="8" borderId="1" xfId="0" applyNumberFormat="1" applyFont="1" applyFill="1" applyBorder="1" applyAlignment="1">
      <alignment horizontal="center" vertical="center"/>
    </xf>
    <xf numFmtId="1" fontId="12745" fillId="8" borderId="1" xfId="0" applyNumberFormat="1" applyFont="1" applyFill="1" applyBorder="1" applyAlignment="1">
      <alignment horizontal="center" vertical="center"/>
    </xf>
    <xf numFmtId="1" fontId="12746" fillId="8" borderId="1" xfId="0" applyNumberFormat="1" applyFont="1" applyFill="1" applyBorder="1" applyAlignment="1">
      <alignment horizontal="center" vertical="center"/>
    </xf>
    <xf numFmtId="165" fontId="12747" fillId="8" borderId="1" xfId="0" applyNumberFormat="1" applyFont="1" applyFill="1" applyBorder="1" applyAlignment="1">
      <alignment horizontal="center" vertical="center"/>
    </xf>
    <xf numFmtId="1" fontId="12748" fillId="8" borderId="1" xfId="0" applyNumberFormat="1" applyFont="1" applyFill="1" applyBorder="1" applyAlignment="1">
      <alignment horizontal="center" vertical="center"/>
    </xf>
    <xf numFmtId="165" fontId="12749" fillId="8" borderId="1" xfId="0" applyNumberFormat="1" applyFont="1" applyFill="1" applyBorder="1" applyAlignment="1">
      <alignment horizontal="center" vertical="center"/>
    </xf>
    <xf numFmtId="1" fontId="12750" fillId="8" borderId="1" xfId="0" applyNumberFormat="1" applyFont="1" applyFill="1" applyBorder="1" applyAlignment="1">
      <alignment horizontal="center" vertical="center"/>
    </xf>
    <xf numFmtId="1" fontId="12751" fillId="8" borderId="1" xfId="0" applyNumberFormat="1" applyFont="1" applyFill="1" applyBorder="1" applyAlignment="1">
      <alignment horizontal="center" vertical="center"/>
    </xf>
    <xf numFmtId="1" fontId="12752" fillId="8" borderId="1" xfId="0" applyNumberFormat="1" applyFont="1" applyFill="1" applyBorder="1" applyAlignment="1">
      <alignment horizontal="center" vertical="center"/>
    </xf>
    <xf numFmtId="1" fontId="12753" fillId="8" borderId="1" xfId="0" applyNumberFormat="1" applyFont="1" applyFill="1" applyBorder="1" applyAlignment="1">
      <alignment horizontal="center" vertical="center"/>
    </xf>
    <xf numFmtId="165" fontId="12754" fillId="8" borderId="1" xfId="0" applyNumberFormat="1" applyFont="1" applyFill="1" applyBorder="1" applyAlignment="1">
      <alignment horizontal="center" vertical="center"/>
    </xf>
    <xf numFmtId="1" fontId="12755" fillId="8" borderId="1" xfId="0" applyNumberFormat="1" applyFont="1" applyFill="1" applyBorder="1" applyAlignment="1">
      <alignment horizontal="center" vertical="center"/>
    </xf>
    <xf numFmtId="165" fontId="12756" fillId="8" borderId="1" xfId="0" applyNumberFormat="1" applyFont="1" applyFill="1" applyBorder="1" applyAlignment="1">
      <alignment horizontal="center" vertical="center"/>
    </xf>
    <xf numFmtId="1" fontId="12757" fillId="8" borderId="1" xfId="0" applyNumberFormat="1" applyFont="1" applyFill="1" applyBorder="1" applyAlignment="1">
      <alignment horizontal="center" vertical="center"/>
    </xf>
    <xf numFmtId="165" fontId="12758" fillId="8" borderId="1" xfId="0" applyNumberFormat="1" applyFont="1" applyFill="1" applyBorder="1" applyAlignment="1">
      <alignment horizontal="center" vertical="center"/>
    </xf>
    <xf numFmtId="2" fontId="12759" fillId="8" borderId="1" xfId="0" applyNumberFormat="1" applyFont="1" applyFill="1" applyBorder="1" applyAlignment="1">
      <alignment horizontal="center" vertical="center"/>
    </xf>
    <xf numFmtId="2" fontId="12760" fillId="8" borderId="1" xfId="0" applyNumberFormat="1" applyFont="1" applyFill="1" applyBorder="1" applyAlignment="1">
      <alignment horizontal="center" vertical="center"/>
    </xf>
    <xf numFmtId="2" fontId="12761" fillId="8" borderId="1" xfId="0" applyNumberFormat="1" applyFont="1" applyFill="1" applyBorder="1" applyAlignment="1">
      <alignment horizontal="center" vertical="center"/>
    </xf>
    <xf numFmtId="2" fontId="12762" fillId="8" borderId="1" xfId="0" applyNumberFormat="1" applyFont="1" applyFill="1" applyBorder="1" applyAlignment="1">
      <alignment horizontal="center" vertical="center"/>
    </xf>
    <xf numFmtId="2" fontId="12763" fillId="8" borderId="1" xfId="0" applyNumberFormat="1" applyFont="1" applyFill="1" applyBorder="1" applyAlignment="1">
      <alignment horizontal="center" vertical="center"/>
    </xf>
    <xf numFmtId="2" fontId="12764" fillId="8" borderId="1" xfId="0" applyNumberFormat="1" applyFont="1" applyFill="1" applyBorder="1" applyAlignment="1">
      <alignment horizontal="center" vertical="center"/>
    </xf>
    <xf numFmtId="2" fontId="12765" fillId="8" borderId="1" xfId="0" applyNumberFormat="1" applyFont="1" applyFill="1" applyBorder="1" applyAlignment="1">
      <alignment horizontal="center" vertical="center"/>
    </xf>
    <xf numFmtId="2" fontId="12766" fillId="8" borderId="1" xfId="0" applyNumberFormat="1" applyFont="1" applyFill="1" applyBorder="1" applyAlignment="1">
      <alignment horizontal="center" vertical="center"/>
    </xf>
    <xf numFmtId="2" fontId="12767" fillId="8" borderId="1" xfId="0" applyNumberFormat="1" applyFont="1" applyFill="1" applyBorder="1" applyAlignment="1">
      <alignment horizontal="center" vertical="center"/>
    </xf>
    <xf numFmtId="2" fontId="12768" fillId="8" borderId="1" xfId="0" applyNumberFormat="1" applyFont="1" applyFill="1" applyBorder="1" applyAlignment="1">
      <alignment horizontal="center" vertical="center"/>
    </xf>
    <xf numFmtId="2" fontId="12769" fillId="8" borderId="1" xfId="0" applyNumberFormat="1" applyFont="1" applyFill="1" applyBorder="1" applyAlignment="1">
      <alignment horizontal="center" vertical="center"/>
    </xf>
    <xf numFmtId="2" fontId="12770" fillId="8" borderId="1" xfId="0" applyNumberFormat="1" applyFont="1" applyFill="1" applyBorder="1" applyAlignment="1">
      <alignment horizontal="center" vertical="center"/>
    </xf>
    <xf numFmtId="2" fontId="12771" fillId="8" borderId="1" xfId="0" applyNumberFormat="1" applyFont="1" applyFill="1" applyBorder="1" applyAlignment="1">
      <alignment horizontal="center" vertical="center"/>
    </xf>
    <xf numFmtId="2" fontId="12772" fillId="8" borderId="1" xfId="0" applyNumberFormat="1" applyFont="1" applyFill="1" applyBorder="1" applyAlignment="1">
      <alignment horizontal="center" vertical="center"/>
    </xf>
    <xf numFmtId="2" fontId="12773" fillId="8" borderId="1" xfId="0" applyNumberFormat="1" applyFont="1" applyFill="1" applyBorder="1" applyAlignment="1">
      <alignment horizontal="center" vertical="center"/>
    </xf>
    <xf numFmtId="2" fontId="12774" fillId="8" borderId="1" xfId="0" applyNumberFormat="1" applyFont="1" applyFill="1" applyBorder="1" applyAlignment="1">
      <alignment horizontal="center" vertical="center"/>
    </xf>
    <xf numFmtId="2" fontId="12775" fillId="8" borderId="1" xfId="0" applyNumberFormat="1" applyFont="1" applyFill="1" applyBorder="1" applyAlignment="1">
      <alignment horizontal="center" vertical="center"/>
    </xf>
    <xf numFmtId="2" fontId="12776" fillId="8" borderId="1" xfId="0" applyNumberFormat="1" applyFont="1" applyFill="1" applyBorder="1" applyAlignment="1">
      <alignment horizontal="center" vertical="center"/>
    </xf>
    <xf numFmtId="2" fontId="12777" fillId="8" borderId="1" xfId="0" applyNumberFormat="1" applyFont="1" applyFill="1" applyBorder="1" applyAlignment="1">
      <alignment horizontal="center" vertical="center"/>
    </xf>
    <xf numFmtId="2" fontId="12778" fillId="8" borderId="1" xfId="0" applyNumberFormat="1" applyFont="1" applyFill="1" applyBorder="1" applyAlignment="1">
      <alignment horizontal="center" vertical="center"/>
    </xf>
    <xf numFmtId="2" fontId="12779" fillId="8" borderId="1" xfId="0" applyNumberFormat="1" applyFont="1" applyFill="1" applyBorder="1" applyAlignment="1">
      <alignment horizontal="center" vertical="center"/>
    </xf>
    <xf numFmtId="2" fontId="12780" fillId="8" borderId="1" xfId="0" applyNumberFormat="1" applyFont="1" applyFill="1" applyBorder="1" applyAlignment="1">
      <alignment horizontal="center" vertical="center"/>
    </xf>
    <xf numFmtId="2" fontId="12781" fillId="8" borderId="1" xfId="0" applyNumberFormat="1" applyFont="1" applyFill="1" applyBorder="1" applyAlignment="1">
      <alignment horizontal="center" vertical="center"/>
    </xf>
    <xf numFmtId="2" fontId="12782" fillId="8" borderId="1" xfId="0" applyNumberFormat="1" applyFont="1" applyFill="1" applyBorder="1" applyAlignment="1">
      <alignment horizontal="center" vertical="center"/>
    </xf>
    <xf numFmtId="2" fontId="12783" fillId="8" borderId="1" xfId="0" applyNumberFormat="1" applyFont="1" applyFill="1" applyBorder="1" applyAlignment="1">
      <alignment horizontal="center" vertical="center"/>
    </xf>
    <xf numFmtId="2" fontId="12784" fillId="8" borderId="1" xfId="0" applyNumberFormat="1" applyFont="1" applyFill="1" applyBorder="1" applyAlignment="1">
      <alignment horizontal="center" vertical="center"/>
    </xf>
    <xf numFmtId="2" fontId="12785" fillId="8" borderId="1" xfId="0" applyNumberFormat="1" applyFont="1" applyFill="1" applyBorder="1" applyAlignment="1">
      <alignment horizontal="center" vertical="center"/>
    </xf>
    <xf numFmtId="2" fontId="12786" fillId="8" borderId="1" xfId="0" applyNumberFormat="1" applyFont="1" applyFill="1" applyBorder="1" applyAlignment="1">
      <alignment horizontal="center" vertical="center"/>
    </xf>
    <xf numFmtId="2" fontId="12787" fillId="8" borderId="1" xfId="0" applyNumberFormat="1" applyFont="1" applyFill="1" applyBorder="1" applyAlignment="1">
      <alignment horizontal="center" vertical="center"/>
    </xf>
    <xf numFmtId="2" fontId="12788" fillId="8" borderId="1" xfId="0" applyNumberFormat="1" applyFont="1" applyFill="1" applyBorder="1" applyAlignment="1">
      <alignment horizontal="center" vertical="center"/>
    </xf>
    <xf numFmtId="2" fontId="12789" fillId="8" borderId="1" xfId="0" applyNumberFormat="1" applyFont="1" applyFill="1" applyBorder="1" applyAlignment="1">
      <alignment horizontal="center" vertical="center"/>
    </xf>
    <xf numFmtId="2" fontId="12790" fillId="8" borderId="1" xfId="0" applyNumberFormat="1" applyFont="1" applyFill="1" applyBorder="1" applyAlignment="1">
      <alignment horizontal="center" vertical="center"/>
    </xf>
    <xf numFmtId="2" fontId="12791" fillId="8" borderId="1" xfId="0" applyNumberFormat="1" applyFont="1" applyFill="1" applyBorder="1" applyAlignment="1">
      <alignment horizontal="center" vertical="center"/>
    </xf>
    <xf numFmtId="2" fontId="12792" fillId="8" borderId="1" xfId="0" applyNumberFormat="1" applyFont="1" applyFill="1" applyBorder="1" applyAlignment="1">
      <alignment horizontal="center" vertical="center"/>
    </xf>
    <xf numFmtId="0" fontId="12793" fillId="7" borderId="1" xfId="0" applyNumberFormat="1" applyFont="1" applyFill="1" applyBorder="1" applyAlignment="1">
      <alignment horizontal="left" vertical="center"/>
    </xf>
    <xf numFmtId="0" fontId="12794" fillId="8" borderId="1" xfId="0" applyNumberFormat="1" applyFont="1" applyFill="1" applyBorder="1" applyAlignment="1">
      <alignment horizontal="center" vertical="center"/>
    </xf>
    <xf numFmtId="164" fontId="12795" fillId="8" borderId="1" xfId="0" applyNumberFormat="1" applyFont="1" applyFill="1" applyBorder="1" applyAlignment="1">
      <alignment horizontal="center" vertical="center"/>
    </xf>
    <xf numFmtId="1" fontId="12796" fillId="8" borderId="1" xfId="0" applyNumberFormat="1" applyFont="1" applyFill="1" applyBorder="1" applyAlignment="1">
      <alignment horizontal="center" vertical="center"/>
    </xf>
    <xf numFmtId="1" fontId="12797" fillId="8" borderId="1" xfId="0" applyNumberFormat="1" applyFont="1" applyFill="1" applyBorder="1" applyAlignment="1">
      <alignment horizontal="center" vertical="center"/>
    </xf>
    <xf numFmtId="1" fontId="12798" fillId="8" borderId="1" xfId="0" applyNumberFormat="1" applyFont="1" applyFill="1" applyBorder="1" applyAlignment="1">
      <alignment horizontal="center" vertical="center"/>
    </xf>
    <xf numFmtId="1" fontId="12799" fillId="8" borderId="1" xfId="0" applyNumberFormat="1" applyFont="1" applyFill="1" applyBorder="1" applyAlignment="1">
      <alignment horizontal="center" vertical="center"/>
    </xf>
    <xf numFmtId="1" fontId="12800" fillId="8" borderId="1" xfId="0" applyNumberFormat="1" applyFont="1" applyFill="1" applyBorder="1" applyAlignment="1">
      <alignment horizontal="center" vertical="center"/>
    </xf>
    <xf numFmtId="1" fontId="12801" fillId="8" borderId="1" xfId="0" applyNumberFormat="1" applyFont="1" applyFill="1" applyBorder="1" applyAlignment="1">
      <alignment horizontal="center" vertical="center"/>
    </xf>
    <xf numFmtId="1" fontId="12802" fillId="8" borderId="1" xfId="0" applyNumberFormat="1" applyFont="1" applyFill="1" applyBorder="1" applyAlignment="1">
      <alignment horizontal="center" vertical="center"/>
    </xf>
    <xf numFmtId="0" fontId="12803" fillId="8" borderId="1" xfId="0" applyNumberFormat="1" applyFont="1" applyFill="1" applyBorder="1" applyAlignment="1">
      <alignment horizontal="center" vertical="center"/>
    </xf>
    <xf numFmtId="0" fontId="12804" fillId="8" borderId="1" xfId="0" applyNumberFormat="1" applyFont="1" applyFill="1" applyBorder="1" applyAlignment="1">
      <alignment horizontal="center" vertical="center"/>
    </xf>
    <xf numFmtId="1" fontId="12805" fillId="8" borderId="1" xfId="0" applyNumberFormat="1" applyFont="1" applyFill="1" applyBorder="1" applyAlignment="1">
      <alignment horizontal="center" vertical="center"/>
    </xf>
    <xf numFmtId="1" fontId="12806" fillId="8" borderId="1" xfId="0" applyNumberFormat="1" applyFont="1" applyFill="1" applyBorder="1" applyAlignment="1">
      <alignment horizontal="center" vertical="center"/>
    </xf>
    <xf numFmtId="1" fontId="12807" fillId="8" borderId="1" xfId="0" applyNumberFormat="1" applyFont="1" applyFill="1" applyBorder="1" applyAlignment="1">
      <alignment horizontal="center" vertical="center"/>
    </xf>
    <xf numFmtId="165" fontId="12808" fillId="8" borderId="1" xfId="0" applyNumberFormat="1" applyFont="1" applyFill="1" applyBorder="1" applyAlignment="1">
      <alignment horizontal="center" vertical="center"/>
    </xf>
    <xf numFmtId="1" fontId="12809" fillId="8" borderId="1" xfId="0" applyNumberFormat="1" applyFont="1" applyFill="1" applyBorder="1" applyAlignment="1">
      <alignment horizontal="center" vertical="center"/>
    </xf>
    <xf numFmtId="165" fontId="12810" fillId="8" borderId="1" xfId="0" applyNumberFormat="1" applyFont="1" applyFill="1" applyBorder="1" applyAlignment="1">
      <alignment horizontal="center" vertical="center"/>
    </xf>
    <xf numFmtId="1" fontId="12811" fillId="8" borderId="1" xfId="0" applyNumberFormat="1" applyFont="1" applyFill="1" applyBorder="1" applyAlignment="1">
      <alignment horizontal="center" vertical="center"/>
    </xf>
    <xf numFmtId="165" fontId="12812" fillId="8" borderId="1" xfId="0" applyNumberFormat="1" applyFont="1" applyFill="1" applyBorder="1" applyAlignment="1">
      <alignment horizontal="center" vertical="center"/>
    </xf>
    <xf numFmtId="1" fontId="12813" fillId="8" borderId="1" xfId="0" applyNumberFormat="1" applyFont="1" applyFill="1" applyBorder="1" applyAlignment="1">
      <alignment horizontal="center" vertical="center"/>
    </xf>
    <xf numFmtId="165" fontId="12814" fillId="8" borderId="1" xfId="0" applyNumberFormat="1" applyFont="1" applyFill="1" applyBorder="1" applyAlignment="1">
      <alignment horizontal="center" vertical="center"/>
    </xf>
    <xf numFmtId="165" fontId="12815" fillId="8" borderId="1" xfId="0" applyNumberFormat="1" applyFont="1" applyFill="1" applyBorder="1" applyAlignment="1">
      <alignment horizontal="center" vertical="center"/>
    </xf>
    <xf numFmtId="1" fontId="12816" fillId="8" borderId="1" xfId="0" applyNumberFormat="1" applyFont="1" applyFill="1" applyBorder="1" applyAlignment="1">
      <alignment horizontal="center" vertical="center"/>
    </xf>
    <xf numFmtId="1" fontId="12817" fillId="8" borderId="1" xfId="0" applyNumberFormat="1" applyFont="1" applyFill="1" applyBorder="1" applyAlignment="1">
      <alignment horizontal="center" vertical="center"/>
    </xf>
    <xf numFmtId="1" fontId="12818" fillId="8" borderId="1" xfId="0" applyNumberFormat="1" applyFont="1" applyFill="1" applyBorder="1" applyAlignment="1">
      <alignment horizontal="center" vertical="center"/>
    </xf>
    <xf numFmtId="165" fontId="12819" fillId="8" borderId="1" xfId="0" applyNumberFormat="1" applyFont="1" applyFill="1" applyBorder="1" applyAlignment="1">
      <alignment horizontal="center" vertical="center"/>
    </xf>
    <xf numFmtId="164" fontId="12820" fillId="8" borderId="1" xfId="0" applyNumberFormat="1" applyFont="1" applyFill="1" applyBorder="1" applyAlignment="1">
      <alignment horizontal="center" vertical="center"/>
    </xf>
    <xf numFmtId="164" fontId="12821" fillId="8" borderId="1" xfId="0" applyNumberFormat="1" applyFont="1" applyFill="1" applyBorder="1" applyAlignment="1">
      <alignment horizontal="center" vertical="center"/>
    </xf>
    <xf numFmtId="1" fontId="12822" fillId="8" borderId="1" xfId="0" applyNumberFormat="1" applyFont="1" applyFill="1" applyBorder="1" applyAlignment="1">
      <alignment horizontal="center" vertical="center"/>
    </xf>
    <xf numFmtId="1" fontId="12823" fillId="8" borderId="1" xfId="0" applyNumberFormat="1" applyFont="1" applyFill="1" applyBorder="1" applyAlignment="1">
      <alignment horizontal="center" vertical="center"/>
    </xf>
    <xf numFmtId="1" fontId="12824" fillId="8" borderId="1" xfId="0" applyNumberFormat="1" applyFont="1" applyFill="1" applyBorder="1" applyAlignment="1">
      <alignment horizontal="center" vertical="center"/>
    </xf>
    <xf numFmtId="165" fontId="12825" fillId="8" borderId="1" xfId="0" applyNumberFormat="1" applyFont="1" applyFill="1" applyBorder="1" applyAlignment="1">
      <alignment horizontal="center" vertical="center"/>
    </xf>
    <xf numFmtId="1" fontId="12826" fillId="8" borderId="1" xfId="0" applyNumberFormat="1" applyFont="1" applyFill="1" applyBorder="1" applyAlignment="1">
      <alignment horizontal="center" vertical="center"/>
    </xf>
    <xf numFmtId="165" fontId="12827" fillId="8" borderId="1" xfId="0" applyNumberFormat="1" applyFont="1" applyFill="1" applyBorder="1" applyAlignment="1">
      <alignment horizontal="center" vertical="center"/>
    </xf>
    <xf numFmtId="1" fontId="12828" fillId="8" borderId="1" xfId="0" applyNumberFormat="1" applyFont="1" applyFill="1" applyBorder="1" applyAlignment="1">
      <alignment horizontal="center" vertical="center"/>
    </xf>
    <xf numFmtId="1" fontId="12829" fillId="8" borderId="1" xfId="0" applyNumberFormat="1" applyFont="1" applyFill="1" applyBorder="1" applyAlignment="1">
      <alignment horizontal="center" vertical="center"/>
    </xf>
    <xf numFmtId="1" fontId="12830" fillId="8" borderId="1" xfId="0" applyNumberFormat="1" applyFont="1" applyFill="1" applyBorder="1" applyAlignment="1">
      <alignment horizontal="center" vertical="center"/>
    </xf>
    <xf numFmtId="1" fontId="12831" fillId="8" borderId="1" xfId="0" applyNumberFormat="1" applyFont="1" applyFill="1" applyBorder="1" applyAlignment="1">
      <alignment horizontal="center" vertical="center"/>
    </xf>
    <xf numFmtId="165" fontId="12832" fillId="8" borderId="1" xfId="0" applyNumberFormat="1" applyFont="1" applyFill="1" applyBorder="1" applyAlignment="1">
      <alignment horizontal="center" vertical="center"/>
    </xf>
    <xf numFmtId="1" fontId="12833" fillId="8" borderId="1" xfId="0" applyNumberFormat="1" applyFont="1" applyFill="1" applyBorder="1" applyAlignment="1">
      <alignment horizontal="center" vertical="center"/>
    </xf>
    <xf numFmtId="165" fontId="12834" fillId="8" borderId="1" xfId="0" applyNumberFormat="1" applyFont="1" applyFill="1" applyBorder="1" applyAlignment="1">
      <alignment horizontal="center" vertical="center"/>
    </xf>
    <xf numFmtId="1" fontId="12835" fillId="8" borderId="1" xfId="0" applyNumberFormat="1" applyFont="1" applyFill="1" applyBorder="1" applyAlignment="1">
      <alignment horizontal="center" vertical="center"/>
    </xf>
    <xf numFmtId="165" fontId="12836" fillId="8" borderId="1" xfId="0" applyNumberFormat="1" applyFont="1" applyFill="1" applyBorder="1" applyAlignment="1">
      <alignment horizontal="center" vertical="center"/>
    </xf>
    <xf numFmtId="2" fontId="12837" fillId="8" borderId="1" xfId="0" applyNumberFormat="1" applyFont="1" applyFill="1" applyBorder="1" applyAlignment="1">
      <alignment horizontal="center" vertical="center"/>
    </xf>
    <xf numFmtId="2" fontId="12838" fillId="8" borderId="1" xfId="0" applyNumberFormat="1" applyFont="1" applyFill="1" applyBorder="1" applyAlignment="1">
      <alignment horizontal="center" vertical="center"/>
    </xf>
    <xf numFmtId="2" fontId="12839" fillId="8" borderId="1" xfId="0" applyNumberFormat="1" applyFont="1" applyFill="1" applyBorder="1" applyAlignment="1">
      <alignment horizontal="center" vertical="center"/>
    </xf>
    <xf numFmtId="2" fontId="12840" fillId="8" borderId="1" xfId="0" applyNumberFormat="1" applyFont="1" applyFill="1" applyBorder="1" applyAlignment="1">
      <alignment horizontal="center" vertical="center"/>
    </xf>
    <xf numFmtId="2" fontId="12841" fillId="8" borderId="1" xfId="0" applyNumberFormat="1" applyFont="1" applyFill="1" applyBorder="1" applyAlignment="1">
      <alignment horizontal="center" vertical="center"/>
    </xf>
    <xf numFmtId="2" fontId="12842" fillId="8" borderId="1" xfId="0" applyNumberFormat="1" applyFont="1" applyFill="1" applyBorder="1" applyAlignment="1">
      <alignment horizontal="center" vertical="center"/>
    </xf>
    <xf numFmtId="2" fontId="12843" fillId="8" borderId="1" xfId="0" applyNumberFormat="1" applyFont="1" applyFill="1" applyBorder="1" applyAlignment="1">
      <alignment horizontal="center" vertical="center"/>
    </xf>
    <xf numFmtId="2" fontId="12844" fillId="8" borderId="1" xfId="0" applyNumberFormat="1" applyFont="1" applyFill="1" applyBorder="1" applyAlignment="1">
      <alignment horizontal="center" vertical="center"/>
    </xf>
    <xf numFmtId="2" fontId="12845" fillId="8" borderId="1" xfId="0" applyNumberFormat="1" applyFont="1" applyFill="1" applyBorder="1" applyAlignment="1">
      <alignment horizontal="center" vertical="center"/>
    </xf>
    <xf numFmtId="2" fontId="12846" fillId="8" borderId="1" xfId="0" applyNumberFormat="1" applyFont="1" applyFill="1" applyBorder="1" applyAlignment="1">
      <alignment horizontal="center" vertical="center"/>
    </xf>
    <xf numFmtId="2" fontId="12847" fillId="8" borderId="1" xfId="0" applyNumberFormat="1" applyFont="1" applyFill="1" applyBorder="1" applyAlignment="1">
      <alignment horizontal="center" vertical="center"/>
    </xf>
    <xf numFmtId="2" fontId="12848" fillId="8" borderId="1" xfId="0" applyNumberFormat="1" applyFont="1" applyFill="1" applyBorder="1" applyAlignment="1">
      <alignment horizontal="center" vertical="center"/>
    </xf>
    <xf numFmtId="2" fontId="12849" fillId="8" borderId="1" xfId="0" applyNumberFormat="1" applyFont="1" applyFill="1" applyBorder="1" applyAlignment="1">
      <alignment horizontal="center" vertical="center"/>
    </xf>
    <xf numFmtId="2" fontId="12850" fillId="8" borderId="1" xfId="0" applyNumberFormat="1" applyFont="1" applyFill="1" applyBorder="1" applyAlignment="1">
      <alignment horizontal="center" vertical="center"/>
    </xf>
    <xf numFmtId="2" fontId="12851" fillId="8" borderId="1" xfId="0" applyNumberFormat="1" applyFont="1" applyFill="1" applyBorder="1" applyAlignment="1">
      <alignment horizontal="center" vertical="center"/>
    </xf>
    <xf numFmtId="2" fontId="12852" fillId="8" borderId="1" xfId="0" applyNumberFormat="1" applyFont="1" applyFill="1" applyBorder="1" applyAlignment="1">
      <alignment horizontal="center" vertical="center"/>
    </xf>
    <xf numFmtId="2" fontId="12853" fillId="8" borderId="1" xfId="0" applyNumberFormat="1" applyFont="1" applyFill="1" applyBorder="1" applyAlignment="1">
      <alignment horizontal="center" vertical="center"/>
    </xf>
    <xf numFmtId="2" fontId="12854" fillId="8" borderId="1" xfId="0" applyNumberFormat="1" applyFont="1" applyFill="1" applyBorder="1" applyAlignment="1">
      <alignment horizontal="center" vertical="center"/>
    </xf>
    <xf numFmtId="2" fontId="12855" fillId="8" borderId="1" xfId="0" applyNumberFormat="1" applyFont="1" applyFill="1" applyBorder="1" applyAlignment="1">
      <alignment horizontal="center" vertical="center"/>
    </xf>
    <xf numFmtId="2" fontId="12856" fillId="8" borderId="1" xfId="0" applyNumberFormat="1" applyFont="1" applyFill="1" applyBorder="1" applyAlignment="1">
      <alignment horizontal="center" vertical="center"/>
    </xf>
    <xf numFmtId="2" fontId="12857" fillId="8" borderId="1" xfId="0" applyNumberFormat="1" applyFont="1" applyFill="1" applyBorder="1" applyAlignment="1">
      <alignment horizontal="center" vertical="center"/>
    </xf>
    <xf numFmtId="2" fontId="12858" fillId="8" borderId="1" xfId="0" applyNumberFormat="1" applyFont="1" applyFill="1" applyBorder="1" applyAlignment="1">
      <alignment horizontal="center" vertical="center"/>
    </xf>
    <xf numFmtId="2" fontId="12859" fillId="8" borderId="1" xfId="0" applyNumberFormat="1" applyFont="1" applyFill="1" applyBorder="1" applyAlignment="1">
      <alignment horizontal="center" vertical="center"/>
    </xf>
    <xf numFmtId="2" fontId="12860" fillId="8" borderId="1" xfId="0" applyNumberFormat="1" applyFont="1" applyFill="1" applyBorder="1" applyAlignment="1">
      <alignment horizontal="center" vertical="center"/>
    </xf>
    <xf numFmtId="2" fontId="12861" fillId="8" borderId="1" xfId="0" applyNumberFormat="1" applyFont="1" applyFill="1" applyBorder="1" applyAlignment="1">
      <alignment horizontal="center" vertical="center"/>
    </xf>
    <xf numFmtId="2" fontId="12862" fillId="8" borderId="1" xfId="0" applyNumberFormat="1" applyFont="1" applyFill="1" applyBorder="1" applyAlignment="1">
      <alignment horizontal="center" vertical="center"/>
    </xf>
    <xf numFmtId="2" fontId="12863" fillId="8" borderId="1" xfId="0" applyNumberFormat="1" applyFont="1" applyFill="1" applyBorder="1" applyAlignment="1">
      <alignment horizontal="center" vertical="center"/>
    </xf>
    <xf numFmtId="2" fontId="12864" fillId="8" borderId="1" xfId="0" applyNumberFormat="1" applyFont="1" applyFill="1" applyBorder="1" applyAlignment="1">
      <alignment horizontal="center" vertical="center"/>
    </xf>
    <xf numFmtId="2" fontId="12865" fillId="8" borderId="1" xfId="0" applyNumberFormat="1" applyFont="1" applyFill="1" applyBorder="1" applyAlignment="1">
      <alignment horizontal="center" vertical="center"/>
    </xf>
    <xf numFmtId="2" fontId="12866" fillId="8" borderId="1" xfId="0" applyNumberFormat="1" applyFont="1" applyFill="1" applyBorder="1" applyAlignment="1">
      <alignment horizontal="center" vertical="center"/>
    </xf>
    <xf numFmtId="2" fontId="12867" fillId="8" borderId="1" xfId="0" applyNumberFormat="1" applyFont="1" applyFill="1" applyBorder="1" applyAlignment="1">
      <alignment horizontal="center" vertical="center"/>
    </xf>
    <xf numFmtId="2" fontId="12868" fillId="8" borderId="1" xfId="0" applyNumberFormat="1" applyFont="1" applyFill="1" applyBorder="1" applyAlignment="1">
      <alignment horizontal="center" vertical="center"/>
    </xf>
    <xf numFmtId="2" fontId="12869" fillId="8" borderId="1" xfId="0" applyNumberFormat="1" applyFont="1" applyFill="1" applyBorder="1" applyAlignment="1">
      <alignment horizontal="center" vertical="center"/>
    </xf>
    <xf numFmtId="2" fontId="12870" fillId="8" borderId="1" xfId="0" applyNumberFormat="1" applyFont="1" applyFill="1" applyBorder="1" applyAlignment="1">
      <alignment horizontal="center" vertical="center"/>
    </xf>
    <xf numFmtId="0" fontId="12871" fillId="7" borderId="1" xfId="0" applyNumberFormat="1" applyFont="1" applyFill="1" applyBorder="1" applyAlignment="1">
      <alignment horizontal="left" vertical="center"/>
    </xf>
    <xf numFmtId="0" fontId="12872" fillId="8" borderId="1" xfId="0" applyNumberFormat="1" applyFont="1" applyFill="1" applyBorder="1" applyAlignment="1">
      <alignment horizontal="center" vertical="center"/>
    </xf>
    <xf numFmtId="164" fontId="12873" fillId="8" borderId="1" xfId="0" applyNumberFormat="1" applyFont="1" applyFill="1" applyBorder="1" applyAlignment="1">
      <alignment horizontal="center" vertical="center"/>
    </xf>
    <xf numFmtId="1" fontId="12874" fillId="8" borderId="1" xfId="0" applyNumberFormat="1" applyFont="1" applyFill="1" applyBorder="1" applyAlignment="1">
      <alignment horizontal="center" vertical="center"/>
    </xf>
    <xf numFmtId="1" fontId="12875" fillId="8" borderId="1" xfId="0" applyNumberFormat="1" applyFont="1" applyFill="1" applyBorder="1" applyAlignment="1">
      <alignment horizontal="center" vertical="center"/>
    </xf>
    <xf numFmtId="1" fontId="12876" fillId="8" borderId="1" xfId="0" applyNumberFormat="1" applyFont="1" applyFill="1" applyBorder="1" applyAlignment="1">
      <alignment horizontal="center" vertical="center"/>
    </xf>
    <xf numFmtId="1" fontId="12877" fillId="8" borderId="1" xfId="0" applyNumberFormat="1" applyFont="1" applyFill="1" applyBorder="1" applyAlignment="1">
      <alignment horizontal="center" vertical="center"/>
    </xf>
    <xf numFmtId="1" fontId="12878" fillId="8" borderId="1" xfId="0" applyNumberFormat="1" applyFont="1" applyFill="1" applyBorder="1" applyAlignment="1">
      <alignment horizontal="center" vertical="center"/>
    </xf>
    <xf numFmtId="1" fontId="12879" fillId="8" borderId="1" xfId="0" applyNumberFormat="1" applyFont="1" applyFill="1" applyBorder="1" applyAlignment="1">
      <alignment horizontal="center" vertical="center"/>
    </xf>
    <xf numFmtId="1" fontId="12880" fillId="8" borderId="1" xfId="0" applyNumberFormat="1" applyFont="1" applyFill="1" applyBorder="1" applyAlignment="1">
      <alignment horizontal="center" vertical="center"/>
    </xf>
    <xf numFmtId="0" fontId="12881" fillId="8" borderId="1" xfId="0" applyNumberFormat="1" applyFont="1" applyFill="1" applyBorder="1" applyAlignment="1">
      <alignment horizontal="center" vertical="center"/>
    </xf>
    <xf numFmtId="0" fontId="12882" fillId="8" borderId="1" xfId="0" applyNumberFormat="1" applyFont="1" applyFill="1" applyBorder="1" applyAlignment="1">
      <alignment horizontal="center" vertical="center"/>
    </xf>
    <xf numFmtId="1" fontId="12883" fillId="8" borderId="1" xfId="0" applyNumberFormat="1" applyFont="1" applyFill="1" applyBorder="1" applyAlignment="1">
      <alignment horizontal="center" vertical="center"/>
    </xf>
    <xf numFmtId="1" fontId="12884" fillId="8" borderId="1" xfId="0" applyNumberFormat="1" applyFont="1" applyFill="1" applyBorder="1" applyAlignment="1">
      <alignment horizontal="center" vertical="center"/>
    </xf>
    <xf numFmtId="1" fontId="12885" fillId="8" borderId="1" xfId="0" applyNumberFormat="1" applyFont="1" applyFill="1" applyBorder="1" applyAlignment="1">
      <alignment horizontal="center" vertical="center"/>
    </xf>
    <xf numFmtId="165" fontId="12886" fillId="8" borderId="1" xfId="0" applyNumberFormat="1" applyFont="1" applyFill="1" applyBorder="1" applyAlignment="1">
      <alignment horizontal="center" vertical="center"/>
    </xf>
    <xf numFmtId="1" fontId="12887" fillId="8" borderId="1" xfId="0" applyNumberFormat="1" applyFont="1" applyFill="1" applyBorder="1" applyAlignment="1">
      <alignment horizontal="center" vertical="center"/>
    </xf>
    <xf numFmtId="165" fontId="12888" fillId="8" borderId="1" xfId="0" applyNumberFormat="1" applyFont="1" applyFill="1" applyBorder="1" applyAlignment="1">
      <alignment horizontal="center" vertical="center"/>
    </xf>
    <xf numFmtId="1" fontId="12889" fillId="8" borderId="1" xfId="0" applyNumberFormat="1" applyFont="1" applyFill="1" applyBorder="1" applyAlignment="1">
      <alignment horizontal="center" vertical="center"/>
    </xf>
    <xf numFmtId="165" fontId="12890" fillId="8" borderId="1" xfId="0" applyNumberFormat="1" applyFont="1" applyFill="1" applyBorder="1" applyAlignment="1">
      <alignment horizontal="center" vertical="center"/>
    </xf>
    <xf numFmtId="1" fontId="12891" fillId="8" borderId="1" xfId="0" applyNumberFormat="1" applyFont="1" applyFill="1" applyBorder="1" applyAlignment="1">
      <alignment horizontal="center" vertical="center"/>
    </xf>
    <xf numFmtId="165" fontId="12892" fillId="8" borderId="1" xfId="0" applyNumberFormat="1" applyFont="1" applyFill="1" applyBorder="1" applyAlignment="1">
      <alignment horizontal="center" vertical="center"/>
    </xf>
    <xf numFmtId="165" fontId="12893" fillId="8" borderId="1" xfId="0" applyNumberFormat="1" applyFont="1" applyFill="1" applyBorder="1" applyAlignment="1">
      <alignment horizontal="center" vertical="center"/>
    </xf>
    <xf numFmtId="1" fontId="12894" fillId="8" borderId="1" xfId="0" applyNumberFormat="1" applyFont="1" applyFill="1" applyBorder="1" applyAlignment="1">
      <alignment horizontal="center" vertical="center"/>
    </xf>
    <xf numFmtId="1" fontId="12895" fillId="8" borderId="1" xfId="0" applyNumberFormat="1" applyFont="1" applyFill="1" applyBorder="1" applyAlignment="1">
      <alignment horizontal="center" vertical="center"/>
    </xf>
    <xf numFmtId="1" fontId="12896" fillId="8" borderId="1" xfId="0" applyNumberFormat="1" applyFont="1" applyFill="1" applyBorder="1" applyAlignment="1">
      <alignment horizontal="center" vertical="center"/>
    </xf>
    <xf numFmtId="165" fontId="12897" fillId="8" borderId="1" xfId="0" applyNumberFormat="1" applyFont="1" applyFill="1" applyBorder="1" applyAlignment="1">
      <alignment horizontal="center" vertical="center"/>
    </xf>
    <xf numFmtId="164" fontId="12898" fillId="8" borderId="1" xfId="0" applyNumberFormat="1" applyFont="1" applyFill="1" applyBorder="1" applyAlignment="1">
      <alignment horizontal="center" vertical="center"/>
    </xf>
    <xf numFmtId="164" fontId="12899" fillId="8" borderId="1" xfId="0" applyNumberFormat="1" applyFont="1" applyFill="1" applyBorder="1" applyAlignment="1">
      <alignment horizontal="center" vertical="center"/>
    </xf>
    <xf numFmtId="1" fontId="12900" fillId="8" borderId="1" xfId="0" applyNumberFormat="1" applyFont="1" applyFill="1" applyBorder="1" applyAlignment="1">
      <alignment horizontal="center" vertical="center"/>
    </xf>
    <xf numFmtId="1" fontId="12901" fillId="8" borderId="1" xfId="0" applyNumberFormat="1" applyFont="1" applyFill="1" applyBorder="1" applyAlignment="1">
      <alignment horizontal="center" vertical="center"/>
    </xf>
    <xf numFmtId="1" fontId="12902" fillId="8" borderId="1" xfId="0" applyNumberFormat="1" applyFont="1" applyFill="1" applyBorder="1" applyAlignment="1">
      <alignment horizontal="center" vertical="center"/>
    </xf>
    <xf numFmtId="165" fontId="12903" fillId="8" borderId="1" xfId="0" applyNumberFormat="1" applyFont="1" applyFill="1" applyBorder="1" applyAlignment="1">
      <alignment horizontal="center" vertical="center"/>
    </xf>
    <xf numFmtId="1" fontId="12904" fillId="8" borderId="1" xfId="0" applyNumberFormat="1" applyFont="1" applyFill="1" applyBorder="1" applyAlignment="1">
      <alignment horizontal="center" vertical="center"/>
    </xf>
    <xf numFmtId="165" fontId="12905" fillId="8" borderId="1" xfId="0" applyNumberFormat="1" applyFont="1" applyFill="1" applyBorder="1" applyAlignment="1">
      <alignment horizontal="center" vertical="center"/>
    </xf>
    <xf numFmtId="1" fontId="12906" fillId="8" borderId="1" xfId="0" applyNumberFormat="1" applyFont="1" applyFill="1" applyBorder="1" applyAlignment="1">
      <alignment horizontal="center" vertical="center"/>
    </xf>
    <xf numFmtId="1" fontId="12907" fillId="8" borderId="1" xfId="0" applyNumberFormat="1" applyFont="1" applyFill="1" applyBorder="1" applyAlignment="1">
      <alignment horizontal="center" vertical="center"/>
    </xf>
    <xf numFmtId="1" fontId="12908" fillId="8" borderId="1" xfId="0" applyNumberFormat="1" applyFont="1" applyFill="1" applyBorder="1" applyAlignment="1">
      <alignment horizontal="center" vertical="center"/>
    </xf>
    <xf numFmtId="1" fontId="12909" fillId="8" borderId="1" xfId="0" applyNumberFormat="1" applyFont="1" applyFill="1" applyBorder="1" applyAlignment="1">
      <alignment horizontal="center" vertical="center"/>
    </xf>
    <xf numFmtId="165" fontId="12910" fillId="8" borderId="1" xfId="0" applyNumberFormat="1" applyFont="1" applyFill="1" applyBorder="1" applyAlignment="1">
      <alignment horizontal="center" vertical="center"/>
    </xf>
    <xf numFmtId="1" fontId="12911" fillId="8" borderId="1" xfId="0" applyNumberFormat="1" applyFont="1" applyFill="1" applyBorder="1" applyAlignment="1">
      <alignment horizontal="center" vertical="center"/>
    </xf>
    <xf numFmtId="165" fontId="12912" fillId="8" borderId="1" xfId="0" applyNumberFormat="1" applyFont="1" applyFill="1" applyBorder="1" applyAlignment="1">
      <alignment horizontal="center" vertical="center"/>
    </xf>
    <xf numFmtId="1" fontId="12913" fillId="8" borderId="1" xfId="0" applyNumberFormat="1" applyFont="1" applyFill="1" applyBorder="1" applyAlignment="1">
      <alignment horizontal="center" vertical="center"/>
    </xf>
    <xf numFmtId="165" fontId="12914" fillId="8" borderId="1" xfId="0" applyNumberFormat="1" applyFont="1" applyFill="1" applyBorder="1" applyAlignment="1">
      <alignment horizontal="center" vertical="center"/>
    </xf>
    <xf numFmtId="2" fontId="12915" fillId="8" borderId="1" xfId="0" applyNumberFormat="1" applyFont="1" applyFill="1" applyBorder="1" applyAlignment="1">
      <alignment horizontal="center" vertical="center"/>
    </xf>
    <xf numFmtId="2" fontId="12916" fillId="8" borderId="1" xfId="0" applyNumberFormat="1" applyFont="1" applyFill="1" applyBorder="1" applyAlignment="1">
      <alignment horizontal="center" vertical="center"/>
    </xf>
    <xf numFmtId="2" fontId="12917" fillId="8" borderId="1" xfId="0" applyNumberFormat="1" applyFont="1" applyFill="1" applyBorder="1" applyAlignment="1">
      <alignment horizontal="center" vertical="center"/>
    </xf>
    <xf numFmtId="2" fontId="12918" fillId="8" borderId="1" xfId="0" applyNumberFormat="1" applyFont="1" applyFill="1" applyBorder="1" applyAlignment="1">
      <alignment horizontal="center" vertical="center"/>
    </xf>
    <xf numFmtId="2" fontId="12919" fillId="8" borderId="1" xfId="0" applyNumberFormat="1" applyFont="1" applyFill="1" applyBorder="1" applyAlignment="1">
      <alignment horizontal="center" vertical="center"/>
    </xf>
    <xf numFmtId="2" fontId="12920" fillId="8" borderId="1" xfId="0" applyNumberFormat="1" applyFont="1" applyFill="1" applyBorder="1" applyAlignment="1">
      <alignment horizontal="center" vertical="center"/>
    </xf>
    <xf numFmtId="2" fontId="12921" fillId="8" borderId="1" xfId="0" applyNumberFormat="1" applyFont="1" applyFill="1" applyBorder="1" applyAlignment="1">
      <alignment horizontal="center" vertical="center"/>
    </xf>
    <xf numFmtId="2" fontId="12922" fillId="8" borderId="1" xfId="0" applyNumberFormat="1" applyFont="1" applyFill="1" applyBorder="1" applyAlignment="1">
      <alignment horizontal="center" vertical="center"/>
    </xf>
    <xf numFmtId="2" fontId="12923" fillId="8" borderId="1" xfId="0" applyNumberFormat="1" applyFont="1" applyFill="1" applyBorder="1" applyAlignment="1">
      <alignment horizontal="center" vertical="center"/>
    </xf>
    <xf numFmtId="2" fontId="12924" fillId="8" borderId="1" xfId="0" applyNumberFormat="1" applyFont="1" applyFill="1" applyBorder="1" applyAlignment="1">
      <alignment horizontal="center" vertical="center"/>
    </xf>
    <xf numFmtId="2" fontId="12925" fillId="8" borderId="1" xfId="0" applyNumberFormat="1" applyFont="1" applyFill="1" applyBorder="1" applyAlignment="1">
      <alignment horizontal="center" vertical="center"/>
    </xf>
    <xf numFmtId="2" fontId="12926" fillId="8" borderId="1" xfId="0" applyNumberFormat="1" applyFont="1" applyFill="1" applyBorder="1" applyAlignment="1">
      <alignment horizontal="center" vertical="center"/>
    </xf>
    <xf numFmtId="2" fontId="12927" fillId="8" borderId="1" xfId="0" applyNumberFormat="1" applyFont="1" applyFill="1" applyBorder="1" applyAlignment="1">
      <alignment horizontal="center" vertical="center"/>
    </xf>
    <xf numFmtId="2" fontId="12928" fillId="8" borderId="1" xfId="0" applyNumberFormat="1" applyFont="1" applyFill="1" applyBorder="1" applyAlignment="1">
      <alignment horizontal="center" vertical="center"/>
    </xf>
    <xf numFmtId="2" fontId="12929" fillId="8" borderId="1" xfId="0" applyNumberFormat="1" applyFont="1" applyFill="1" applyBorder="1" applyAlignment="1">
      <alignment horizontal="center" vertical="center"/>
    </xf>
    <xf numFmtId="2" fontId="12930" fillId="8" borderId="1" xfId="0" applyNumberFormat="1" applyFont="1" applyFill="1" applyBorder="1" applyAlignment="1">
      <alignment horizontal="center" vertical="center"/>
    </xf>
    <xf numFmtId="2" fontId="12931" fillId="8" borderId="1" xfId="0" applyNumberFormat="1" applyFont="1" applyFill="1" applyBorder="1" applyAlignment="1">
      <alignment horizontal="center" vertical="center"/>
    </xf>
    <xf numFmtId="2" fontId="12932" fillId="8" borderId="1" xfId="0" applyNumberFormat="1" applyFont="1" applyFill="1" applyBorder="1" applyAlignment="1">
      <alignment horizontal="center" vertical="center"/>
    </xf>
    <xf numFmtId="2" fontId="12933" fillId="8" borderId="1" xfId="0" applyNumberFormat="1" applyFont="1" applyFill="1" applyBorder="1" applyAlignment="1">
      <alignment horizontal="center" vertical="center"/>
    </xf>
    <xf numFmtId="2" fontId="12934" fillId="8" borderId="1" xfId="0" applyNumberFormat="1" applyFont="1" applyFill="1" applyBorder="1" applyAlignment="1">
      <alignment horizontal="center" vertical="center"/>
    </xf>
    <xf numFmtId="2" fontId="12935" fillId="8" borderId="1" xfId="0" applyNumberFormat="1" applyFont="1" applyFill="1" applyBorder="1" applyAlignment="1">
      <alignment horizontal="center" vertical="center"/>
    </xf>
    <xf numFmtId="2" fontId="12936" fillId="8" borderId="1" xfId="0" applyNumberFormat="1" applyFont="1" applyFill="1" applyBorder="1" applyAlignment="1">
      <alignment horizontal="center" vertical="center"/>
    </xf>
    <xf numFmtId="2" fontId="12937" fillId="8" borderId="1" xfId="0" applyNumberFormat="1" applyFont="1" applyFill="1" applyBorder="1" applyAlignment="1">
      <alignment horizontal="center" vertical="center"/>
    </xf>
    <xf numFmtId="2" fontId="12938" fillId="8" borderId="1" xfId="0" applyNumberFormat="1" applyFont="1" applyFill="1" applyBorder="1" applyAlignment="1">
      <alignment horizontal="center" vertical="center"/>
    </xf>
    <xf numFmtId="2" fontId="12939" fillId="8" borderId="1" xfId="0" applyNumberFormat="1" applyFont="1" applyFill="1" applyBorder="1" applyAlignment="1">
      <alignment horizontal="center" vertical="center"/>
    </xf>
    <xf numFmtId="2" fontId="12940" fillId="8" borderId="1" xfId="0" applyNumberFormat="1" applyFont="1" applyFill="1" applyBorder="1" applyAlignment="1">
      <alignment horizontal="center" vertical="center"/>
    </xf>
    <xf numFmtId="2" fontId="12941" fillId="8" borderId="1" xfId="0" applyNumberFormat="1" applyFont="1" applyFill="1" applyBorder="1" applyAlignment="1">
      <alignment horizontal="center" vertical="center"/>
    </xf>
    <xf numFmtId="2" fontId="12942" fillId="8" borderId="1" xfId="0" applyNumberFormat="1" applyFont="1" applyFill="1" applyBorder="1" applyAlignment="1">
      <alignment horizontal="center" vertical="center"/>
    </xf>
    <xf numFmtId="2" fontId="12943" fillId="8" borderId="1" xfId="0" applyNumberFormat="1" applyFont="1" applyFill="1" applyBorder="1" applyAlignment="1">
      <alignment horizontal="center" vertical="center"/>
    </xf>
    <xf numFmtId="2" fontId="12944" fillId="8" borderId="1" xfId="0" applyNumberFormat="1" applyFont="1" applyFill="1" applyBorder="1" applyAlignment="1">
      <alignment horizontal="center" vertical="center"/>
    </xf>
    <xf numFmtId="2" fontId="12945" fillId="8" borderId="1" xfId="0" applyNumberFormat="1" applyFont="1" applyFill="1" applyBorder="1" applyAlignment="1">
      <alignment horizontal="center" vertical="center"/>
    </xf>
    <xf numFmtId="2" fontId="12946" fillId="8" borderId="1" xfId="0" applyNumberFormat="1" applyFont="1" applyFill="1" applyBorder="1" applyAlignment="1">
      <alignment horizontal="center" vertical="center"/>
    </xf>
    <xf numFmtId="2" fontId="12947" fillId="8" borderId="1" xfId="0" applyNumberFormat="1" applyFont="1" applyFill="1" applyBorder="1" applyAlignment="1">
      <alignment horizontal="center" vertical="center"/>
    </xf>
    <xf numFmtId="2" fontId="12948" fillId="8" borderId="1" xfId="0" applyNumberFormat="1" applyFont="1" applyFill="1" applyBorder="1" applyAlignment="1">
      <alignment horizontal="center" vertical="center"/>
    </xf>
    <xf numFmtId="0" fontId="12949" fillId="7" borderId="1" xfId="0" applyNumberFormat="1" applyFont="1" applyFill="1" applyBorder="1" applyAlignment="1">
      <alignment horizontal="left" vertical="center"/>
    </xf>
    <xf numFmtId="0" fontId="12950" fillId="8" borderId="1" xfId="0" applyNumberFormat="1" applyFont="1" applyFill="1" applyBorder="1" applyAlignment="1">
      <alignment horizontal="center" vertical="center"/>
    </xf>
    <xf numFmtId="164" fontId="12951" fillId="8" borderId="1" xfId="0" applyNumberFormat="1" applyFont="1" applyFill="1" applyBorder="1" applyAlignment="1">
      <alignment horizontal="center" vertical="center"/>
    </xf>
    <xf numFmtId="1" fontId="12952" fillId="8" borderId="1" xfId="0" applyNumberFormat="1" applyFont="1" applyFill="1" applyBorder="1" applyAlignment="1">
      <alignment horizontal="center" vertical="center"/>
    </xf>
    <xf numFmtId="1" fontId="12953" fillId="8" borderId="1" xfId="0" applyNumberFormat="1" applyFont="1" applyFill="1" applyBorder="1" applyAlignment="1">
      <alignment horizontal="center" vertical="center"/>
    </xf>
    <xf numFmtId="1" fontId="12954" fillId="8" borderId="1" xfId="0" applyNumberFormat="1" applyFont="1" applyFill="1" applyBorder="1" applyAlignment="1">
      <alignment horizontal="center" vertical="center"/>
    </xf>
    <xf numFmtId="1" fontId="12955" fillId="8" borderId="1" xfId="0" applyNumberFormat="1" applyFont="1" applyFill="1" applyBorder="1" applyAlignment="1">
      <alignment horizontal="center" vertical="center"/>
    </xf>
    <xf numFmtId="1" fontId="12956" fillId="8" borderId="1" xfId="0" applyNumberFormat="1" applyFont="1" applyFill="1" applyBorder="1" applyAlignment="1">
      <alignment horizontal="center" vertical="center"/>
    </xf>
    <xf numFmtId="1" fontId="12957" fillId="8" borderId="1" xfId="0" applyNumberFormat="1" applyFont="1" applyFill="1" applyBorder="1" applyAlignment="1">
      <alignment horizontal="center" vertical="center"/>
    </xf>
    <xf numFmtId="1" fontId="12958" fillId="8" borderId="1" xfId="0" applyNumberFormat="1" applyFont="1" applyFill="1" applyBorder="1" applyAlignment="1">
      <alignment horizontal="center" vertical="center"/>
    </xf>
    <xf numFmtId="0" fontId="12959" fillId="8" borderId="1" xfId="0" applyNumberFormat="1" applyFont="1" applyFill="1" applyBorder="1" applyAlignment="1">
      <alignment horizontal="center" vertical="center"/>
    </xf>
    <xf numFmtId="0" fontId="12960" fillId="8" borderId="1" xfId="0" applyNumberFormat="1" applyFont="1" applyFill="1" applyBorder="1" applyAlignment="1">
      <alignment horizontal="center" vertical="center"/>
    </xf>
    <xf numFmtId="1" fontId="12961" fillId="8" borderId="1" xfId="0" applyNumberFormat="1" applyFont="1" applyFill="1" applyBorder="1" applyAlignment="1">
      <alignment horizontal="center" vertical="center"/>
    </xf>
    <xf numFmtId="1" fontId="12962" fillId="8" borderId="1" xfId="0" applyNumberFormat="1" applyFont="1" applyFill="1" applyBorder="1" applyAlignment="1">
      <alignment horizontal="center" vertical="center"/>
    </xf>
    <xf numFmtId="1" fontId="12963" fillId="8" borderId="1" xfId="0" applyNumberFormat="1" applyFont="1" applyFill="1" applyBorder="1" applyAlignment="1">
      <alignment horizontal="center" vertical="center"/>
    </xf>
    <xf numFmtId="165" fontId="12964" fillId="8" borderId="1" xfId="0" applyNumberFormat="1" applyFont="1" applyFill="1" applyBorder="1" applyAlignment="1">
      <alignment horizontal="center" vertical="center"/>
    </xf>
    <xf numFmtId="1" fontId="12965" fillId="8" borderId="1" xfId="0" applyNumberFormat="1" applyFont="1" applyFill="1" applyBorder="1" applyAlignment="1">
      <alignment horizontal="center" vertical="center"/>
    </xf>
    <xf numFmtId="165" fontId="12966" fillId="8" borderId="1" xfId="0" applyNumberFormat="1" applyFont="1" applyFill="1" applyBorder="1" applyAlignment="1">
      <alignment horizontal="center" vertical="center"/>
    </xf>
    <xf numFmtId="1" fontId="12967" fillId="8" borderId="1" xfId="0" applyNumberFormat="1" applyFont="1" applyFill="1" applyBorder="1" applyAlignment="1">
      <alignment horizontal="center" vertical="center"/>
    </xf>
    <xf numFmtId="165" fontId="12968" fillId="8" borderId="1" xfId="0" applyNumberFormat="1" applyFont="1" applyFill="1" applyBorder="1" applyAlignment="1">
      <alignment horizontal="center" vertical="center"/>
    </xf>
    <xf numFmtId="1" fontId="12969" fillId="8" borderId="1" xfId="0" applyNumberFormat="1" applyFont="1" applyFill="1" applyBorder="1" applyAlignment="1">
      <alignment horizontal="center" vertical="center"/>
    </xf>
    <xf numFmtId="165" fontId="12970" fillId="8" borderId="1" xfId="0" applyNumberFormat="1" applyFont="1" applyFill="1" applyBorder="1" applyAlignment="1">
      <alignment horizontal="center" vertical="center"/>
    </xf>
    <xf numFmtId="165" fontId="12971" fillId="8" borderId="1" xfId="0" applyNumberFormat="1" applyFont="1" applyFill="1" applyBorder="1" applyAlignment="1">
      <alignment horizontal="center" vertical="center"/>
    </xf>
    <xf numFmtId="1" fontId="12972" fillId="8" borderId="1" xfId="0" applyNumberFormat="1" applyFont="1" applyFill="1" applyBorder="1" applyAlignment="1">
      <alignment horizontal="center" vertical="center"/>
    </xf>
    <xf numFmtId="1" fontId="12973" fillId="8" borderId="1" xfId="0" applyNumberFormat="1" applyFont="1" applyFill="1" applyBorder="1" applyAlignment="1">
      <alignment horizontal="center" vertical="center"/>
    </xf>
    <xf numFmtId="1" fontId="12974" fillId="8" borderId="1" xfId="0" applyNumberFormat="1" applyFont="1" applyFill="1" applyBorder="1" applyAlignment="1">
      <alignment horizontal="center" vertical="center"/>
    </xf>
    <xf numFmtId="165" fontId="12975" fillId="8" borderId="1" xfId="0" applyNumberFormat="1" applyFont="1" applyFill="1" applyBorder="1" applyAlignment="1">
      <alignment horizontal="center" vertical="center"/>
    </xf>
    <xf numFmtId="164" fontId="12976" fillId="8" borderId="1" xfId="0" applyNumberFormat="1" applyFont="1" applyFill="1" applyBorder="1" applyAlignment="1">
      <alignment horizontal="center" vertical="center"/>
    </xf>
    <xf numFmtId="164" fontId="12977" fillId="8" borderId="1" xfId="0" applyNumberFormat="1" applyFont="1" applyFill="1" applyBorder="1" applyAlignment="1">
      <alignment horizontal="center" vertical="center"/>
    </xf>
    <xf numFmtId="1" fontId="12978" fillId="8" borderId="1" xfId="0" applyNumberFormat="1" applyFont="1" applyFill="1" applyBorder="1" applyAlignment="1">
      <alignment horizontal="center" vertical="center"/>
    </xf>
    <xf numFmtId="1" fontId="12979" fillId="8" borderId="1" xfId="0" applyNumberFormat="1" applyFont="1" applyFill="1" applyBorder="1" applyAlignment="1">
      <alignment horizontal="center" vertical="center"/>
    </xf>
    <xf numFmtId="1" fontId="12980" fillId="8" borderId="1" xfId="0" applyNumberFormat="1" applyFont="1" applyFill="1" applyBorder="1" applyAlignment="1">
      <alignment horizontal="center" vertical="center"/>
    </xf>
    <xf numFmtId="165" fontId="12981" fillId="8" borderId="1" xfId="0" applyNumberFormat="1" applyFont="1" applyFill="1" applyBorder="1" applyAlignment="1">
      <alignment horizontal="center" vertical="center"/>
    </xf>
    <xf numFmtId="1" fontId="12982" fillId="8" borderId="1" xfId="0" applyNumberFormat="1" applyFont="1" applyFill="1" applyBorder="1" applyAlignment="1">
      <alignment horizontal="center" vertical="center"/>
    </xf>
    <xf numFmtId="165" fontId="12983" fillId="8" borderId="1" xfId="0" applyNumberFormat="1" applyFont="1" applyFill="1" applyBorder="1" applyAlignment="1">
      <alignment horizontal="center" vertical="center"/>
    </xf>
    <xf numFmtId="1" fontId="12984" fillId="8" borderId="1" xfId="0" applyNumberFormat="1" applyFont="1" applyFill="1" applyBorder="1" applyAlignment="1">
      <alignment horizontal="center" vertical="center"/>
    </xf>
    <xf numFmtId="1" fontId="12985" fillId="8" borderId="1" xfId="0" applyNumberFormat="1" applyFont="1" applyFill="1" applyBorder="1" applyAlignment="1">
      <alignment horizontal="center" vertical="center"/>
    </xf>
    <xf numFmtId="1" fontId="12986" fillId="8" borderId="1" xfId="0" applyNumberFormat="1" applyFont="1" applyFill="1" applyBorder="1" applyAlignment="1">
      <alignment horizontal="center" vertical="center"/>
    </xf>
    <xf numFmtId="1" fontId="12987" fillId="8" borderId="1" xfId="0" applyNumberFormat="1" applyFont="1" applyFill="1" applyBorder="1" applyAlignment="1">
      <alignment horizontal="center" vertical="center"/>
    </xf>
    <xf numFmtId="165" fontId="12988" fillId="8" borderId="1" xfId="0" applyNumberFormat="1" applyFont="1" applyFill="1" applyBorder="1" applyAlignment="1">
      <alignment horizontal="center" vertical="center"/>
    </xf>
    <xf numFmtId="1" fontId="12989" fillId="8" borderId="1" xfId="0" applyNumberFormat="1" applyFont="1" applyFill="1" applyBorder="1" applyAlignment="1">
      <alignment horizontal="center" vertical="center"/>
    </xf>
    <xf numFmtId="165" fontId="12990" fillId="8" borderId="1" xfId="0" applyNumberFormat="1" applyFont="1" applyFill="1" applyBorder="1" applyAlignment="1">
      <alignment horizontal="center" vertical="center"/>
    </xf>
    <xf numFmtId="1" fontId="12991" fillId="8" borderId="1" xfId="0" applyNumberFormat="1" applyFont="1" applyFill="1" applyBorder="1" applyAlignment="1">
      <alignment horizontal="center" vertical="center"/>
    </xf>
    <xf numFmtId="165" fontId="12992" fillId="8" borderId="1" xfId="0" applyNumberFormat="1" applyFont="1" applyFill="1" applyBorder="1" applyAlignment="1">
      <alignment horizontal="center" vertical="center"/>
    </xf>
    <xf numFmtId="2" fontId="12993" fillId="8" borderId="1" xfId="0" applyNumberFormat="1" applyFont="1" applyFill="1" applyBorder="1" applyAlignment="1">
      <alignment horizontal="center" vertical="center"/>
    </xf>
    <xf numFmtId="2" fontId="12994" fillId="8" borderId="1" xfId="0" applyNumberFormat="1" applyFont="1" applyFill="1" applyBorder="1" applyAlignment="1">
      <alignment horizontal="center" vertical="center"/>
    </xf>
    <xf numFmtId="2" fontId="12995" fillId="8" borderId="1" xfId="0" applyNumberFormat="1" applyFont="1" applyFill="1" applyBorder="1" applyAlignment="1">
      <alignment horizontal="center" vertical="center"/>
    </xf>
    <xf numFmtId="2" fontId="12996" fillId="8" borderId="1" xfId="0" applyNumberFormat="1" applyFont="1" applyFill="1" applyBorder="1" applyAlignment="1">
      <alignment horizontal="center" vertical="center"/>
    </xf>
    <xf numFmtId="2" fontId="12997" fillId="8" borderId="1" xfId="0" applyNumberFormat="1" applyFont="1" applyFill="1" applyBorder="1" applyAlignment="1">
      <alignment horizontal="center" vertical="center"/>
    </xf>
    <xf numFmtId="2" fontId="12998" fillId="8" borderId="1" xfId="0" applyNumberFormat="1" applyFont="1" applyFill="1" applyBorder="1" applyAlignment="1">
      <alignment horizontal="center" vertical="center"/>
    </xf>
    <xf numFmtId="2" fontId="12999" fillId="8" borderId="1" xfId="0" applyNumberFormat="1" applyFont="1" applyFill="1" applyBorder="1" applyAlignment="1">
      <alignment horizontal="center" vertical="center"/>
    </xf>
    <xf numFmtId="2" fontId="13000" fillId="8" borderId="1" xfId="0" applyNumberFormat="1" applyFont="1" applyFill="1" applyBorder="1" applyAlignment="1">
      <alignment horizontal="center" vertical="center"/>
    </xf>
    <xf numFmtId="2" fontId="13001" fillId="8" borderId="1" xfId="0" applyNumberFormat="1" applyFont="1" applyFill="1" applyBorder="1" applyAlignment="1">
      <alignment horizontal="center" vertical="center"/>
    </xf>
    <xf numFmtId="2" fontId="13002" fillId="8" borderId="1" xfId="0" applyNumberFormat="1" applyFont="1" applyFill="1" applyBorder="1" applyAlignment="1">
      <alignment horizontal="center" vertical="center"/>
    </xf>
    <xf numFmtId="2" fontId="13003" fillId="8" borderId="1" xfId="0" applyNumberFormat="1" applyFont="1" applyFill="1" applyBorder="1" applyAlignment="1">
      <alignment horizontal="center" vertical="center"/>
    </xf>
    <xf numFmtId="2" fontId="13004" fillId="8" borderId="1" xfId="0" applyNumberFormat="1" applyFont="1" applyFill="1" applyBorder="1" applyAlignment="1">
      <alignment horizontal="center" vertical="center"/>
    </xf>
    <xf numFmtId="2" fontId="13005" fillId="8" borderId="1" xfId="0" applyNumberFormat="1" applyFont="1" applyFill="1" applyBorder="1" applyAlignment="1">
      <alignment horizontal="center" vertical="center"/>
    </xf>
    <xf numFmtId="2" fontId="13006" fillId="8" borderId="1" xfId="0" applyNumberFormat="1" applyFont="1" applyFill="1" applyBorder="1" applyAlignment="1">
      <alignment horizontal="center" vertical="center"/>
    </xf>
    <xf numFmtId="2" fontId="13007" fillId="8" borderId="1" xfId="0" applyNumberFormat="1" applyFont="1" applyFill="1" applyBorder="1" applyAlignment="1">
      <alignment horizontal="center" vertical="center"/>
    </xf>
    <xf numFmtId="2" fontId="13008" fillId="8" borderId="1" xfId="0" applyNumberFormat="1" applyFont="1" applyFill="1" applyBorder="1" applyAlignment="1">
      <alignment horizontal="center" vertical="center"/>
    </xf>
    <xf numFmtId="2" fontId="13009" fillId="8" borderId="1" xfId="0" applyNumberFormat="1" applyFont="1" applyFill="1" applyBorder="1" applyAlignment="1">
      <alignment horizontal="center" vertical="center"/>
    </xf>
    <xf numFmtId="2" fontId="13010" fillId="8" borderId="1" xfId="0" applyNumberFormat="1" applyFont="1" applyFill="1" applyBorder="1" applyAlignment="1">
      <alignment horizontal="center" vertical="center"/>
    </xf>
    <xf numFmtId="2" fontId="13011" fillId="8" borderId="1" xfId="0" applyNumberFormat="1" applyFont="1" applyFill="1" applyBorder="1" applyAlignment="1">
      <alignment horizontal="center" vertical="center"/>
    </xf>
    <xf numFmtId="2" fontId="13012" fillId="8" borderId="1" xfId="0" applyNumberFormat="1" applyFont="1" applyFill="1" applyBorder="1" applyAlignment="1">
      <alignment horizontal="center" vertical="center"/>
    </xf>
    <xf numFmtId="2" fontId="13013" fillId="8" borderId="1" xfId="0" applyNumberFormat="1" applyFont="1" applyFill="1" applyBorder="1" applyAlignment="1">
      <alignment horizontal="center" vertical="center"/>
    </xf>
    <xf numFmtId="2" fontId="13014" fillId="8" borderId="1" xfId="0" applyNumberFormat="1" applyFont="1" applyFill="1" applyBorder="1" applyAlignment="1">
      <alignment horizontal="center" vertical="center"/>
    </xf>
    <xf numFmtId="2" fontId="13015" fillId="8" borderId="1" xfId="0" applyNumberFormat="1" applyFont="1" applyFill="1" applyBorder="1" applyAlignment="1">
      <alignment horizontal="center" vertical="center"/>
    </xf>
    <xf numFmtId="2" fontId="13016" fillId="8" borderId="1" xfId="0" applyNumberFormat="1" applyFont="1" applyFill="1" applyBorder="1" applyAlignment="1">
      <alignment horizontal="center" vertical="center"/>
    </xf>
    <xf numFmtId="2" fontId="13017" fillId="8" borderId="1" xfId="0" applyNumberFormat="1" applyFont="1" applyFill="1" applyBorder="1" applyAlignment="1">
      <alignment horizontal="center" vertical="center"/>
    </xf>
    <xf numFmtId="2" fontId="13018" fillId="8" borderId="1" xfId="0" applyNumberFormat="1" applyFont="1" applyFill="1" applyBorder="1" applyAlignment="1">
      <alignment horizontal="center" vertical="center"/>
    </xf>
    <xf numFmtId="2" fontId="13019" fillId="8" borderId="1" xfId="0" applyNumberFormat="1" applyFont="1" applyFill="1" applyBorder="1" applyAlignment="1">
      <alignment horizontal="center" vertical="center"/>
    </xf>
    <xf numFmtId="2" fontId="13020" fillId="8" borderId="1" xfId="0" applyNumberFormat="1" applyFont="1" applyFill="1" applyBorder="1" applyAlignment="1">
      <alignment horizontal="center" vertical="center"/>
    </xf>
    <xf numFmtId="2" fontId="13021" fillId="8" borderId="1" xfId="0" applyNumberFormat="1" applyFont="1" applyFill="1" applyBorder="1" applyAlignment="1">
      <alignment horizontal="center" vertical="center"/>
    </xf>
    <xf numFmtId="2" fontId="13022" fillId="8" borderId="1" xfId="0" applyNumberFormat="1" applyFont="1" applyFill="1" applyBorder="1" applyAlignment="1">
      <alignment horizontal="center" vertical="center"/>
    </xf>
    <xf numFmtId="2" fontId="13023" fillId="8" borderId="1" xfId="0" applyNumberFormat="1" applyFont="1" applyFill="1" applyBorder="1" applyAlignment="1">
      <alignment horizontal="center" vertical="center"/>
    </xf>
    <xf numFmtId="2" fontId="13024" fillId="8" borderId="1" xfId="0" applyNumberFormat="1" applyFont="1" applyFill="1" applyBorder="1" applyAlignment="1">
      <alignment horizontal="center" vertical="center"/>
    </xf>
    <xf numFmtId="2" fontId="13025" fillId="8" borderId="1" xfId="0" applyNumberFormat="1" applyFont="1" applyFill="1" applyBorder="1" applyAlignment="1">
      <alignment horizontal="center" vertical="center"/>
    </xf>
    <xf numFmtId="2" fontId="13026" fillId="8" borderId="1" xfId="0" applyNumberFormat="1" applyFont="1" applyFill="1" applyBorder="1" applyAlignment="1">
      <alignment horizontal="center" vertical="center"/>
    </xf>
    <xf numFmtId="0" fontId="13027" fillId="7" borderId="1" xfId="0" applyNumberFormat="1" applyFont="1" applyFill="1" applyBorder="1" applyAlignment="1">
      <alignment horizontal="left" vertical="center"/>
    </xf>
    <xf numFmtId="0" fontId="13028" fillId="8" borderId="1" xfId="0" applyNumberFormat="1" applyFont="1" applyFill="1" applyBorder="1" applyAlignment="1">
      <alignment horizontal="center" vertical="center"/>
    </xf>
    <xf numFmtId="164" fontId="13029" fillId="8" borderId="1" xfId="0" applyNumberFormat="1" applyFont="1" applyFill="1" applyBorder="1" applyAlignment="1">
      <alignment horizontal="center" vertical="center"/>
    </xf>
    <xf numFmtId="1" fontId="13030" fillId="8" borderId="1" xfId="0" applyNumberFormat="1" applyFont="1" applyFill="1" applyBorder="1" applyAlignment="1">
      <alignment horizontal="center" vertical="center"/>
    </xf>
    <xf numFmtId="1" fontId="13031" fillId="8" borderId="1" xfId="0" applyNumberFormat="1" applyFont="1" applyFill="1" applyBorder="1" applyAlignment="1">
      <alignment horizontal="center" vertical="center"/>
    </xf>
    <xf numFmtId="1" fontId="13032" fillId="8" borderId="1" xfId="0" applyNumberFormat="1" applyFont="1" applyFill="1" applyBorder="1" applyAlignment="1">
      <alignment horizontal="center" vertical="center"/>
    </xf>
    <xf numFmtId="1" fontId="13033" fillId="8" borderId="1" xfId="0" applyNumberFormat="1" applyFont="1" applyFill="1" applyBorder="1" applyAlignment="1">
      <alignment horizontal="center" vertical="center"/>
    </xf>
    <xf numFmtId="1" fontId="13034" fillId="8" borderId="1" xfId="0" applyNumberFormat="1" applyFont="1" applyFill="1" applyBorder="1" applyAlignment="1">
      <alignment horizontal="center" vertical="center"/>
    </xf>
    <xf numFmtId="1" fontId="13035" fillId="8" borderId="1" xfId="0" applyNumberFormat="1" applyFont="1" applyFill="1" applyBorder="1" applyAlignment="1">
      <alignment horizontal="center" vertical="center"/>
    </xf>
    <xf numFmtId="1" fontId="13036" fillId="8" borderId="1" xfId="0" applyNumberFormat="1" applyFont="1" applyFill="1" applyBorder="1" applyAlignment="1">
      <alignment horizontal="center" vertical="center"/>
    </xf>
    <xf numFmtId="0" fontId="13037" fillId="8" borderId="1" xfId="0" applyNumberFormat="1" applyFont="1" applyFill="1" applyBorder="1" applyAlignment="1">
      <alignment horizontal="center" vertical="center"/>
    </xf>
    <xf numFmtId="0" fontId="13038" fillId="8" borderId="1" xfId="0" applyNumberFormat="1" applyFont="1" applyFill="1" applyBorder="1" applyAlignment="1">
      <alignment horizontal="center" vertical="center"/>
    </xf>
    <xf numFmtId="1" fontId="13039" fillId="8" borderId="1" xfId="0" applyNumberFormat="1" applyFont="1" applyFill="1" applyBorder="1" applyAlignment="1">
      <alignment horizontal="center" vertical="center"/>
    </xf>
    <xf numFmtId="1" fontId="13040" fillId="8" borderId="1" xfId="0" applyNumberFormat="1" applyFont="1" applyFill="1" applyBorder="1" applyAlignment="1">
      <alignment horizontal="center" vertical="center"/>
    </xf>
    <xf numFmtId="1" fontId="13041" fillId="8" borderId="1" xfId="0" applyNumberFormat="1" applyFont="1" applyFill="1" applyBorder="1" applyAlignment="1">
      <alignment horizontal="center" vertical="center"/>
    </xf>
    <xf numFmtId="165" fontId="13042" fillId="8" borderId="1" xfId="0" applyNumberFormat="1" applyFont="1" applyFill="1" applyBorder="1" applyAlignment="1">
      <alignment horizontal="center" vertical="center"/>
    </xf>
    <xf numFmtId="1" fontId="13043" fillId="8" borderId="1" xfId="0" applyNumberFormat="1" applyFont="1" applyFill="1" applyBorder="1" applyAlignment="1">
      <alignment horizontal="center" vertical="center"/>
    </xf>
    <xf numFmtId="165" fontId="13044" fillId="8" borderId="1" xfId="0" applyNumberFormat="1" applyFont="1" applyFill="1" applyBorder="1" applyAlignment="1">
      <alignment horizontal="center" vertical="center"/>
    </xf>
    <xf numFmtId="1" fontId="13045" fillId="8" borderId="1" xfId="0" applyNumberFormat="1" applyFont="1" applyFill="1" applyBorder="1" applyAlignment="1">
      <alignment horizontal="center" vertical="center"/>
    </xf>
    <xf numFmtId="165" fontId="13046" fillId="8" borderId="1" xfId="0" applyNumberFormat="1" applyFont="1" applyFill="1" applyBorder="1" applyAlignment="1">
      <alignment horizontal="center" vertical="center"/>
    </xf>
    <xf numFmtId="1" fontId="13047" fillId="8" borderId="1" xfId="0" applyNumberFormat="1" applyFont="1" applyFill="1" applyBorder="1" applyAlignment="1">
      <alignment horizontal="center" vertical="center"/>
    </xf>
    <xf numFmtId="165" fontId="13048" fillId="8" borderId="1" xfId="0" applyNumberFormat="1" applyFont="1" applyFill="1" applyBorder="1" applyAlignment="1">
      <alignment horizontal="center" vertical="center"/>
    </xf>
    <xf numFmtId="165" fontId="13049" fillId="8" borderId="1" xfId="0" applyNumberFormat="1" applyFont="1" applyFill="1" applyBorder="1" applyAlignment="1">
      <alignment horizontal="center" vertical="center"/>
    </xf>
    <xf numFmtId="1" fontId="13050" fillId="8" borderId="1" xfId="0" applyNumberFormat="1" applyFont="1" applyFill="1" applyBorder="1" applyAlignment="1">
      <alignment horizontal="center" vertical="center"/>
    </xf>
    <xf numFmtId="1" fontId="13051" fillId="8" borderId="1" xfId="0" applyNumberFormat="1" applyFont="1" applyFill="1" applyBorder="1" applyAlignment="1">
      <alignment horizontal="center" vertical="center"/>
    </xf>
    <xf numFmtId="1" fontId="13052" fillId="8" borderId="1" xfId="0" applyNumberFormat="1" applyFont="1" applyFill="1" applyBorder="1" applyAlignment="1">
      <alignment horizontal="center" vertical="center"/>
    </xf>
    <xf numFmtId="165" fontId="13053" fillId="8" borderId="1" xfId="0" applyNumberFormat="1" applyFont="1" applyFill="1" applyBorder="1" applyAlignment="1">
      <alignment horizontal="center" vertical="center"/>
    </xf>
    <xf numFmtId="164" fontId="13054" fillId="8" borderId="1" xfId="0" applyNumberFormat="1" applyFont="1" applyFill="1" applyBorder="1" applyAlignment="1">
      <alignment horizontal="center" vertical="center"/>
    </xf>
    <xf numFmtId="164" fontId="13055" fillId="8" borderId="1" xfId="0" applyNumberFormat="1" applyFont="1" applyFill="1" applyBorder="1" applyAlignment="1">
      <alignment horizontal="center" vertical="center"/>
    </xf>
    <xf numFmtId="1" fontId="13056" fillId="8" borderId="1" xfId="0" applyNumberFormat="1" applyFont="1" applyFill="1" applyBorder="1" applyAlignment="1">
      <alignment horizontal="center" vertical="center"/>
    </xf>
    <xf numFmtId="1" fontId="13057" fillId="8" borderId="1" xfId="0" applyNumberFormat="1" applyFont="1" applyFill="1" applyBorder="1" applyAlignment="1">
      <alignment horizontal="center" vertical="center"/>
    </xf>
    <xf numFmtId="1" fontId="13058" fillId="8" borderId="1" xfId="0" applyNumberFormat="1" applyFont="1" applyFill="1" applyBorder="1" applyAlignment="1">
      <alignment horizontal="center" vertical="center"/>
    </xf>
    <xf numFmtId="165" fontId="13059" fillId="8" borderId="1" xfId="0" applyNumberFormat="1" applyFont="1" applyFill="1" applyBorder="1" applyAlignment="1">
      <alignment horizontal="center" vertical="center"/>
    </xf>
    <xf numFmtId="1" fontId="13060" fillId="8" borderId="1" xfId="0" applyNumberFormat="1" applyFont="1" applyFill="1" applyBorder="1" applyAlignment="1">
      <alignment horizontal="center" vertical="center"/>
    </xf>
    <xf numFmtId="165" fontId="13061" fillId="8" borderId="1" xfId="0" applyNumberFormat="1" applyFont="1" applyFill="1" applyBorder="1" applyAlignment="1">
      <alignment horizontal="center" vertical="center"/>
    </xf>
    <xf numFmtId="1" fontId="13062" fillId="8" borderId="1" xfId="0" applyNumberFormat="1" applyFont="1" applyFill="1" applyBorder="1" applyAlignment="1">
      <alignment horizontal="center" vertical="center"/>
    </xf>
    <xf numFmtId="1" fontId="13063" fillId="8" borderId="1" xfId="0" applyNumberFormat="1" applyFont="1" applyFill="1" applyBorder="1" applyAlignment="1">
      <alignment horizontal="center" vertical="center"/>
    </xf>
    <xf numFmtId="1" fontId="13064" fillId="8" borderId="1" xfId="0" applyNumberFormat="1" applyFont="1" applyFill="1" applyBorder="1" applyAlignment="1">
      <alignment horizontal="center" vertical="center"/>
    </xf>
    <xf numFmtId="1" fontId="13065" fillId="8" borderId="1" xfId="0" applyNumberFormat="1" applyFont="1" applyFill="1" applyBorder="1" applyAlignment="1">
      <alignment horizontal="center" vertical="center"/>
    </xf>
    <xf numFmtId="165" fontId="13066" fillId="8" borderId="1" xfId="0" applyNumberFormat="1" applyFont="1" applyFill="1" applyBorder="1" applyAlignment="1">
      <alignment horizontal="center" vertical="center"/>
    </xf>
    <xf numFmtId="1" fontId="13067" fillId="8" borderId="1" xfId="0" applyNumberFormat="1" applyFont="1" applyFill="1" applyBorder="1" applyAlignment="1">
      <alignment horizontal="center" vertical="center"/>
    </xf>
    <xf numFmtId="165" fontId="13068" fillId="8" borderId="1" xfId="0" applyNumberFormat="1" applyFont="1" applyFill="1" applyBorder="1" applyAlignment="1">
      <alignment horizontal="center" vertical="center"/>
    </xf>
    <xf numFmtId="1" fontId="13069" fillId="8" borderId="1" xfId="0" applyNumberFormat="1" applyFont="1" applyFill="1" applyBorder="1" applyAlignment="1">
      <alignment horizontal="center" vertical="center"/>
    </xf>
    <xf numFmtId="165" fontId="13070" fillId="8" borderId="1" xfId="0" applyNumberFormat="1" applyFont="1" applyFill="1" applyBorder="1" applyAlignment="1">
      <alignment horizontal="center" vertical="center"/>
    </xf>
    <xf numFmtId="2" fontId="13071" fillId="8" borderId="1" xfId="0" applyNumberFormat="1" applyFont="1" applyFill="1" applyBorder="1" applyAlignment="1">
      <alignment horizontal="center" vertical="center"/>
    </xf>
    <xf numFmtId="2" fontId="13072" fillId="8" borderId="1" xfId="0" applyNumberFormat="1" applyFont="1" applyFill="1" applyBorder="1" applyAlignment="1">
      <alignment horizontal="center" vertical="center"/>
    </xf>
    <xf numFmtId="2" fontId="13073" fillId="8" borderId="1" xfId="0" applyNumberFormat="1" applyFont="1" applyFill="1" applyBorder="1" applyAlignment="1">
      <alignment horizontal="center" vertical="center"/>
    </xf>
    <xf numFmtId="2" fontId="13074" fillId="8" borderId="1" xfId="0" applyNumberFormat="1" applyFont="1" applyFill="1" applyBorder="1" applyAlignment="1">
      <alignment horizontal="center" vertical="center"/>
    </xf>
    <xf numFmtId="2" fontId="13075" fillId="8" borderId="1" xfId="0" applyNumberFormat="1" applyFont="1" applyFill="1" applyBorder="1" applyAlignment="1">
      <alignment horizontal="center" vertical="center"/>
    </xf>
    <xf numFmtId="2" fontId="13076" fillId="8" borderId="1" xfId="0" applyNumberFormat="1" applyFont="1" applyFill="1" applyBorder="1" applyAlignment="1">
      <alignment horizontal="center" vertical="center"/>
    </xf>
    <xf numFmtId="2" fontId="13077" fillId="8" borderId="1" xfId="0" applyNumberFormat="1" applyFont="1" applyFill="1" applyBorder="1" applyAlignment="1">
      <alignment horizontal="center" vertical="center"/>
    </xf>
    <xf numFmtId="2" fontId="13078" fillId="8" borderId="1" xfId="0" applyNumberFormat="1" applyFont="1" applyFill="1" applyBorder="1" applyAlignment="1">
      <alignment horizontal="center" vertical="center"/>
    </xf>
    <xf numFmtId="2" fontId="13079" fillId="8" borderId="1" xfId="0" applyNumberFormat="1" applyFont="1" applyFill="1" applyBorder="1" applyAlignment="1">
      <alignment horizontal="center" vertical="center"/>
    </xf>
    <xf numFmtId="2" fontId="13080" fillId="8" borderId="1" xfId="0" applyNumberFormat="1" applyFont="1" applyFill="1" applyBorder="1" applyAlignment="1">
      <alignment horizontal="center" vertical="center"/>
    </xf>
    <xf numFmtId="2" fontId="13081" fillId="8" borderId="1" xfId="0" applyNumberFormat="1" applyFont="1" applyFill="1" applyBorder="1" applyAlignment="1">
      <alignment horizontal="center" vertical="center"/>
    </xf>
    <xf numFmtId="2" fontId="13082" fillId="8" borderId="1" xfId="0" applyNumberFormat="1" applyFont="1" applyFill="1" applyBorder="1" applyAlignment="1">
      <alignment horizontal="center" vertical="center"/>
    </xf>
    <xf numFmtId="2" fontId="13083" fillId="8" borderId="1" xfId="0" applyNumberFormat="1" applyFont="1" applyFill="1" applyBorder="1" applyAlignment="1">
      <alignment horizontal="center" vertical="center"/>
    </xf>
    <xf numFmtId="2" fontId="13084" fillId="8" borderId="1" xfId="0" applyNumberFormat="1" applyFont="1" applyFill="1" applyBorder="1" applyAlignment="1">
      <alignment horizontal="center" vertical="center"/>
    </xf>
    <xf numFmtId="2" fontId="13085" fillId="8" borderId="1" xfId="0" applyNumberFormat="1" applyFont="1" applyFill="1" applyBorder="1" applyAlignment="1">
      <alignment horizontal="center" vertical="center"/>
    </xf>
    <xf numFmtId="2" fontId="13086" fillId="8" borderId="1" xfId="0" applyNumberFormat="1" applyFont="1" applyFill="1" applyBorder="1" applyAlignment="1">
      <alignment horizontal="center" vertical="center"/>
    </xf>
    <xf numFmtId="2" fontId="13087" fillId="8" borderId="1" xfId="0" applyNumberFormat="1" applyFont="1" applyFill="1" applyBorder="1" applyAlignment="1">
      <alignment horizontal="center" vertical="center"/>
    </xf>
    <xf numFmtId="2" fontId="13088" fillId="8" borderId="1" xfId="0" applyNumberFormat="1" applyFont="1" applyFill="1" applyBorder="1" applyAlignment="1">
      <alignment horizontal="center" vertical="center"/>
    </xf>
    <xf numFmtId="2" fontId="13089" fillId="8" borderId="1" xfId="0" applyNumberFormat="1" applyFont="1" applyFill="1" applyBorder="1" applyAlignment="1">
      <alignment horizontal="center" vertical="center"/>
    </xf>
    <xf numFmtId="2" fontId="13090" fillId="8" borderId="1" xfId="0" applyNumberFormat="1" applyFont="1" applyFill="1" applyBorder="1" applyAlignment="1">
      <alignment horizontal="center" vertical="center"/>
    </xf>
    <xf numFmtId="2" fontId="13091" fillId="8" borderId="1" xfId="0" applyNumberFormat="1" applyFont="1" applyFill="1" applyBorder="1" applyAlignment="1">
      <alignment horizontal="center" vertical="center"/>
    </xf>
    <xf numFmtId="2" fontId="13092" fillId="8" borderId="1" xfId="0" applyNumberFormat="1" applyFont="1" applyFill="1" applyBorder="1" applyAlignment="1">
      <alignment horizontal="center" vertical="center"/>
    </xf>
    <xf numFmtId="2" fontId="13093" fillId="8" borderId="1" xfId="0" applyNumberFormat="1" applyFont="1" applyFill="1" applyBorder="1" applyAlignment="1">
      <alignment horizontal="center" vertical="center"/>
    </xf>
    <xf numFmtId="2" fontId="13094" fillId="8" borderId="1" xfId="0" applyNumberFormat="1" applyFont="1" applyFill="1" applyBorder="1" applyAlignment="1">
      <alignment horizontal="center" vertical="center"/>
    </xf>
    <xf numFmtId="2" fontId="13095" fillId="8" borderId="1" xfId="0" applyNumberFormat="1" applyFont="1" applyFill="1" applyBorder="1" applyAlignment="1">
      <alignment horizontal="center" vertical="center"/>
    </xf>
    <xf numFmtId="2" fontId="13096" fillId="8" borderId="1" xfId="0" applyNumberFormat="1" applyFont="1" applyFill="1" applyBorder="1" applyAlignment="1">
      <alignment horizontal="center" vertical="center"/>
    </xf>
    <xf numFmtId="2" fontId="13097" fillId="8" borderId="1" xfId="0" applyNumberFormat="1" applyFont="1" applyFill="1" applyBorder="1" applyAlignment="1">
      <alignment horizontal="center" vertical="center"/>
    </xf>
    <xf numFmtId="2" fontId="13098" fillId="8" borderId="1" xfId="0" applyNumberFormat="1" applyFont="1" applyFill="1" applyBorder="1" applyAlignment="1">
      <alignment horizontal="center" vertical="center"/>
    </xf>
    <xf numFmtId="2" fontId="13099" fillId="8" borderId="1" xfId="0" applyNumberFormat="1" applyFont="1" applyFill="1" applyBorder="1" applyAlignment="1">
      <alignment horizontal="center" vertical="center"/>
    </xf>
    <xf numFmtId="2" fontId="13100" fillId="8" borderId="1" xfId="0" applyNumberFormat="1" applyFont="1" applyFill="1" applyBorder="1" applyAlignment="1">
      <alignment horizontal="center" vertical="center"/>
    </xf>
    <xf numFmtId="2" fontId="13101" fillId="8" borderId="1" xfId="0" applyNumberFormat="1" applyFont="1" applyFill="1" applyBorder="1" applyAlignment="1">
      <alignment horizontal="center" vertical="center"/>
    </xf>
    <xf numFmtId="2" fontId="13102" fillId="8" borderId="1" xfId="0" applyNumberFormat="1" applyFont="1" applyFill="1" applyBorder="1" applyAlignment="1">
      <alignment horizontal="center" vertical="center"/>
    </xf>
    <xf numFmtId="2" fontId="13103" fillId="8" borderId="1" xfId="0" applyNumberFormat="1" applyFont="1" applyFill="1" applyBorder="1" applyAlignment="1">
      <alignment horizontal="center" vertical="center"/>
    </xf>
    <xf numFmtId="2" fontId="13104" fillId="8" borderId="1" xfId="0" applyNumberFormat="1" applyFont="1" applyFill="1" applyBorder="1" applyAlignment="1">
      <alignment horizontal="center" vertical="center"/>
    </xf>
    <xf numFmtId="0" fontId="13105" fillId="7" borderId="1" xfId="0" applyNumberFormat="1" applyFont="1" applyFill="1" applyBorder="1" applyAlignment="1">
      <alignment horizontal="left" vertical="center"/>
    </xf>
    <xf numFmtId="0" fontId="13106" fillId="8" borderId="1" xfId="0" applyNumberFormat="1" applyFont="1" applyFill="1" applyBorder="1" applyAlignment="1">
      <alignment horizontal="center" vertical="center"/>
    </xf>
    <xf numFmtId="164" fontId="13107" fillId="8" borderId="1" xfId="0" applyNumberFormat="1" applyFont="1" applyFill="1" applyBorder="1" applyAlignment="1">
      <alignment horizontal="center" vertical="center"/>
    </xf>
    <xf numFmtId="1" fontId="13108" fillId="8" borderId="1" xfId="0" applyNumberFormat="1" applyFont="1" applyFill="1" applyBorder="1" applyAlignment="1">
      <alignment horizontal="center" vertical="center"/>
    </xf>
    <xf numFmtId="1" fontId="13109" fillId="8" borderId="1" xfId="0" applyNumberFormat="1" applyFont="1" applyFill="1" applyBorder="1" applyAlignment="1">
      <alignment horizontal="center" vertical="center"/>
    </xf>
    <xf numFmtId="1" fontId="13110" fillId="8" borderId="1" xfId="0" applyNumberFormat="1" applyFont="1" applyFill="1" applyBorder="1" applyAlignment="1">
      <alignment horizontal="center" vertical="center"/>
    </xf>
    <xf numFmtId="1" fontId="13111" fillId="8" borderId="1" xfId="0" applyNumberFormat="1" applyFont="1" applyFill="1" applyBorder="1" applyAlignment="1">
      <alignment horizontal="center" vertical="center"/>
    </xf>
    <xf numFmtId="1" fontId="13112" fillId="8" borderId="1" xfId="0" applyNumberFormat="1" applyFont="1" applyFill="1" applyBorder="1" applyAlignment="1">
      <alignment horizontal="center" vertical="center"/>
    </xf>
    <xf numFmtId="1" fontId="13113" fillId="8" borderId="1" xfId="0" applyNumberFormat="1" applyFont="1" applyFill="1" applyBorder="1" applyAlignment="1">
      <alignment horizontal="center" vertical="center"/>
    </xf>
    <xf numFmtId="1" fontId="13114" fillId="8" borderId="1" xfId="0" applyNumberFormat="1" applyFont="1" applyFill="1" applyBorder="1" applyAlignment="1">
      <alignment horizontal="center" vertical="center"/>
    </xf>
    <xf numFmtId="0" fontId="13115" fillId="8" borderId="1" xfId="0" applyNumberFormat="1" applyFont="1" applyFill="1" applyBorder="1" applyAlignment="1">
      <alignment horizontal="center" vertical="center"/>
    </xf>
    <xf numFmtId="0" fontId="13116" fillId="8" borderId="1" xfId="0" applyNumberFormat="1" applyFont="1" applyFill="1" applyBorder="1" applyAlignment="1">
      <alignment horizontal="center" vertical="center"/>
    </xf>
    <xf numFmtId="1" fontId="13117" fillId="8" borderId="1" xfId="0" applyNumberFormat="1" applyFont="1" applyFill="1" applyBorder="1" applyAlignment="1">
      <alignment horizontal="center" vertical="center"/>
    </xf>
    <xf numFmtId="1" fontId="13118" fillId="8" borderId="1" xfId="0" applyNumberFormat="1" applyFont="1" applyFill="1" applyBorder="1" applyAlignment="1">
      <alignment horizontal="center" vertical="center"/>
    </xf>
    <xf numFmtId="1" fontId="13119" fillId="8" borderId="1" xfId="0" applyNumberFormat="1" applyFont="1" applyFill="1" applyBorder="1" applyAlignment="1">
      <alignment horizontal="center" vertical="center"/>
    </xf>
    <xf numFmtId="165" fontId="13120" fillId="8" borderId="1" xfId="0" applyNumberFormat="1" applyFont="1" applyFill="1" applyBorder="1" applyAlignment="1">
      <alignment horizontal="center" vertical="center"/>
    </xf>
    <xf numFmtId="1" fontId="13121" fillId="8" borderId="1" xfId="0" applyNumberFormat="1" applyFont="1" applyFill="1" applyBorder="1" applyAlignment="1">
      <alignment horizontal="center" vertical="center"/>
    </xf>
    <xf numFmtId="165" fontId="13122" fillId="8" borderId="1" xfId="0" applyNumberFormat="1" applyFont="1" applyFill="1" applyBorder="1" applyAlignment="1">
      <alignment horizontal="center" vertical="center"/>
    </xf>
    <xf numFmtId="1" fontId="13123" fillId="8" borderId="1" xfId="0" applyNumberFormat="1" applyFont="1" applyFill="1" applyBorder="1" applyAlignment="1">
      <alignment horizontal="center" vertical="center"/>
    </xf>
    <xf numFmtId="165" fontId="13124" fillId="8" borderId="1" xfId="0" applyNumberFormat="1" applyFont="1" applyFill="1" applyBorder="1" applyAlignment="1">
      <alignment horizontal="center" vertical="center"/>
    </xf>
    <xf numFmtId="1" fontId="13125" fillId="8" borderId="1" xfId="0" applyNumberFormat="1" applyFont="1" applyFill="1" applyBorder="1" applyAlignment="1">
      <alignment horizontal="center" vertical="center"/>
    </xf>
    <xf numFmtId="165" fontId="13126" fillId="8" borderId="1" xfId="0" applyNumberFormat="1" applyFont="1" applyFill="1" applyBorder="1" applyAlignment="1">
      <alignment horizontal="center" vertical="center"/>
    </xf>
    <xf numFmtId="165" fontId="13127" fillId="8" borderId="1" xfId="0" applyNumberFormat="1" applyFont="1" applyFill="1" applyBorder="1" applyAlignment="1">
      <alignment horizontal="center" vertical="center"/>
    </xf>
    <xf numFmtId="1" fontId="13128" fillId="8" borderId="1" xfId="0" applyNumberFormat="1" applyFont="1" applyFill="1" applyBorder="1" applyAlignment="1">
      <alignment horizontal="center" vertical="center"/>
    </xf>
    <xf numFmtId="1" fontId="13129" fillId="8" borderId="1" xfId="0" applyNumberFormat="1" applyFont="1" applyFill="1" applyBorder="1" applyAlignment="1">
      <alignment horizontal="center" vertical="center"/>
    </xf>
    <xf numFmtId="1" fontId="13130" fillId="8" borderId="1" xfId="0" applyNumberFormat="1" applyFont="1" applyFill="1" applyBorder="1" applyAlignment="1">
      <alignment horizontal="center" vertical="center"/>
    </xf>
    <xf numFmtId="165" fontId="13131" fillId="8" borderId="1" xfId="0" applyNumberFormat="1" applyFont="1" applyFill="1" applyBorder="1" applyAlignment="1">
      <alignment horizontal="center" vertical="center"/>
    </xf>
    <xf numFmtId="164" fontId="13132" fillId="8" borderId="1" xfId="0" applyNumberFormat="1" applyFont="1" applyFill="1" applyBorder="1" applyAlignment="1">
      <alignment horizontal="center" vertical="center"/>
    </xf>
    <xf numFmtId="164" fontId="13133" fillId="8" borderId="1" xfId="0" applyNumberFormat="1" applyFont="1" applyFill="1" applyBorder="1" applyAlignment="1">
      <alignment horizontal="center" vertical="center"/>
    </xf>
    <xf numFmtId="1" fontId="13134" fillId="8" borderId="1" xfId="0" applyNumberFormat="1" applyFont="1" applyFill="1" applyBorder="1" applyAlignment="1">
      <alignment horizontal="center" vertical="center"/>
    </xf>
    <xf numFmtId="1" fontId="13135" fillId="8" borderId="1" xfId="0" applyNumberFormat="1" applyFont="1" applyFill="1" applyBorder="1" applyAlignment="1">
      <alignment horizontal="center" vertical="center"/>
    </xf>
    <xf numFmtId="1" fontId="13136" fillId="8" borderId="1" xfId="0" applyNumberFormat="1" applyFont="1" applyFill="1" applyBorder="1" applyAlignment="1">
      <alignment horizontal="center" vertical="center"/>
    </xf>
    <xf numFmtId="165" fontId="13137" fillId="8" borderId="1" xfId="0" applyNumberFormat="1" applyFont="1" applyFill="1" applyBorder="1" applyAlignment="1">
      <alignment horizontal="center" vertical="center"/>
    </xf>
    <xf numFmtId="1" fontId="13138" fillId="8" borderId="1" xfId="0" applyNumberFormat="1" applyFont="1" applyFill="1" applyBorder="1" applyAlignment="1">
      <alignment horizontal="center" vertical="center"/>
    </xf>
    <xf numFmtId="165" fontId="13139" fillId="8" borderId="1" xfId="0" applyNumberFormat="1" applyFont="1" applyFill="1" applyBorder="1" applyAlignment="1">
      <alignment horizontal="center" vertical="center"/>
    </xf>
    <xf numFmtId="1" fontId="13140" fillId="8" borderId="1" xfId="0" applyNumberFormat="1" applyFont="1" applyFill="1" applyBorder="1" applyAlignment="1">
      <alignment horizontal="center" vertical="center"/>
    </xf>
    <xf numFmtId="1" fontId="13141" fillId="8" borderId="1" xfId="0" applyNumberFormat="1" applyFont="1" applyFill="1" applyBorder="1" applyAlignment="1">
      <alignment horizontal="center" vertical="center"/>
    </xf>
    <xf numFmtId="1" fontId="13142" fillId="8" borderId="1" xfId="0" applyNumberFormat="1" applyFont="1" applyFill="1" applyBorder="1" applyAlignment="1">
      <alignment horizontal="center" vertical="center"/>
    </xf>
    <xf numFmtId="1" fontId="13143" fillId="8" borderId="1" xfId="0" applyNumberFormat="1" applyFont="1" applyFill="1" applyBorder="1" applyAlignment="1">
      <alignment horizontal="center" vertical="center"/>
    </xf>
    <xf numFmtId="165" fontId="13144" fillId="8" borderId="1" xfId="0" applyNumberFormat="1" applyFont="1" applyFill="1" applyBorder="1" applyAlignment="1">
      <alignment horizontal="center" vertical="center"/>
    </xf>
    <xf numFmtId="1" fontId="13145" fillId="8" borderId="1" xfId="0" applyNumberFormat="1" applyFont="1" applyFill="1" applyBorder="1" applyAlignment="1">
      <alignment horizontal="center" vertical="center"/>
    </xf>
    <xf numFmtId="165" fontId="13146" fillId="8" borderId="1" xfId="0" applyNumberFormat="1" applyFont="1" applyFill="1" applyBorder="1" applyAlignment="1">
      <alignment horizontal="center" vertical="center"/>
    </xf>
    <xf numFmtId="1" fontId="13147" fillId="8" borderId="1" xfId="0" applyNumberFormat="1" applyFont="1" applyFill="1" applyBorder="1" applyAlignment="1">
      <alignment horizontal="center" vertical="center"/>
    </xf>
    <xf numFmtId="165" fontId="13148" fillId="8" borderId="1" xfId="0" applyNumberFormat="1" applyFont="1" applyFill="1" applyBorder="1" applyAlignment="1">
      <alignment horizontal="center" vertical="center"/>
    </xf>
    <xf numFmtId="2" fontId="13149" fillId="8" borderId="1" xfId="0" applyNumberFormat="1" applyFont="1" applyFill="1" applyBorder="1" applyAlignment="1">
      <alignment horizontal="center" vertical="center"/>
    </xf>
    <xf numFmtId="2" fontId="13150" fillId="8" borderId="1" xfId="0" applyNumberFormat="1" applyFont="1" applyFill="1" applyBorder="1" applyAlignment="1">
      <alignment horizontal="center" vertical="center"/>
    </xf>
    <xf numFmtId="2" fontId="13151" fillId="8" borderId="1" xfId="0" applyNumberFormat="1" applyFont="1" applyFill="1" applyBorder="1" applyAlignment="1">
      <alignment horizontal="center" vertical="center"/>
    </xf>
    <xf numFmtId="2" fontId="13152" fillId="8" borderId="1" xfId="0" applyNumberFormat="1" applyFont="1" applyFill="1" applyBorder="1" applyAlignment="1">
      <alignment horizontal="center" vertical="center"/>
    </xf>
    <xf numFmtId="2" fontId="13153" fillId="8" borderId="1" xfId="0" applyNumberFormat="1" applyFont="1" applyFill="1" applyBorder="1" applyAlignment="1">
      <alignment horizontal="center" vertical="center"/>
    </xf>
    <xf numFmtId="2" fontId="13154" fillId="8" borderId="1" xfId="0" applyNumberFormat="1" applyFont="1" applyFill="1" applyBorder="1" applyAlignment="1">
      <alignment horizontal="center" vertical="center"/>
    </xf>
    <xf numFmtId="2" fontId="13155" fillId="8" borderId="1" xfId="0" applyNumberFormat="1" applyFont="1" applyFill="1" applyBorder="1" applyAlignment="1">
      <alignment horizontal="center" vertical="center"/>
    </xf>
    <xf numFmtId="2" fontId="13156" fillId="8" borderId="1" xfId="0" applyNumberFormat="1" applyFont="1" applyFill="1" applyBorder="1" applyAlignment="1">
      <alignment horizontal="center" vertical="center"/>
    </xf>
    <xf numFmtId="2" fontId="13157" fillId="8" borderId="1" xfId="0" applyNumberFormat="1" applyFont="1" applyFill="1" applyBorder="1" applyAlignment="1">
      <alignment horizontal="center" vertical="center"/>
    </xf>
    <xf numFmtId="2" fontId="13158" fillId="8" borderId="1" xfId="0" applyNumberFormat="1" applyFont="1" applyFill="1" applyBorder="1" applyAlignment="1">
      <alignment horizontal="center" vertical="center"/>
    </xf>
    <xf numFmtId="2" fontId="13159" fillId="8" borderId="1" xfId="0" applyNumberFormat="1" applyFont="1" applyFill="1" applyBorder="1" applyAlignment="1">
      <alignment horizontal="center" vertical="center"/>
    </xf>
    <xf numFmtId="2" fontId="13160" fillId="8" borderId="1" xfId="0" applyNumberFormat="1" applyFont="1" applyFill="1" applyBorder="1" applyAlignment="1">
      <alignment horizontal="center" vertical="center"/>
    </xf>
    <xf numFmtId="2" fontId="13161" fillId="8" borderId="1" xfId="0" applyNumberFormat="1" applyFont="1" applyFill="1" applyBorder="1" applyAlignment="1">
      <alignment horizontal="center" vertical="center"/>
    </xf>
    <xf numFmtId="2" fontId="13162" fillId="8" borderId="1" xfId="0" applyNumberFormat="1" applyFont="1" applyFill="1" applyBorder="1" applyAlignment="1">
      <alignment horizontal="center" vertical="center"/>
    </xf>
    <xf numFmtId="2" fontId="13163" fillId="8" borderId="1" xfId="0" applyNumberFormat="1" applyFont="1" applyFill="1" applyBorder="1" applyAlignment="1">
      <alignment horizontal="center" vertical="center"/>
    </xf>
    <xf numFmtId="2" fontId="13164" fillId="8" borderId="1" xfId="0" applyNumberFormat="1" applyFont="1" applyFill="1" applyBorder="1" applyAlignment="1">
      <alignment horizontal="center" vertical="center"/>
    </xf>
    <xf numFmtId="2" fontId="13165" fillId="8" borderId="1" xfId="0" applyNumberFormat="1" applyFont="1" applyFill="1" applyBorder="1" applyAlignment="1">
      <alignment horizontal="center" vertical="center"/>
    </xf>
    <xf numFmtId="2" fontId="13166" fillId="8" borderId="1" xfId="0" applyNumberFormat="1" applyFont="1" applyFill="1" applyBorder="1" applyAlignment="1">
      <alignment horizontal="center" vertical="center"/>
    </xf>
    <xf numFmtId="2" fontId="13167" fillId="8" borderId="1" xfId="0" applyNumberFormat="1" applyFont="1" applyFill="1" applyBorder="1" applyAlignment="1">
      <alignment horizontal="center" vertical="center"/>
    </xf>
    <xf numFmtId="2" fontId="13168" fillId="8" borderId="1" xfId="0" applyNumberFormat="1" applyFont="1" applyFill="1" applyBorder="1" applyAlignment="1">
      <alignment horizontal="center" vertical="center"/>
    </xf>
    <xf numFmtId="2" fontId="13169" fillId="8" borderId="1" xfId="0" applyNumberFormat="1" applyFont="1" applyFill="1" applyBorder="1" applyAlignment="1">
      <alignment horizontal="center" vertical="center"/>
    </xf>
    <xf numFmtId="2" fontId="13170" fillId="8" borderId="1" xfId="0" applyNumberFormat="1" applyFont="1" applyFill="1" applyBorder="1" applyAlignment="1">
      <alignment horizontal="center" vertical="center"/>
    </xf>
    <xf numFmtId="2" fontId="13171" fillId="8" borderId="1" xfId="0" applyNumberFormat="1" applyFont="1" applyFill="1" applyBorder="1" applyAlignment="1">
      <alignment horizontal="center" vertical="center"/>
    </xf>
    <xf numFmtId="2" fontId="13172" fillId="8" borderId="1" xfId="0" applyNumberFormat="1" applyFont="1" applyFill="1" applyBorder="1" applyAlignment="1">
      <alignment horizontal="center" vertical="center"/>
    </xf>
    <xf numFmtId="2" fontId="13173" fillId="8" borderId="1" xfId="0" applyNumberFormat="1" applyFont="1" applyFill="1" applyBorder="1" applyAlignment="1">
      <alignment horizontal="center" vertical="center"/>
    </xf>
    <xf numFmtId="2" fontId="13174" fillId="8" borderId="1" xfId="0" applyNumberFormat="1" applyFont="1" applyFill="1" applyBorder="1" applyAlignment="1">
      <alignment horizontal="center" vertical="center"/>
    </xf>
    <xf numFmtId="2" fontId="13175" fillId="8" borderId="1" xfId="0" applyNumberFormat="1" applyFont="1" applyFill="1" applyBorder="1" applyAlignment="1">
      <alignment horizontal="center" vertical="center"/>
    </xf>
    <xf numFmtId="2" fontId="13176" fillId="8" borderId="1" xfId="0" applyNumberFormat="1" applyFont="1" applyFill="1" applyBorder="1" applyAlignment="1">
      <alignment horizontal="center" vertical="center"/>
    </xf>
    <xf numFmtId="2" fontId="13177" fillId="8" borderId="1" xfId="0" applyNumberFormat="1" applyFont="1" applyFill="1" applyBorder="1" applyAlignment="1">
      <alignment horizontal="center" vertical="center"/>
    </xf>
    <xf numFmtId="2" fontId="13178" fillId="8" borderId="1" xfId="0" applyNumberFormat="1" applyFont="1" applyFill="1" applyBorder="1" applyAlignment="1">
      <alignment horizontal="center" vertical="center"/>
    </xf>
    <xf numFmtId="2" fontId="13179" fillId="8" borderId="1" xfId="0" applyNumberFormat="1" applyFont="1" applyFill="1" applyBorder="1" applyAlignment="1">
      <alignment horizontal="center" vertical="center"/>
    </xf>
    <xf numFmtId="2" fontId="13180" fillId="8" borderId="1" xfId="0" applyNumberFormat="1" applyFont="1" applyFill="1" applyBorder="1" applyAlignment="1">
      <alignment horizontal="center" vertical="center"/>
    </xf>
    <xf numFmtId="2" fontId="13181" fillId="8" borderId="1" xfId="0" applyNumberFormat="1" applyFont="1" applyFill="1" applyBorder="1" applyAlignment="1">
      <alignment horizontal="center" vertical="center"/>
    </xf>
    <xf numFmtId="2" fontId="13182" fillId="8" borderId="1" xfId="0" applyNumberFormat="1" applyFont="1" applyFill="1" applyBorder="1" applyAlignment="1">
      <alignment horizontal="center" vertical="center"/>
    </xf>
    <xf numFmtId="0" fontId="13183" fillId="7" borderId="1" xfId="0" applyNumberFormat="1" applyFont="1" applyFill="1" applyBorder="1" applyAlignment="1">
      <alignment horizontal="left" vertical="center"/>
    </xf>
    <xf numFmtId="0" fontId="13184" fillId="8" borderId="1" xfId="0" applyNumberFormat="1" applyFont="1" applyFill="1" applyBorder="1" applyAlignment="1">
      <alignment horizontal="center" vertical="center"/>
    </xf>
    <xf numFmtId="164" fontId="13185" fillId="8" borderId="1" xfId="0" applyNumberFormat="1" applyFont="1" applyFill="1" applyBorder="1" applyAlignment="1">
      <alignment horizontal="center" vertical="center"/>
    </xf>
    <xf numFmtId="1" fontId="13186" fillId="8" borderId="1" xfId="0" applyNumberFormat="1" applyFont="1" applyFill="1" applyBorder="1" applyAlignment="1">
      <alignment horizontal="center" vertical="center"/>
    </xf>
    <xf numFmtId="1" fontId="13187" fillId="8" borderId="1" xfId="0" applyNumberFormat="1" applyFont="1" applyFill="1" applyBorder="1" applyAlignment="1">
      <alignment horizontal="center" vertical="center"/>
    </xf>
    <xf numFmtId="1" fontId="13188" fillId="8" borderId="1" xfId="0" applyNumberFormat="1" applyFont="1" applyFill="1" applyBorder="1" applyAlignment="1">
      <alignment horizontal="center" vertical="center"/>
    </xf>
    <xf numFmtId="1" fontId="13189" fillId="8" borderId="1" xfId="0" applyNumberFormat="1" applyFont="1" applyFill="1" applyBorder="1" applyAlignment="1">
      <alignment horizontal="center" vertical="center"/>
    </xf>
    <xf numFmtId="1" fontId="13190" fillId="8" borderId="1" xfId="0" applyNumberFormat="1" applyFont="1" applyFill="1" applyBorder="1" applyAlignment="1">
      <alignment horizontal="center" vertical="center"/>
    </xf>
    <xf numFmtId="1" fontId="13191" fillId="8" borderId="1" xfId="0" applyNumberFormat="1" applyFont="1" applyFill="1" applyBorder="1" applyAlignment="1">
      <alignment horizontal="center" vertical="center"/>
    </xf>
    <xf numFmtId="1" fontId="13192" fillId="8" borderId="1" xfId="0" applyNumberFormat="1" applyFont="1" applyFill="1" applyBorder="1" applyAlignment="1">
      <alignment horizontal="center" vertical="center"/>
    </xf>
    <xf numFmtId="0" fontId="13193" fillId="8" borderId="1" xfId="0" applyNumberFormat="1" applyFont="1" applyFill="1" applyBorder="1" applyAlignment="1">
      <alignment horizontal="center" vertical="center"/>
    </xf>
    <xf numFmtId="0" fontId="13194" fillId="8" borderId="1" xfId="0" applyNumberFormat="1" applyFont="1" applyFill="1" applyBorder="1" applyAlignment="1">
      <alignment horizontal="center" vertical="center"/>
    </xf>
    <xf numFmtId="1" fontId="13195" fillId="8" borderId="1" xfId="0" applyNumberFormat="1" applyFont="1" applyFill="1" applyBorder="1" applyAlignment="1">
      <alignment horizontal="center" vertical="center"/>
    </xf>
    <xf numFmtId="1" fontId="13196" fillId="8" borderId="1" xfId="0" applyNumberFormat="1" applyFont="1" applyFill="1" applyBorder="1" applyAlignment="1">
      <alignment horizontal="center" vertical="center"/>
    </xf>
    <xf numFmtId="1" fontId="13197" fillId="8" borderId="1" xfId="0" applyNumberFormat="1" applyFont="1" applyFill="1" applyBorder="1" applyAlignment="1">
      <alignment horizontal="center" vertical="center"/>
    </xf>
    <xf numFmtId="165" fontId="13198" fillId="8" borderId="1" xfId="0" applyNumberFormat="1" applyFont="1" applyFill="1" applyBorder="1" applyAlignment="1">
      <alignment horizontal="center" vertical="center"/>
    </xf>
    <xf numFmtId="1" fontId="13199" fillId="8" borderId="1" xfId="0" applyNumberFormat="1" applyFont="1" applyFill="1" applyBorder="1" applyAlignment="1">
      <alignment horizontal="center" vertical="center"/>
    </xf>
    <xf numFmtId="165" fontId="13200" fillId="8" borderId="1" xfId="0" applyNumberFormat="1" applyFont="1" applyFill="1" applyBorder="1" applyAlignment="1">
      <alignment horizontal="center" vertical="center"/>
    </xf>
    <xf numFmtId="1" fontId="13201" fillId="8" borderId="1" xfId="0" applyNumberFormat="1" applyFont="1" applyFill="1" applyBorder="1" applyAlignment="1">
      <alignment horizontal="center" vertical="center"/>
    </xf>
    <xf numFmtId="165" fontId="13202" fillId="8" borderId="1" xfId="0" applyNumberFormat="1" applyFont="1" applyFill="1" applyBorder="1" applyAlignment="1">
      <alignment horizontal="center" vertical="center"/>
    </xf>
    <xf numFmtId="1" fontId="13203" fillId="8" borderId="1" xfId="0" applyNumberFormat="1" applyFont="1" applyFill="1" applyBorder="1" applyAlignment="1">
      <alignment horizontal="center" vertical="center"/>
    </xf>
    <xf numFmtId="165" fontId="13204" fillId="8" borderId="1" xfId="0" applyNumberFormat="1" applyFont="1" applyFill="1" applyBorder="1" applyAlignment="1">
      <alignment horizontal="center" vertical="center"/>
    </xf>
    <xf numFmtId="165" fontId="13205" fillId="8" borderId="1" xfId="0" applyNumberFormat="1" applyFont="1" applyFill="1" applyBorder="1" applyAlignment="1">
      <alignment horizontal="center" vertical="center"/>
    </xf>
    <xf numFmtId="1" fontId="13206" fillId="8" borderId="1" xfId="0" applyNumberFormat="1" applyFont="1" applyFill="1" applyBorder="1" applyAlignment="1">
      <alignment horizontal="center" vertical="center"/>
    </xf>
    <xf numFmtId="1" fontId="13207" fillId="8" borderId="1" xfId="0" applyNumberFormat="1" applyFont="1" applyFill="1" applyBorder="1" applyAlignment="1">
      <alignment horizontal="center" vertical="center"/>
    </xf>
    <xf numFmtId="1" fontId="13208" fillId="8" borderId="1" xfId="0" applyNumberFormat="1" applyFont="1" applyFill="1" applyBorder="1" applyAlignment="1">
      <alignment horizontal="center" vertical="center"/>
    </xf>
    <xf numFmtId="165" fontId="13209" fillId="8" borderId="1" xfId="0" applyNumberFormat="1" applyFont="1" applyFill="1" applyBorder="1" applyAlignment="1">
      <alignment horizontal="center" vertical="center"/>
    </xf>
    <xf numFmtId="164" fontId="13210" fillId="8" borderId="1" xfId="0" applyNumberFormat="1" applyFont="1" applyFill="1" applyBorder="1" applyAlignment="1">
      <alignment horizontal="center" vertical="center"/>
    </xf>
    <xf numFmtId="164" fontId="13211" fillId="8" borderId="1" xfId="0" applyNumberFormat="1" applyFont="1" applyFill="1" applyBorder="1" applyAlignment="1">
      <alignment horizontal="center" vertical="center"/>
    </xf>
    <xf numFmtId="1" fontId="13212" fillId="8" borderId="1" xfId="0" applyNumberFormat="1" applyFont="1" applyFill="1" applyBorder="1" applyAlignment="1">
      <alignment horizontal="center" vertical="center"/>
    </xf>
    <xf numFmtId="1" fontId="13213" fillId="8" borderId="1" xfId="0" applyNumberFormat="1" applyFont="1" applyFill="1" applyBorder="1" applyAlignment="1">
      <alignment horizontal="center" vertical="center"/>
    </xf>
    <xf numFmtId="1" fontId="13214" fillId="8" borderId="1" xfId="0" applyNumberFormat="1" applyFont="1" applyFill="1" applyBorder="1" applyAlignment="1">
      <alignment horizontal="center" vertical="center"/>
    </xf>
    <xf numFmtId="165" fontId="13215" fillId="8" borderId="1" xfId="0" applyNumberFormat="1" applyFont="1" applyFill="1" applyBorder="1" applyAlignment="1">
      <alignment horizontal="center" vertical="center"/>
    </xf>
    <xf numFmtId="1" fontId="13216" fillId="8" borderId="1" xfId="0" applyNumberFormat="1" applyFont="1" applyFill="1" applyBorder="1" applyAlignment="1">
      <alignment horizontal="center" vertical="center"/>
    </xf>
    <xf numFmtId="165" fontId="13217" fillId="8" borderId="1" xfId="0" applyNumberFormat="1" applyFont="1" applyFill="1" applyBorder="1" applyAlignment="1">
      <alignment horizontal="center" vertical="center"/>
    </xf>
    <xf numFmtId="1" fontId="13218" fillId="8" borderId="1" xfId="0" applyNumberFormat="1" applyFont="1" applyFill="1" applyBorder="1" applyAlignment="1">
      <alignment horizontal="center" vertical="center"/>
    </xf>
    <xf numFmtId="1" fontId="13219" fillId="8" borderId="1" xfId="0" applyNumberFormat="1" applyFont="1" applyFill="1" applyBorder="1" applyAlignment="1">
      <alignment horizontal="center" vertical="center"/>
    </xf>
    <xf numFmtId="1" fontId="13220" fillId="8" borderId="1" xfId="0" applyNumberFormat="1" applyFont="1" applyFill="1" applyBorder="1" applyAlignment="1">
      <alignment horizontal="center" vertical="center"/>
    </xf>
    <xf numFmtId="1" fontId="13221" fillId="8" borderId="1" xfId="0" applyNumberFormat="1" applyFont="1" applyFill="1" applyBorder="1" applyAlignment="1">
      <alignment horizontal="center" vertical="center"/>
    </xf>
    <xf numFmtId="165" fontId="13222" fillId="8" borderId="1" xfId="0" applyNumberFormat="1" applyFont="1" applyFill="1" applyBorder="1" applyAlignment="1">
      <alignment horizontal="center" vertical="center"/>
    </xf>
    <xf numFmtId="1" fontId="13223" fillId="8" borderId="1" xfId="0" applyNumberFormat="1" applyFont="1" applyFill="1" applyBorder="1" applyAlignment="1">
      <alignment horizontal="center" vertical="center"/>
    </xf>
    <xf numFmtId="165" fontId="13224" fillId="8" borderId="1" xfId="0" applyNumberFormat="1" applyFont="1" applyFill="1" applyBorder="1" applyAlignment="1">
      <alignment horizontal="center" vertical="center"/>
    </xf>
    <xf numFmtId="1" fontId="13225" fillId="8" borderId="1" xfId="0" applyNumberFormat="1" applyFont="1" applyFill="1" applyBorder="1" applyAlignment="1">
      <alignment horizontal="center" vertical="center"/>
    </xf>
    <xf numFmtId="165" fontId="13226" fillId="8" borderId="1" xfId="0" applyNumberFormat="1" applyFont="1" applyFill="1" applyBorder="1" applyAlignment="1">
      <alignment horizontal="center" vertical="center"/>
    </xf>
    <xf numFmtId="2" fontId="13227" fillId="8" borderId="1" xfId="0" applyNumberFormat="1" applyFont="1" applyFill="1" applyBorder="1" applyAlignment="1">
      <alignment horizontal="center" vertical="center"/>
    </xf>
    <xf numFmtId="2" fontId="13228" fillId="8" borderId="1" xfId="0" applyNumberFormat="1" applyFont="1" applyFill="1" applyBorder="1" applyAlignment="1">
      <alignment horizontal="center" vertical="center"/>
    </xf>
    <xf numFmtId="2" fontId="13229" fillId="8" borderId="1" xfId="0" applyNumberFormat="1" applyFont="1" applyFill="1" applyBorder="1" applyAlignment="1">
      <alignment horizontal="center" vertical="center"/>
    </xf>
    <xf numFmtId="2" fontId="13230" fillId="8" borderId="1" xfId="0" applyNumberFormat="1" applyFont="1" applyFill="1" applyBorder="1" applyAlignment="1">
      <alignment horizontal="center" vertical="center"/>
    </xf>
    <xf numFmtId="2" fontId="13231" fillId="8" borderId="1" xfId="0" applyNumberFormat="1" applyFont="1" applyFill="1" applyBorder="1" applyAlignment="1">
      <alignment horizontal="center" vertical="center"/>
    </xf>
    <xf numFmtId="2" fontId="13232" fillId="8" borderId="1" xfId="0" applyNumberFormat="1" applyFont="1" applyFill="1" applyBorder="1" applyAlignment="1">
      <alignment horizontal="center" vertical="center"/>
    </xf>
    <xf numFmtId="2" fontId="13233" fillId="8" borderId="1" xfId="0" applyNumberFormat="1" applyFont="1" applyFill="1" applyBorder="1" applyAlignment="1">
      <alignment horizontal="center" vertical="center"/>
    </xf>
    <xf numFmtId="2" fontId="13234" fillId="8" borderId="1" xfId="0" applyNumberFormat="1" applyFont="1" applyFill="1" applyBorder="1" applyAlignment="1">
      <alignment horizontal="center" vertical="center"/>
    </xf>
    <xf numFmtId="2" fontId="13235" fillId="8" borderId="1" xfId="0" applyNumberFormat="1" applyFont="1" applyFill="1" applyBorder="1" applyAlignment="1">
      <alignment horizontal="center" vertical="center"/>
    </xf>
    <xf numFmtId="2" fontId="13236" fillId="8" borderId="1" xfId="0" applyNumberFormat="1" applyFont="1" applyFill="1" applyBorder="1" applyAlignment="1">
      <alignment horizontal="center" vertical="center"/>
    </xf>
    <xf numFmtId="2" fontId="13237" fillId="8" borderId="1" xfId="0" applyNumberFormat="1" applyFont="1" applyFill="1" applyBorder="1" applyAlignment="1">
      <alignment horizontal="center" vertical="center"/>
    </xf>
    <xf numFmtId="2" fontId="13238" fillId="8" borderId="1" xfId="0" applyNumberFormat="1" applyFont="1" applyFill="1" applyBorder="1" applyAlignment="1">
      <alignment horizontal="center" vertical="center"/>
    </xf>
    <xf numFmtId="2" fontId="13239" fillId="8" borderId="1" xfId="0" applyNumberFormat="1" applyFont="1" applyFill="1" applyBorder="1" applyAlignment="1">
      <alignment horizontal="center" vertical="center"/>
    </xf>
    <xf numFmtId="2" fontId="13240" fillId="8" borderId="1" xfId="0" applyNumberFormat="1" applyFont="1" applyFill="1" applyBorder="1" applyAlignment="1">
      <alignment horizontal="center" vertical="center"/>
    </xf>
    <xf numFmtId="2" fontId="13241" fillId="8" borderId="1" xfId="0" applyNumberFormat="1" applyFont="1" applyFill="1" applyBorder="1" applyAlignment="1">
      <alignment horizontal="center" vertical="center"/>
    </xf>
    <xf numFmtId="2" fontId="13242" fillId="8" borderId="1" xfId="0" applyNumberFormat="1" applyFont="1" applyFill="1" applyBorder="1" applyAlignment="1">
      <alignment horizontal="center" vertical="center"/>
    </xf>
    <xf numFmtId="2" fontId="13243" fillId="8" borderId="1" xfId="0" applyNumberFormat="1" applyFont="1" applyFill="1" applyBorder="1" applyAlignment="1">
      <alignment horizontal="center" vertical="center"/>
    </xf>
    <xf numFmtId="2" fontId="13244" fillId="8" borderId="1" xfId="0" applyNumberFormat="1" applyFont="1" applyFill="1" applyBorder="1" applyAlignment="1">
      <alignment horizontal="center" vertical="center"/>
    </xf>
    <xf numFmtId="2" fontId="13245" fillId="8" borderId="1" xfId="0" applyNumberFormat="1" applyFont="1" applyFill="1" applyBorder="1" applyAlignment="1">
      <alignment horizontal="center" vertical="center"/>
    </xf>
    <xf numFmtId="2" fontId="13246" fillId="8" borderId="1" xfId="0" applyNumberFormat="1" applyFont="1" applyFill="1" applyBorder="1" applyAlignment="1">
      <alignment horizontal="center" vertical="center"/>
    </xf>
    <xf numFmtId="2" fontId="13247" fillId="8" borderId="1" xfId="0" applyNumberFormat="1" applyFont="1" applyFill="1" applyBorder="1" applyAlignment="1">
      <alignment horizontal="center" vertical="center"/>
    </xf>
    <xf numFmtId="2" fontId="13248" fillId="8" borderId="1" xfId="0" applyNumberFormat="1" applyFont="1" applyFill="1" applyBorder="1" applyAlignment="1">
      <alignment horizontal="center" vertical="center"/>
    </xf>
    <xf numFmtId="2" fontId="13249" fillId="8" borderId="1" xfId="0" applyNumberFormat="1" applyFont="1" applyFill="1" applyBorder="1" applyAlignment="1">
      <alignment horizontal="center" vertical="center"/>
    </xf>
    <xf numFmtId="2" fontId="13250" fillId="8" borderId="1" xfId="0" applyNumberFormat="1" applyFont="1" applyFill="1" applyBorder="1" applyAlignment="1">
      <alignment horizontal="center" vertical="center"/>
    </xf>
    <xf numFmtId="2" fontId="13251" fillId="8" borderId="1" xfId="0" applyNumberFormat="1" applyFont="1" applyFill="1" applyBorder="1" applyAlignment="1">
      <alignment horizontal="center" vertical="center"/>
    </xf>
    <xf numFmtId="2" fontId="13252" fillId="8" borderId="1" xfId="0" applyNumberFormat="1" applyFont="1" applyFill="1" applyBorder="1" applyAlignment="1">
      <alignment horizontal="center" vertical="center"/>
    </xf>
    <xf numFmtId="2" fontId="13253" fillId="8" borderId="1" xfId="0" applyNumberFormat="1" applyFont="1" applyFill="1" applyBorder="1" applyAlignment="1">
      <alignment horizontal="center" vertical="center"/>
    </xf>
    <xf numFmtId="2" fontId="13254" fillId="8" borderId="1" xfId="0" applyNumberFormat="1" applyFont="1" applyFill="1" applyBorder="1" applyAlignment="1">
      <alignment horizontal="center" vertical="center"/>
    </xf>
    <xf numFmtId="2" fontId="13255" fillId="8" borderId="1" xfId="0" applyNumberFormat="1" applyFont="1" applyFill="1" applyBorder="1" applyAlignment="1">
      <alignment horizontal="center" vertical="center"/>
    </xf>
    <xf numFmtId="2" fontId="13256" fillId="8" borderId="1" xfId="0" applyNumberFormat="1" applyFont="1" applyFill="1" applyBorder="1" applyAlignment="1">
      <alignment horizontal="center" vertical="center"/>
    </xf>
    <xf numFmtId="2" fontId="13257" fillId="8" borderId="1" xfId="0" applyNumberFormat="1" applyFont="1" applyFill="1" applyBorder="1" applyAlignment="1">
      <alignment horizontal="center" vertical="center"/>
    </xf>
    <xf numFmtId="2" fontId="13258" fillId="8" borderId="1" xfId="0" applyNumberFormat="1" applyFont="1" applyFill="1" applyBorder="1" applyAlignment="1">
      <alignment horizontal="center" vertical="center"/>
    </xf>
    <xf numFmtId="2" fontId="13259" fillId="8" borderId="1" xfId="0" applyNumberFormat="1" applyFont="1" applyFill="1" applyBorder="1" applyAlignment="1">
      <alignment horizontal="center" vertical="center"/>
    </xf>
    <xf numFmtId="2" fontId="13260" fillId="8" borderId="1" xfId="0" applyNumberFormat="1" applyFont="1" applyFill="1" applyBorder="1" applyAlignment="1">
      <alignment horizontal="center" vertical="center"/>
    </xf>
    <xf numFmtId="0" fontId="13261" fillId="7" borderId="1" xfId="0" applyNumberFormat="1" applyFont="1" applyFill="1" applyBorder="1" applyAlignment="1">
      <alignment horizontal="left" vertical="center"/>
    </xf>
    <xf numFmtId="0" fontId="13262" fillId="8" borderId="1" xfId="0" applyNumberFormat="1" applyFont="1" applyFill="1" applyBorder="1" applyAlignment="1">
      <alignment horizontal="center" vertical="center"/>
    </xf>
    <xf numFmtId="164" fontId="13263" fillId="8" borderId="1" xfId="0" applyNumberFormat="1" applyFont="1" applyFill="1" applyBorder="1" applyAlignment="1">
      <alignment horizontal="center" vertical="center"/>
    </xf>
    <xf numFmtId="1" fontId="13264" fillId="8" borderId="1" xfId="0" applyNumberFormat="1" applyFont="1" applyFill="1" applyBorder="1" applyAlignment="1">
      <alignment horizontal="center" vertical="center"/>
    </xf>
    <xf numFmtId="1" fontId="13265" fillId="8" borderId="1" xfId="0" applyNumberFormat="1" applyFont="1" applyFill="1" applyBorder="1" applyAlignment="1">
      <alignment horizontal="center" vertical="center"/>
    </xf>
    <xf numFmtId="1" fontId="13266" fillId="8" borderId="1" xfId="0" applyNumberFormat="1" applyFont="1" applyFill="1" applyBorder="1" applyAlignment="1">
      <alignment horizontal="center" vertical="center"/>
    </xf>
    <xf numFmtId="1" fontId="13267" fillId="8" borderId="1" xfId="0" applyNumberFormat="1" applyFont="1" applyFill="1" applyBorder="1" applyAlignment="1">
      <alignment horizontal="center" vertical="center"/>
    </xf>
    <xf numFmtId="1" fontId="13268" fillId="8" borderId="1" xfId="0" applyNumberFormat="1" applyFont="1" applyFill="1" applyBorder="1" applyAlignment="1">
      <alignment horizontal="center" vertical="center"/>
    </xf>
    <xf numFmtId="1" fontId="13269" fillId="8" borderId="1" xfId="0" applyNumberFormat="1" applyFont="1" applyFill="1" applyBorder="1" applyAlignment="1">
      <alignment horizontal="center" vertical="center"/>
    </xf>
    <xf numFmtId="1" fontId="13270" fillId="8" borderId="1" xfId="0" applyNumberFormat="1" applyFont="1" applyFill="1" applyBorder="1" applyAlignment="1">
      <alignment horizontal="center" vertical="center"/>
    </xf>
    <xf numFmtId="0" fontId="13271" fillId="8" borderId="1" xfId="0" applyNumberFormat="1" applyFont="1" applyFill="1" applyBorder="1" applyAlignment="1">
      <alignment horizontal="center" vertical="center"/>
    </xf>
    <xf numFmtId="0" fontId="13272" fillId="8" borderId="1" xfId="0" applyNumberFormat="1" applyFont="1" applyFill="1" applyBorder="1" applyAlignment="1">
      <alignment horizontal="center" vertical="center"/>
    </xf>
    <xf numFmtId="1" fontId="13273" fillId="8" borderId="1" xfId="0" applyNumberFormat="1" applyFont="1" applyFill="1" applyBorder="1" applyAlignment="1">
      <alignment horizontal="center" vertical="center"/>
    </xf>
    <xf numFmtId="1" fontId="13274" fillId="8" borderId="1" xfId="0" applyNumberFormat="1" applyFont="1" applyFill="1" applyBorder="1" applyAlignment="1">
      <alignment horizontal="center" vertical="center"/>
    </xf>
    <xf numFmtId="1" fontId="13275" fillId="8" borderId="1" xfId="0" applyNumberFormat="1" applyFont="1" applyFill="1" applyBorder="1" applyAlignment="1">
      <alignment horizontal="center" vertical="center"/>
    </xf>
    <xf numFmtId="165" fontId="13276" fillId="8" borderId="1" xfId="0" applyNumberFormat="1" applyFont="1" applyFill="1" applyBorder="1" applyAlignment="1">
      <alignment horizontal="center" vertical="center"/>
    </xf>
    <xf numFmtId="1" fontId="13277" fillId="8" borderId="1" xfId="0" applyNumberFormat="1" applyFont="1" applyFill="1" applyBorder="1" applyAlignment="1">
      <alignment horizontal="center" vertical="center"/>
    </xf>
    <xf numFmtId="165" fontId="13278" fillId="8" borderId="1" xfId="0" applyNumberFormat="1" applyFont="1" applyFill="1" applyBorder="1" applyAlignment="1">
      <alignment horizontal="center" vertical="center"/>
    </xf>
    <xf numFmtId="1" fontId="13279" fillId="8" borderId="1" xfId="0" applyNumberFormat="1" applyFont="1" applyFill="1" applyBorder="1" applyAlignment="1">
      <alignment horizontal="center" vertical="center"/>
    </xf>
    <xf numFmtId="165" fontId="13280" fillId="8" borderId="1" xfId="0" applyNumberFormat="1" applyFont="1" applyFill="1" applyBorder="1" applyAlignment="1">
      <alignment horizontal="center" vertical="center"/>
    </xf>
    <xf numFmtId="1" fontId="13281" fillId="8" borderId="1" xfId="0" applyNumberFormat="1" applyFont="1" applyFill="1" applyBorder="1" applyAlignment="1">
      <alignment horizontal="center" vertical="center"/>
    </xf>
    <xf numFmtId="165" fontId="13282" fillId="8" borderId="1" xfId="0" applyNumberFormat="1" applyFont="1" applyFill="1" applyBorder="1" applyAlignment="1">
      <alignment horizontal="center" vertical="center"/>
    </xf>
    <xf numFmtId="165" fontId="13283" fillId="8" borderId="1" xfId="0" applyNumberFormat="1" applyFont="1" applyFill="1" applyBorder="1" applyAlignment="1">
      <alignment horizontal="center" vertical="center"/>
    </xf>
    <xf numFmtId="1" fontId="13284" fillId="8" borderId="1" xfId="0" applyNumberFormat="1" applyFont="1" applyFill="1" applyBorder="1" applyAlignment="1">
      <alignment horizontal="center" vertical="center"/>
    </xf>
    <xf numFmtId="1" fontId="13285" fillId="8" borderId="1" xfId="0" applyNumberFormat="1" applyFont="1" applyFill="1" applyBorder="1" applyAlignment="1">
      <alignment horizontal="center" vertical="center"/>
    </xf>
    <xf numFmtId="1" fontId="13286" fillId="8" borderId="1" xfId="0" applyNumberFormat="1" applyFont="1" applyFill="1" applyBorder="1" applyAlignment="1">
      <alignment horizontal="center" vertical="center"/>
    </xf>
    <xf numFmtId="165" fontId="13287" fillId="8" borderId="1" xfId="0" applyNumberFormat="1" applyFont="1" applyFill="1" applyBorder="1" applyAlignment="1">
      <alignment horizontal="center" vertical="center"/>
    </xf>
    <xf numFmtId="164" fontId="13288" fillId="8" borderId="1" xfId="0" applyNumberFormat="1" applyFont="1" applyFill="1" applyBorder="1" applyAlignment="1">
      <alignment horizontal="center" vertical="center"/>
    </xf>
    <xf numFmtId="164" fontId="13289" fillId="8" borderId="1" xfId="0" applyNumberFormat="1" applyFont="1" applyFill="1" applyBorder="1" applyAlignment="1">
      <alignment horizontal="center" vertical="center"/>
    </xf>
    <xf numFmtId="1" fontId="13290" fillId="8" borderId="1" xfId="0" applyNumberFormat="1" applyFont="1" applyFill="1" applyBorder="1" applyAlignment="1">
      <alignment horizontal="center" vertical="center"/>
    </xf>
    <xf numFmtId="1" fontId="13291" fillId="8" borderId="1" xfId="0" applyNumberFormat="1" applyFont="1" applyFill="1" applyBorder="1" applyAlignment="1">
      <alignment horizontal="center" vertical="center"/>
    </xf>
    <xf numFmtId="1" fontId="13292" fillId="8" borderId="1" xfId="0" applyNumberFormat="1" applyFont="1" applyFill="1" applyBorder="1" applyAlignment="1">
      <alignment horizontal="center" vertical="center"/>
    </xf>
    <xf numFmtId="165" fontId="13293" fillId="8" borderId="1" xfId="0" applyNumberFormat="1" applyFont="1" applyFill="1" applyBorder="1" applyAlignment="1">
      <alignment horizontal="center" vertical="center"/>
    </xf>
    <xf numFmtId="1" fontId="13294" fillId="8" borderId="1" xfId="0" applyNumberFormat="1" applyFont="1" applyFill="1" applyBorder="1" applyAlignment="1">
      <alignment horizontal="center" vertical="center"/>
    </xf>
    <xf numFmtId="165" fontId="13295" fillId="8" borderId="1" xfId="0" applyNumberFormat="1" applyFont="1" applyFill="1" applyBorder="1" applyAlignment="1">
      <alignment horizontal="center" vertical="center"/>
    </xf>
    <xf numFmtId="1" fontId="13296" fillId="8" borderId="1" xfId="0" applyNumberFormat="1" applyFont="1" applyFill="1" applyBorder="1" applyAlignment="1">
      <alignment horizontal="center" vertical="center"/>
    </xf>
    <xf numFmtId="1" fontId="13297" fillId="8" borderId="1" xfId="0" applyNumberFormat="1" applyFont="1" applyFill="1" applyBorder="1" applyAlignment="1">
      <alignment horizontal="center" vertical="center"/>
    </xf>
    <xf numFmtId="1" fontId="13298" fillId="8" borderId="1" xfId="0" applyNumberFormat="1" applyFont="1" applyFill="1" applyBorder="1" applyAlignment="1">
      <alignment horizontal="center" vertical="center"/>
    </xf>
    <xf numFmtId="1" fontId="13299" fillId="8" borderId="1" xfId="0" applyNumberFormat="1" applyFont="1" applyFill="1" applyBorder="1" applyAlignment="1">
      <alignment horizontal="center" vertical="center"/>
    </xf>
    <xf numFmtId="165" fontId="13300" fillId="8" borderId="1" xfId="0" applyNumberFormat="1" applyFont="1" applyFill="1" applyBorder="1" applyAlignment="1">
      <alignment horizontal="center" vertical="center"/>
    </xf>
    <xf numFmtId="1" fontId="13301" fillId="8" borderId="1" xfId="0" applyNumberFormat="1" applyFont="1" applyFill="1" applyBorder="1" applyAlignment="1">
      <alignment horizontal="center" vertical="center"/>
    </xf>
    <xf numFmtId="165" fontId="13302" fillId="8" borderId="1" xfId="0" applyNumberFormat="1" applyFont="1" applyFill="1" applyBorder="1" applyAlignment="1">
      <alignment horizontal="center" vertical="center"/>
    </xf>
    <xf numFmtId="1" fontId="13303" fillId="8" borderId="1" xfId="0" applyNumberFormat="1" applyFont="1" applyFill="1" applyBorder="1" applyAlignment="1">
      <alignment horizontal="center" vertical="center"/>
    </xf>
    <xf numFmtId="165" fontId="13304" fillId="8" borderId="1" xfId="0" applyNumberFormat="1" applyFont="1" applyFill="1" applyBorder="1" applyAlignment="1">
      <alignment horizontal="center" vertical="center"/>
    </xf>
    <xf numFmtId="2" fontId="13305" fillId="8" borderId="1" xfId="0" applyNumberFormat="1" applyFont="1" applyFill="1" applyBorder="1" applyAlignment="1">
      <alignment horizontal="center" vertical="center"/>
    </xf>
    <xf numFmtId="2" fontId="13306" fillId="8" borderId="1" xfId="0" applyNumberFormat="1" applyFont="1" applyFill="1" applyBorder="1" applyAlignment="1">
      <alignment horizontal="center" vertical="center"/>
    </xf>
    <xf numFmtId="2" fontId="13307" fillId="8" borderId="1" xfId="0" applyNumberFormat="1" applyFont="1" applyFill="1" applyBorder="1" applyAlignment="1">
      <alignment horizontal="center" vertical="center"/>
    </xf>
    <xf numFmtId="2" fontId="13308" fillId="8" borderId="1" xfId="0" applyNumberFormat="1" applyFont="1" applyFill="1" applyBorder="1" applyAlignment="1">
      <alignment horizontal="center" vertical="center"/>
    </xf>
    <xf numFmtId="2" fontId="13309" fillId="8" borderId="1" xfId="0" applyNumberFormat="1" applyFont="1" applyFill="1" applyBorder="1" applyAlignment="1">
      <alignment horizontal="center" vertical="center"/>
    </xf>
    <xf numFmtId="2" fontId="13310" fillId="8" borderId="1" xfId="0" applyNumberFormat="1" applyFont="1" applyFill="1" applyBorder="1" applyAlignment="1">
      <alignment horizontal="center" vertical="center"/>
    </xf>
    <xf numFmtId="2" fontId="13311" fillId="8" borderId="1" xfId="0" applyNumberFormat="1" applyFont="1" applyFill="1" applyBorder="1" applyAlignment="1">
      <alignment horizontal="center" vertical="center"/>
    </xf>
    <xf numFmtId="2" fontId="13312" fillId="8" borderId="1" xfId="0" applyNumberFormat="1" applyFont="1" applyFill="1" applyBorder="1" applyAlignment="1">
      <alignment horizontal="center" vertical="center"/>
    </xf>
    <xf numFmtId="2" fontId="13313" fillId="8" borderId="1" xfId="0" applyNumberFormat="1" applyFont="1" applyFill="1" applyBorder="1" applyAlignment="1">
      <alignment horizontal="center" vertical="center"/>
    </xf>
    <xf numFmtId="2" fontId="13314" fillId="8" borderId="1" xfId="0" applyNumberFormat="1" applyFont="1" applyFill="1" applyBorder="1" applyAlignment="1">
      <alignment horizontal="center" vertical="center"/>
    </xf>
    <xf numFmtId="2" fontId="13315" fillId="8" borderId="1" xfId="0" applyNumberFormat="1" applyFont="1" applyFill="1" applyBorder="1" applyAlignment="1">
      <alignment horizontal="center" vertical="center"/>
    </xf>
    <xf numFmtId="2" fontId="13316" fillId="8" borderId="1" xfId="0" applyNumberFormat="1" applyFont="1" applyFill="1" applyBorder="1" applyAlignment="1">
      <alignment horizontal="center" vertical="center"/>
    </xf>
    <xf numFmtId="2" fontId="13317" fillId="8" borderId="1" xfId="0" applyNumberFormat="1" applyFont="1" applyFill="1" applyBorder="1" applyAlignment="1">
      <alignment horizontal="center" vertical="center"/>
    </xf>
    <xf numFmtId="2" fontId="13318" fillId="8" borderId="1" xfId="0" applyNumberFormat="1" applyFont="1" applyFill="1" applyBorder="1" applyAlignment="1">
      <alignment horizontal="center" vertical="center"/>
    </xf>
    <xf numFmtId="2" fontId="13319" fillId="8" borderId="1" xfId="0" applyNumberFormat="1" applyFont="1" applyFill="1" applyBorder="1" applyAlignment="1">
      <alignment horizontal="center" vertical="center"/>
    </xf>
    <xf numFmtId="2" fontId="13320" fillId="8" borderId="1" xfId="0" applyNumberFormat="1" applyFont="1" applyFill="1" applyBorder="1" applyAlignment="1">
      <alignment horizontal="center" vertical="center"/>
    </xf>
    <xf numFmtId="2" fontId="13321" fillId="8" borderId="1" xfId="0" applyNumberFormat="1" applyFont="1" applyFill="1" applyBorder="1" applyAlignment="1">
      <alignment horizontal="center" vertical="center"/>
    </xf>
    <xf numFmtId="2" fontId="13322" fillId="8" borderId="1" xfId="0" applyNumberFormat="1" applyFont="1" applyFill="1" applyBorder="1" applyAlignment="1">
      <alignment horizontal="center" vertical="center"/>
    </xf>
    <xf numFmtId="2" fontId="13323" fillId="8" borderId="1" xfId="0" applyNumberFormat="1" applyFont="1" applyFill="1" applyBorder="1" applyAlignment="1">
      <alignment horizontal="center" vertical="center"/>
    </xf>
    <xf numFmtId="2" fontId="13324" fillId="8" borderId="1" xfId="0" applyNumberFormat="1" applyFont="1" applyFill="1" applyBorder="1" applyAlignment="1">
      <alignment horizontal="center" vertical="center"/>
    </xf>
    <xf numFmtId="2" fontId="13325" fillId="8" borderId="1" xfId="0" applyNumberFormat="1" applyFont="1" applyFill="1" applyBorder="1" applyAlignment="1">
      <alignment horizontal="center" vertical="center"/>
    </xf>
    <xf numFmtId="2" fontId="13326" fillId="8" borderId="1" xfId="0" applyNumberFormat="1" applyFont="1" applyFill="1" applyBorder="1" applyAlignment="1">
      <alignment horizontal="center" vertical="center"/>
    </xf>
    <xf numFmtId="2" fontId="13327" fillId="8" borderId="1" xfId="0" applyNumberFormat="1" applyFont="1" applyFill="1" applyBorder="1" applyAlignment="1">
      <alignment horizontal="center" vertical="center"/>
    </xf>
    <xf numFmtId="2" fontId="13328" fillId="8" borderId="1" xfId="0" applyNumberFormat="1" applyFont="1" applyFill="1" applyBorder="1" applyAlignment="1">
      <alignment horizontal="center" vertical="center"/>
    </xf>
    <xf numFmtId="2" fontId="13329" fillId="8" borderId="1" xfId="0" applyNumberFormat="1" applyFont="1" applyFill="1" applyBorder="1" applyAlignment="1">
      <alignment horizontal="center" vertical="center"/>
    </xf>
    <xf numFmtId="2" fontId="13330" fillId="8" borderId="1" xfId="0" applyNumberFormat="1" applyFont="1" applyFill="1" applyBorder="1" applyAlignment="1">
      <alignment horizontal="center" vertical="center"/>
    </xf>
    <xf numFmtId="2" fontId="13331" fillId="8" borderId="1" xfId="0" applyNumberFormat="1" applyFont="1" applyFill="1" applyBorder="1" applyAlignment="1">
      <alignment horizontal="center" vertical="center"/>
    </xf>
    <xf numFmtId="2" fontId="13332" fillId="8" borderId="1" xfId="0" applyNumberFormat="1" applyFont="1" applyFill="1" applyBorder="1" applyAlignment="1">
      <alignment horizontal="center" vertical="center"/>
    </xf>
    <xf numFmtId="2" fontId="13333" fillId="8" borderId="1" xfId="0" applyNumberFormat="1" applyFont="1" applyFill="1" applyBorder="1" applyAlignment="1">
      <alignment horizontal="center" vertical="center"/>
    </xf>
    <xf numFmtId="2" fontId="13334" fillId="8" borderId="1" xfId="0" applyNumberFormat="1" applyFont="1" applyFill="1" applyBorder="1" applyAlignment="1">
      <alignment horizontal="center" vertical="center"/>
    </xf>
    <xf numFmtId="2" fontId="13335" fillId="8" borderId="1" xfId="0" applyNumberFormat="1" applyFont="1" applyFill="1" applyBorder="1" applyAlignment="1">
      <alignment horizontal="center" vertical="center"/>
    </xf>
    <xf numFmtId="2" fontId="13336" fillId="8" borderId="1" xfId="0" applyNumberFormat="1" applyFont="1" applyFill="1" applyBorder="1" applyAlignment="1">
      <alignment horizontal="center" vertical="center"/>
    </xf>
    <xf numFmtId="2" fontId="13337" fillId="8" borderId="1" xfId="0" applyNumberFormat="1" applyFont="1" applyFill="1" applyBorder="1" applyAlignment="1">
      <alignment horizontal="center" vertical="center"/>
    </xf>
    <xf numFmtId="2" fontId="13338" fillId="8" borderId="1" xfId="0" applyNumberFormat="1" applyFont="1" applyFill="1" applyBorder="1" applyAlignment="1">
      <alignment horizontal="center" vertical="center"/>
    </xf>
    <xf numFmtId="0" fontId="13339" fillId="7" borderId="1" xfId="0" applyNumberFormat="1" applyFont="1" applyFill="1" applyBorder="1" applyAlignment="1">
      <alignment horizontal="left" vertical="center"/>
    </xf>
    <xf numFmtId="0" fontId="13340" fillId="8" borderId="1" xfId="0" applyNumberFormat="1" applyFont="1" applyFill="1" applyBorder="1" applyAlignment="1">
      <alignment horizontal="center" vertical="center"/>
    </xf>
    <xf numFmtId="164" fontId="13341" fillId="8" borderId="1" xfId="0" applyNumberFormat="1" applyFont="1" applyFill="1" applyBorder="1" applyAlignment="1">
      <alignment horizontal="center" vertical="center"/>
    </xf>
    <xf numFmtId="1" fontId="13342" fillId="8" borderId="1" xfId="0" applyNumberFormat="1" applyFont="1" applyFill="1" applyBorder="1" applyAlignment="1">
      <alignment horizontal="center" vertical="center"/>
    </xf>
    <xf numFmtId="1" fontId="13343" fillId="8" borderId="1" xfId="0" applyNumberFormat="1" applyFont="1" applyFill="1" applyBorder="1" applyAlignment="1">
      <alignment horizontal="center" vertical="center"/>
    </xf>
    <xf numFmtId="1" fontId="13344" fillId="8" borderId="1" xfId="0" applyNumberFormat="1" applyFont="1" applyFill="1" applyBorder="1" applyAlignment="1">
      <alignment horizontal="center" vertical="center"/>
    </xf>
    <xf numFmtId="1" fontId="13345" fillId="8" borderId="1" xfId="0" applyNumberFormat="1" applyFont="1" applyFill="1" applyBorder="1" applyAlignment="1">
      <alignment horizontal="center" vertical="center"/>
    </xf>
    <xf numFmtId="1" fontId="13346" fillId="8" borderId="1" xfId="0" applyNumberFormat="1" applyFont="1" applyFill="1" applyBorder="1" applyAlignment="1">
      <alignment horizontal="center" vertical="center"/>
    </xf>
    <xf numFmtId="1" fontId="13347" fillId="8" borderId="1" xfId="0" applyNumberFormat="1" applyFont="1" applyFill="1" applyBorder="1" applyAlignment="1">
      <alignment horizontal="center" vertical="center"/>
    </xf>
    <xf numFmtId="1" fontId="13348" fillId="8" borderId="1" xfId="0" applyNumberFormat="1" applyFont="1" applyFill="1" applyBorder="1" applyAlignment="1">
      <alignment horizontal="center" vertical="center"/>
    </xf>
    <xf numFmtId="0" fontId="13349" fillId="8" borderId="1" xfId="0" applyNumberFormat="1" applyFont="1" applyFill="1" applyBorder="1" applyAlignment="1">
      <alignment horizontal="center" vertical="center"/>
    </xf>
    <xf numFmtId="0" fontId="13350" fillId="8" borderId="1" xfId="0" applyNumberFormat="1" applyFont="1" applyFill="1" applyBorder="1" applyAlignment="1">
      <alignment horizontal="center" vertical="center"/>
    </xf>
    <xf numFmtId="1" fontId="13351" fillId="8" borderId="1" xfId="0" applyNumberFormat="1" applyFont="1" applyFill="1" applyBorder="1" applyAlignment="1">
      <alignment horizontal="center" vertical="center"/>
    </xf>
    <xf numFmtId="1" fontId="13352" fillId="8" borderId="1" xfId="0" applyNumberFormat="1" applyFont="1" applyFill="1" applyBorder="1" applyAlignment="1">
      <alignment horizontal="center" vertical="center"/>
    </xf>
    <xf numFmtId="1" fontId="13353" fillId="8" borderId="1" xfId="0" applyNumberFormat="1" applyFont="1" applyFill="1" applyBorder="1" applyAlignment="1">
      <alignment horizontal="center" vertical="center"/>
    </xf>
    <xf numFmtId="165" fontId="13354" fillId="8" borderId="1" xfId="0" applyNumberFormat="1" applyFont="1" applyFill="1" applyBorder="1" applyAlignment="1">
      <alignment horizontal="center" vertical="center"/>
    </xf>
    <xf numFmtId="1" fontId="13355" fillId="8" borderId="1" xfId="0" applyNumberFormat="1" applyFont="1" applyFill="1" applyBorder="1" applyAlignment="1">
      <alignment horizontal="center" vertical="center"/>
    </xf>
    <xf numFmtId="165" fontId="13356" fillId="8" borderId="1" xfId="0" applyNumberFormat="1" applyFont="1" applyFill="1" applyBorder="1" applyAlignment="1">
      <alignment horizontal="center" vertical="center"/>
    </xf>
    <xf numFmtId="1" fontId="13357" fillId="8" borderId="1" xfId="0" applyNumberFormat="1" applyFont="1" applyFill="1" applyBorder="1" applyAlignment="1">
      <alignment horizontal="center" vertical="center"/>
    </xf>
    <xf numFmtId="165" fontId="13358" fillId="8" borderId="1" xfId="0" applyNumberFormat="1" applyFont="1" applyFill="1" applyBorder="1" applyAlignment="1">
      <alignment horizontal="center" vertical="center"/>
    </xf>
    <xf numFmtId="1" fontId="13359" fillId="8" borderId="1" xfId="0" applyNumberFormat="1" applyFont="1" applyFill="1" applyBorder="1" applyAlignment="1">
      <alignment horizontal="center" vertical="center"/>
    </xf>
    <xf numFmtId="165" fontId="13360" fillId="8" borderId="1" xfId="0" applyNumberFormat="1" applyFont="1" applyFill="1" applyBorder="1" applyAlignment="1">
      <alignment horizontal="center" vertical="center"/>
    </xf>
    <xf numFmtId="165" fontId="13361" fillId="8" borderId="1" xfId="0" applyNumberFormat="1" applyFont="1" applyFill="1" applyBorder="1" applyAlignment="1">
      <alignment horizontal="center" vertical="center"/>
    </xf>
    <xf numFmtId="1" fontId="13362" fillId="8" borderId="1" xfId="0" applyNumberFormat="1" applyFont="1" applyFill="1" applyBorder="1" applyAlignment="1">
      <alignment horizontal="center" vertical="center"/>
    </xf>
    <xf numFmtId="1" fontId="13363" fillId="8" borderId="1" xfId="0" applyNumberFormat="1" applyFont="1" applyFill="1" applyBorder="1" applyAlignment="1">
      <alignment horizontal="center" vertical="center"/>
    </xf>
    <xf numFmtId="1" fontId="13364" fillId="8" borderId="1" xfId="0" applyNumberFormat="1" applyFont="1" applyFill="1" applyBorder="1" applyAlignment="1">
      <alignment horizontal="center" vertical="center"/>
    </xf>
    <xf numFmtId="165" fontId="13365" fillId="8" borderId="1" xfId="0" applyNumberFormat="1" applyFont="1" applyFill="1" applyBorder="1" applyAlignment="1">
      <alignment horizontal="center" vertical="center"/>
    </xf>
    <xf numFmtId="164" fontId="13366" fillId="8" borderId="1" xfId="0" applyNumberFormat="1" applyFont="1" applyFill="1" applyBorder="1" applyAlignment="1">
      <alignment horizontal="center" vertical="center"/>
    </xf>
    <xf numFmtId="164" fontId="13367" fillId="8" borderId="1" xfId="0" applyNumberFormat="1" applyFont="1" applyFill="1" applyBorder="1" applyAlignment="1">
      <alignment horizontal="center" vertical="center"/>
    </xf>
    <xf numFmtId="1" fontId="13368" fillId="8" borderId="1" xfId="0" applyNumberFormat="1" applyFont="1" applyFill="1" applyBorder="1" applyAlignment="1">
      <alignment horizontal="center" vertical="center"/>
    </xf>
    <xf numFmtId="1" fontId="13369" fillId="8" borderId="1" xfId="0" applyNumberFormat="1" applyFont="1" applyFill="1" applyBorder="1" applyAlignment="1">
      <alignment horizontal="center" vertical="center"/>
    </xf>
    <xf numFmtId="1" fontId="13370" fillId="8" borderId="1" xfId="0" applyNumberFormat="1" applyFont="1" applyFill="1" applyBorder="1" applyAlignment="1">
      <alignment horizontal="center" vertical="center"/>
    </xf>
    <xf numFmtId="165" fontId="13371" fillId="8" borderId="1" xfId="0" applyNumberFormat="1" applyFont="1" applyFill="1" applyBorder="1" applyAlignment="1">
      <alignment horizontal="center" vertical="center"/>
    </xf>
    <xf numFmtId="1" fontId="13372" fillId="8" borderId="1" xfId="0" applyNumberFormat="1" applyFont="1" applyFill="1" applyBorder="1" applyAlignment="1">
      <alignment horizontal="center" vertical="center"/>
    </xf>
    <xf numFmtId="165" fontId="13373" fillId="8" borderId="1" xfId="0" applyNumberFormat="1" applyFont="1" applyFill="1" applyBorder="1" applyAlignment="1">
      <alignment horizontal="center" vertical="center"/>
    </xf>
    <xf numFmtId="1" fontId="13374" fillId="8" borderId="1" xfId="0" applyNumberFormat="1" applyFont="1" applyFill="1" applyBorder="1" applyAlignment="1">
      <alignment horizontal="center" vertical="center"/>
    </xf>
    <xf numFmtId="1" fontId="13375" fillId="8" borderId="1" xfId="0" applyNumberFormat="1" applyFont="1" applyFill="1" applyBorder="1" applyAlignment="1">
      <alignment horizontal="center" vertical="center"/>
    </xf>
    <xf numFmtId="1" fontId="13376" fillId="8" borderId="1" xfId="0" applyNumberFormat="1" applyFont="1" applyFill="1" applyBorder="1" applyAlignment="1">
      <alignment horizontal="center" vertical="center"/>
    </xf>
    <xf numFmtId="1" fontId="13377" fillId="8" borderId="1" xfId="0" applyNumberFormat="1" applyFont="1" applyFill="1" applyBorder="1" applyAlignment="1">
      <alignment horizontal="center" vertical="center"/>
    </xf>
    <xf numFmtId="165" fontId="13378" fillId="8" borderId="1" xfId="0" applyNumberFormat="1" applyFont="1" applyFill="1" applyBorder="1" applyAlignment="1">
      <alignment horizontal="center" vertical="center"/>
    </xf>
    <xf numFmtId="1" fontId="13379" fillId="8" borderId="1" xfId="0" applyNumberFormat="1" applyFont="1" applyFill="1" applyBorder="1" applyAlignment="1">
      <alignment horizontal="center" vertical="center"/>
    </xf>
    <xf numFmtId="165" fontId="13380" fillId="8" borderId="1" xfId="0" applyNumberFormat="1" applyFont="1" applyFill="1" applyBorder="1" applyAlignment="1">
      <alignment horizontal="center" vertical="center"/>
    </xf>
    <xf numFmtId="1" fontId="13381" fillId="8" borderId="1" xfId="0" applyNumberFormat="1" applyFont="1" applyFill="1" applyBorder="1" applyAlignment="1">
      <alignment horizontal="center" vertical="center"/>
    </xf>
    <xf numFmtId="165" fontId="13382" fillId="8" borderId="1" xfId="0" applyNumberFormat="1" applyFont="1" applyFill="1" applyBorder="1" applyAlignment="1">
      <alignment horizontal="center" vertical="center"/>
    </xf>
    <xf numFmtId="2" fontId="13383" fillId="8" borderId="1" xfId="0" applyNumberFormat="1" applyFont="1" applyFill="1" applyBorder="1" applyAlignment="1">
      <alignment horizontal="center" vertical="center"/>
    </xf>
    <xf numFmtId="2" fontId="13384" fillId="8" borderId="1" xfId="0" applyNumberFormat="1" applyFont="1" applyFill="1" applyBorder="1" applyAlignment="1">
      <alignment horizontal="center" vertical="center"/>
    </xf>
    <xf numFmtId="2" fontId="13385" fillId="8" borderId="1" xfId="0" applyNumberFormat="1" applyFont="1" applyFill="1" applyBorder="1" applyAlignment="1">
      <alignment horizontal="center" vertical="center"/>
    </xf>
    <xf numFmtId="2" fontId="13386" fillId="8" borderId="1" xfId="0" applyNumberFormat="1" applyFont="1" applyFill="1" applyBorder="1" applyAlignment="1">
      <alignment horizontal="center" vertical="center"/>
    </xf>
    <xf numFmtId="2" fontId="13387" fillId="8" borderId="1" xfId="0" applyNumberFormat="1" applyFont="1" applyFill="1" applyBorder="1" applyAlignment="1">
      <alignment horizontal="center" vertical="center"/>
    </xf>
    <xf numFmtId="2" fontId="13388" fillId="8" borderId="1" xfId="0" applyNumberFormat="1" applyFont="1" applyFill="1" applyBorder="1" applyAlignment="1">
      <alignment horizontal="center" vertical="center"/>
    </xf>
    <xf numFmtId="2" fontId="13389" fillId="8" borderId="1" xfId="0" applyNumberFormat="1" applyFont="1" applyFill="1" applyBorder="1" applyAlignment="1">
      <alignment horizontal="center" vertical="center"/>
    </xf>
    <xf numFmtId="2" fontId="13390" fillId="8" borderId="1" xfId="0" applyNumberFormat="1" applyFont="1" applyFill="1" applyBorder="1" applyAlignment="1">
      <alignment horizontal="center" vertical="center"/>
    </xf>
    <xf numFmtId="2" fontId="13391" fillId="8" borderId="1" xfId="0" applyNumberFormat="1" applyFont="1" applyFill="1" applyBorder="1" applyAlignment="1">
      <alignment horizontal="center" vertical="center"/>
    </xf>
    <xf numFmtId="2" fontId="13392" fillId="8" borderId="1" xfId="0" applyNumberFormat="1" applyFont="1" applyFill="1" applyBorder="1" applyAlignment="1">
      <alignment horizontal="center" vertical="center"/>
    </xf>
    <xf numFmtId="2" fontId="13393" fillId="8" borderId="1" xfId="0" applyNumberFormat="1" applyFont="1" applyFill="1" applyBorder="1" applyAlignment="1">
      <alignment horizontal="center" vertical="center"/>
    </xf>
    <xf numFmtId="2" fontId="13394" fillId="8" borderId="1" xfId="0" applyNumberFormat="1" applyFont="1" applyFill="1" applyBorder="1" applyAlignment="1">
      <alignment horizontal="center" vertical="center"/>
    </xf>
    <xf numFmtId="2" fontId="13395" fillId="8" borderId="1" xfId="0" applyNumberFormat="1" applyFont="1" applyFill="1" applyBorder="1" applyAlignment="1">
      <alignment horizontal="center" vertical="center"/>
    </xf>
    <xf numFmtId="2" fontId="13396" fillId="8" borderId="1" xfId="0" applyNumberFormat="1" applyFont="1" applyFill="1" applyBorder="1" applyAlignment="1">
      <alignment horizontal="center" vertical="center"/>
    </xf>
    <xf numFmtId="2" fontId="13397" fillId="8" borderId="1" xfId="0" applyNumberFormat="1" applyFont="1" applyFill="1" applyBorder="1" applyAlignment="1">
      <alignment horizontal="center" vertical="center"/>
    </xf>
    <xf numFmtId="2" fontId="13398" fillId="8" borderId="1" xfId="0" applyNumberFormat="1" applyFont="1" applyFill="1" applyBorder="1" applyAlignment="1">
      <alignment horizontal="center" vertical="center"/>
    </xf>
    <xf numFmtId="2" fontId="13399" fillId="8" borderId="1" xfId="0" applyNumberFormat="1" applyFont="1" applyFill="1" applyBorder="1" applyAlignment="1">
      <alignment horizontal="center" vertical="center"/>
    </xf>
    <xf numFmtId="2" fontId="13400" fillId="8" borderId="1" xfId="0" applyNumberFormat="1" applyFont="1" applyFill="1" applyBorder="1" applyAlignment="1">
      <alignment horizontal="center" vertical="center"/>
    </xf>
    <xf numFmtId="2" fontId="13401" fillId="8" borderId="1" xfId="0" applyNumberFormat="1" applyFont="1" applyFill="1" applyBorder="1" applyAlignment="1">
      <alignment horizontal="center" vertical="center"/>
    </xf>
    <xf numFmtId="2" fontId="13402" fillId="8" borderId="1" xfId="0" applyNumberFormat="1" applyFont="1" applyFill="1" applyBorder="1" applyAlignment="1">
      <alignment horizontal="center" vertical="center"/>
    </xf>
    <xf numFmtId="2" fontId="13403" fillId="8" borderId="1" xfId="0" applyNumberFormat="1" applyFont="1" applyFill="1" applyBorder="1" applyAlignment="1">
      <alignment horizontal="center" vertical="center"/>
    </xf>
    <xf numFmtId="2" fontId="13404" fillId="8" borderId="1" xfId="0" applyNumberFormat="1" applyFont="1" applyFill="1" applyBorder="1" applyAlignment="1">
      <alignment horizontal="center" vertical="center"/>
    </xf>
    <xf numFmtId="2" fontId="13405" fillId="8" borderId="1" xfId="0" applyNumberFormat="1" applyFont="1" applyFill="1" applyBorder="1" applyAlignment="1">
      <alignment horizontal="center" vertical="center"/>
    </xf>
    <xf numFmtId="2" fontId="13406" fillId="8" borderId="1" xfId="0" applyNumberFormat="1" applyFont="1" applyFill="1" applyBorder="1" applyAlignment="1">
      <alignment horizontal="center" vertical="center"/>
    </xf>
    <xf numFmtId="2" fontId="13407" fillId="8" borderId="1" xfId="0" applyNumberFormat="1" applyFont="1" applyFill="1" applyBorder="1" applyAlignment="1">
      <alignment horizontal="center" vertical="center"/>
    </xf>
    <xf numFmtId="2" fontId="13408" fillId="8" borderId="1" xfId="0" applyNumberFormat="1" applyFont="1" applyFill="1" applyBorder="1" applyAlignment="1">
      <alignment horizontal="center" vertical="center"/>
    </xf>
    <xf numFmtId="2" fontId="13409" fillId="8" borderId="1" xfId="0" applyNumberFormat="1" applyFont="1" applyFill="1" applyBorder="1" applyAlignment="1">
      <alignment horizontal="center" vertical="center"/>
    </xf>
    <xf numFmtId="2" fontId="13410" fillId="8" borderId="1" xfId="0" applyNumberFormat="1" applyFont="1" applyFill="1" applyBorder="1" applyAlignment="1">
      <alignment horizontal="center" vertical="center"/>
    </xf>
    <xf numFmtId="2" fontId="13411" fillId="8" borderId="1" xfId="0" applyNumberFormat="1" applyFont="1" applyFill="1" applyBorder="1" applyAlignment="1">
      <alignment horizontal="center" vertical="center"/>
    </xf>
    <xf numFmtId="2" fontId="13412" fillId="8" borderId="1" xfId="0" applyNumberFormat="1" applyFont="1" applyFill="1" applyBorder="1" applyAlignment="1">
      <alignment horizontal="center" vertical="center"/>
    </xf>
    <xf numFmtId="2" fontId="13413" fillId="8" borderId="1" xfId="0" applyNumberFormat="1" applyFont="1" applyFill="1" applyBorder="1" applyAlignment="1">
      <alignment horizontal="center" vertical="center"/>
    </xf>
    <xf numFmtId="2" fontId="13414" fillId="8" borderId="1" xfId="0" applyNumberFormat="1" applyFont="1" applyFill="1" applyBorder="1" applyAlignment="1">
      <alignment horizontal="center" vertical="center"/>
    </xf>
    <xf numFmtId="2" fontId="13415" fillId="8" borderId="1" xfId="0" applyNumberFormat="1" applyFont="1" applyFill="1" applyBorder="1" applyAlignment="1">
      <alignment horizontal="center" vertical="center"/>
    </xf>
    <xf numFmtId="2" fontId="13416" fillId="8" borderId="1" xfId="0" applyNumberFormat="1" applyFont="1" applyFill="1" applyBorder="1" applyAlignment="1">
      <alignment horizontal="center" vertical="center"/>
    </xf>
    <xf numFmtId="0" fontId="13417" fillId="7" borderId="1" xfId="0" applyNumberFormat="1" applyFont="1" applyFill="1" applyBorder="1" applyAlignment="1">
      <alignment horizontal="left" vertical="center"/>
    </xf>
    <xf numFmtId="0" fontId="13418" fillId="8" borderId="1" xfId="0" applyNumberFormat="1" applyFont="1" applyFill="1" applyBorder="1" applyAlignment="1">
      <alignment horizontal="center" vertical="center"/>
    </xf>
    <xf numFmtId="164" fontId="13419" fillId="8" borderId="1" xfId="0" applyNumberFormat="1" applyFont="1" applyFill="1" applyBorder="1" applyAlignment="1">
      <alignment horizontal="center" vertical="center"/>
    </xf>
    <xf numFmtId="1" fontId="13420" fillId="8" borderId="1" xfId="0" applyNumberFormat="1" applyFont="1" applyFill="1" applyBorder="1" applyAlignment="1">
      <alignment horizontal="center" vertical="center"/>
    </xf>
    <xf numFmtId="1" fontId="13421" fillId="8" borderId="1" xfId="0" applyNumberFormat="1" applyFont="1" applyFill="1" applyBorder="1" applyAlignment="1">
      <alignment horizontal="center" vertical="center"/>
    </xf>
    <xf numFmtId="1" fontId="13422" fillId="8" borderId="1" xfId="0" applyNumberFormat="1" applyFont="1" applyFill="1" applyBorder="1" applyAlignment="1">
      <alignment horizontal="center" vertical="center"/>
    </xf>
    <xf numFmtId="1" fontId="13423" fillId="8" borderId="1" xfId="0" applyNumberFormat="1" applyFont="1" applyFill="1" applyBorder="1" applyAlignment="1">
      <alignment horizontal="center" vertical="center"/>
    </xf>
    <xf numFmtId="1" fontId="13424" fillId="8" borderId="1" xfId="0" applyNumberFormat="1" applyFont="1" applyFill="1" applyBorder="1" applyAlignment="1">
      <alignment horizontal="center" vertical="center"/>
    </xf>
    <xf numFmtId="1" fontId="13425" fillId="8" borderId="1" xfId="0" applyNumberFormat="1" applyFont="1" applyFill="1" applyBorder="1" applyAlignment="1">
      <alignment horizontal="center" vertical="center"/>
    </xf>
    <xf numFmtId="1" fontId="13426" fillId="8" borderId="1" xfId="0" applyNumberFormat="1" applyFont="1" applyFill="1" applyBorder="1" applyAlignment="1">
      <alignment horizontal="center" vertical="center"/>
    </xf>
    <xf numFmtId="0" fontId="13427" fillId="8" borderId="1" xfId="0" applyNumberFormat="1" applyFont="1" applyFill="1" applyBorder="1" applyAlignment="1">
      <alignment horizontal="center" vertical="center"/>
    </xf>
    <xf numFmtId="0" fontId="13428" fillId="8" borderId="1" xfId="0" applyNumberFormat="1" applyFont="1" applyFill="1" applyBorder="1" applyAlignment="1">
      <alignment horizontal="center" vertical="center"/>
    </xf>
    <xf numFmtId="1" fontId="13429" fillId="8" borderId="1" xfId="0" applyNumberFormat="1" applyFont="1" applyFill="1" applyBorder="1" applyAlignment="1">
      <alignment horizontal="center" vertical="center"/>
    </xf>
    <xf numFmtId="1" fontId="13430" fillId="8" borderId="1" xfId="0" applyNumberFormat="1" applyFont="1" applyFill="1" applyBorder="1" applyAlignment="1">
      <alignment horizontal="center" vertical="center"/>
    </xf>
    <xf numFmtId="1" fontId="13431" fillId="8" borderId="1" xfId="0" applyNumberFormat="1" applyFont="1" applyFill="1" applyBorder="1" applyAlignment="1">
      <alignment horizontal="center" vertical="center"/>
    </xf>
    <xf numFmtId="165" fontId="13432" fillId="8" borderId="1" xfId="0" applyNumberFormat="1" applyFont="1" applyFill="1" applyBorder="1" applyAlignment="1">
      <alignment horizontal="center" vertical="center"/>
    </xf>
    <xf numFmtId="1" fontId="13433" fillId="8" borderId="1" xfId="0" applyNumberFormat="1" applyFont="1" applyFill="1" applyBorder="1" applyAlignment="1">
      <alignment horizontal="center" vertical="center"/>
    </xf>
    <xf numFmtId="165" fontId="13434" fillId="8" borderId="1" xfId="0" applyNumberFormat="1" applyFont="1" applyFill="1" applyBorder="1" applyAlignment="1">
      <alignment horizontal="center" vertical="center"/>
    </xf>
    <xf numFmtId="1" fontId="13435" fillId="8" borderId="1" xfId="0" applyNumberFormat="1" applyFont="1" applyFill="1" applyBorder="1" applyAlignment="1">
      <alignment horizontal="center" vertical="center"/>
    </xf>
    <xf numFmtId="165" fontId="13436" fillId="8" borderId="1" xfId="0" applyNumberFormat="1" applyFont="1" applyFill="1" applyBorder="1" applyAlignment="1">
      <alignment horizontal="center" vertical="center"/>
    </xf>
    <xf numFmtId="1" fontId="13437" fillId="8" borderId="1" xfId="0" applyNumberFormat="1" applyFont="1" applyFill="1" applyBorder="1" applyAlignment="1">
      <alignment horizontal="center" vertical="center"/>
    </xf>
    <xf numFmtId="165" fontId="13438" fillId="8" borderId="1" xfId="0" applyNumberFormat="1" applyFont="1" applyFill="1" applyBorder="1" applyAlignment="1">
      <alignment horizontal="center" vertical="center"/>
    </xf>
    <xf numFmtId="165" fontId="13439" fillId="8" borderId="1" xfId="0" applyNumberFormat="1" applyFont="1" applyFill="1" applyBorder="1" applyAlignment="1">
      <alignment horizontal="center" vertical="center"/>
    </xf>
    <xf numFmtId="1" fontId="13440" fillId="8" borderId="1" xfId="0" applyNumberFormat="1" applyFont="1" applyFill="1" applyBorder="1" applyAlignment="1">
      <alignment horizontal="center" vertical="center"/>
    </xf>
    <xf numFmtId="1" fontId="13441" fillId="8" borderId="1" xfId="0" applyNumberFormat="1" applyFont="1" applyFill="1" applyBorder="1" applyAlignment="1">
      <alignment horizontal="center" vertical="center"/>
    </xf>
    <xf numFmtId="1" fontId="13442" fillId="8" borderId="1" xfId="0" applyNumberFormat="1" applyFont="1" applyFill="1" applyBorder="1" applyAlignment="1">
      <alignment horizontal="center" vertical="center"/>
    </xf>
    <xf numFmtId="165" fontId="13443" fillId="8" borderId="1" xfId="0" applyNumberFormat="1" applyFont="1" applyFill="1" applyBorder="1" applyAlignment="1">
      <alignment horizontal="center" vertical="center"/>
    </xf>
    <xf numFmtId="164" fontId="13444" fillId="8" borderId="1" xfId="0" applyNumberFormat="1" applyFont="1" applyFill="1" applyBorder="1" applyAlignment="1">
      <alignment horizontal="center" vertical="center"/>
    </xf>
    <xf numFmtId="164" fontId="13445" fillId="8" borderId="1" xfId="0" applyNumberFormat="1" applyFont="1" applyFill="1" applyBorder="1" applyAlignment="1">
      <alignment horizontal="center" vertical="center"/>
    </xf>
    <xf numFmtId="1" fontId="13446" fillId="8" borderId="1" xfId="0" applyNumberFormat="1" applyFont="1" applyFill="1" applyBorder="1" applyAlignment="1">
      <alignment horizontal="center" vertical="center"/>
    </xf>
    <xf numFmtId="1" fontId="13447" fillId="8" borderId="1" xfId="0" applyNumberFormat="1" applyFont="1" applyFill="1" applyBorder="1" applyAlignment="1">
      <alignment horizontal="center" vertical="center"/>
    </xf>
    <xf numFmtId="1" fontId="13448" fillId="8" borderId="1" xfId="0" applyNumberFormat="1" applyFont="1" applyFill="1" applyBorder="1" applyAlignment="1">
      <alignment horizontal="center" vertical="center"/>
    </xf>
    <xf numFmtId="165" fontId="13449" fillId="8" borderId="1" xfId="0" applyNumberFormat="1" applyFont="1" applyFill="1" applyBorder="1" applyAlignment="1">
      <alignment horizontal="center" vertical="center"/>
    </xf>
    <xf numFmtId="1" fontId="13450" fillId="8" borderId="1" xfId="0" applyNumberFormat="1" applyFont="1" applyFill="1" applyBorder="1" applyAlignment="1">
      <alignment horizontal="center" vertical="center"/>
    </xf>
    <xf numFmtId="165" fontId="13451" fillId="8" borderId="1" xfId="0" applyNumberFormat="1" applyFont="1" applyFill="1" applyBorder="1" applyAlignment="1">
      <alignment horizontal="center" vertical="center"/>
    </xf>
    <xf numFmtId="1" fontId="13452" fillId="8" borderId="1" xfId="0" applyNumberFormat="1" applyFont="1" applyFill="1" applyBorder="1" applyAlignment="1">
      <alignment horizontal="center" vertical="center"/>
    </xf>
    <xf numFmtId="1" fontId="13453" fillId="8" borderId="1" xfId="0" applyNumberFormat="1" applyFont="1" applyFill="1" applyBorder="1" applyAlignment="1">
      <alignment horizontal="center" vertical="center"/>
    </xf>
    <xf numFmtId="1" fontId="13454" fillId="8" borderId="1" xfId="0" applyNumberFormat="1" applyFont="1" applyFill="1" applyBorder="1" applyAlignment="1">
      <alignment horizontal="center" vertical="center"/>
    </xf>
    <xf numFmtId="1" fontId="13455" fillId="8" borderId="1" xfId="0" applyNumberFormat="1" applyFont="1" applyFill="1" applyBorder="1" applyAlignment="1">
      <alignment horizontal="center" vertical="center"/>
    </xf>
    <xf numFmtId="165" fontId="13456" fillId="8" borderId="1" xfId="0" applyNumberFormat="1" applyFont="1" applyFill="1" applyBorder="1" applyAlignment="1">
      <alignment horizontal="center" vertical="center"/>
    </xf>
    <xf numFmtId="1" fontId="13457" fillId="8" borderId="1" xfId="0" applyNumberFormat="1" applyFont="1" applyFill="1" applyBorder="1" applyAlignment="1">
      <alignment horizontal="center" vertical="center"/>
    </xf>
    <xf numFmtId="165" fontId="13458" fillId="8" borderId="1" xfId="0" applyNumberFormat="1" applyFont="1" applyFill="1" applyBorder="1" applyAlignment="1">
      <alignment horizontal="center" vertical="center"/>
    </xf>
    <xf numFmtId="1" fontId="13459" fillId="8" borderId="1" xfId="0" applyNumberFormat="1" applyFont="1" applyFill="1" applyBorder="1" applyAlignment="1">
      <alignment horizontal="center" vertical="center"/>
    </xf>
    <xf numFmtId="165" fontId="13460" fillId="8" borderId="1" xfId="0" applyNumberFormat="1" applyFont="1" applyFill="1" applyBorder="1" applyAlignment="1">
      <alignment horizontal="center" vertical="center"/>
    </xf>
    <xf numFmtId="2" fontId="13461" fillId="8" borderId="1" xfId="0" applyNumberFormat="1" applyFont="1" applyFill="1" applyBorder="1" applyAlignment="1">
      <alignment horizontal="center" vertical="center"/>
    </xf>
    <xf numFmtId="2" fontId="13462" fillId="8" borderId="1" xfId="0" applyNumberFormat="1" applyFont="1" applyFill="1" applyBorder="1" applyAlignment="1">
      <alignment horizontal="center" vertical="center"/>
    </xf>
    <xf numFmtId="2" fontId="13463" fillId="8" borderId="1" xfId="0" applyNumberFormat="1" applyFont="1" applyFill="1" applyBorder="1" applyAlignment="1">
      <alignment horizontal="center" vertical="center"/>
    </xf>
    <xf numFmtId="2" fontId="13464" fillId="8" borderId="1" xfId="0" applyNumberFormat="1" applyFont="1" applyFill="1" applyBorder="1" applyAlignment="1">
      <alignment horizontal="center" vertical="center"/>
    </xf>
    <xf numFmtId="2" fontId="13465" fillId="8" borderId="1" xfId="0" applyNumberFormat="1" applyFont="1" applyFill="1" applyBorder="1" applyAlignment="1">
      <alignment horizontal="center" vertical="center"/>
    </xf>
    <xf numFmtId="2" fontId="13466" fillId="8" borderId="1" xfId="0" applyNumberFormat="1" applyFont="1" applyFill="1" applyBorder="1" applyAlignment="1">
      <alignment horizontal="center" vertical="center"/>
    </xf>
    <xf numFmtId="2" fontId="13467" fillId="8" borderId="1" xfId="0" applyNumberFormat="1" applyFont="1" applyFill="1" applyBorder="1" applyAlignment="1">
      <alignment horizontal="center" vertical="center"/>
    </xf>
    <xf numFmtId="2" fontId="13468" fillId="8" borderId="1" xfId="0" applyNumberFormat="1" applyFont="1" applyFill="1" applyBorder="1" applyAlignment="1">
      <alignment horizontal="center" vertical="center"/>
    </xf>
    <xf numFmtId="2" fontId="13469" fillId="8" borderId="1" xfId="0" applyNumberFormat="1" applyFont="1" applyFill="1" applyBorder="1" applyAlignment="1">
      <alignment horizontal="center" vertical="center"/>
    </xf>
    <xf numFmtId="2" fontId="13470" fillId="8" borderId="1" xfId="0" applyNumberFormat="1" applyFont="1" applyFill="1" applyBorder="1" applyAlignment="1">
      <alignment horizontal="center" vertical="center"/>
    </xf>
    <xf numFmtId="2" fontId="13471" fillId="8" borderId="1" xfId="0" applyNumberFormat="1" applyFont="1" applyFill="1" applyBorder="1" applyAlignment="1">
      <alignment horizontal="center" vertical="center"/>
    </xf>
    <xf numFmtId="2" fontId="13472" fillId="8" borderId="1" xfId="0" applyNumberFormat="1" applyFont="1" applyFill="1" applyBorder="1" applyAlignment="1">
      <alignment horizontal="center" vertical="center"/>
    </xf>
    <xf numFmtId="2" fontId="13473" fillId="8" borderId="1" xfId="0" applyNumberFormat="1" applyFont="1" applyFill="1" applyBorder="1" applyAlignment="1">
      <alignment horizontal="center" vertical="center"/>
    </xf>
    <xf numFmtId="2" fontId="13474" fillId="8" borderId="1" xfId="0" applyNumberFormat="1" applyFont="1" applyFill="1" applyBorder="1" applyAlignment="1">
      <alignment horizontal="center" vertical="center"/>
    </xf>
    <xf numFmtId="2" fontId="13475" fillId="8" borderId="1" xfId="0" applyNumberFormat="1" applyFont="1" applyFill="1" applyBorder="1" applyAlignment="1">
      <alignment horizontal="center" vertical="center"/>
    </xf>
    <xf numFmtId="2" fontId="13476" fillId="8" borderId="1" xfId="0" applyNumberFormat="1" applyFont="1" applyFill="1" applyBorder="1" applyAlignment="1">
      <alignment horizontal="center" vertical="center"/>
    </xf>
    <xf numFmtId="2" fontId="13477" fillId="8" borderId="1" xfId="0" applyNumberFormat="1" applyFont="1" applyFill="1" applyBorder="1" applyAlignment="1">
      <alignment horizontal="center" vertical="center"/>
    </xf>
    <xf numFmtId="2" fontId="13478" fillId="8" borderId="1" xfId="0" applyNumberFormat="1" applyFont="1" applyFill="1" applyBorder="1" applyAlignment="1">
      <alignment horizontal="center" vertical="center"/>
    </xf>
    <xf numFmtId="2" fontId="13479" fillId="8" borderId="1" xfId="0" applyNumberFormat="1" applyFont="1" applyFill="1" applyBorder="1" applyAlignment="1">
      <alignment horizontal="center" vertical="center"/>
    </xf>
    <xf numFmtId="2" fontId="13480" fillId="8" borderId="1" xfId="0" applyNumberFormat="1" applyFont="1" applyFill="1" applyBorder="1" applyAlignment="1">
      <alignment horizontal="center" vertical="center"/>
    </xf>
    <xf numFmtId="2" fontId="13481" fillId="8" borderId="1" xfId="0" applyNumberFormat="1" applyFont="1" applyFill="1" applyBorder="1" applyAlignment="1">
      <alignment horizontal="center" vertical="center"/>
    </xf>
    <xf numFmtId="2" fontId="13482" fillId="8" borderId="1" xfId="0" applyNumberFormat="1" applyFont="1" applyFill="1" applyBorder="1" applyAlignment="1">
      <alignment horizontal="center" vertical="center"/>
    </xf>
    <xf numFmtId="2" fontId="13483" fillId="8" borderId="1" xfId="0" applyNumberFormat="1" applyFont="1" applyFill="1" applyBorder="1" applyAlignment="1">
      <alignment horizontal="center" vertical="center"/>
    </xf>
    <xf numFmtId="2" fontId="13484" fillId="8" borderId="1" xfId="0" applyNumberFormat="1" applyFont="1" applyFill="1" applyBorder="1" applyAlignment="1">
      <alignment horizontal="center" vertical="center"/>
    </xf>
    <xf numFmtId="2" fontId="13485" fillId="8" borderId="1" xfId="0" applyNumberFormat="1" applyFont="1" applyFill="1" applyBorder="1" applyAlignment="1">
      <alignment horizontal="center" vertical="center"/>
    </xf>
    <xf numFmtId="2" fontId="13486" fillId="8" borderId="1" xfId="0" applyNumberFormat="1" applyFont="1" applyFill="1" applyBorder="1" applyAlignment="1">
      <alignment horizontal="center" vertical="center"/>
    </xf>
    <xf numFmtId="2" fontId="13487" fillId="8" borderId="1" xfId="0" applyNumberFormat="1" applyFont="1" applyFill="1" applyBorder="1" applyAlignment="1">
      <alignment horizontal="center" vertical="center"/>
    </xf>
    <xf numFmtId="2" fontId="13488" fillId="8" borderId="1" xfId="0" applyNumberFormat="1" applyFont="1" applyFill="1" applyBorder="1" applyAlignment="1">
      <alignment horizontal="center" vertical="center"/>
    </xf>
    <xf numFmtId="2" fontId="13489" fillId="8" borderId="1" xfId="0" applyNumberFormat="1" applyFont="1" applyFill="1" applyBorder="1" applyAlignment="1">
      <alignment horizontal="center" vertical="center"/>
    </xf>
    <xf numFmtId="2" fontId="13490" fillId="8" borderId="1" xfId="0" applyNumberFormat="1" applyFont="1" applyFill="1" applyBorder="1" applyAlignment="1">
      <alignment horizontal="center" vertical="center"/>
    </xf>
    <xf numFmtId="2" fontId="13491" fillId="8" borderId="1" xfId="0" applyNumberFormat="1" applyFont="1" applyFill="1" applyBorder="1" applyAlignment="1">
      <alignment horizontal="center" vertical="center"/>
    </xf>
    <xf numFmtId="2" fontId="13492" fillId="8" borderId="1" xfId="0" applyNumberFormat="1" applyFont="1" applyFill="1" applyBorder="1" applyAlignment="1">
      <alignment horizontal="center" vertical="center"/>
    </xf>
    <xf numFmtId="2" fontId="13493" fillId="8" borderId="1" xfId="0" applyNumberFormat="1" applyFont="1" applyFill="1" applyBorder="1" applyAlignment="1">
      <alignment horizontal="center" vertical="center"/>
    </xf>
    <xf numFmtId="2" fontId="13494" fillId="8" borderId="1" xfId="0" applyNumberFormat="1" applyFont="1" applyFill="1" applyBorder="1" applyAlignment="1">
      <alignment horizontal="center" vertical="center"/>
    </xf>
    <xf numFmtId="0" fontId="13495" fillId="7" borderId="1" xfId="0" applyNumberFormat="1" applyFont="1" applyFill="1" applyBorder="1" applyAlignment="1">
      <alignment horizontal="left" vertical="center"/>
    </xf>
    <xf numFmtId="0" fontId="13496" fillId="8" borderId="1" xfId="0" applyNumberFormat="1" applyFont="1" applyFill="1" applyBorder="1" applyAlignment="1">
      <alignment horizontal="center" vertical="center"/>
    </xf>
    <xf numFmtId="164" fontId="13497" fillId="8" borderId="1" xfId="0" applyNumberFormat="1" applyFont="1" applyFill="1" applyBorder="1" applyAlignment="1">
      <alignment horizontal="center" vertical="center"/>
    </xf>
    <xf numFmtId="1" fontId="13498" fillId="8" borderId="1" xfId="0" applyNumberFormat="1" applyFont="1" applyFill="1" applyBorder="1" applyAlignment="1">
      <alignment horizontal="center" vertical="center"/>
    </xf>
    <xf numFmtId="1" fontId="13499" fillId="8" borderId="1" xfId="0" applyNumberFormat="1" applyFont="1" applyFill="1" applyBorder="1" applyAlignment="1">
      <alignment horizontal="center" vertical="center"/>
    </xf>
    <xf numFmtId="1" fontId="13500" fillId="8" borderId="1" xfId="0" applyNumberFormat="1" applyFont="1" applyFill="1" applyBorder="1" applyAlignment="1">
      <alignment horizontal="center" vertical="center"/>
    </xf>
    <xf numFmtId="1" fontId="13501" fillId="8" borderId="1" xfId="0" applyNumberFormat="1" applyFont="1" applyFill="1" applyBorder="1" applyAlignment="1">
      <alignment horizontal="center" vertical="center"/>
    </xf>
    <xf numFmtId="1" fontId="13502" fillId="8" borderId="1" xfId="0" applyNumberFormat="1" applyFont="1" applyFill="1" applyBorder="1" applyAlignment="1">
      <alignment horizontal="center" vertical="center"/>
    </xf>
    <xf numFmtId="1" fontId="13503" fillId="8" borderId="1" xfId="0" applyNumberFormat="1" applyFont="1" applyFill="1" applyBorder="1" applyAlignment="1">
      <alignment horizontal="center" vertical="center"/>
    </xf>
    <xf numFmtId="1" fontId="13504" fillId="8" borderId="1" xfId="0" applyNumberFormat="1" applyFont="1" applyFill="1" applyBorder="1" applyAlignment="1">
      <alignment horizontal="center" vertical="center"/>
    </xf>
    <xf numFmtId="0" fontId="13505" fillId="8" borderId="1" xfId="0" applyNumberFormat="1" applyFont="1" applyFill="1" applyBorder="1" applyAlignment="1">
      <alignment horizontal="center" vertical="center"/>
    </xf>
    <xf numFmtId="0" fontId="13506" fillId="8" borderId="1" xfId="0" applyNumberFormat="1" applyFont="1" applyFill="1" applyBorder="1" applyAlignment="1">
      <alignment horizontal="center" vertical="center"/>
    </xf>
    <xf numFmtId="1" fontId="13507" fillId="8" borderId="1" xfId="0" applyNumberFormat="1" applyFont="1" applyFill="1" applyBorder="1" applyAlignment="1">
      <alignment horizontal="center" vertical="center"/>
    </xf>
    <xf numFmtId="1" fontId="13508" fillId="8" borderId="1" xfId="0" applyNumberFormat="1" applyFont="1" applyFill="1" applyBorder="1" applyAlignment="1">
      <alignment horizontal="center" vertical="center"/>
    </xf>
    <xf numFmtId="1" fontId="13509" fillId="8" borderId="1" xfId="0" applyNumberFormat="1" applyFont="1" applyFill="1" applyBorder="1" applyAlignment="1">
      <alignment horizontal="center" vertical="center"/>
    </xf>
    <xf numFmtId="165" fontId="13510" fillId="8" borderId="1" xfId="0" applyNumberFormat="1" applyFont="1" applyFill="1" applyBorder="1" applyAlignment="1">
      <alignment horizontal="center" vertical="center"/>
    </xf>
    <xf numFmtId="1" fontId="13511" fillId="8" borderId="1" xfId="0" applyNumberFormat="1" applyFont="1" applyFill="1" applyBorder="1" applyAlignment="1">
      <alignment horizontal="center" vertical="center"/>
    </xf>
    <xf numFmtId="165" fontId="13512" fillId="8" borderId="1" xfId="0" applyNumberFormat="1" applyFont="1" applyFill="1" applyBorder="1" applyAlignment="1">
      <alignment horizontal="center" vertical="center"/>
    </xf>
    <xf numFmtId="1" fontId="13513" fillId="8" borderId="1" xfId="0" applyNumberFormat="1" applyFont="1" applyFill="1" applyBorder="1" applyAlignment="1">
      <alignment horizontal="center" vertical="center"/>
    </xf>
    <xf numFmtId="165" fontId="13514" fillId="8" borderId="1" xfId="0" applyNumberFormat="1" applyFont="1" applyFill="1" applyBorder="1" applyAlignment="1">
      <alignment horizontal="center" vertical="center"/>
    </xf>
    <xf numFmtId="1" fontId="13515" fillId="8" borderId="1" xfId="0" applyNumberFormat="1" applyFont="1" applyFill="1" applyBorder="1" applyAlignment="1">
      <alignment horizontal="center" vertical="center"/>
    </xf>
    <xf numFmtId="165" fontId="13516" fillId="8" borderId="1" xfId="0" applyNumberFormat="1" applyFont="1" applyFill="1" applyBorder="1" applyAlignment="1">
      <alignment horizontal="center" vertical="center"/>
    </xf>
    <xf numFmtId="165" fontId="13517" fillId="8" borderId="1" xfId="0" applyNumberFormat="1" applyFont="1" applyFill="1" applyBorder="1" applyAlignment="1">
      <alignment horizontal="center" vertical="center"/>
    </xf>
    <xf numFmtId="1" fontId="13518" fillId="8" borderId="1" xfId="0" applyNumberFormat="1" applyFont="1" applyFill="1" applyBorder="1" applyAlignment="1">
      <alignment horizontal="center" vertical="center"/>
    </xf>
    <xf numFmtId="1" fontId="13519" fillId="8" borderId="1" xfId="0" applyNumberFormat="1" applyFont="1" applyFill="1" applyBorder="1" applyAlignment="1">
      <alignment horizontal="center" vertical="center"/>
    </xf>
    <xf numFmtId="1" fontId="13520" fillId="8" borderId="1" xfId="0" applyNumberFormat="1" applyFont="1" applyFill="1" applyBorder="1" applyAlignment="1">
      <alignment horizontal="center" vertical="center"/>
    </xf>
    <xf numFmtId="165" fontId="13521" fillId="8" borderId="1" xfId="0" applyNumberFormat="1" applyFont="1" applyFill="1" applyBorder="1" applyAlignment="1">
      <alignment horizontal="center" vertical="center"/>
    </xf>
    <xf numFmtId="164" fontId="13522" fillId="8" borderId="1" xfId="0" applyNumberFormat="1" applyFont="1" applyFill="1" applyBorder="1" applyAlignment="1">
      <alignment horizontal="center" vertical="center"/>
    </xf>
    <xf numFmtId="164" fontId="13523" fillId="8" borderId="1" xfId="0" applyNumberFormat="1" applyFont="1" applyFill="1" applyBorder="1" applyAlignment="1">
      <alignment horizontal="center" vertical="center"/>
    </xf>
    <xf numFmtId="1" fontId="13524" fillId="8" borderId="1" xfId="0" applyNumberFormat="1" applyFont="1" applyFill="1" applyBorder="1" applyAlignment="1">
      <alignment horizontal="center" vertical="center"/>
    </xf>
    <xf numFmtId="1" fontId="13525" fillId="8" borderId="1" xfId="0" applyNumberFormat="1" applyFont="1" applyFill="1" applyBorder="1" applyAlignment="1">
      <alignment horizontal="center" vertical="center"/>
    </xf>
    <xf numFmtId="1" fontId="13526" fillId="8" borderId="1" xfId="0" applyNumberFormat="1" applyFont="1" applyFill="1" applyBorder="1" applyAlignment="1">
      <alignment horizontal="center" vertical="center"/>
    </xf>
    <xf numFmtId="165" fontId="13527" fillId="8" borderId="1" xfId="0" applyNumberFormat="1" applyFont="1" applyFill="1" applyBorder="1" applyAlignment="1">
      <alignment horizontal="center" vertical="center"/>
    </xf>
    <xf numFmtId="1" fontId="13528" fillId="8" borderId="1" xfId="0" applyNumberFormat="1" applyFont="1" applyFill="1" applyBorder="1" applyAlignment="1">
      <alignment horizontal="center" vertical="center"/>
    </xf>
    <xf numFmtId="165" fontId="13529" fillId="8" borderId="1" xfId="0" applyNumberFormat="1" applyFont="1" applyFill="1" applyBorder="1" applyAlignment="1">
      <alignment horizontal="center" vertical="center"/>
    </xf>
    <xf numFmtId="1" fontId="13530" fillId="8" borderId="1" xfId="0" applyNumberFormat="1" applyFont="1" applyFill="1" applyBorder="1" applyAlignment="1">
      <alignment horizontal="center" vertical="center"/>
    </xf>
    <xf numFmtId="1" fontId="13531" fillId="8" borderId="1" xfId="0" applyNumberFormat="1" applyFont="1" applyFill="1" applyBorder="1" applyAlignment="1">
      <alignment horizontal="center" vertical="center"/>
    </xf>
    <xf numFmtId="1" fontId="13532" fillId="8" borderId="1" xfId="0" applyNumberFormat="1" applyFont="1" applyFill="1" applyBorder="1" applyAlignment="1">
      <alignment horizontal="center" vertical="center"/>
    </xf>
    <xf numFmtId="1" fontId="13533" fillId="8" borderId="1" xfId="0" applyNumberFormat="1" applyFont="1" applyFill="1" applyBorder="1" applyAlignment="1">
      <alignment horizontal="center" vertical="center"/>
    </xf>
    <xf numFmtId="165" fontId="13534" fillId="8" borderId="1" xfId="0" applyNumberFormat="1" applyFont="1" applyFill="1" applyBorder="1" applyAlignment="1">
      <alignment horizontal="center" vertical="center"/>
    </xf>
    <xf numFmtId="1" fontId="13535" fillId="8" borderId="1" xfId="0" applyNumberFormat="1" applyFont="1" applyFill="1" applyBorder="1" applyAlignment="1">
      <alignment horizontal="center" vertical="center"/>
    </xf>
    <xf numFmtId="165" fontId="13536" fillId="8" borderId="1" xfId="0" applyNumberFormat="1" applyFont="1" applyFill="1" applyBorder="1" applyAlignment="1">
      <alignment horizontal="center" vertical="center"/>
    </xf>
    <xf numFmtId="1" fontId="13537" fillId="8" borderId="1" xfId="0" applyNumberFormat="1" applyFont="1" applyFill="1" applyBorder="1" applyAlignment="1">
      <alignment horizontal="center" vertical="center"/>
    </xf>
    <xf numFmtId="165" fontId="13538" fillId="8" borderId="1" xfId="0" applyNumberFormat="1" applyFont="1" applyFill="1" applyBorder="1" applyAlignment="1">
      <alignment horizontal="center" vertical="center"/>
    </xf>
    <xf numFmtId="2" fontId="13539" fillId="8" borderId="1" xfId="0" applyNumberFormat="1" applyFont="1" applyFill="1" applyBorder="1" applyAlignment="1">
      <alignment horizontal="center" vertical="center"/>
    </xf>
    <xf numFmtId="2" fontId="13540" fillId="8" borderId="1" xfId="0" applyNumberFormat="1" applyFont="1" applyFill="1" applyBorder="1" applyAlignment="1">
      <alignment horizontal="center" vertical="center"/>
    </xf>
    <xf numFmtId="2" fontId="13541" fillId="8" borderId="1" xfId="0" applyNumberFormat="1" applyFont="1" applyFill="1" applyBorder="1" applyAlignment="1">
      <alignment horizontal="center" vertical="center"/>
    </xf>
    <xf numFmtId="2" fontId="13542" fillId="8" borderId="1" xfId="0" applyNumberFormat="1" applyFont="1" applyFill="1" applyBorder="1" applyAlignment="1">
      <alignment horizontal="center" vertical="center"/>
    </xf>
    <xf numFmtId="2" fontId="13543" fillId="8" borderId="1" xfId="0" applyNumberFormat="1" applyFont="1" applyFill="1" applyBorder="1" applyAlignment="1">
      <alignment horizontal="center" vertical="center"/>
    </xf>
    <xf numFmtId="2" fontId="13544" fillId="8" borderId="1" xfId="0" applyNumberFormat="1" applyFont="1" applyFill="1" applyBorder="1" applyAlignment="1">
      <alignment horizontal="center" vertical="center"/>
    </xf>
    <xf numFmtId="2" fontId="13545" fillId="8" borderId="1" xfId="0" applyNumberFormat="1" applyFont="1" applyFill="1" applyBorder="1" applyAlignment="1">
      <alignment horizontal="center" vertical="center"/>
    </xf>
    <xf numFmtId="2" fontId="13546" fillId="8" borderId="1" xfId="0" applyNumberFormat="1" applyFont="1" applyFill="1" applyBorder="1" applyAlignment="1">
      <alignment horizontal="center" vertical="center"/>
    </xf>
    <xf numFmtId="2" fontId="13547" fillId="8" borderId="1" xfId="0" applyNumberFormat="1" applyFont="1" applyFill="1" applyBorder="1" applyAlignment="1">
      <alignment horizontal="center" vertical="center"/>
    </xf>
    <xf numFmtId="2" fontId="13548" fillId="8" borderId="1" xfId="0" applyNumberFormat="1" applyFont="1" applyFill="1" applyBorder="1" applyAlignment="1">
      <alignment horizontal="center" vertical="center"/>
    </xf>
    <xf numFmtId="2" fontId="13549" fillId="8" borderId="1" xfId="0" applyNumberFormat="1" applyFont="1" applyFill="1" applyBorder="1" applyAlignment="1">
      <alignment horizontal="center" vertical="center"/>
    </xf>
    <xf numFmtId="2" fontId="13550" fillId="8" borderId="1" xfId="0" applyNumberFormat="1" applyFont="1" applyFill="1" applyBorder="1" applyAlignment="1">
      <alignment horizontal="center" vertical="center"/>
    </xf>
    <xf numFmtId="2" fontId="13551" fillId="8" borderId="1" xfId="0" applyNumberFormat="1" applyFont="1" applyFill="1" applyBorder="1" applyAlignment="1">
      <alignment horizontal="center" vertical="center"/>
    </xf>
    <xf numFmtId="2" fontId="13552" fillId="8" borderId="1" xfId="0" applyNumberFormat="1" applyFont="1" applyFill="1" applyBorder="1" applyAlignment="1">
      <alignment horizontal="center" vertical="center"/>
    </xf>
    <xf numFmtId="2" fontId="13553" fillId="8" borderId="1" xfId="0" applyNumberFormat="1" applyFont="1" applyFill="1" applyBorder="1" applyAlignment="1">
      <alignment horizontal="center" vertical="center"/>
    </xf>
    <xf numFmtId="2" fontId="13554" fillId="8" borderId="1" xfId="0" applyNumberFormat="1" applyFont="1" applyFill="1" applyBorder="1" applyAlignment="1">
      <alignment horizontal="center" vertical="center"/>
    </xf>
    <xf numFmtId="2" fontId="13555" fillId="8" borderId="1" xfId="0" applyNumberFormat="1" applyFont="1" applyFill="1" applyBorder="1" applyAlignment="1">
      <alignment horizontal="center" vertical="center"/>
    </xf>
    <xf numFmtId="2" fontId="13556" fillId="8" borderId="1" xfId="0" applyNumberFormat="1" applyFont="1" applyFill="1" applyBorder="1" applyAlignment="1">
      <alignment horizontal="center" vertical="center"/>
    </xf>
    <xf numFmtId="2" fontId="13557" fillId="8" borderId="1" xfId="0" applyNumberFormat="1" applyFont="1" applyFill="1" applyBorder="1" applyAlignment="1">
      <alignment horizontal="center" vertical="center"/>
    </xf>
    <xf numFmtId="2" fontId="13558" fillId="8" borderId="1" xfId="0" applyNumberFormat="1" applyFont="1" applyFill="1" applyBorder="1" applyAlignment="1">
      <alignment horizontal="center" vertical="center"/>
    </xf>
    <xf numFmtId="2" fontId="13559" fillId="8" borderId="1" xfId="0" applyNumberFormat="1" applyFont="1" applyFill="1" applyBorder="1" applyAlignment="1">
      <alignment horizontal="center" vertical="center"/>
    </xf>
    <xf numFmtId="2" fontId="13560" fillId="8" borderId="1" xfId="0" applyNumberFormat="1" applyFont="1" applyFill="1" applyBorder="1" applyAlignment="1">
      <alignment horizontal="center" vertical="center"/>
    </xf>
    <xf numFmtId="2" fontId="13561" fillId="8" borderId="1" xfId="0" applyNumberFormat="1" applyFont="1" applyFill="1" applyBorder="1" applyAlignment="1">
      <alignment horizontal="center" vertical="center"/>
    </xf>
    <xf numFmtId="2" fontId="13562" fillId="8" borderId="1" xfId="0" applyNumberFormat="1" applyFont="1" applyFill="1" applyBorder="1" applyAlignment="1">
      <alignment horizontal="center" vertical="center"/>
    </xf>
    <xf numFmtId="2" fontId="13563" fillId="8" borderId="1" xfId="0" applyNumberFormat="1" applyFont="1" applyFill="1" applyBorder="1" applyAlignment="1">
      <alignment horizontal="center" vertical="center"/>
    </xf>
    <xf numFmtId="2" fontId="13564" fillId="8" borderId="1" xfId="0" applyNumberFormat="1" applyFont="1" applyFill="1" applyBorder="1" applyAlignment="1">
      <alignment horizontal="center" vertical="center"/>
    </xf>
    <xf numFmtId="2" fontId="13565" fillId="8" borderId="1" xfId="0" applyNumberFormat="1" applyFont="1" applyFill="1" applyBorder="1" applyAlignment="1">
      <alignment horizontal="center" vertical="center"/>
    </xf>
    <xf numFmtId="2" fontId="13566" fillId="8" borderId="1" xfId="0" applyNumberFormat="1" applyFont="1" applyFill="1" applyBorder="1" applyAlignment="1">
      <alignment horizontal="center" vertical="center"/>
    </xf>
    <xf numFmtId="2" fontId="13567" fillId="8" borderId="1" xfId="0" applyNumberFormat="1" applyFont="1" applyFill="1" applyBorder="1" applyAlignment="1">
      <alignment horizontal="center" vertical="center"/>
    </xf>
    <xf numFmtId="2" fontId="13568" fillId="8" borderId="1" xfId="0" applyNumberFormat="1" applyFont="1" applyFill="1" applyBorder="1" applyAlignment="1">
      <alignment horizontal="center" vertical="center"/>
    </xf>
    <xf numFmtId="2" fontId="13569" fillId="8" borderId="1" xfId="0" applyNumberFormat="1" applyFont="1" applyFill="1" applyBorder="1" applyAlignment="1">
      <alignment horizontal="center" vertical="center"/>
    </xf>
    <xf numFmtId="2" fontId="13570" fillId="8" borderId="1" xfId="0" applyNumberFormat="1" applyFont="1" applyFill="1" applyBorder="1" applyAlignment="1">
      <alignment horizontal="center" vertical="center"/>
    </xf>
    <xf numFmtId="2" fontId="13571" fillId="8" borderId="1" xfId="0" applyNumberFormat="1" applyFont="1" applyFill="1" applyBorder="1" applyAlignment="1">
      <alignment horizontal="center" vertical="center"/>
    </xf>
    <xf numFmtId="2" fontId="13572" fillId="8" borderId="1" xfId="0" applyNumberFormat="1" applyFont="1" applyFill="1" applyBorder="1" applyAlignment="1">
      <alignment horizontal="center" vertical="center"/>
    </xf>
    <xf numFmtId="0" fontId="13573" fillId="7" borderId="1" xfId="0" applyNumberFormat="1" applyFont="1" applyFill="1" applyBorder="1" applyAlignment="1">
      <alignment horizontal="left" vertical="center"/>
    </xf>
    <xf numFmtId="0" fontId="13574" fillId="8" borderId="1" xfId="0" applyNumberFormat="1" applyFont="1" applyFill="1" applyBorder="1" applyAlignment="1">
      <alignment horizontal="center" vertical="center"/>
    </xf>
    <xf numFmtId="164" fontId="13575" fillId="8" borderId="1" xfId="0" applyNumberFormat="1" applyFont="1" applyFill="1" applyBorder="1" applyAlignment="1">
      <alignment horizontal="center" vertical="center"/>
    </xf>
    <xf numFmtId="1" fontId="13576" fillId="8" borderId="1" xfId="0" applyNumberFormat="1" applyFont="1" applyFill="1" applyBorder="1" applyAlignment="1">
      <alignment horizontal="center" vertical="center"/>
    </xf>
    <xf numFmtId="1" fontId="13577" fillId="8" borderId="1" xfId="0" applyNumberFormat="1" applyFont="1" applyFill="1" applyBorder="1" applyAlignment="1">
      <alignment horizontal="center" vertical="center"/>
    </xf>
    <xf numFmtId="1" fontId="13578" fillId="8" borderId="1" xfId="0" applyNumberFormat="1" applyFont="1" applyFill="1" applyBorder="1" applyAlignment="1">
      <alignment horizontal="center" vertical="center"/>
    </xf>
    <xf numFmtId="1" fontId="13579" fillId="8" borderId="1" xfId="0" applyNumberFormat="1" applyFont="1" applyFill="1" applyBorder="1" applyAlignment="1">
      <alignment horizontal="center" vertical="center"/>
    </xf>
    <xf numFmtId="1" fontId="13580" fillId="8" borderId="1" xfId="0" applyNumberFormat="1" applyFont="1" applyFill="1" applyBorder="1" applyAlignment="1">
      <alignment horizontal="center" vertical="center"/>
    </xf>
    <xf numFmtId="1" fontId="13581" fillId="8" borderId="1" xfId="0" applyNumberFormat="1" applyFont="1" applyFill="1" applyBorder="1" applyAlignment="1">
      <alignment horizontal="center" vertical="center"/>
    </xf>
    <xf numFmtId="1" fontId="13582" fillId="8" borderId="1" xfId="0" applyNumberFormat="1" applyFont="1" applyFill="1" applyBorder="1" applyAlignment="1">
      <alignment horizontal="center" vertical="center"/>
    </xf>
    <xf numFmtId="0" fontId="13583" fillId="8" borderId="1" xfId="0" applyNumberFormat="1" applyFont="1" applyFill="1" applyBorder="1" applyAlignment="1">
      <alignment horizontal="center" vertical="center"/>
    </xf>
    <xf numFmtId="0" fontId="13584" fillId="8" borderId="1" xfId="0" applyNumberFormat="1" applyFont="1" applyFill="1" applyBorder="1" applyAlignment="1">
      <alignment horizontal="center" vertical="center"/>
    </xf>
    <xf numFmtId="1" fontId="13585" fillId="8" borderId="1" xfId="0" applyNumberFormat="1" applyFont="1" applyFill="1" applyBorder="1" applyAlignment="1">
      <alignment horizontal="center" vertical="center"/>
    </xf>
    <xf numFmtId="1" fontId="13586" fillId="8" borderId="1" xfId="0" applyNumberFormat="1" applyFont="1" applyFill="1" applyBorder="1" applyAlignment="1">
      <alignment horizontal="center" vertical="center"/>
    </xf>
    <xf numFmtId="1" fontId="13587" fillId="8" borderId="1" xfId="0" applyNumberFormat="1" applyFont="1" applyFill="1" applyBorder="1" applyAlignment="1">
      <alignment horizontal="center" vertical="center"/>
    </xf>
    <xf numFmtId="165" fontId="13588" fillId="8" borderId="1" xfId="0" applyNumberFormat="1" applyFont="1" applyFill="1" applyBorder="1" applyAlignment="1">
      <alignment horizontal="center" vertical="center"/>
    </xf>
    <xf numFmtId="1" fontId="13589" fillId="8" borderId="1" xfId="0" applyNumberFormat="1" applyFont="1" applyFill="1" applyBorder="1" applyAlignment="1">
      <alignment horizontal="center" vertical="center"/>
    </xf>
    <xf numFmtId="165" fontId="13590" fillId="8" borderId="1" xfId="0" applyNumberFormat="1" applyFont="1" applyFill="1" applyBorder="1" applyAlignment="1">
      <alignment horizontal="center" vertical="center"/>
    </xf>
    <xf numFmtId="1" fontId="13591" fillId="8" borderId="1" xfId="0" applyNumberFormat="1" applyFont="1" applyFill="1" applyBorder="1" applyAlignment="1">
      <alignment horizontal="center" vertical="center"/>
    </xf>
    <xf numFmtId="165" fontId="13592" fillId="8" borderId="1" xfId="0" applyNumberFormat="1" applyFont="1" applyFill="1" applyBorder="1" applyAlignment="1">
      <alignment horizontal="center" vertical="center"/>
    </xf>
    <xf numFmtId="1" fontId="13593" fillId="8" borderId="1" xfId="0" applyNumberFormat="1" applyFont="1" applyFill="1" applyBorder="1" applyAlignment="1">
      <alignment horizontal="center" vertical="center"/>
    </xf>
    <xf numFmtId="165" fontId="13594" fillId="8" borderId="1" xfId="0" applyNumberFormat="1" applyFont="1" applyFill="1" applyBorder="1" applyAlignment="1">
      <alignment horizontal="center" vertical="center"/>
    </xf>
    <xf numFmtId="165" fontId="13595" fillId="8" borderId="1" xfId="0" applyNumberFormat="1" applyFont="1" applyFill="1" applyBorder="1" applyAlignment="1">
      <alignment horizontal="center" vertical="center"/>
    </xf>
    <xf numFmtId="1" fontId="13596" fillId="8" borderId="1" xfId="0" applyNumberFormat="1" applyFont="1" applyFill="1" applyBorder="1" applyAlignment="1">
      <alignment horizontal="center" vertical="center"/>
    </xf>
    <xf numFmtId="1" fontId="13597" fillId="8" borderId="1" xfId="0" applyNumberFormat="1" applyFont="1" applyFill="1" applyBorder="1" applyAlignment="1">
      <alignment horizontal="center" vertical="center"/>
    </xf>
    <xf numFmtId="1" fontId="13598" fillId="8" borderId="1" xfId="0" applyNumberFormat="1" applyFont="1" applyFill="1" applyBorder="1" applyAlignment="1">
      <alignment horizontal="center" vertical="center"/>
    </xf>
    <xf numFmtId="165" fontId="13599" fillId="8" borderId="1" xfId="0" applyNumberFormat="1" applyFont="1" applyFill="1" applyBorder="1" applyAlignment="1">
      <alignment horizontal="center" vertical="center"/>
    </xf>
    <xf numFmtId="164" fontId="13600" fillId="8" borderId="1" xfId="0" applyNumberFormat="1" applyFont="1" applyFill="1" applyBorder="1" applyAlignment="1">
      <alignment horizontal="center" vertical="center"/>
    </xf>
    <xf numFmtId="164" fontId="13601" fillId="8" borderId="1" xfId="0" applyNumberFormat="1" applyFont="1" applyFill="1" applyBorder="1" applyAlignment="1">
      <alignment horizontal="center" vertical="center"/>
    </xf>
    <xf numFmtId="1" fontId="13602" fillId="8" borderId="1" xfId="0" applyNumberFormat="1" applyFont="1" applyFill="1" applyBorder="1" applyAlignment="1">
      <alignment horizontal="center" vertical="center"/>
    </xf>
    <xf numFmtId="1" fontId="13603" fillId="8" borderId="1" xfId="0" applyNumberFormat="1" applyFont="1" applyFill="1" applyBorder="1" applyAlignment="1">
      <alignment horizontal="center" vertical="center"/>
    </xf>
    <xf numFmtId="1" fontId="13604" fillId="8" borderId="1" xfId="0" applyNumberFormat="1" applyFont="1" applyFill="1" applyBorder="1" applyAlignment="1">
      <alignment horizontal="center" vertical="center"/>
    </xf>
    <xf numFmtId="165" fontId="13605" fillId="8" borderId="1" xfId="0" applyNumberFormat="1" applyFont="1" applyFill="1" applyBorder="1" applyAlignment="1">
      <alignment horizontal="center" vertical="center"/>
    </xf>
    <xf numFmtId="1" fontId="13606" fillId="8" borderId="1" xfId="0" applyNumberFormat="1" applyFont="1" applyFill="1" applyBorder="1" applyAlignment="1">
      <alignment horizontal="center" vertical="center"/>
    </xf>
    <xf numFmtId="165" fontId="13607" fillId="8" borderId="1" xfId="0" applyNumberFormat="1" applyFont="1" applyFill="1" applyBorder="1" applyAlignment="1">
      <alignment horizontal="center" vertical="center"/>
    </xf>
    <xf numFmtId="1" fontId="13608" fillId="8" borderId="1" xfId="0" applyNumberFormat="1" applyFont="1" applyFill="1" applyBorder="1" applyAlignment="1">
      <alignment horizontal="center" vertical="center"/>
    </xf>
    <xf numFmtId="1" fontId="13609" fillId="8" borderId="1" xfId="0" applyNumberFormat="1" applyFont="1" applyFill="1" applyBorder="1" applyAlignment="1">
      <alignment horizontal="center" vertical="center"/>
    </xf>
    <xf numFmtId="1" fontId="13610" fillId="8" borderId="1" xfId="0" applyNumberFormat="1" applyFont="1" applyFill="1" applyBorder="1" applyAlignment="1">
      <alignment horizontal="center" vertical="center"/>
    </xf>
    <xf numFmtId="1" fontId="13611" fillId="8" borderId="1" xfId="0" applyNumberFormat="1" applyFont="1" applyFill="1" applyBorder="1" applyAlignment="1">
      <alignment horizontal="center" vertical="center"/>
    </xf>
    <xf numFmtId="165" fontId="13612" fillId="8" borderId="1" xfId="0" applyNumberFormat="1" applyFont="1" applyFill="1" applyBorder="1" applyAlignment="1">
      <alignment horizontal="center" vertical="center"/>
    </xf>
    <xf numFmtId="1" fontId="13613" fillId="8" borderId="1" xfId="0" applyNumberFormat="1" applyFont="1" applyFill="1" applyBorder="1" applyAlignment="1">
      <alignment horizontal="center" vertical="center"/>
    </xf>
    <xf numFmtId="165" fontId="13614" fillId="8" borderId="1" xfId="0" applyNumberFormat="1" applyFont="1" applyFill="1" applyBorder="1" applyAlignment="1">
      <alignment horizontal="center" vertical="center"/>
    </xf>
    <xf numFmtId="1" fontId="13615" fillId="8" borderId="1" xfId="0" applyNumberFormat="1" applyFont="1" applyFill="1" applyBorder="1" applyAlignment="1">
      <alignment horizontal="center" vertical="center"/>
    </xf>
    <xf numFmtId="165" fontId="13616" fillId="8" borderId="1" xfId="0" applyNumberFormat="1" applyFont="1" applyFill="1" applyBorder="1" applyAlignment="1">
      <alignment horizontal="center" vertical="center"/>
    </xf>
    <xf numFmtId="2" fontId="13617" fillId="8" borderId="1" xfId="0" applyNumberFormat="1" applyFont="1" applyFill="1" applyBorder="1" applyAlignment="1">
      <alignment horizontal="center" vertical="center"/>
    </xf>
    <xf numFmtId="2" fontId="13618" fillId="8" borderId="1" xfId="0" applyNumberFormat="1" applyFont="1" applyFill="1" applyBorder="1" applyAlignment="1">
      <alignment horizontal="center" vertical="center"/>
    </xf>
    <xf numFmtId="2" fontId="13619" fillId="8" borderId="1" xfId="0" applyNumberFormat="1" applyFont="1" applyFill="1" applyBorder="1" applyAlignment="1">
      <alignment horizontal="center" vertical="center"/>
    </xf>
    <xf numFmtId="2" fontId="13620" fillId="8" borderId="1" xfId="0" applyNumberFormat="1" applyFont="1" applyFill="1" applyBorder="1" applyAlignment="1">
      <alignment horizontal="center" vertical="center"/>
    </xf>
    <xf numFmtId="2" fontId="13621" fillId="8" borderId="1" xfId="0" applyNumberFormat="1" applyFont="1" applyFill="1" applyBorder="1" applyAlignment="1">
      <alignment horizontal="center" vertical="center"/>
    </xf>
    <xf numFmtId="2" fontId="13622" fillId="8" borderId="1" xfId="0" applyNumberFormat="1" applyFont="1" applyFill="1" applyBorder="1" applyAlignment="1">
      <alignment horizontal="center" vertical="center"/>
    </xf>
    <xf numFmtId="2" fontId="13623" fillId="8" borderId="1" xfId="0" applyNumberFormat="1" applyFont="1" applyFill="1" applyBorder="1" applyAlignment="1">
      <alignment horizontal="center" vertical="center"/>
    </xf>
    <xf numFmtId="2" fontId="13624" fillId="8" borderId="1" xfId="0" applyNumberFormat="1" applyFont="1" applyFill="1" applyBorder="1" applyAlignment="1">
      <alignment horizontal="center" vertical="center"/>
    </xf>
    <xf numFmtId="2" fontId="13625" fillId="8" borderId="1" xfId="0" applyNumberFormat="1" applyFont="1" applyFill="1" applyBorder="1" applyAlignment="1">
      <alignment horizontal="center" vertical="center"/>
    </xf>
    <xf numFmtId="2" fontId="13626" fillId="8" borderId="1" xfId="0" applyNumberFormat="1" applyFont="1" applyFill="1" applyBorder="1" applyAlignment="1">
      <alignment horizontal="center" vertical="center"/>
    </xf>
    <xf numFmtId="2" fontId="13627" fillId="8" borderId="1" xfId="0" applyNumberFormat="1" applyFont="1" applyFill="1" applyBorder="1" applyAlignment="1">
      <alignment horizontal="center" vertical="center"/>
    </xf>
    <xf numFmtId="2" fontId="13628" fillId="8" borderId="1" xfId="0" applyNumberFormat="1" applyFont="1" applyFill="1" applyBorder="1" applyAlignment="1">
      <alignment horizontal="center" vertical="center"/>
    </xf>
    <xf numFmtId="2" fontId="13629" fillId="8" borderId="1" xfId="0" applyNumberFormat="1" applyFont="1" applyFill="1" applyBorder="1" applyAlignment="1">
      <alignment horizontal="center" vertical="center"/>
    </xf>
    <xf numFmtId="2" fontId="13630" fillId="8" borderId="1" xfId="0" applyNumberFormat="1" applyFont="1" applyFill="1" applyBorder="1" applyAlignment="1">
      <alignment horizontal="center" vertical="center"/>
    </xf>
    <xf numFmtId="2" fontId="13631" fillId="8" borderId="1" xfId="0" applyNumberFormat="1" applyFont="1" applyFill="1" applyBorder="1" applyAlignment="1">
      <alignment horizontal="center" vertical="center"/>
    </xf>
    <xf numFmtId="2" fontId="13632" fillId="8" borderId="1" xfId="0" applyNumberFormat="1" applyFont="1" applyFill="1" applyBorder="1" applyAlignment="1">
      <alignment horizontal="center" vertical="center"/>
    </xf>
    <xf numFmtId="2" fontId="13633" fillId="8" borderId="1" xfId="0" applyNumberFormat="1" applyFont="1" applyFill="1" applyBorder="1" applyAlignment="1">
      <alignment horizontal="center" vertical="center"/>
    </xf>
    <xf numFmtId="2" fontId="13634" fillId="8" borderId="1" xfId="0" applyNumberFormat="1" applyFont="1" applyFill="1" applyBorder="1" applyAlignment="1">
      <alignment horizontal="center" vertical="center"/>
    </xf>
    <xf numFmtId="2" fontId="13635" fillId="8" borderId="1" xfId="0" applyNumberFormat="1" applyFont="1" applyFill="1" applyBorder="1" applyAlignment="1">
      <alignment horizontal="center" vertical="center"/>
    </xf>
    <xf numFmtId="2" fontId="13636" fillId="8" borderId="1" xfId="0" applyNumberFormat="1" applyFont="1" applyFill="1" applyBorder="1" applyAlignment="1">
      <alignment horizontal="center" vertical="center"/>
    </xf>
    <xf numFmtId="2" fontId="13637" fillId="8" borderId="1" xfId="0" applyNumberFormat="1" applyFont="1" applyFill="1" applyBorder="1" applyAlignment="1">
      <alignment horizontal="center" vertical="center"/>
    </xf>
    <xf numFmtId="2" fontId="13638" fillId="8" borderId="1" xfId="0" applyNumberFormat="1" applyFont="1" applyFill="1" applyBorder="1" applyAlignment="1">
      <alignment horizontal="center" vertical="center"/>
    </xf>
    <xf numFmtId="2" fontId="13639" fillId="8" borderId="1" xfId="0" applyNumberFormat="1" applyFont="1" applyFill="1" applyBorder="1" applyAlignment="1">
      <alignment horizontal="center" vertical="center"/>
    </xf>
    <xf numFmtId="2" fontId="13640" fillId="8" borderId="1" xfId="0" applyNumberFormat="1" applyFont="1" applyFill="1" applyBorder="1" applyAlignment="1">
      <alignment horizontal="center" vertical="center"/>
    </xf>
    <xf numFmtId="2" fontId="13641" fillId="8" borderId="1" xfId="0" applyNumberFormat="1" applyFont="1" applyFill="1" applyBorder="1" applyAlignment="1">
      <alignment horizontal="center" vertical="center"/>
    </xf>
    <xf numFmtId="2" fontId="13642" fillId="8" borderId="1" xfId="0" applyNumberFormat="1" applyFont="1" applyFill="1" applyBorder="1" applyAlignment="1">
      <alignment horizontal="center" vertical="center"/>
    </xf>
    <xf numFmtId="2" fontId="13643" fillId="8" borderId="1" xfId="0" applyNumberFormat="1" applyFont="1" applyFill="1" applyBorder="1" applyAlignment="1">
      <alignment horizontal="center" vertical="center"/>
    </xf>
    <xf numFmtId="2" fontId="13644" fillId="8" borderId="1" xfId="0" applyNumberFormat="1" applyFont="1" applyFill="1" applyBorder="1" applyAlignment="1">
      <alignment horizontal="center" vertical="center"/>
    </xf>
    <xf numFmtId="2" fontId="13645" fillId="8" borderId="1" xfId="0" applyNumberFormat="1" applyFont="1" applyFill="1" applyBorder="1" applyAlignment="1">
      <alignment horizontal="center" vertical="center"/>
    </xf>
    <xf numFmtId="2" fontId="13646" fillId="8" borderId="1" xfId="0" applyNumberFormat="1" applyFont="1" applyFill="1" applyBorder="1" applyAlignment="1">
      <alignment horizontal="center" vertical="center"/>
    </xf>
    <xf numFmtId="2" fontId="13647" fillId="8" borderId="1" xfId="0" applyNumberFormat="1" applyFont="1" applyFill="1" applyBorder="1" applyAlignment="1">
      <alignment horizontal="center" vertical="center"/>
    </xf>
    <xf numFmtId="2" fontId="13648" fillId="8" borderId="1" xfId="0" applyNumberFormat="1" applyFont="1" applyFill="1" applyBorder="1" applyAlignment="1">
      <alignment horizontal="center" vertical="center"/>
    </xf>
    <xf numFmtId="2" fontId="13649" fillId="8" borderId="1" xfId="0" applyNumberFormat="1" applyFont="1" applyFill="1" applyBorder="1" applyAlignment="1">
      <alignment horizontal="center" vertical="center"/>
    </xf>
    <xf numFmtId="2" fontId="13650" fillId="8" borderId="1" xfId="0" applyNumberFormat="1" applyFont="1" applyFill="1" applyBorder="1" applyAlignment="1">
      <alignment horizontal="center" vertical="center"/>
    </xf>
    <xf numFmtId="0" fontId="13651" fillId="7" borderId="1" xfId="0" applyNumberFormat="1" applyFont="1" applyFill="1" applyBorder="1" applyAlignment="1">
      <alignment horizontal="left" vertical="center"/>
    </xf>
    <xf numFmtId="0" fontId="13652" fillId="8" borderId="1" xfId="0" applyNumberFormat="1" applyFont="1" applyFill="1" applyBorder="1" applyAlignment="1">
      <alignment horizontal="center" vertical="center"/>
    </xf>
    <xf numFmtId="164" fontId="13653" fillId="8" borderId="1" xfId="0" applyNumberFormat="1" applyFont="1" applyFill="1" applyBorder="1" applyAlignment="1">
      <alignment horizontal="center" vertical="center"/>
    </xf>
    <xf numFmtId="1" fontId="13654" fillId="8" borderId="1" xfId="0" applyNumberFormat="1" applyFont="1" applyFill="1" applyBorder="1" applyAlignment="1">
      <alignment horizontal="center" vertical="center"/>
    </xf>
    <xf numFmtId="1" fontId="13655" fillId="8" borderId="1" xfId="0" applyNumberFormat="1" applyFont="1" applyFill="1" applyBorder="1" applyAlignment="1">
      <alignment horizontal="center" vertical="center"/>
    </xf>
    <xf numFmtId="1" fontId="13656" fillId="8" borderId="1" xfId="0" applyNumberFormat="1" applyFont="1" applyFill="1" applyBorder="1" applyAlignment="1">
      <alignment horizontal="center" vertical="center"/>
    </xf>
    <xf numFmtId="1" fontId="13657" fillId="8" borderId="1" xfId="0" applyNumberFormat="1" applyFont="1" applyFill="1" applyBorder="1" applyAlignment="1">
      <alignment horizontal="center" vertical="center"/>
    </xf>
    <xf numFmtId="1" fontId="13658" fillId="8" borderId="1" xfId="0" applyNumberFormat="1" applyFont="1" applyFill="1" applyBorder="1" applyAlignment="1">
      <alignment horizontal="center" vertical="center"/>
    </xf>
    <xf numFmtId="1" fontId="13659" fillId="8" borderId="1" xfId="0" applyNumberFormat="1" applyFont="1" applyFill="1" applyBorder="1" applyAlignment="1">
      <alignment horizontal="center" vertical="center"/>
    </xf>
    <xf numFmtId="1" fontId="13660" fillId="8" borderId="1" xfId="0" applyNumberFormat="1" applyFont="1" applyFill="1" applyBorder="1" applyAlignment="1">
      <alignment horizontal="center" vertical="center"/>
    </xf>
    <xf numFmtId="0" fontId="13661" fillId="8" borderId="1" xfId="0" applyNumberFormat="1" applyFont="1" applyFill="1" applyBorder="1" applyAlignment="1">
      <alignment horizontal="center" vertical="center"/>
    </xf>
    <xf numFmtId="0" fontId="13662" fillId="8" borderId="1" xfId="0" applyNumberFormat="1" applyFont="1" applyFill="1" applyBorder="1" applyAlignment="1">
      <alignment horizontal="center" vertical="center"/>
    </xf>
    <xf numFmtId="1" fontId="13663" fillId="8" borderId="1" xfId="0" applyNumberFormat="1" applyFont="1" applyFill="1" applyBorder="1" applyAlignment="1">
      <alignment horizontal="center" vertical="center"/>
    </xf>
    <xf numFmtId="1" fontId="13664" fillId="8" borderId="1" xfId="0" applyNumberFormat="1" applyFont="1" applyFill="1" applyBorder="1" applyAlignment="1">
      <alignment horizontal="center" vertical="center"/>
    </xf>
    <xf numFmtId="1" fontId="13665" fillId="8" borderId="1" xfId="0" applyNumberFormat="1" applyFont="1" applyFill="1" applyBorder="1" applyAlignment="1">
      <alignment horizontal="center" vertical="center"/>
    </xf>
    <xf numFmtId="165" fontId="13666" fillId="8" borderId="1" xfId="0" applyNumberFormat="1" applyFont="1" applyFill="1" applyBorder="1" applyAlignment="1">
      <alignment horizontal="center" vertical="center"/>
    </xf>
    <xf numFmtId="1" fontId="13667" fillId="8" borderId="1" xfId="0" applyNumberFormat="1" applyFont="1" applyFill="1" applyBorder="1" applyAlignment="1">
      <alignment horizontal="center" vertical="center"/>
    </xf>
    <xf numFmtId="165" fontId="13668" fillId="8" borderId="1" xfId="0" applyNumberFormat="1" applyFont="1" applyFill="1" applyBorder="1" applyAlignment="1">
      <alignment horizontal="center" vertical="center"/>
    </xf>
    <xf numFmtId="1" fontId="13669" fillId="8" borderId="1" xfId="0" applyNumberFormat="1" applyFont="1" applyFill="1" applyBorder="1" applyAlignment="1">
      <alignment horizontal="center" vertical="center"/>
    </xf>
    <xf numFmtId="165" fontId="13670" fillId="8" borderId="1" xfId="0" applyNumberFormat="1" applyFont="1" applyFill="1" applyBorder="1" applyAlignment="1">
      <alignment horizontal="center" vertical="center"/>
    </xf>
    <xf numFmtId="1" fontId="13671" fillId="8" borderId="1" xfId="0" applyNumberFormat="1" applyFont="1" applyFill="1" applyBorder="1" applyAlignment="1">
      <alignment horizontal="center" vertical="center"/>
    </xf>
    <xf numFmtId="165" fontId="13672" fillId="8" borderId="1" xfId="0" applyNumberFormat="1" applyFont="1" applyFill="1" applyBorder="1" applyAlignment="1">
      <alignment horizontal="center" vertical="center"/>
    </xf>
    <xf numFmtId="165" fontId="13673" fillId="8" borderId="1" xfId="0" applyNumberFormat="1" applyFont="1" applyFill="1" applyBorder="1" applyAlignment="1">
      <alignment horizontal="center" vertical="center"/>
    </xf>
    <xf numFmtId="1" fontId="13674" fillId="8" borderId="1" xfId="0" applyNumberFormat="1" applyFont="1" applyFill="1" applyBorder="1" applyAlignment="1">
      <alignment horizontal="center" vertical="center"/>
    </xf>
    <xf numFmtId="1" fontId="13675" fillId="8" borderId="1" xfId="0" applyNumberFormat="1" applyFont="1" applyFill="1" applyBorder="1" applyAlignment="1">
      <alignment horizontal="center" vertical="center"/>
    </xf>
    <xf numFmtId="1" fontId="13676" fillId="8" borderId="1" xfId="0" applyNumberFormat="1" applyFont="1" applyFill="1" applyBorder="1" applyAlignment="1">
      <alignment horizontal="center" vertical="center"/>
    </xf>
    <xf numFmtId="165" fontId="13677" fillId="8" borderId="1" xfId="0" applyNumberFormat="1" applyFont="1" applyFill="1" applyBorder="1" applyAlignment="1">
      <alignment horizontal="center" vertical="center"/>
    </xf>
    <xf numFmtId="164" fontId="13678" fillId="8" borderId="1" xfId="0" applyNumberFormat="1" applyFont="1" applyFill="1" applyBorder="1" applyAlignment="1">
      <alignment horizontal="center" vertical="center"/>
    </xf>
    <xf numFmtId="164" fontId="13679" fillId="8" borderId="1" xfId="0" applyNumberFormat="1" applyFont="1" applyFill="1" applyBorder="1" applyAlignment="1">
      <alignment horizontal="center" vertical="center"/>
    </xf>
    <xf numFmtId="1" fontId="13680" fillId="8" borderId="1" xfId="0" applyNumberFormat="1" applyFont="1" applyFill="1" applyBorder="1" applyAlignment="1">
      <alignment horizontal="center" vertical="center"/>
    </xf>
    <xf numFmtId="1" fontId="13681" fillId="8" borderId="1" xfId="0" applyNumberFormat="1" applyFont="1" applyFill="1" applyBorder="1" applyAlignment="1">
      <alignment horizontal="center" vertical="center"/>
    </xf>
    <xf numFmtId="1" fontId="13682" fillId="8" borderId="1" xfId="0" applyNumberFormat="1" applyFont="1" applyFill="1" applyBorder="1" applyAlignment="1">
      <alignment horizontal="center" vertical="center"/>
    </xf>
    <xf numFmtId="165" fontId="13683" fillId="8" borderId="1" xfId="0" applyNumberFormat="1" applyFont="1" applyFill="1" applyBorder="1" applyAlignment="1">
      <alignment horizontal="center" vertical="center"/>
    </xf>
    <xf numFmtId="1" fontId="13684" fillId="8" borderId="1" xfId="0" applyNumberFormat="1" applyFont="1" applyFill="1" applyBorder="1" applyAlignment="1">
      <alignment horizontal="center" vertical="center"/>
    </xf>
    <xf numFmtId="165" fontId="13685" fillId="8" borderId="1" xfId="0" applyNumberFormat="1" applyFont="1" applyFill="1" applyBorder="1" applyAlignment="1">
      <alignment horizontal="center" vertical="center"/>
    </xf>
    <xf numFmtId="1" fontId="13686" fillId="8" borderId="1" xfId="0" applyNumberFormat="1" applyFont="1" applyFill="1" applyBorder="1" applyAlignment="1">
      <alignment horizontal="center" vertical="center"/>
    </xf>
    <xf numFmtId="1" fontId="13687" fillId="8" borderId="1" xfId="0" applyNumberFormat="1" applyFont="1" applyFill="1" applyBorder="1" applyAlignment="1">
      <alignment horizontal="center" vertical="center"/>
    </xf>
    <xf numFmtId="1" fontId="13688" fillId="8" borderId="1" xfId="0" applyNumberFormat="1" applyFont="1" applyFill="1" applyBorder="1" applyAlignment="1">
      <alignment horizontal="center" vertical="center"/>
    </xf>
    <xf numFmtId="1" fontId="13689" fillId="8" borderId="1" xfId="0" applyNumberFormat="1" applyFont="1" applyFill="1" applyBorder="1" applyAlignment="1">
      <alignment horizontal="center" vertical="center"/>
    </xf>
    <xf numFmtId="165" fontId="13690" fillId="8" borderId="1" xfId="0" applyNumberFormat="1" applyFont="1" applyFill="1" applyBorder="1" applyAlignment="1">
      <alignment horizontal="center" vertical="center"/>
    </xf>
    <xf numFmtId="1" fontId="13691" fillId="8" borderId="1" xfId="0" applyNumberFormat="1" applyFont="1" applyFill="1" applyBorder="1" applyAlignment="1">
      <alignment horizontal="center" vertical="center"/>
    </xf>
    <xf numFmtId="165" fontId="13692" fillId="8" borderId="1" xfId="0" applyNumberFormat="1" applyFont="1" applyFill="1" applyBorder="1" applyAlignment="1">
      <alignment horizontal="center" vertical="center"/>
    </xf>
    <xf numFmtId="1" fontId="13693" fillId="8" borderId="1" xfId="0" applyNumberFormat="1" applyFont="1" applyFill="1" applyBorder="1" applyAlignment="1">
      <alignment horizontal="center" vertical="center"/>
    </xf>
    <xf numFmtId="165" fontId="13694" fillId="8" borderId="1" xfId="0" applyNumberFormat="1" applyFont="1" applyFill="1" applyBorder="1" applyAlignment="1">
      <alignment horizontal="center" vertical="center"/>
    </xf>
    <xf numFmtId="2" fontId="13695" fillId="8" borderId="1" xfId="0" applyNumberFormat="1" applyFont="1" applyFill="1" applyBorder="1" applyAlignment="1">
      <alignment horizontal="center" vertical="center"/>
    </xf>
    <xf numFmtId="2" fontId="13696" fillId="8" borderId="1" xfId="0" applyNumberFormat="1" applyFont="1" applyFill="1" applyBorder="1" applyAlignment="1">
      <alignment horizontal="center" vertical="center"/>
    </xf>
    <xf numFmtId="2" fontId="13697" fillId="8" borderId="1" xfId="0" applyNumberFormat="1" applyFont="1" applyFill="1" applyBorder="1" applyAlignment="1">
      <alignment horizontal="center" vertical="center"/>
    </xf>
    <xf numFmtId="2" fontId="13698" fillId="8" borderId="1" xfId="0" applyNumberFormat="1" applyFont="1" applyFill="1" applyBorder="1" applyAlignment="1">
      <alignment horizontal="center" vertical="center"/>
    </xf>
    <xf numFmtId="2" fontId="13699" fillId="8" borderId="1" xfId="0" applyNumberFormat="1" applyFont="1" applyFill="1" applyBorder="1" applyAlignment="1">
      <alignment horizontal="center" vertical="center"/>
    </xf>
    <xf numFmtId="2" fontId="13700" fillId="8" borderId="1" xfId="0" applyNumberFormat="1" applyFont="1" applyFill="1" applyBorder="1" applyAlignment="1">
      <alignment horizontal="center" vertical="center"/>
    </xf>
    <xf numFmtId="2" fontId="13701" fillId="8" borderId="1" xfId="0" applyNumberFormat="1" applyFont="1" applyFill="1" applyBorder="1" applyAlignment="1">
      <alignment horizontal="center" vertical="center"/>
    </xf>
    <xf numFmtId="2" fontId="13702" fillId="8" borderId="1" xfId="0" applyNumberFormat="1" applyFont="1" applyFill="1" applyBorder="1" applyAlignment="1">
      <alignment horizontal="center" vertical="center"/>
    </xf>
    <xf numFmtId="2" fontId="13703" fillId="8" borderId="1" xfId="0" applyNumberFormat="1" applyFont="1" applyFill="1" applyBorder="1" applyAlignment="1">
      <alignment horizontal="center" vertical="center"/>
    </xf>
    <xf numFmtId="2" fontId="13704" fillId="8" borderId="1" xfId="0" applyNumberFormat="1" applyFont="1" applyFill="1" applyBorder="1" applyAlignment="1">
      <alignment horizontal="center" vertical="center"/>
    </xf>
    <xf numFmtId="2" fontId="13705" fillId="8" borderId="1" xfId="0" applyNumberFormat="1" applyFont="1" applyFill="1" applyBorder="1" applyAlignment="1">
      <alignment horizontal="center" vertical="center"/>
    </xf>
    <xf numFmtId="2" fontId="13706" fillId="8" borderId="1" xfId="0" applyNumberFormat="1" applyFont="1" applyFill="1" applyBorder="1" applyAlignment="1">
      <alignment horizontal="center" vertical="center"/>
    </xf>
    <xf numFmtId="2" fontId="13707" fillId="8" borderId="1" xfId="0" applyNumberFormat="1" applyFont="1" applyFill="1" applyBorder="1" applyAlignment="1">
      <alignment horizontal="center" vertical="center"/>
    </xf>
    <xf numFmtId="2" fontId="13708" fillId="8" borderId="1" xfId="0" applyNumberFormat="1" applyFont="1" applyFill="1" applyBorder="1" applyAlignment="1">
      <alignment horizontal="center" vertical="center"/>
    </xf>
    <xf numFmtId="2" fontId="13709" fillId="8" borderId="1" xfId="0" applyNumberFormat="1" applyFont="1" applyFill="1" applyBorder="1" applyAlignment="1">
      <alignment horizontal="center" vertical="center"/>
    </xf>
    <xf numFmtId="2" fontId="13710" fillId="8" borderId="1" xfId="0" applyNumberFormat="1" applyFont="1" applyFill="1" applyBorder="1" applyAlignment="1">
      <alignment horizontal="center" vertical="center"/>
    </xf>
    <xf numFmtId="2" fontId="13711" fillId="8" borderId="1" xfId="0" applyNumberFormat="1" applyFont="1" applyFill="1" applyBorder="1" applyAlignment="1">
      <alignment horizontal="center" vertical="center"/>
    </xf>
    <xf numFmtId="2" fontId="13712" fillId="8" borderId="1" xfId="0" applyNumberFormat="1" applyFont="1" applyFill="1" applyBorder="1" applyAlignment="1">
      <alignment horizontal="center" vertical="center"/>
    </xf>
    <xf numFmtId="2" fontId="13713" fillId="8" borderId="1" xfId="0" applyNumberFormat="1" applyFont="1" applyFill="1" applyBorder="1" applyAlignment="1">
      <alignment horizontal="center" vertical="center"/>
    </xf>
    <xf numFmtId="2" fontId="13714" fillId="8" borderId="1" xfId="0" applyNumberFormat="1" applyFont="1" applyFill="1" applyBorder="1" applyAlignment="1">
      <alignment horizontal="center" vertical="center"/>
    </xf>
    <xf numFmtId="2" fontId="13715" fillId="8" borderId="1" xfId="0" applyNumberFormat="1" applyFont="1" applyFill="1" applyBorder="1" applyAlignment="1">
      <alignment horizontal="center" vertical="center"/>
    </xf>
    <xf numFmtId="2" fontId="13716" fillId="8" borderId="1" xfId="0" applyNumberFormat="1" applyFont="1" applyFill="1" applyBorder="1" applyAlignment="1">
      <alignment horizontal="center" vertical="center"/>
    </xf>
    <xf numFmtId="2" fontId="13717" fillId="8" borderId="1" xfId="0" applyNumberFormat="1" applyFont="1" applyFill="1" applyBorder="1" applyAlignment="1">
      <alignment horizontal="center" vertical="center"/>
    </xf>
    <xf numFmtId="2" fontId="13718" fillId="8" borderId="1" xfId="0" applyNumberFormat="1" applyFont="1" applyFill="1" applyBorder="1" applyAlignment="1">
      <alignment horizontal="center" vertical="center"/>
    </xf>
    <xf numFmtId="2" fontId="13719" fillId="8" borderId="1" xfId="0" applyNumberFormat="1" applyFont="1" applyFill="1" applyBorder="1" applyAlignment="1">
      <alignment horizontal="center" vertical="center"/>
    </xf>
    <xf numFmtId="2" fontId="13720" fillId="8" borderId="1" xfId="0" applyNumberFormat="1" applyFont="1" applyFill="1" applyBorder="1" applyAlignment="1">
      <alignment horizontal="center" vertical="center"/>
    </xf>
    <xf numFmtId="2" fontId="13721" fillId="8" borderId="1" xfId="0" applyNumberFormat="1" applyFont="1" applyFill="1" applyBorder="1" applyAlignment="1">
      <alignment horizontal="center" vertical="center"/>
    </xf>
    <xf numFmtId="2" fontId="13722" fillId="8" borderId="1" xfId="0" applyNumberFormat="1" applyFont="1" applyFill="1" applyBorder="1" applyAlignment="1">
      <alignment horizontal="center" vertical="center"/>
    </xf>
    <xf numFmtId="2" fontId="13723" fillId="8" borderId="1" xfId="0" applyNumberFormat="1" applyFont="1" applyFill="1" applyBorder="1" applyAlignment="1">
      <alignment horizontal="center" vertical="center"/>
    </xf>
    <xf numFmtId="2" fontId="13724" fillId="8" borderId="1" xfId="0" applyNumberFormat="1" applyFont="1" applyFill="1" applyBorder="1" applyAlignment="1">
      <alignment horizontal="center" vertical="center"/>
    </xf>
    <xf numFmtId="2" fontId="13725" fillId="8" borderId="1" xfId="0" applyNumberFormat="1" applyFont="1" applyFill="1" applyBorder="1" applyAlignment="1">
      <alignment horizontal="center" vertical="center"/>
    </xf>
    <xf numFmtId="2" fontId="13726" fillId="8" borderId="1" xfId="0" applyNumberFormat="1" applyFont="1" applyFill="1" applyBorder="1" applyAlignment="1">
      <alignment horizontal="center" vertical="center"/>
    </xf>
    <xf numFmtId="2" fontId="13727" fillId="8" borderId="1" xfId="0" applyNumberFormat="1" applyFont="1" applyFill="1" applyBorder="1" applyAlignment="1">
      <alignment horizontal="center" vertical="center"/>
    </xf>
    <xf numFmtId="2" fontId="13728" fillId="8" borderId="1" xfId="0" applyNumberFormat="1" applyFont="1" applyFill="1" applyBorder="1" applyAlignment="1">
      <alignment horizontal="center" vertical="center"/>
    </xf>
    <xf numFmtId="0" fontId="13729" fillId="7" borderId="1" xfId="0" applyNumberFormat="1" applyFont="1" applyFill="1" applyBorder="1" applyAlignment="1">
      <alignment horizontal="left" vertical="center"/>
    </xf>
    <xf numFmtId="0" fontId="13730" fillId="8" borderId="1" xfId="0" applyNumberFormat="1" applyFont="1" applyFill="1" applyBorder="1" applyAlignment="1">
      <alignment horizontal="center" vertical="center"/>
    </xf>
    <xf numFmtId="164" fontId="13731" fillId="8" borderId="1" xfId="0" applyNumberFormat="1" applyFont="1" applyFill="1" applyBorder="1" applyAlignment="1">
      <alignment horizontal="center" vertical="center"/>
    </xf>
    <xf numFmtId="1" fontId="13732" fillId="8" borderId="1" xfId="0" applyNumberFormat="1" applyFont="1" applyFill="1" applyBorder="1" applyAlignment="1">
      <alignment horizontal="center" vertical="center"/>
    </xf>
    <xf numFmtId="1" fontId="13733" fillId="8" borderId="1" xfId="0" applyNumberFormat="1" applyFont="1" applyFill="1" applyBorder="1" applyAlignment="1">
      <alignment horizontal="center" vertical="center"/>
    </xf>
    <xf numFmtId="1" fontId="13734" fillId="8" borderId="1" xfId="0" applyNumberFormat="1" applyFont="1" applyFill="1" applyBorder="1" applyAlignment="1">
      <alignment horizontal="center" vertical="center"/>
    </xf>
    <xf numFmtId="1" fontId="13735" fillId="8" borderId="1" xfId="0" applyNumberFormat="1" applyFont="1" applyFill="1" applyBorder="1" applyAlignment="1">
      <alignment horizontal="center" vertical="center"/>
    </xf>
    <xf numFmtId="1" fontId="13736" fillId="8" borderId="1" xfId="0" applyNumberFormat="1" applyFont="1" applyFill="1" applyBorder="1" applyAlignment="1">
      <alignment horizontal="center" vertical="center"/>
    </xf>
    <xf numFmtId="1" fontId="13737" fillId="8" borderId="1" xfId="0" applyNumberFormat="1" applyFont="1" applyFill="1" applyBorder="1" applyAlignment="1">
      <alignment horizontal="center" vertical="center"/>
    </xf>
    <xf numFmtId="1" fontId="13738" fillId="8" borderId="1" xfId="0" applyNumberFormat="1" applyFont="1" applyFill="1" applyBorder="1" applyAlignment="1">
      <alignment horizontal="center" vertical="center"/>
    </xf>
    <xf numFmtId="0" fontId="13739" fillId="8" borderId="1" xfId="0" applyNumberFormat="1" applyFont="1" applyFill="1" applyBorder="1" applyAlignment="1">
      <alignment horizontal="center" vertical="center"/>
    </xf>
    <xf numFmtId="0" fontId="13740" fillId="8" borderId="1" xfId="0" applyNumberFormat="1" applyFont="1" applyFill="1" applyBorder="1" applyAlignment="1">
      <alignment horizontal="center" vertical="center"/>
    </xf>
    <xf numFmtId="1" fontId="13741" fillId="8" borderId="1" xfId="0" applyNumberFormat="1" applyFont="1" applyFill="1" applyBorder="1" applyAlignment="1">
      <alignment horizontal="center" vertical="center"/>
    </xf>
    <xf numFmtId="1" fontId="13742" fillId="8" borderId="1" xfId="0" applyNumberFormat="1" applyFont="1" applyFill="1" applyBorder="1" applyAlignment="1">
      <alignment horizontal="center" vertical="center"/>
    </xf>
    <xf numFmtId="1" fontId="13743" fillId="8" borderId="1" xfId="0" applyNumberFormat="1" applyFont="1" applyFill="1" applyBorder="1" applyAlignment="1">
      <alignment horizontal="center" vertical="center"/>
    </xf>
    <xf numFmtId="165" fontId="13744" fillId="8" borderId="1" xfId="0" applyNumberFormat="1" applyFont="1" applyFill="1" applyBorder="1" applyAlignment="1">
      <alignment horizontal="center" vertical="center"/>
    </xf>
    <xf numFmtId="1" fontId="13745" fillId="8" borderId="1" xfId="0" applyNumberFormat="1" applyFont="1" applyFill="1" applyBorder="1" applyAlignment="1">
      <alignment horizontal="center" vertical="center"/>
    </xf>
    <xf numFmtId="165" fontId="13746" fillId="8" borderId="1" xfId="0" applyNumberFormat="1" applyFont="1" applyFill="1" applyBorder="1" applyAlignment="1">
      <alignment horizontal="center" vertical="center"/>
    </xf>
    <xf numFmtId="1" fontId="13747" fillId="8" borderId="1" xfId="0" applyNumberFormat="1" applyFont="1" applyFill="1" applyBorder="1" applyAlignment="1">
      <alignment horizontal="center" vertical="center"/>
    </xf>
    <xf numFmtId="165" fontId="13748" fillId="8" borderId="1" xfId="0" applyNumberFormat="1" applyFont="1" applyFill="1" applyBorder="1" applyAlignment="1">
      <alignment horizontal="center" vertical="center"/>
    </xf>
    <xf numFmtId="1" fontId="13749" fillId="8" borderId="1" xfId="0" applyNumberFormat="1" applyFont="1" applyFill="1" applyBorder="1" applyAlignment="1">
      <alignment horizontal="center" vertical="center"/>
    </xf>
    <xf numFmtId="165" fontId="13750" fillId="8" borderId="1" xfId="0" applyNumberFormat="1" applyFont="1" applyFill="1" applyBorder="1" applyAlignment="1">
      <alignment horizontal="center" vertical="center"/>
    </xf>
    <xf numFmtId="165" fontId="13751" fillId="8" borderId="1" xfId="0" applyNumberFormat="1" applyFont="1" applyFill="1" applyBorder="1" applyAlignment="1">
      <alignment horizontal="center" vertical="center"/>
    </xf>
    <xf numFmtId="1" fontId="13752" fillId="8" borderId="1" xfId="0" applyNumberFormat="1" applyFont="1" applyFill="1" applyBorder="1" applyAlignment="1">
      <alignment horizontal="center" vertical="center"/>
    </xf>
    <xf numFmtId="1" fontId="13753" fillId="8" borderId="1" xfId="0" applyNumberFormat="1" applyFont="1" applyFill="1" applyBorder="1" applyAlignment="1">
      <alignment horizontal="center" vertical="center"/>
    </xf>
    <xf numFmtId="1" fontId="13754" fillId="8" borderId="1" xfId="0" applyNumberFormat="1" applyFont="1" applyFill="1" applyBorder="1" applyAlignment="1">
      <alignment horizontal="center" vertical="center"/>
    </xf>
    <xf numFmtId="165" fontId="13755" fillId="8" borderId="1" xfId="0" applyNumberFormat="1" applyFont="1" applyFill="1" applyBorder="1" applyAlignment="1">
      <alignment horizontal="center" vertical="center"/>
    </xf>
    <xf numFmtId="164" fontId="13756" fillId="8" borderId="1" xfId="0" applyNumberFormat="1" applyFont="1" applyFill="1" applyBorder="1" applyAlignment="1">
      <alignment horizontal="center" vertical="center"/>
    </xf>
    <xf numFmtId="164" fontId="13757" fillId="8" borderId="1" xfId="0" applyNumberFormat="1" applyFont="1" applyFill="1" applyBorder="1" applyAlignment="1">
      <alignment horizontal="center" vertical="center"/>
    </xf>
    <xf numFmtId="1" fontId="13758" fillId="8" borderId="1" xfId="0" applyNumberFormat="1" applyFont="1" applyFill="1" applyBorder="1" applyAlignment="1">
      <alignment horizontal="center" vertical="center"/>
    </xf>
    <xf numFmtId="1" fontId="13759" fillId="8" borderId="1" xfId="0" applyNumberFormat="1" applyFont="1" applyFill="1" applyBorder="1" applyAlignment="1">
      <alignment horizontal="center" vertical="center"/>
    </xf>
    <xf numFmtId="1" fontId="13760" fillId="8" borderId="1" xfId="0" applyNumberFormat="1" applyFont="1" applyFill="1" applyBorder="1" applyAlignment="1">
      <alignment horizontal="center" vertical="center"/>
    </xf>
    <xf numFmtId="165" fontId="13761" fillId="8" borderId="1" xfId="0" applyNumberFormat="1" applyFont="1" applyFill="1" applyBorder="1" applyAlignment="1">
      <alignment horizontal="center" vertical="center"/>
    </xf>
    <xf numFmtId="1" fontId="13762" fillId="8" borderId="1" xfId="0" applyNumberFormat="1" applyFont="1" applyFill="1" applyBorder="1" applyAlignment="1">
      <alignment horizontal="center" vertical="center"/>
    </xf>
    <xf numFmtId="165" fontId="13763" fillId="8" borderId="1" xfId="0" applyNumberFormat="1" applyFont="1" applyFill="1" applyBorder="1" applyAlignment="1">
      <alignment horizontal="center" vertical="center"/>
    </xf>
    <xf numFmtId="1" fontId="13764" fillId="8" borderId="1" xfId="0" applyNumberFormat="1" applyFont="1" applyFill="1" applyBorder="1" applyAlignment="1">
      <alignment horizontal="center" vertical="center"/>
    </xf>
    <xf numFmtId="1" fontId="13765" fillId="8" borderId="1" xfId="0" applyNumberFormat="1" applyFont="1" applyFill="1" applyBorder="1" applyAlignment="1">
      <alignment horizontal="center" vertical="center"/>
    </xf>
    <xf numFmtId="1" fontId="13766" fillId="8" borderId="1" xfId="0" applyNumberFormat="1" applyFont="1" applyFill="1" applyBorder="1" applyAlignment="1">
      <alignment horizontal="center" vertical="center"/>
    </xf>
    <xf numFmtId="1" fontId="13767" fillId="8" borderId="1" xfId="0" applyNumberFormat="1" applyFont="1" applyFill="1" applyBorder="1" applyAlignment="1">
      <alignment horizontal="center" vertical="center"/>
    </xf>
    <xf numFmtId="165" fontId="13768" fillId="8" borderId="1" xfId="0" applyNumberFormat="1" applyFont="1" applyFill="1" applyBorder="1" applyAlignment="1">
      <alignment horizontal="center" vertical="center"/>
    </xf>
    <xf numFmtId="1" fontId="13769" fillId="8" borderId="1" xfId="0" applyNumberFormat="1" applyFont="1" applyFill="1" applyBorder="1" applyAlignment="1">
      <alignment horizontal="center" vertical="center"/>
    </xf>
    <xf numFmtId="165" fontId="13770" fillId="8" borderId="1" xfId="0" applyNumberFormat="1" applyFont="1" applyFill="1" applyBorder="1" applyAlignment="1">
      <alignment horizontal="center" vertical="center"/>
    </xf>
    <xf numFmtId="1" fontId="13771" fillId="8" borderId="1" xfId="0" applyNumberFormat="1" applyFont="1" applyFill="1" applyBorder="1" applyAlignment="1">
      <alignment horizontal="center" vertical="center"/>
    </xf>
    <xf numFmtId="165" fontId="13772" fillId="8" borderId="1" xfId="0" applyNumberFormat="1" applyFont="1" applyFill="1" applyBorder="1" applyAlignment="1">
      <alignment horizontal="center" vertical="center"/>
    </xf>
    <xf numFmtId="2" fontId="13773" fillId="8" borderId="1" xfId="0" applyNumberFormat="1" applyFont="1" applyFill="1" applyBorder="1" applyAlignment="1">
      <alignment horizontal="center" vertical="center"/>
    </xf>
    <xf numFmtId="2" fontId="13774" fillId="8" borderId="1" xfId="0" applyNumberFormat="1" applyFont="1" applyFill="1" applyBorder="1" applyAlignment="1">
      <alignment horizontal="center" vertical="center"/>
    </xf>
    <xf numFmtId="2" fontId="13775" fillId="8" borderId="1" xfId="0" applyNumberFormat="1" applyFont="1" applyFill="1" applyBorder="1" applyAlignment="1">
      <alignment horizontal="center" vertical="center"/>
    </xf>
    <xf numFmtId="2" fontId="13776" fillId="8" borderId="1" xfId="0" applyNumberFormat="1" applyFont="1" applyFill="1" applyBorder="1" applyAlignment="1">
      <alignment horizontal="center" vertical="center"/>
    </xf>
    <xf numFmtId="2" fontId="13777" fillId="8" borderId="1" xfId="0" applyNumberFormat="1" applyFont="1" applyFill="1" applyBorder="1" applyAlignment="1">
      <alignment horizontal="center" vertical="center"/>
    </xf>
    <xf numFmtId="2" fontId="13778" fillId="8" borderId="1" xfId="0" applyNumberFormat="1" applyFont="1" applyFill="1" applyBorder="1" applyAlignment="1">
      <alignment horizontal="center" vertical="center"/>
    </xf>
    <xf numFmtId="2" fontId="13779" fillId="8" borderId="1" xfId="0" applyNumberFormat="1" applyFont="1" applyFill="1" applyBorder="1" applyAlignment="1">
      <alignment horizontal="center" vertical="center"/>
    </xf>
    <xf numFmtId="2" fontId="13780" fillId="8" borderId="1" xfId="0" applyNumberFormat="1" applyFont="1" applyFill="1" applyBorder="1" applyAlignment="1">
      <alignment horizontal="center" vertical="center"/>
    </xf>
    <xf numFmtId="2" fontId="13781" fillId="8" borderId="1" xfId="0" applyNumberFormat="1" applyFont="1" applyFill="1" applyBorder="1" applyAlignment="1">
      <alignment horizontal="center" vertical="center"/>
    </xf>
    <xf numFmtId="2" fontId="13782" fillId="8" borderId="1" xfId="0" applyNumberFormat="1" applyFont="1" applyFill="1" applyBorder="1" applyAlignment="1">
      <alignment horizontal="center" vertical="center"/>
    </xf>
    <xf numFmtId="2" fontId="13783" fillId="8" borderId="1" xfId="0" applyNumberFormat="1" applyFont="1" applyFill="1" applyBorder="1" applyAlignment="1">
      <alignment horizontal="center" vertical="center"/>
    </xf>
    <xf numFmtId="2" fontId="13784" fillId="8" borderId="1" xfId="0" applyNumberFormat="1" applyFont="1" applyFill="1" applyBorder="1" applyAlignment="1">
      <alignment horizontal="center" vertical="center"/>
    </xf>
    <xf numFmtId="2" fontId="13785" fillId="8" borderId="1" xfId="0" applyNumberFormat="1" applyFont="1" applyFill="1" applyBorder="1" applyAlignment="1">
      <alignment horizontal="center" vertical="center"/>
    </xf>
    <xf numFmtId="2" fontId="13786" fillId="8" borderId="1" xfId="0" applyNumberFormat="1" applyFont="1" applyFill="1" applyBorder="1" applyAlignment="1">
      <alignment horizontal="center" vertical="center"/>
    </xf>
    <xf numFmtId="2" fontId="13787" fillId="8" borderId="1" xfId="0" applyNumberFormat="1" applyFont="1" applyFill="1" applyBorder="1" applyAlignment="1">
      <alignment horizontal="center" vertical="center"/>
    </xf>
    <xf numFmtId="2" fontId="13788" fillId="8" borderId="1" xfId="0" applyNumberFormat="1" applyFont="1" applyFill="1" applyBorder="1" applyAlignment="1">
      <alignment horizontal="center" vertical="center"/>
    </xf>
    <xf numFmtId="2" fontId="13789" fillId="8" borderId="1" xfId="0" applyNumberFormat="1" applyFont="1" applyFill="1" applyBorder="1" applyAlignment="1">
      <alignment horizontal="center" vertical="center"/>
    </xf>
    <xf numFmtId="2" fontId="13790" fillId="8" borderId="1" xfId="0" applyNumberFormat="1" applyFont="1" applyFill="1" applyBorder="1" applyAlignment="1">
      <alignment horizontal="center" vertical="center"/>
    </xf>
    <xf numFmtId="2" fontId="13791" fillId="8" borderId="1" xfId="0" applyNumberFormat="1" applyFont="1" applyFill="1" applyBorder="1" applyAlignment="1">
      <alignment horizontal="center" vertical="center"/>
    </xf>
    <xf numFmtId="2" fontId="13792" fillId="8" borderId="1" xfId="0" applyNumberFormat="1" applyFont="1" applyFill="1" applyBorder="1" applyAlignment="1">
      <alignment horizontal="center" vertical="center"/>
    </xf>
    <xf numFmtId="2" fontId="13793" fillId="8" borderId="1" xfId="0" applyNumberFormat="1" applyFont="1" applyFill="1" applyBorder="1" applyAlignment="1">
      <alignment horizontal="center" vertical="center"/>
    </xf>
    <xf numFmtId="2" fontId="13794" fillId="8" borderId="1" xfId="0" applyNumberFormat="1" applyFont="1" applyFill="1" applyBorder="1" applyAlignment="1">
      <alignment horizontal="center" vertical="center"/>
    </xf>
    <xf numFmtId="2" fontId="13795" fillId="8" borderId="1" xfId="0" applyNumberFormat="1" applyFont="1" applyFill="1" applyBorder="1" applyAlignment="1">
      <alignment horizontal="center" vertical="center"/>
    </xf>
    <xf numFmtId="2" fontId="13796" fillId="8" borderId="1" xfId="0" applyNumberFormat="1" applyFont="1" applyFill="1" applyBorder="1" applyAlignment="1">
      <alignment horizontal="center" vertical="center"/>
    </xf>
    <xf numFmtId="2" fontId="13797" fillId="8" borderId="1" xfId="0" applyNumberFormat="1" applyFont="1" applyFill="1" applyBorder="1" applyAlignment="1">
      <alignment horizontal="center" vertical="center"/>
    </xf>
    <xf numFmtId="2" fontId="13798" fillId="8" borderId="1" xfId="0" applyNumberFormat="1" applyFont="1" applyFill="1" applyBorder="1" applyAlignment="1">
      <alignment horizontal="center" vertical="center"/>
    </xf>
    <xf numFmtId="2" fontId="13799" fillId="8" borderId="1" xfId="0" applyNumberFormat="1" applyFont="1" applyFill="1" applyBorder="1" applyAlignment="1">
      <alignment horizontal="center" vertical="center"/>
    </xf>
    <xf numFmtId="2" fontId="13800" fillId="8" borderId="1" xfId="0" applyNumberFormat="1" applyFont="1" applyFill="1" applyBorder="1" applyAlignment="1">
      <alignment horizontal="center" vertical="center"/>
    </xf>
    <xf numFmtId="2" fontId="13801" fillId="8" borderId="1" xfId="0" applyNumberFormat="1" applyFont="1" applyFill="1" applyBorder="1" applyAlignment="1">
      <alignment horizontal="center" vertical="center"/>
    </xf>
    <xf numFmtId="2" fontId="13802" fillId="8" borderId="1" xfId="0" applyNumberFormat="1" applyFont="1" applyFill="1" applyBorder="1" applyAlignment="1">
      <alignment horizontal="center" vertical="center"/>
    </xf>
    <xf numFmtId="2" fontId="13803" fillId="8" borderId="1" xfId="0" applyNumberFormat="1" applyFont="1" applyFill="1" applyBorder="1" applyAlignment="1">
      <alignment horizontal="center" vertical="center"/>
    </xf>
    <xf numFmtId="2" fontId="13804" fillId="8" borderId="1" xfId="0" applyNumberFormat="1" applyFont="1" applyFill="1" applyBorder="1" applyAlignment="1">
      <alignment horizontal="center" vertical="center"/>
    </xf>
    <xf numFmtId="2" fontId="13805" fillId="8" borderId="1" xfId="0" applyNumberFormat="1" applyFont="1" applyFill="1" applyBorder="1" applyAlignment="1">
      <alignment horizontal="center" vertical="center"/>
    </xf>
    <xf numFmtId="2" fontId="13806" fillId="8" borderId="1" xfId="0" applyNumberFormat="1" applyFont="1" applyFill="1" applyBorder="1" applyAlignment="1">
      <alignment horizontal="center" vertical="center"/>
    </xf>
    <xf numFmtId="0" fontId="13807" fillId="7" borderId="1" xfId="0" applyNumberFormat="1" applyFont="1" applyFill="1" applyBorder="1" applyAlignment="1">
      <alignment horizontal="left" vertical="center"/>
    </xf>
    <xf numFmtId="0" fontId="13808" fillId="8" borderId="1" xfId="0" applyNumberFormat="1" applyFont="1" applyFill="1" applyBorder="1" applyAlignment="1">
      <alignment horizontal="center" vertical="center"/>
    </xf>
    <xf numFmtId="164" fontId="13809" fillId="8" borderId="1" xfId="0" applyNumberFormat="1" applyFont="1" applyFill="1" applyBorder="1" applyAlignment="1">
      <alignment horizontal="center" vertical="center"/>
    </xf>
    <xf numFmtId="1" fontId="13810" fillId="8" borderId="1" xfId="0" applyNumberFormat="1" applyFont="1" applyFill="1" applyBorder="1" applyAlignment="1">
      <alignment horizontal="center" vertical="center"/>
    </xf>
    <xf numFmtId="1" fontId="13811" fillId="8" borderId="1" xfId="0" applyNumberFormat="1" applyFont="1" applyFill="1" applyBorder="1" applyAlignment="1">
      <alignment horizontal="center" vertical="center"/>
    </xf>
    <xf numFmtId="1" fontId="13812" fillId="8" borderId="1" xfId="0" applyNumberFormat="1" applyFont="1" applyFill="1" applyBorder="1" applyAlignment="1">
      <alignment horizontal="center" vertical="center"/>
    </xf>
    <xf numFmtId="1" fontId="13813" fillId="8" borderId="1" xfId="0" applyNumberFormat="1" applyFont="1" applyFill="1" applyBorder="1" applyAlignment="1">
      <alignment horizontal="center" vertical="center"/>
    </xf>
    <xf numFmtId="1" fontId="13814" fillId="8" borderId="1" xfId="0" applyNumberFormat="1" applyFont="1" applyFill="1" applyBorder="1" applyAlignment="1">
      <alignment horizontal="center" vertical="center"/>
    </xf>
    <xf numFmtId="1" fontId="13815" fillId="8" borderId="1" xfId="0" applyNumberFormat="1" applyFont="1" applyFill="1" applyBorder="1" applyAlignment="1">
      <alignment horizontal="center" vertical="center"/>
    </xf>
    <xf numFmtId="1" fontId="13816" fillId="8" borderId="1" xfId="0" applyNumberFormat="1" applyFont="1" applyFill="1" applyBorder="1" applyAlignment="1">
      <alignment horizontal="center" vertical="center"/>
    </xf>
    <xf numFmtId="0" fontId="13817" fillId="8" borderId="1" xfId="0" applyNumberFormat="1" applyFont="1" applyFill="1" applyBorder="1" applyAlignment="1">
      <alignment horizontal="center" vertical="center"/>
    </xf>
    <xf numFmtId="0" fontId="13818" fillId="8" borderId="1" xfId="0" applyNumberFormat="1" applyFont="1" applyFill="1" applyBorder="1" applyAlignment="1">
      <alignment horizontal="center" vertical="center"/>
    </xf>
    <xf numFmtId="1" fontId="13819" fillId="8" borderId="1" xfId="0" applyNumberFormat="1" applyFont="1" applyFill="1" applyBorder="1" applyAlignment="1">
      <alignment horizontal="center" vertical="center"/>
    </xf>
    <xf numFmtId="1" fontId="13820" fillId="8" borderId="1" xfId="0" applyNumberFormat="1" applyFont="1" applyFill="1" applyBorder="1" applyAlignment="1">
      <alignment horizontal="center" vertical="center"/>
    </xf>
    <xf numFmtId="1" fontId="13821" fillId="8" borderId="1" xfId="0" applyNumberFormat="1" applyFont="1" applyFill="1" applyBorder="1" applyAlignment="1">
      <alignment horizontal="center" vertical="center"/>
    </xf>
    <xf numFmtId="165" fontId="13822" fillId="8" borderId="1" xfId="0" applyNumberFormat="1" applyFont="1" applyFill="1" applyBorder="1" applyAlignment="1">
      <alignment horizontal="center" vertical="center"/>
    </xf>
    <xf numFmtId="1" fontId="13823" fillId="8" borderId="1" xfId="0" applyNumberFormat="1" applyFont="1" applyFill="1" applyBorder="1" applyAlignment="1">
      <alignment horizontal="center" vertical="center"/>
    </xf>
    <xf numFmtId="165" fontId="13824" fillId="8" borderId="1" xfId="0" applyNumberFormat="1" applyFont="1" applyFill="1" applyBorder="1" applyAlignment="1">
      <alignment horizontal="center" vertical="center"/>
    </xf>
    <xf numFmtId="1" fontId="13825" fillId="8" borderId="1" xfId="0" applyNumberFormat="1" applyFont="1" applyFill="1" applyBorder="1" applyAlignment="1">
      <alignment horizontal="center" vertical="center"/>
    </xf>
    <xf numFmtId="165" fontId="13826" fillId="8" borderId="1" xfId="0" applyNumberFormat="1" applyFont="1" applyFill="1" applyBorder="1" applyAlignment="1">
      <alignment horizontal="center" vertical="center"/>
    </xf>
    <xf numFmtId="1" fontId="13827" fillId="8" borderId="1" xfId="0" applyNumberFormat="1" applyFont="1" applyFill="1" applyBorder="1" applyAlignment="1">
      <alignment horizontal="center" vertical="center"/>
    </xf>
    <xf numFmtId="165" fontId="13828" fillId="8" borderId="1" xfId="0" applyNumberFormat="1" applyFont="1" applyFill="1" applyBorder="1" applyAlignment="1">
      <alignment horizontal="center" vertical="center"/>
    </xf>
    <xf numFmtId="165" fontId="13829" fillId="8" borderId="1" xfId="0" applyNumberFormat="1" applyFont="1" applyFill="1" applyBorder="1" applyAlignment="1">
      <alignment horizontal="center" vertical="center"/>
    </xf>
    <xf numFmtId="1" fontId="13830" fillId="8" borderId="1" xfId="0" applyNumberFormat="1" applyFont="1" applyFill="1" applyBorder="1" applyAlignment="1">
      <alignment horizontal="center" vertical="center"/>
    </xf>
    <xf numFmtId="1" fontId="13831" fillId="8" borderId="1" xfId="0" applyNumberFormat="1" applyFont="1" applyFill="1" applyBorder="1" applyAlignment="1">
      <alignment horizontal="center" vertical="center"/>
    </xf>
    <xf numFmtId="1" fontId="13832" fillId="8" borderId="1" xfId="0" applyNumberFormat="1" applyFont="1" applyFill="1" applyBorder="1" applyAlignment="1">
      <alignment horizontal="center" vertical="center"/>
    </xf>
    <xf numFmtId="165" fontId="13833" fillId="8" borderId="1" xfId="0" applyNumberFormat="1" applyFont="1" applyFill="1" applyBorder="1" applyAlignment="1">
      <alignment horizontal="center" vertical="center"/>
    </xf>
    <xf numFmtId="164" fontId="13834" fillId="8" borderId="1" xfId="0" applyNumberFormat="1" applyFont="1" applyFill="1" applyBorder="1" applyAlignment="1">
      <alignment horizontal="center" vertical="center"/>
    </xf>
    <xf numFmtId="164" fontId="13835" fillId="8" borderId="1" xfId="0" applyNumberFormat="1" applyFont="1" applyFill="1" applyBorder="1" applyAlignment="1">
      <alignment horizontal="center" vertical="center"/>
    </xf>
    <xf numFmtId="1" fontId="13836" fillId="8" borderId="1" xfId="0" applyNumberFormat="1" applyFont="1" applyFill="1" applyBorder="1" applyAlignment="1">
      <alignment horizontal="center" vertical="center"/>
    </xf>
    <xf numFmtId="1" fontId="13837" fillId="8" borderId="1" xfId="0" applyNumberFormat="1" applyFont="1" applyFill="1" applyBorder="1" applyAlignment="1">
      <alignment horizontal="center" vertical="center"/>
    </xf>
    <xf numFmtId="1" fontId="13838" fillId="8" borderId="1" xfId="0" applyNumberFormat="1" applyFont="1" applyFill="1" applyBorder="1" applyAlignment="1">
      <alignment horizontal="center" vertical="center"/>
    </xf>
    <xf numFmtId="165" fontId="13839" fillId="8" borderId="1" xfId="0" applyNumberFormat="1" applyFont="1" applyFill="1" applyBorder="1" applyAlignment="1">
      <alignment horizontal="center" vertical="center"/>
    </xf>
    <xf numFmtId="1" fontId="13840" fillId="8" borderId="1" xfId="0" applyNumberFormat="1" applyFont="1" applyFill="1" applyBorder="1" applyAlignment="1">
      <alignment horizontal="center" vertical="center"/>
    </xf>
    <xf numFmtId="165" fontId="13841" fillId="8" borderId="1" xfId="0" applyNumberFormat="1" applyFont="1" applyFill="1" applyBorder="1" applyAlignment="1">
      <alignment horizontal="center" vertical="center"/>
    </xf>
    <xf numFmtId="1" fontId="13842" fillId="8" borderId="1" xfId="0" applyNumberFormat="1" applyFont="1" applyFill="1" applyBorder="1" applyAlignment="1">
      <alignment horizontal="center" vertical="center"/>
    </xf>
    <xf numFmtId="1" fontId="13843" fillId="8" borderId="1" xfId="0" applyNumberFormat="1" applyFont="1" applyFill="1" applyBorder="1" applyAlignment="1">
      <alignment horizontal="center" vertical="center"/>
    </xf>
    <xf numFmtId="1" fontId="13844" fillId="8" borderId="1" xfId="0" applyNumberFormat="1" applyFont="1" applyFill="1" applyBorder="1" applyAlignment="1">
      <alignment horizontal="center" vertical="center"/>
    </xf>
    <xf numFmtId="1" fontId="13845" fillId="8" borderId="1" xfId="0" applyNumberFormat="1" applyFont="1" applyFill="1" applyBorder="1" applyAlignment="1">
      <alignment horizontal="center" vertical="center"/>
    </xf>
    <xf numFmtId="165" fontId="13846" fillId="8" borderId="1" xfId="0" applyNumberFormat="1" applyFont="1" applyFill="1" applyBorder="1" applyAlignment="1">
      <alignment horizontal="center" vertical="center"/>
    </xf>
    <xf numFmtId="1" fontId="13847" fillId="8" borderId="1" xfId="0" applyNumberFormat="1" applyFont="1" applyFill="1" applyBorder="1" applyAlignment="1">
      <alignment horizontal="center" vertical="center"/>
    </xf>
    <xf numFmtId="165" fontId="13848" fillId="8" borderId="1" xfId="0" applyNumberFormat="1" applyFont="1" applyFill="1" applyBorder="1" applyAlignment="1">
      <alignment horizontal="center" vertical="center"/>
    </xf>
    <xf numFmtId="1" fontId="13849" fillId="8" borderId="1" xfId="0" applyNumberFormat="1" applyFont="1" applyFill="1" applyBorder="1" applyAlignment="1">
      <alignment horizontal="center" vertical="center"/>
    </xf>
    <xf numFmtId="165" fontId="13850" fillId="8" borderId="1" xfId="0" applyNumberFormat="1" applyFont="1" applyFill="1" applyBorder="1" applyAlignment="1">
      <alignment horizontal="center" vertical="center"/>
    </xf>
    <xf numFmtId="2" fontId="13851" fillId="8" borderId="1" xfId="0" applyNumberFormat="1" applyFont="1" applyFill="1" applyBorder="1" applyAlignment="1">
      <alignment horizontal="center" vertical="center"/>
    </xf>
    <xf numFmtId="2" fontId="13852" fillId="8" borderId="1" xfId="0" applyNumberFormat="1" applyFont="1" applyFill="1" applyBorder="1" applyAlignment="1">
      <alignment horizontal="center" vertical="center"/>
    </xf>
    <xf numFmtId="2" fontId="13853" fillId="8" borderId="1" xfId="0" applyNumberFormat="1" applyFont="1" applyFill="1" applyBorder="1" applyAlignment="1">
      <alignment horizontal="center" vertical="center"/>
    </xf>
    <xf numFmtId="2" fontId="13854" fillId="8" borderId="1" xfId="0" applyNumberFormat="1" applyFont="1" applyFill="1" applyBorder="1" applyAlignment="1">
      <alignment horizontal="center" vertical="center"/>
    </xf>
    <xf numFmtId="2" fontId="13855" fillId="8" borderId="1" xfId="0" applyNumberFormat="1" applyFont="1" applyFill="1" applyBorder="1" applyAlignment="1">
      <alignment horizontal="center" vertical="center"/>
    </xf>
    <xf numFmtId="2" fontId="13856" fillId="8" borderId="1" xfId="0" applyNumberFormat="1" applyFont="1" applyFill="1" applyBorder="1" applyAlignment="1">
      <alignment horizontal="center" vertical="center"/>
    </xf>
    <xf numFmtId="2" fontId="13857" fillId="8" borderId="1" xfId="0" applyNumberFormat="1" applyFont="1" applyFill="1" applyBorder="1" applyAlignment="1">
      <alignment horizontal="center" vertical="center"/>
    </xf>
    <xf numFmtId="2" fontId="13858" fillId="8" borderId="1" xfId="0" applyNumberFormat="1" applyFont="1" applyFill="1" applyBorder="1" applyAlignment="1">
      <alignment horizontal="center" vertical="center"/>
    </xf>
    <xf numFmtId="2" fontId="13859" fillId="8" borderId="1" xfId="0" applyNumberFormat="1" applyFont="1" applyFill="1" applyBorder="1" applyAlignment="1">
      <alignment horizontal="center" vertical="center"/>
    </xf>
    <xf numFmtId="2" fontId="13860" fillId="8" borderId="1" xfId="0" applyNumberFormat="1" applyFont="1" applyFill="1" applyBorder="1" applyAlignment="1">
      <alignment horizontal="center" vertical="center"/>
    </xf>
    <xf numFmtId="2" fontId="13861" fillId="8" borderId="1" xfId="0" applyNumberFormat="1" applyFont="1" applyFill="1" applyBorder="1" applyAlignment="1">
      <alignment horizontal="center" vertical="center"/>
    </xf>
    <xf numFmtId="2" fontId="13862" fillId="8" borderId="1" xfId="0" applyNumberFormat="1" applyFont="1" applyFill="1" applyBorder="1" applyAlignment="1">
      <alignment horizontal="center" vertical="center"/>
    </xf>
    <xf numFmtId="2" fontId="13863" fillId="8" borderId="1" xfId="0" applyNumberFormat="1" applyFont="1" applyFill="1" applyBorder="1" applyAlignment="1">
      <alignment horizontal="center" vertical="center"/>
    </xf>
    <xf numFmtId="2" fontId="13864" fillId="8" borderId="1" xfId="0" applyNumberFormat="1" applyFont="1" applyFill="1" applyBorder="1" applyAlignment="1">
      <alignment horizontal="center" vertical="center"/>
    </xf>
    <xf numFmtId="2" fontId="13865" fillId="8" borderId="1" xfId="0" applyNumberFormat="1" applyFont="1" applyFill="1" applyBorder="1" applyAlignment="1">
      <alignment horizontal="center" vertical="center"/>
    </xf>
    <xf numFmtId="2" fontId="13866" fillId="8" borderId="1" xfId="0" applyNumberFormat="1" applyFont="1" applyFill="1" applyBorder="1" applyAlignment="1">
      <alignment horizontal="center" vertical="center"/>
    </xf>
    <xf numFmtId="2" fontId="13867" fillId="8" borderId="1" xfId="0" applyNumberFormat="1" applyFont="1" applyFill="1" applyBorder="1" applyAlignment="1">
      <alignment horizontal="center" vertical="center"/>
    </xf>
    <xf numFmtId="2" fontId="13868" fillId="8" borderId="1" xfId="0" applyNumberFormat="1" applyFont="1" applyFill="1" applyBorder="1" applyAlignment="1">
      <alignment horizontal="center" vertical="center"/>
    </xf>
    <xf numFmtId="2" fontId="13869" fillId="8" borderId="1" xfId="0" applyNumberFormat="1" applyFont="1" applyFill="1" applyBorder="1" applyAlignment="1">
      <alignment horizontal="center" vertical="center"/>
    </xf>
    <xf numFmtId="2" fontId="13870" fillId="8" borderId="1" xfId="0" applyNumberFormat="1" applyFont="1" applyFill="1" applyBorder="1" applyAlignment="1">
      <alignment horizontal="center" vertical="center"/>
    </xf>
    <xf numFmtId="2" fontId="13871" fillId="8" borderId="1" xfId="0" applyNumberFormat="1" applyFont="1" applyFill="1" applyBorder="1" applyAlignment="1">
      <alignment horizontal="center" vertical="center"/>
    </xf>
    <xf numFmtId="2" fontId="13872" fillId="8" borderId="1" xfId="0" applyNumberFormat="1" applyFont="1" applyFill="1" applyBorder="1" applyAlignment="1">
      <alignment horizontal="center" vertical="center"/>
    </xf>
    <xf numFmtId="2" fontId="13873" fillId="8" borderId="1" xfId="0" applyNumberFormat="1" applyFont="1" applyFill="1" applyBorder="1" applyAlignment="1">
      <alignment horizontal="center" vertical="center"/>
    </xf>
    <xf numFmtId="2" fontId="13874" fillId="8" borderId="1" xfId="0" applyNumberFormat="1" applyFont="1" applyFill="1" applyBorder="1" applyAlignment="1">
      <alignment horizontal="center" vertical="center"/>
    </xf>
    <xf numFmtId="2" fontId="13875" fillId="8" borderId="1" xfId="0" applyNumberFormat="1" applyFont="1" applyFill="1" applyBorder="1" applyAlignment="1">
      <alignment horizontal="center" vertical="center"/>
    </xf>
    <xf numFmtId="2" fontId="13876" fillId="8" borderId="1" xfId="0" applyNumberFormat="1" applyFont="1" applyFill="1" applyBorder="1" applyAlignment="1">
      <alignment horizontal="center" vertical="center"/>
    </xf>
    <xf numFmtId="2" fontId="13877" fillId="8" borderId="1" xfId="0" applyNumberFormat="1" applyFont="1" applyFill="1" applyBorder="1" applyAlignment="1">
      <alignment horizontal="center" vertical="center"/>
    </xf>
    <xf numFmtId="2" fontId="13878" fillId="8" borderId="1" xfId="0" applyNumberFormat="1" applyFont="1" applyFill="1" applyBorder="1" applyAlignment="1">
      <alignment horizontal="center" vertical="center"/>
    </xf>
    <xf numFmtId="2" fontId="13879" fillId="8" borderId="1" xfId="0" applyNumberFormat="1" applyFont="1" applyFill="1" applyBorder="1" applyAlignment="1">
      <alignment horizontal="center" vertical="center"/>
    </xf>
    <xf numFmtId="2" fontId="13880" fillId="8" borderId="1" xfId="0" applyNumberFormat="1" applyFont="1" applyFill="1" applyBorder="1" applyAlignment="1">
      <alignment horizontal="center" vertical="center"/>
    </xf>
    <xf numFmtId="2" fontId="13881" fillId="8" borderId="1" xfId="0" applyNumberFormat="1" applyFont="1" applyFill="1" applyBorder="1" applyAlignment="1">
      <alignment horizontal="center" vertical="center"/>
    </xf>
    <xf numFmtId="2" fontId="13882" fillId="8" borderId="1" xfId="0" applyNumberFormat="1" applyFont="1" applyFill="1" applyBorder="1" applyAlignment="1">
      <alignment horizontal="center" vertical="center"/>
    </xf>
    <xf numFmtId="2" fontId="13883" fillId="8" borderId="1" xfId="0" applyNumberFormat="1" applyFont="1" applyFill="1" applyBorder="1" applyAlignment="1">
      <alignment horizontal="center" vertical="center"/>
    </xf>
    <xf numFmtId="2" fontId="13884" fillId="8" borderId="1" xfId="0" applyNumberFormat="1" applyFont="1" applyFill="1" applyBorder="1" applyAlignment="1">
      <alignment horizontal="center" vertical="center"/>
    </xf>
    <xf numFmtId="0" fontId="13885" fillId="7" borderId="1" xfId="0" applyNumberFormat="1" applyFont="1" applyFill="1" applyBorder="1" applyAlignment="1">
      <alignment horizontal="left" vertical="center"/>
    </xf>
    <xf numFmtId="0" fontId="13886" fillId="8" borderId="1" xfId="0" applyNumberFormat="1" applyFont="1" applyFill="1" applyBorder="1" applyAlignment="1">
      <alignment horizontal="center" vertical="center"/>
    </xf>
    <xf numFmtId="164" fontId="13887" fillId="8" borderId="1" xfId="0" applyNumberFormat="1" applyFont="1" applyFill="1" applyBorder="1" applyAlignment="1">
      <alignment horizontal="center" vertical="center"/>
    </xf>
    <xf numFmtId="1" fontId="13888" fillId="8" borderId="1" xfId="0" applyNumberFormat="1" applyFont="1" applyFill="1" applyBorder="1" applyAlignment="1">
      <alignment horizontal="center" vertical="center"/>
    </xf>
    <xf numFmtId="1" fontId="13889" fillId="8" borderId="1" xfId="0" applyNumberFormat="1" applyFont="1" applyFill="1" applyBorder="1" applyAlignment="1">
      <alignment horizontal="center" vertical="center"/>
    </xf>
    <xf numFmtId="1" fontId="13890" fillId="8" borderId="1" xfId="0" applyNumberFormat="1" applyFont="1" applyFill="1" applyBorder="1" applyAlignment="1">
      <alignment horizontal="center" vertical="center"/>
    </xf>
    <xf numFmtId="1" fontId="13891" fillId="8" borderId="1" xfId="0" applyNumberFormat="1" applyFont="1" applyFill="1" applyBorder="1" applyAlignment="1">
      <alignment horizontal="center" vertical="center"/>
    </xf>
    <xf numFmtId="1" fontId="13892" fillId="8" borderId="1" xfId="0" applyNumberFormat="1" applyFont="1" applyFill="1" applyBorder="1" applyAlignment="1">
      <alignment horizontal="center" vertical="center"/>
    </xf>
    <xf numFmtId="1" fontId="13893" fillId="8" borderId="1" xfId="0" applyNumberFormat="1" applyFont="1" applyFill="1" applyBorder="1" applyAlignment="1">
      <alignment horizontal="center" vertical="center"/>
    </xf>
    <xf numFmtId="1" fontId="13894" fillId="8" borderId="1" xfId="0" applyNumberFormat="1" applyFont="1" applyFill="1" applyBorder="1" applyAlignment="1">
      <alignment horizontal="center" vertical="center"/>
    </xf>
    <xf numFmtId="0" fontId="13895" fillId="8" borderId="1" xfId="0" applyNumberFormat="1" applyFont="1" applyFill="1" applyBorder="1" applyAlignment="1">
      <alignment horizontal="center" vertical="center"/>
    </xf>
    <xf numFmtId="0" fontId="13896" fillId="8" borderId="1" xfId="0" applyNumberFormat="1" applyFont="1" applyFill="1" applyBorder="1" applyAlignment="1">
      <alignment horizontal="center" vertical="center"/>
    </xf>
    <xf numFmtId="1" fontId="13897" fillId="8" borderId="1" xfId="0" applyNumberFormat="1" applyFont="1" applyFill="1" applyBorder="1" applyAlignment="1">
      <alignment horizontal="center" vertical="center"/>
    </xf>
    <xf numFmtId="1" fontId="13898" fillId="8" borderId="1" xfId="0" applyNumberFormat="1" applyFont="1" applyFill="1" applyBorder="1" applyAlignment="1">
      <alignment horizontal="center" vertical="center"/>
    </xf>
    <xf numFmtId="1" fontId="13899" fillId="8" borderId="1" xfId="0" applyNumberFormat="1" applyFont="1" applyFill="1" applyBorder="1" applyAlignment="1">
      <alignment horizontal="center" vertical="center"/>
    </xf>
    <xf numFmtId="165" fontId="13900" fillId="8" borderId="1" xfId="0" applyNumberFormat="1" applyFont="1" applyFill="1" applyBorder="1" applyAlignment="1">
      <alignment horizontal="center" vertical="center"/>
    </xf>
    <xf numFmtId="1" fontId="13901" fillId="8" borderId="1" xfId="0" applyNumberFormat="1" applyFont="1" applyFill="1" applyBorder="1" applyAlignment="1">
      <alignment horizontal="center" vertical="center"/>
    </xf>
    <xf numFmtId="165" fontId="13902" fillId="8" borderId="1" xfId="0" applyNumberFormat="1" applyFont="1" applyFill="1" applyBorder="1" applyAlignment="1">
      <alignment horizontal="center" vertical="center"/>
    </xf>
    <xf numFmtId="1" fontId="13903" fillId="8" borderId="1" xfId="0" applyNumberFormat="1" applyFont="1" applyFill="1" applyBorder="1" applyAlignment="1">
      <alignment horizontal="center" vertical="center"/>
    </xf>
    <xf numFmtId="165" fontId="13904" fillId="8" borderId="1" xfId="0" applyNumberFormat="1" applyFont="1" applyFill="1" applyBorder="1" applyAlignment="1">
      <alignment horizontal="center" vertical="center"/>
    </xf>
    <xf numFmtId="1" fontId="13905" fillId="8" borderId="1" xfId="0" applyNumberFormat="1" applyFont="1" applyFill="1" applyBorder="1" applyAlignment="1">
      <alignment horizontal="center" vertical="center"/>
    </xf>
    <xf numFmtId="165" fontId="13906" fillId="8" borderId="1" xfId="0" applyNumberFormat="1" applyFont="1" applyFill="1" applyBorder="1" applyAlignment="1">
      <alignment horizontal="center" vertical="center"/>
    </xf>
    <xf numFmtId="165" fontId="13907" fillId="8" borderId="1" xfId="0" applyNumberFormat="1" applyFont="1" applyFill="1" applyBorder="1" applyAlignment="1">
      <alignment horizontal="center" vertical="center"/>
    </xf>
    <xf numFmtId="1" fontId="13908" fillId="8" borderId="1" xfId="0" applyNumberFormat="1" applyFont="1" applyFill="1" applyBorder="1" applyAlignment="1">
      <alignment horizontal="center" vertical="center"/>
    </xf>
    <xf numFmtId="1" fontId="13909" fillId="8" borderId="1" xfId="0" applyNumberFormat="1" applyFont="1" applyFill="1" applyBorder="1" applyAlignment="1">
      <alignment horizontal="center" vertical="center"/>
    </xf>
    <xf numFmtId="1" fontId="13910" fillId="8" borderId="1" xfId="0" applyNumberFormat="1" applyFont="1" applyFill="1" applyBorder="1" applyAlignment="1">
      <alignment horizontal="center" vertical="center"/>
    </xf>
    <xf numFmtId="165" fontId="13911" fillId="8" borderId="1" xfId="0" applyNumberFormat="1" applyFont="1" applyFill="1" applyBorder="1" applyAlignment="1">
      <alignment horizontal="center" vertical="center"/>
    </xf>
    <xf numFmtId="164" fontId="13912" fillId="8" borderId="1" xfId="0" applyNumberFormat="1" applyFont="1" applyFill="1" applyBorder="1" applyAlignment="1">
      <alignment horizontal="center" vertical="center"/>
    </xf>
    <xf numFmtId="164" fontId="13913" fillId="8" borderId="1" xfId="0" applyNumberFormat="1" applyFont="1" applyFill="1" applyBorder="1" applyAlignment="1">
      <alignment horizontal="center" vertical="center"/>
    </xf>
    <xf numFmtId="1" fontId="13914" fillId="8" borderId="1" xfId="0" applyNumberFormat="1" applyFont="1" applyFill="1" applyBorder="1" applyAlignment="1">
      <alignment horizontal="center" vertical="center"/>
    </xf>
    <xf numFmtId="1" fontId="13915" fillId="8" borderId="1" xfId="0" applyNumberFormat="1" applyFont="1" applyFill="1" applyBorder="1" applyAlignment="1">
      <alignment horizontal="center" vertical="center"/>
    </xf>
    <xf numFmtId="1" fontId="13916" fillId="8" borderId="1" xfId="0" applyNumberFormat="1" applyFont="1" applyFill="1" applyBorder="1" applyAlignment="1">
      <alignment horizontal="center" vertical="center"/>
    </xf>
    <xf numFmtId="165" fontId="13917" fillId="8" borderId="1" xfId="0" applyNumberFormat="1" applyFont="1" applyFill="1" applyBorder="1" applyAlignment="1">
      <alignment horizontal="center" vertical="center"/>
    </xf>
    <xf numFmtId="1" fontId="13918" fillId="8" borderId="1" xfId="0" applyNumberFormat="1" applyFont="1" applyFill="1" applyBorder="1" applyAlignment="1">
      <alignment horizontal="center" vertical="center"/>
    </xf>
    <xf numFmtId="165" fontId="13919" fillId="8" borderId="1" xfId="0" applyNumberFormat="1" applyFont="1" applyFill="1" applyBorder="1" applyAlignment="1">
      <alignment horizontal="center" vertical="center"/>
    </xf>
    <xf numFmtId="1" fontId="13920" fillId="8" borderId="1" xfId="0" applyNumberFormat="1" applyFont="1" applyFill="1" applyBorder="1" applyAlignment="1">
      <alignment horizontal="center" vertical="center"/>
    </xf>
    <xf numFmtId="1" fontId="13921" fillId="8" borderId="1" xfId="0" applyNumberFormat="1" applyFont="1" applyFill="1" applyBorder="1" applyAlignment="1">
      <alignment horizontal="center" vertical="center"/>
    </xf>
    <xf numFmtId="1" fontId="13922" fillId="8" borderId="1" xfId="0" applyNumberFormat="1" applyFont="1" applyFill="1" applyBorder="1" applyAlignment="1">
      <alignment horizontal="center" vertical="center"/>
    </xf>
    <xf numFmtId="1" fontId="13923" fillId="8" borderId="1" xfId="0" applyNumberFormat="1" applyFont="1" applyFill="1" applyBorder="1" applyAlignment="1">
      <alignment horizontal="center" vertical="center"/>
    </xf>
    <xf numFmtId="165" fontId="13924" fillId="8" borderId="1" xfId="0" applyNumberFormat="1" applyFont="1" applyFill="1" applyBorder="1" applyAlignment="1">
      <alignment horizontal="center" vertical="center"/>
    </xf>
    <xf numFmtId="1" fontId="13925" fillId="8" borderId="1" xfId="0" applyNumberFormat="1" applyFont="1" applyFill="1" applyBorder="1" applyAlignment="1">
      <alignment horizontal="center" vertical="center"/>
    </xf>
    <xf numFmtId="165" fontId="13926" fillId="8" borderId="1" xfId="0" applyNumberFormat="1" applyFont="1" applyFill="1" applyBorder="1" applyAlignment="1">
      <alignment horizontal="center" vertical="center"/>
    </xf>
    <xf numFmtId="1" fontId="13927" fillId="8" borderId="1" xfId="0" applyNumberFormat="1" applyFont="1" applyFill="1" applyBorder="1" applyAlignment="1">
      <alignment horizontal="center" vertical="center"/>
    </xf>
    <xf numFmtId="165" fontId="13928" fillId="8" borderId="1" xfId="0" applyNumberFormat="1" applyFont="1" applyFill="1" applyBorder="1" applyAlignment="1">
      <alignment horizontal="center" vertical="center"/>
    </xf>
    <xf numFmtId="2" fontId="13929" fillId="8" borderId="1" xfId="0" applyNumberFormat="1" applyFont="1" applyFill="1" applyBorder="1" applyAlignment="1">
      <alignment horizontal="center" vertical="center"/>
    </xf>
    <xf numFmtId="2" fontId="13930" fillId="8" borderId="1" xfId="0" applyNumberFormat="1" applyFont="1" applyFill="1" applyBorder="1" applyAlignment="1">
      <alignment horizontal="center" vertical="center"/>
    </xf>
    <xf numFmtId="2" fontId="13931" fillId="8" borderId="1" xfId="0" applyNumberFormat="1" applyFont="1" applyFill="1" applyBorder="1" applyAlignment="1">
      <alignment horizontal="center" vertical="center"/>
    </xf>
    <xf numFmtId="2" fontId="13932" fillId="8" borderId="1" xfId="0" applyNumberFormat="1" applyFont="1" applyFill="1" applyBorder="1" applyAlignment="1">
      <alignment horizontal="center" vertical="center"/>
    </xf>
    <xf numFmtId="2" fontId="13933" fillId="8" borderId="1" xfId="0" applyNumberFormat="1" applyFont="1" applyFill="1" applyBorder="1" applyAlignment="1">
      <alignment horizontal="center" vertical="center"/>
    </xf>
    <xf numFmtId="2" fontId="13934" fillId="8" borderId="1" xfId="0" applyNumberFormat="1" applyFont="1" applyFill="1" applyBorder="1" applyAlignment="1">
      <alignment horizontal="center" vertical="center"/>
    </xf>
    <xf numFmtId="2" fontId="13935" fillId="8" borderId="1" xfId="0" applyNumberFormat="1" applyFont="1" applyFill="1" applyBorder="1" applyAlignment="1">
      <alignment horizontal="center" vertical="center"/>
    </xf>
    <xf numFmtId="2" fontId="13936" fillId="8" borderId="1" xfId="0" applyNumberFormat="1" applyFont="1" applyFill="1" applyBorder="1" applyAlignment="1">
      <alignment horizontal="center" vertical="center"/>
    </xf>
    <xf numFmtId="2" fontId="13937" fillId="8" borderId="1" xfId="0" applyNumberFormat="1" applyFont="1" applyFill="1" applyBorder="1" applyAlignment="1">
      <alignment horizontal="center" vertical="center"/>
    </xf>
    <xf numFmtId="2" fontId="13938" fillId="8" borderId="1" xfId="0" applyNumberFormat="1" applyFont="1" applyFill="1" applyBorder="1" applyAlignment="1">
      <alignment horizontal="center" vertical="center"/>
    </xf>
    <xf numFmtId="2" fontId="13939" fillId="8" borderId="1" xfId="0" applyNumberFormat="1" applyFont="1" applyFill="1" applyBorder="1" applyAlignment="1">
      <alignment horizontal="center" vertical="center"/>
    </xf>
    <xf numFmtId="2" fontId="13940" fillId="8" borderId="1" xfId="0" applyNumberFormat="1" applyFont="1" applyFill="1" applyBorder="1" applyAlignment="1">
      <alignment horizontal="center" vertical="center"/>
    </xf>
    <xf numFmtId="2" fontId="13941" fillId="8" borderId="1" xfId="0" applyNumberFormat="1" applyFont="1" applyFill="1" applyBorder="1" applyAlignment="1">
      <alignment horizontal="center" vertical="center"/>
    </xf>
    <xf numFmtId="2" fontId="13942" fillId="8" borderId="1" xfId="0" applyNumberFormat="1" applyFont="1" applyFill="1" applyBorder="1" applyAlignment="1">
      <alignment horizontal="center" vertical="center"/>
    </xf>
    <xf numFmtId="2" fontId="13943" fillId="8" borderId="1" xfId="0" applyNumberFormat="1" applyFont="1" applyFill="1" applyBorder="1" applyAlignment="1">
      <alignment horizontal="center" vertical="center"/>
    </xf>
    <xf numFmtId="2" fontId="13944" fillId="8" borderId="1" xfId="0" applyNumberFormat="1" applyFont="1" applyFill="1" applyBorder="1" applyAlignment="1">
      <alignment horizontal="center" vertical="center"/>
    </xf>
    <xf numFmtId="2" fontId="13945" fillId="8" borderId="1" xfId="0" applyNumberFormat="1" applyFont="1" applyFill="1" applyBorder="1" applyAlignment="1">
      <alignment horizontal="center" vertical="center"/>
    </xf>
    <xf numFmtId="2" fontId="13946" fillId="8" borderId="1" xfId="0" applyNumberFormat="1" applyFont="1" applyFill="1" applyBorder="1" applyAlignment="1">
      <alignment horizontal="center" vertical="center"/>
    </xf>
    <xf numFmtId="2" fontId="13947" fillId="8" borderId="1" xfId="0" applyNumberFormat="1" applyFont="1" applyFill="1" applyBorder="1" applyAlignment="1">
      <alignment horizontal="center" vertical="center"/>
    </xf>
    <xf numFmtId="2" fontId="13948" fillId="8" borderId="1" xfId="0" applyNumberFormat="1" applyFont="1" applyFill="1" applyBorder="1" applyAlignment="1">
      <alignment horizontal="center" vertical="center"/>
    </xf>
    <xf numFmtId="2" fontId="13949" fillId="8" borderId="1" xfId="0" applyNumberFormat="1" applyFont="1" applyFill="1" applyBorder="1" applyAlignment="1">
      <alignment horizontal="center" vertical="center"/>
    </xf>
    <xf numFmtId="2" fontId="13950" fillId="8" borderId="1" xfId="0" applyNumberFormat="1" applyFont="1" applyFill="1" applyBorder="1" applyAlignment="1">
      <alignment horizontal="center" vertical="center"/>
    </xf>
    <xf numFmtId="2" fontId="13951" fillId="8" borderId="1" xfId="0" applyNumberFormat="1" applyFont="1" applyFill="1" applyBorder="1" applyAlignment="1">
      <alignment horizontal="center" vertical="center"/>
    </xf>
    <xf numFmtId="2" fontId="13952" fillId="8" borderId="1" xfId="0" applyNumberFormat="1" applyFont="1" applyFill="1" applyBorder="1" applyAlignment="1">
      <alignment horizontal="center" vertical="center"/>
    </xf>
    <xf numFmtId="2" fontId="13953" fillId="8" borderId="1" xfId="0" applyNumberFormat="1" applyFont="1" applyFill="1" applyBorder="1" applyAlignment="1">
      <alignment horizontal="center" vertical="center"/>
    </xf>
    <xf numFmtId="2" fontId="13954" fillId="8" borderId="1" xfId="0" applyNumberFormat="1" applyFont="1" applyFill="1" applyBorder="1" applyAlignment="1">
      <alignment horizontal="center" vertical="center"/>
    </xf>
    <xf numFmtId="2" fontId="13955" fillId="8" borderId="1" xfId="0" applyNumberFormat="1" applyFont="1" applyFill="1" applyBorder="1" applyAlignment="1">
      <alignment horizontal="center" vertical="center"/>
    </xf>
    <xf numFmtId="2" fontId="13956" fillId="8" borderId="1" xfId="0" applyNumberFormat="1" applyFont="1" applyFill="1" applyBorder="1" applyAlignment="1">
      <alignment horizontal="center" vertical="center"/>
    </xf>
    <xf numFmtId="2" fontId="13957" fillId="8" borderId="1" xfId="0" applyNumberFormat="1" applyFont="1" applyFill="1" applyBorder="1" applyAlignment="1">
      <alignment horizontal="center" vertical="center"/>
    </xf>
    <xf numFmtId="2" fontId="13958" fillId="8" borderId="1" xfId="0" applyNumberFormat="1" applyFont="1" applyFill="1" applyBorder="1" applyAlignment="1">
      <alignment horizontal="center" vertical="center"/>
    </xf>
    <xf numFmtId="2" fontId="13959" fillId="8" borderId="1" xfId="0" applyNumberFormat="1" applyFont="1" applyFill="1" applyBorder="1" applyAlignment="1">
      <alignment horizontal="center" vertical="center"/>
    </xf>
    <xf numFmtId="2" fontId="13960" fillId="8" borderId="1" xfId="0" applyNumberFormat="1" applyFont="1" applyFill="1" applyBorder="1" applyAlignment="1">
      <alignment horizontal="center" vertical="center"/>
    </xf>
    <xf numFmtId="2" fontId="13961" fillId="8" borderId="1" xfId="0" applyNumberFormat="1" applyFont="1" applyFill="1" applyBorder="1" applyAlignment="1">
      <alignment horizontal="center" vertical="center"/>
    </xf>
    <xf numFmtId="2" fontId="13962" fillId="8" borderId="1" xfId="0" applyNumberFormat="1" applyFont="1" applyFill="1" applyBorder="1" applyAlignment="1">
      <alignment horizontal="center" vertical="center"/>
    </xf>
    <xf numFmtId="0" fontId="13963" fillId="7" borderId="1" xfId="0" applyNumberFormat="1" applyFont="1" applyFill="1" applyBorder="1" applyAlignment="1">
      <alignment horizontal="left" vertical="center"/>
    </xf>
    <xf numFmtId="0" fontId="13964" fillId="8" borderId="1" xfId="0" applyNumberFormat="1" applyFont="1" applyFill="1" applyBorder="1" applyAlignment="1">
      <alignment horizontal="center" vertical="center"/>
    </xf>
    <xf numFmtId="164" fontId="13965" fillId="8" borderId="1" xfId="0" applyNumberFormat="1" applyFont="1" applyFill="1" applyBorder="1" applyAlignment="1">
      <alignment horizontal="center" vertical="center"/>
    </xf>
    <xf numFmtId="1" fontId="13966" fillId="8" borderId="1" xfId="0" applyNumberFormat="1" applyFont="1" applyFill="1" applyBorder="1" applyAlignment="1">
      <alignment horizontal="center" vertical="center"/>
    </xf>
    <xf numFmtId="1" fontId="13967" fillId="8" borderId="1" xfId="0" applyNumberFormat="1" applyFont="1" applyFill="1" applyBorder="1" applyAlignment="1">
      <alignment horizontal="center" vertical="center"/>
    </xf>
    <xf numFmtId="1" fontId="13968" fillId="8" borderId="1" xfId="0" applyNumberFormat="1" applyFont="1" applyFill="1" applyBorder="1" applyAlignment="1">
      <alignment horizontal="center" vertical="center"/>
    </xf>
    <xf numFmtId="1" fontId="13969" fillId="8" borderId="1" xfId="0" applyNumberFormat="1" applyFont="1" applyFill="1" applyBorder="1" applyAlignment="1">
      <alignment horizontal="center" vertical="center"/>
    </xf>
    <xf numFmtId="1" fontId="13970" fillId="8" borderId="1" xfId="0" applyNumberFormat="1" applyFont="1" applyFill="1" applyBorder="1" applyAlignment="1">
      <alignment horizontal="center" vertical="center"/>
    </xf>
    <xf numFmtId="1" fontId="13971" fillId="8" borderId="1" xfId="0" applyNumberFormat="1" applyFont="1" applyFill="1" applyBorder="1" applyAlignment="1">
      <alignment horizontal="center" vertical="center"/>
    </xf>
    <xf numFmtId="1" fontId="13972" fillId="8" borderId="1" xfId="0" applyNumberFormat="1" applyFont="1" applyFill="1" applyBorder="1" applyAlignment="1">
      <alignment horizontal="center" vertical="center"/>
    </xf>
    <xf numFmtId="0" fontId="13973" fillId="8" borderId="1" xfId="0" applyNumberFormat="1" applyFont="1" applyFill="1" applyBorder="1" applyAlignment="1">
      <alignment horizontal="center" vertical="center"/>
    </xf>
    <xf numFmtId="0" fontId="13974" fillId="8" borderId="1" xfId="0" applyNumberFormat="1" applyFont="1" applyFill="1" applyBorder="1" applyAlignment="1">
      <alignment horizontal="center" vertical="center"/>
    </xf>
    <xf numFmtId="1" fontId="13975" fillId="8" borderId="1" xfId="0" applyNumberFormat="1" applyFont="1" applyFill="1" applyBorder="1" applyAlignment="1">
      <alignment horizontal="center" vertical="center"/>
    </xf>
    <xf numFmtId="1" fontId="13976" fillId="8" borderId="1" xfId="0" applyNumberFormat="1" applyFont="1" applyFill="1" applyBorder="1" applyAlignment="1">
      <alignment horizontal="center" vertical="center"/>
    </xf>
    <xf numFmtId="1" fontId="13977" fillId="8" borderId="1" xfId="0" applyNumberFormat="1" applyFont="1" applyFill="1" applyBorder="1" applyAlignment="1">
      <alignment horizontal="center" vertical="center"/>
    </xf>
    <xf numFmtId="165" fontId="13978" fillId="8" borderId="1" xfId="0" applyNumberFormat="1" applyFont="1" applyFill="1" applyBorder="1" applyAlignment="1">
      <alignment horizontal="center" vertical="center"/>
    </xf>
    <xf numFmtId="1" fontId="13979" fillId="8" borderId="1" xfId="0" applyNumberFormat="1" applyFont="1" applyFill="1" applyBorder="1" applyAlignment="1">
      <alignment horizontal="center" vertical="center"/>
    </xf>
    <xf numFmtId="165" fontId="13980" fillId="8" borderId="1" xfId="0" applyNumberFormat="1" applyFont="1" applyFill="1" applyBorder="1" applyAlignment="1">
      <alignment horizontal="center" vertical="center"/>
    </xf>
    <xf numFmtId="1" fontId="13981" fillId="8" borderId="1" xfId="0" applyNumberFormat="1" applyFont="1" applyFill="1" applyBorder="1" applyAlignment="1">
      <alignment horizontal="center" vertical="center"/>
    </xf>
    <xf numFmtId="165" fontId="13982" fillId="8" borderId="1" xfId="0" applyNumberFormat="1" applyFont="1" applyFill="1" applyBorder="1" applyAlignment="1">
      <alignment horizontal="center" vertical="center"/>
    </xf>
    <xf numFmtId="1" fontId="13983" fillId="8" borderId="1" xfId="0" applyNumberFormat="1" applyFont="1" applyFill="1" applyBorder="1" applyAlignment="1">
      <alignment horizontal="center" vertical="center"/>
    </xf>
    <xf numFmtId="165" fontId="13984" fillId="8" borderId="1" xfId="0" applyNumberFormat="1" applyFont="1" applyFill="1" applyBorder="1" applyAlignment="1">
      <alignment horizontal="center" vertical="center"/>
    </xf>
    <xf numFmtId="165" fontId="13985" fillId="8" borderId="1" xfId="0" applyNumberFormat="1" applyFont="1" applyFill="1" applyBorder="1" applyAlignment="1">
      <alignment horizontal="center" vertical="center"/>
    </xf>
    <xf numFmtId="1" fontId="13986" fillId="8" borderId="1" xfId="0" applyNumberFormat="1" applyFont="1" applyFill="1" applyBorder="1" applyAlignment="1">
      <alignment horizontal="center" vertical="center"/>
    </xf>
    <xf numFmtId="1" fontId="13987" fillId="8" borderId="1" xfId="0" applyNumberFormat="1" applyFont="1" applyFill="1" applyBorder="1" applyAlignment="1">
      <alignment horizontal="center" vertical="center"/>
    </xf>
    <xf numFmtId="1" fontId="13988" fillId="8" borderId="1" xfId="0" applyNumberFormat="1" applyFont="1" applyFill="1" applyBorder="1" applyAlignment="1">
      <alignment horizontal="center" vertical="center"/>
    </xf>
    <xf numFmtId="165" fontId="13989" fillId="8" borderId="1" xfId="0" applyNumberFormat="1" applyFont="1" applyFill="1" applyBorder="1" applyAlignment="1">
      <alignment horizontal="center" vertical="center"/>
    </xf>
    <xf numFmtId="164" fontId="13990" fillId="8" borderId="1" xfId="0" applyNumberFormat="1" applyFont="1" applyFill="1" applyBorder="1" applyAlignment="1">
      <alignment horizontal="center" vertical="center"/>
    </xf>
    <xf numFmtId="164" fontId="13991" fillId="8" borderId="1" xfId="0" applyNumberFormat="1" applyFont="1" applyFill="1" applyBorder="1" applyAlignment="1">
      <alignment horizontal="center" vertical="center"/>
    </xf>
    <xf numFmtId="1" fontId="13992" fillId="8" borderId="1" xfId="0" applyNumberFormat="1" applyFont="1" applyFill="1" applyBorder="1" applyAlignment="1">
      <alignment horizontal="center" vertical="center"/>
    </xf>
    <xf numFmtId="1" fontId="13993" fillId="8" borderId="1" xfId="0" applyNumberFormat="1" applyFont="1" applyFill="1" applyBorder="1" applyAlignment="1">
      <alignment horizontal="center" vertical="center"/>
    </xf>
    <xf numFmtId="1" fontId="13994" fillId="8" borderId="1" xfId="0" applyNumberFormat="1" applyFont="1" applyFill="1" applyBorder="1" applyAlignment="1">
      <alignment horizontal="center" vertical="center"/>
    </xf>
    <xf numFmtId="165" fontId="13995" fillId="8" borderId="1" xfId="0" applyNumberFormat="1" applyFont="1" applyFill="1" applyBorder="1" applyAlignment="1">
      <alignment horizontal="center" vertical="center"/>
    </xf>
    <xf numFmtId="1" fontId="13996" fillId="8" borderId="1" xfId="0" applyNumberFormat="1" applyFont="1" applyFill="1" applyBorder="1" applyAlignment="1">
      <alignment horizontal="center" vertical="center"/>
    </xf>
    <xf numFmtId="165" fontId="13997" fillId="8" borderId="1" xfId="0" applyNumberFormat="1" applyFont="1" applyFill="1" applyBorder="1" applyAlignment="1">
      <alignment horizontal="center" vertical="center"/>
    </xf>
    <xf numFmtId="1" fontId="13998" fillId="8" borderId="1" xfId="0" applyNumberFormat="1" applyFont="1" applyFill="1" applyBorder="1" applyAlignment="1">
      <alignment horizontal="center" vertical="center"/>
    </xf>
    <xf numFmtId="1" fontId="13999" fillId="8" borderId="1" xfId="0" applyNumberFormat="1" applyFont="1" applyFill="1" applyBorder="1" applyAlignment="1">
      <alignment horizontal="center" vertical="center"/>
    </xf>
    <xf numFmtId="1" fontId="14000" fillId="8" borderId="1" xfId="0" applyNumberFormat="1" applyFont="1" applyFill="1" applyBorder="1" applyAlignment="1">
      <alignment horizontal="center" vertical="center"/>
    </xf>
    <xf numFmtId="1" fontId="14001" fillId="8" borderId="1" xfId="0" applyNumberFormat="1" applyFont="1" applyFill="1" applyBorder="1" applyAlignment="1">
      <alignment horizontal="center" vertical="center"/>
    </xf>
    <xf numFmtId="165" fontId="14002" fillId="8" borderId="1" xfId="0" applyNumberFormat="1" applyFont="1" applyFill="1" applyBorder="1" applyAlignment="1">
      <alignment horizontal="center" vertical="center"/>
    </xf>
    <xf numFmtId="1" fontId="14003" fillId="8" borderId="1" xfId="0" applyNumberFormat="1" applyFont="1" applyFill="1" applyBorder="1" applyAlignment="1">
      <alignment horizontal="center" vertical="center"/>
    </xf>
    <xf numFmtId="165" fontId="14004" fillId="8" borderId="1" xfId="0" applyNumberFormat="1" applyFont="1" applyFill="1" applyBorder="1" applyAlignment="1">
      <alignment horizontal="center" vertical="center"/>
    </xf>
    <xf numFmtId="1" fontId="14005" fillId="8" borderId="1" xfId="0" applyNumberFormat="1" applyFont="1" applyFill="1" applyBorder="1" applyAlignment="1">
      <alignment horizontal="center" vertical="center"/>
    </xf>
    <xf numFmtId="165" fontId="14006" fillId="8" borderId="1" xfId="0" applyNumberFormat="1" applyFont="1" applyFill="1" applyBorder="1" applyAlignment="1">
      <alignment horizontal="center" vertical="center"/>
    </xf>
    <xf numFmtId="2" fontId="14007" fillId="8" borderId="1" xfId="0" applyNumberFormat="1" applyFont="1" applyFill="1" applyBorder="1" applyAlignment="1">
      <alignment horizontal="center" vertical="center"/>
    </xf>
    <xf numFmtId="2" fontId="14008" fillId="8" borderId="1" xfId="0" applyNumberFormat="1" applyFont="1" applyFill="1" applyBorder="1" applyAlignment="1">
      <alignment horizontal="center" vertical="center"/>
    </xf>
    <xf numFmtId="2" fontId="14009" fillId="8" borderId="1" xfId="0" applyNumberFormat="1" applyFont="1" applyFill="1" applyBorder="1" applyAlignment="1">
      <alignment horizontal="center" vertical="center"/>
    </xf>
    <xf numFmtId="2" fontId="14010" fillId="8" borderId="1" xfId="0" applyNumberFormat="1" applyFont="1" applyFill="1" applyBorder="1" applyAlignment="1">
      <alignment horizontal="center" vertical="center"/>
    </xf>
    <xf numFmtId="2" fontId="14011" fillId="8" borderId="1" xfId="0" applyNumberFormat="1" applyFont="1" applyFill="1" applyBorder="1" applyAlignment="1">
      <alignment horizontal="center" vertical="center"/>
    </xf>
    <xf numFmtId="2" fontId="14012" fillId="8" borderId="1" xfId="0" applyNumberFormat="1" applyFont="1" applyFill="1" applyBorder="1" applyAlignment="1">
      <alignment horizontal="center" vertical="center"/>
    </xf>
    <xf numFmtId="2" fontId="14013" fillId="8" borderId="1" xfId="0" applyNumberFormat="1" applyFont="1" applyFill="1" applyBorder="1" applyAlignment="1">
      <alignment horizontal="center" vertical="center"/>
    </xf>
    <xf numFmtId="2" fontId="14014" fillId="8" borderId="1" xfId="0" applyNumberFormat="1" applyFont="1" applyFill="1" applyBorder="1" applyAlignment="1">
      <alignment horizontal="center" vertical="center"/>
    </xf>
    <xf numFmtId="2" fontId="14015" fillId="8" borderId="1" xfId="0" applyNumberFormat="1" applyFont="1" applyFill="1" applyBorder="1" applyAlignment="1">
      <alignment horizontal="center" vertical="center"/>
    </xf>
    <xf numFmtId="2" fontId="14016" fillId="8" borderId="1" xfId="0" applyNumberFormat="1" applyFont="1" applyFill="1" applyBorder="1" applyAlignment="1">
      <alignment horizontal="center" vertical="center"/>
    </xf>
    <xf numFmtId="2" fontId="14017" fillId="8" borderId="1" xfId="0" applyNumberFormat="1" applyFont="1" applyFill="1" applyBorder="1" applyAlignment="1">
      <alignment horizontal="center" vertical="center"/>
    </xf>
    <xf numFmtId="2" fontId="14018" fillId="8" borderId="1" xfId="0" applyNumberFormat="1" applyFont="1" applyFill="1" applyBorder="1" applyAlignment="1">
      <alignment horizontal="center" vertical="center"/>
    </xf>
    <xf numFmtId="2" fontId="14019" fillId="8" borderId="1" xfId="0" applyNumberFormat="1" applyFont="1" applyFill="1" applyBorder="1" applyAlignment="1">
      <alignment horizontal="center" vertical="center"/>
    </xf>
    <xf numFmtId="2" fontId="14020" fillId="8" borderId="1" xfId="0" applyNumberFormat="1" applyFont="1" applyFill="1" applyBorder="1" applyAlignment="1">
      <alignment horizontal="center" vertical="center"/>
    </xf>
    <xf numFmtId="2" fontId="14021" fillId="8" borderId="1" xfId="0" applyNumberFormat="1" applyFont="1" applyFill="1" applyBorder="1" applyAlignment="1">
      <alignment horizontal="center" vertical="center"/>
    </xf>
    <xf numFmtId="2" fontId="14022" fillId="8" borderId="1" xfId="0" applyNumberFormat="1" applyFont="1" applyFill="1" applyBorder="1" applyAlignment="1">
      <alignment horizontal="center" vertical="center"/>
    </xf>
    <xf numFmtId="2" fontId="14023" fillId="8" borderId="1" xfId="0" applyNumberFormat="1" applyFont="1" applyFill="1" applyBorder="1" applyAlignment="1">
      <alignment horizontal="center" vertical="center"/>
    </xf>
    <xf numFmtId="2" fontId="14024" fillId="8" borderId="1" xfId="0" applyNumberFormat="1" applyFont="1" applyFill="1" applyBorder="1" applyAlignment="1">
      <alignment horizontal="center" vertical="center"/>
    </xf>
    <xf numFmtId="2" fontId="14025" fillId="8" borderId="1" xfId="0" applyNumberFormat="1" applyFont="1" applyFill="1" applyBorder="1" applyAlignment="1">
      <alignment horizontal="center" vertical="center"/>
    </xf>
    <xf numFmtId="2" fontId="14026" fillId="8" borderId="1" xfId="0" applyNumberFormat="1" applyFont="1" applyFill="1" applyBorder="1" applyAlignment="1">
      <alignment horizontal="center" vertical="center"/>
    </xf>
    <xf numFmtId="2" fontId="14027" fillId="8" borderId="1" xfId="0" applyNumberFormat="1" applyFont="1" applyFill="1" applyBorder="1" applyAlignment="1">
      <alignment horizontal="center" vertical="center"/>
    </xf>
    <xf numFmtId="2" fontId="14028" fillId="8" borderId="1" xfId="0" applyNumberFormat="1" applyFont="1" applyFill="1" applyBorder="1" applyAlignment="1">
      <alignment horizontal="center" vertical="center"/>
    </xf>
    <xf numFmtId="2" fontId="14029" fillId="8" borderId="1" xfId="0" applyNumberFormat="1" applyFont="1" applyFill="1" applyBorder="1" applyAlignment="1">
      <alignment horizontal="center" vertical="center"/>
    </xf>
    <xf numFmtId="2" fontId="14030" fillId="8" borderId="1" xfId="0" applyNumberFormat="1" applyFont="1" applyFill="1" applyBorder="1" applyAlignment="1">
      <alignment horizontal="center" vertical="center"/>
    </xf>
    <xf numFmtId="2" fontId="14031" fillId="8" borderId="1" xfId="0" applyNumberFormat="1" applyFont="1" applyFill="1" applyBorder="1" applyAlignment="1">
      <alignment horizontal="center" vertical="center"/>
    </xf>
    <xf numFmtId="2" fontId="14032" fillId="8" borderId="1" xfId="0" applyNumberFormat="1" applyFont="1" applyFill="1" applyBorder="1" applyAlignment="1">
      <alignment horizontal="center" vertical="center"/>
    </xf>
    <xf numFmtId="2" fontId="14033" fillId="8" borderId="1" xfId="0" applyNumberFormat="1" applyFont="1" applyFill="1" applyBorder="1" applyAlignment="1">
      <alignment horizontal="center" vertical="center"/>
    </xf>
    <xf numFmtId="2" fontId="14034" fillId="8" borderId="1" xfId="0" applyNumberFormat="1" applyFont="1" applyFill="1" applyBorder="1" applyAlignment="1">
      <alignment horizontal="center" vertical="center"/>
    </xf>
    <xf numFmtId="2" fontId="14035" fillId="8" borderId="1" xfId="0" applyNumberFormat="1" applyFont="1" applyFill="1" applyBorder="1" applyAlignment="1">
      <alignment horizontal="center" vertical="center"/>
    </xf>
    <xf numFmtId="2" fontId="14036" fillId="8" borderId="1" xfId="0" applyNumberFormat="1" applyFont="1" applyFill="1" applyBorder="1" applyAlignment="1">
      <alignment horizontal="center" vertical="center"/>
    </xf>
    <xf numFmtId="2" fontId="14037" fillId="8" borderId="1" xfId="0" applyNumberFormat="1" applyFont="1" applyFill="1" applyBorder="1" applyAlignment="1">
      <alignment horizontal="center" vertical="center"/>
    </xf>
    <xf numFmtId="2" fontId="14038" fillId="8" borderId="1" xfId="0" applyNumberFormat="1" applyFont="1" applyFill="1" applyBorder="1" applyAlignment="1">
      <alignment horizontal="center" vertical="center"/>
    </xf>
    <xf numFmtId="2" fontId="14039" fillId="8" borderId="1" xfId="0" applyNumberFormat="1" applyFont="1" applyFill="1" applyBorder="1" applyAlignment="1">
      <alignment horizontal="center" vertical="center"/>
    </xf>
    <xf numFmtId="2" fontId="14040" fillId="8" borderId="1" xfId="0" applyNumberFormat="1" applyFont="1" applyFill="1" applyBorder="1" applyAlignment="1">
      <alignment horizontal="center" vertical="center"/>
    </xf>
    <xf numFmtId="0" fontId="14041" fillId="7" borderId="1" xfId="0" applyNumberFormat="1" applyFont="1" applyFill="1" applyBorder="1" applyAlignment="1">
      <alignment horizontal="left" vertical="center"/>
    </xf>
    <xf numFmtId="0" fontId="14042" fillId="8" borderId="1" xfId="0" applyNumberFormat="1" applyFont="1" applyFill="1" applyBorder="1" applyAlignment="1">
      <alignment horizontal="center" vertical="center"/>
    </xf>
    <xf numFmtId="164" fontId="14043" fillId="8" borderId="1" xfId="0" applyNumberFormat="1" applyFont="1" applyFill="1" applyBorder="1" applyAlignment="1">
      <alignment horizontal="center" vertical="center"/>
    </xf>
    <xf numFmtId="1" fontId="14044" fillId="8" borderId="1" xfId="0" applyNumberFormat="1" applyFont="1" applyFill="1" applyBorder="1" applyAlignment="1">
      <alignment horizontal="center" vertical="center"/>
    </xf>
    <xf numFmtId="1" fontId="14045" fillId="8" borderId="1" xfId="0" applyNumberFormat="1" applyFont="1" applyFill="1" applyBorder="1" applyAlignment="1">
      <alignment horizontal="center" vertical="center"/>
    </xf>
    <xf numFmtId="1" fontId="14046" fillId="8" borderId="1" xfId="0" applyNumberFormat="1" applyFont="1" applyFill="1" applyBorder="1" applyAlignment="1">
      <alignment horizontal="center" vertical="center"/>
    </xf>
    <xf numFmtId="1" fontId="14047" fillId="8" borderId="1" xfId="0" applyNumberFormat="1" applyFont="1" applyFill="1" applyBorder="1" applyAlignment="1">
      <alignment horizontal="center" vertical="center"/>
    </xf>
    <xf numFmtId="1" fontId="14048" fillId="8" borderId="1" xfId="0" applyNumberFormat="1" applyFont="1" applyFill="1" applyBorder="1" applyAlignment="1">
      <alignment horizontal="center" vertical="center"/>
    </xf>
    <xf numFmtId="1" fontId="14049" fillId="8" borderId="1" xfId="0" applyNumberFormat="1" applyFont="1" applyFill="1" applyBorder="1" applyAlignment="1">
      <alignment horizontal="center" vertical="center"/>
    </xf>
    <xf numFmtId="1" fontId="14050" fillId="8" borderId="1" xfId="0" applyNumberFormat="1" applyFont="1" applyFill="1" applyBorder="1" applyAlignment="1">
      <alignment horizontal="center" vertical="center"/>
    </xf>
    <xf numFmtId="0" fontId="14051" fillId="8" borderId="1" xfId="0" applyNumberFormat="1" applyFont="1" applyFill="1" applyBorder="1" applyAlignment="1">
      <alignment horizontal="center" vertical="center"/>
    </xf>
    <xf numFmtId="0" fontId="14052" fillId="8" borderId="1" xfId="0" applyNumberFormat="1" applyFont="1" applyFill="1" applyBorder="1" applyAlignment="1">
      <alignment horizontal="center" vertical="center"/>
    </xf>
    <xf numFmtId="1" fontId="14053" fillId="8" borderId="1" xfId="0" applyNumberFormat="1" applyFont="1" applyFill="1" applyBorder="1" applyAlignment="1">
      <alignment horizontal="center" vertical="center"/>
    </xf>
    <xf numFmtId="1" fontId="14054" fillId="8" borderId="1" xfId="0" applyNumberFormat="1" applyFont="1" applyFill="1" applyBorder="1" applyAlignment="1">
      <alignment horizontal="center" vertical="center"/>
    </xf>
    <xf numFmtId="1" fontId="14055" fillId="8" borderId="1" xfId="0" applyNumberFormat="1" applyFont="1" applyFill="1" applyBorder="1" applyAlignment="1">
      <alignment horizontal="center" vertical="center"/>
    </xf>
    <xf numFmtId="165" fontId="14056" fillId="8" borderId="1" xfId="0" applyNumberFormat="1" applyFont="1" applyFill="1" applyBorder="1" applyAlignment="1">
      <alignment horizontal="center" vertical="center"/>
    </xf>
    <xf numFmtId="1" fontId="14057" fillId="8" borderId="1" xfId="0" applyNumberFormat="1" applyFont="1" applyFill="1" applyBorder="1" applyAlignment="1">
      <alignment horizontal="center" vertical="center"/>
    </xf>
    <xf numFmtId="165" fontId="14058" fillId="8" borderId="1" xfId="0" applyNumberFormat="1" applyFont="1" applyFill="1" applyBorder="1" applyAlignment="1">
      <alignment horizontal="center" vertical="center"/>
    </xf>
    <xf numFmtId="1" fontId="14059" fillId="8" borderId="1" xfId="0" applyNumberFormat="1" applyFont="1" applyFill="1" applyBorder="1" applyAlignment="1">
      <alignment horizontal="center" vertical="center"/>
    </xf>
    <xf numFmtId="165" fontId="14060" fillId="8" borderId="1" xfId="0" applyNumberFormat="1" applyFont="1" applyFill="1" applyBorder="1" applyAlignment="1">
      <alignment horizontal="center" vertical="center"/>
    </xf>
    <xf numFmtId="1" fontId="14061" fillId="8" borderId="1" xfId="0" applyNumberFormat="1" applyFont="1" applyFill="1" applyBorder="1" applyAlignment="1">
      <alignment horizontal="center" vertical="center"/>
    </xf>
    <xf numFmtId="165" fontId="14062" fillId="8" borderId="1" xfId="0" applyNumberFormat="1" applyFont="1" applyFill="1" applyBorder="1" applyAlignment="1">
      <alignment horizontal="center" vertical="center"/>
    </xf>
    <xf numFmtId="165" fontId="14063" fillId="8" borderId="1" xfId="0" applyNumberFormat="1" applyFont="1" applyFill="1" applyBorder="1" applyAlignment="1">
      <alignment horizontal="center" vertical="center"/>
    </xf>
    <xf numFmtId="1" fontId="14064" fillId="8" borderId="1" xfId="0" applyNumberFormat="1" applyFont="1" applyFill="1" applyBorder="1" applyAlignment="1">
      <alignment horizontal="center" vertical="center"/>
    </xf>
    <xf numFmtId="1" fontId="14065" fillId="8" borderId="1" xfId="0" applyNumberFormat="1" applyFont="1" applyFill="1" applyBorder="1" applyAlignment="1">
      <alignment horizontal="center" vertical="center"/>
    </xf>
    <xf numFmtId="1" fontId="14066" fillId="8" borderId="1" xfId="0" applyNumberFormat="1" applyFont="1" applyFill="1" applyBorder="1" applyAlignment="1">
      <alignment horizontal="center" vertical="center"/>
    </xf>
    <xf numFmtId="165" fontId="14067" fillId="8" borderId="1" xfId="0" applyNumberFormat="1" applyFont="1" applyFill="1" applyBorder="1" applyAlignment="1">
      <alignment horizontal="center" vertical="center"/>
    </xf>
    <xf numFmtId="164" fontId="14068" fillId="8" borderId="1" xfId="0" applyNumberFormat="1" applyFont="1" applyFill="1" applyBorder="1" applyAlignment="1">
      <alignment horizontal="center" vertical="center"/>
    </xf>
    <xf numFmtId="164" fontId="14069" fillId="8" borderId="1" xfId="0" applyNumberFormat="1" applyFont="1" applyFill="1" applyBorder="1" applyAlignment="1">
      <alignment horizontal="center" vertical="center"/>
    </xf>
    <xf numFmtId="1" fontId="14070" fillId="8" borderId="1" xfId="0" applyNumberFormat="1" applyFont="1" applyFill="1" applyBorder="1" applyAlignment="1">
      <alignment horizontal="center" vertical="center"/>
    </xf>
    <xf numFmtId="1" fontId="14071" fillId="8" borderId="1" xfId="0" applyNumberFormat="1" applyFont="1" applyFill="1" applyBorder="1" applyAlignment="1">
      <alignment horizontal="center" vertical="center"/>
    </xf>
    <xf numFmtId="1" fontId="14072" fillId="8" borderId="1" xfId="0" applyNumberFormat="1" applyFont="1" applyFill="1" applyBorder="1" applyAlignment="1">
      <alignment horizontal="center" vertical="center"/>
    </xf>
    <xf numFmtId="165" fontId="14073" fillId="8" borderId="1" xfId="0" applyNumberFormat="1" applyFont="1" applyFill="1" applyBorder="1" applyAlignment="1">
      <alignment horizontal="center" vertical="center"/>
    </xf>
    <xf numFmtId="1" fontId="14074" fillId="8" borderId="1" xfId="0" applyNumberFormat="1" applyFont="1" applyFill="1" applyBorder="1" applyAlignment="1">
      <alignment horizontal="center" vertical="center"/>
    </xf>
    <xf numFmtId="165" fontId="14075" fillId="8" borderId="1" xfId="0" applyNumberFormat="1" applyFont="1" applyFill="1" applyBorder="1" applyAlignment="1">
      <alignment horizontal="center" vertical="center"/>
    </xf>
    <xf numFmtId="1" fontId="14076" fillId="8" borderId="1" xfId="0" applyNumberFormat="1" applyFont="1" applyFill="1" applyBorder="1" applyAlignment="1">
      <alignment horizontal="center" vertical="center"/>
    </xf>
    <xf numFmtId="1" fontId="14077" fillId="8" borderId="1" xfId="0" applyNumberFormat="1" applyFont="1" applyFill="1" applyBorder="1" applyAlignment="1">
      <alignment horizontal="center" vertical="center"/>
    </xf>
    <xf numFmtId="1" fontId="14078" fillId="8" borderId="1" xfId="0" applyNumberFormat="1" applyFont="1" applyFill="1" applyBorder="1" applyAlignment="1">
      <alignment horizontal="center" vertical="center"/>
    </xf>
    <xf numFmtId="1" fontId="14079" fillId="8" borderId="1" xfId="0" applyNumberFormat="1" applyFont="1" applyFill="1" applyBorder="1" applyAlignment="1">
      <alignment horizontal="center" vertical="center"/>
    </xf>
    <xf numFmtId="165" fontId="14080" fillId="8" borderId="1" xfId="0" applyNumberFormat="1" applyFont="1" applyFill="1" applyBorder="1" applyAlignment="1">
      <alignment horizontal="center" vertical="center"/>
    </xf>
    <xf numFmtId="1" fontId="14081" fillId="8" borderId="1" xfId="0" applyNumberFormat="1" applyFont="1" applyFill="1" applyBorder="1" applyAlignment="1">
      <alignment horizontal="center" vertical="center"/>
    </xf>
    <xf numFmtId="165" fontId="14082" fillId="8" borderId="1" xfId="0" applyNumberFormat="1" applyFont="1" applyFill="1" applyBorder="1" applyAlignment="1">
      <alignment horizontal="center" vertical="center"/>
    </xf>
    <xf numFmtId="1" fontId="14083" fillId="8" borderId="1" xfId="0" applyNumberFormat="1" applyFont="1" applyFill="1" applyBorder="1" applyAlignment="1">
      <alignment horizontal="center" vertical="center"/>
    </xf>
    <xf numFmtId="165" fontId="14084" fillId="8" borderId="1" xfId="0" applyNumberFormat="1" applyFont="1" applyFill="1" applyBorder="1" applyAlignment="1">
      <alignment horizontal="center" vertical="center"/>
    </xf>
    <xf numFmtId="2" fontId="14085" fillId="8" borderId="1" xfId="0" applyNumberFormat="1" applyFont="1" applyFill="1" applyBorder="1" applyAlignment="1">
      <alignment horizontal="center" vertical="center"/>
    </xf>
    <xf numFmtId="2" fontId="14086" fillId="8" borderId="1" xfId="0" applyNumberFormat="1" applyFont="1" applyFill="1" applyBorder="1" applyAlignment="1">
      <alignment horizontal="center" vertical="center"/>
    </xf>
    <xf numFmtId="2" fontId="14087" fillId="8" borderId="1" xfId="0" applyNumberFormat="1" applyFont="1" applyFill="1" applyBorder="1" applyAlignment="1">
      <alignment horizontal="center" vertical="center"/>
    </xf>
    <xf numFmtId="2" fontId="14088" fillId="8" borderId="1" xfId="0" applyNumberFormat="1" applyFont="1" applyFill="1" applyBorder="1" applyAlignment="1">
      <alignment horizontal="center" vertical="center"/>
    </xf>
    <xf numFmtId="2" fontId="14089" fillId="8" borderId="1" xfId="0" applyNumberFormat="1" applyFont="1" applyFill="1" applyBorder="1" applyAlignment="1">
      <alignment horizontal="center" vertical="center"/>
    </xf>
    <xf numFmtId="2" fontId="14090" fillId="8" borderId="1" xfId="0" applyNumberFormat="1" applyFont="1" applyFill="1" applyBorder="1" applyAlignment="1">
      <alignment horizontal="center" vertical="center"/>
    </xf>
    <xf numFmtId="2" fontId="14091" fillId="8" borderId="1" xfId="0" applyNumberFormat="1" applyFont="1" applyFill="1" applyBorder="1" applyAlignment="1">
      <alignment horizontal="center" vertical="center"/>
    </xf>
    <xf numFmtId="2" fontId="14092" fillId="8" borderId="1" xfId="0" applyNumberFormat="1" applyFont="1" applyFill="1" applyBorder="1" applyAlignment="1">
      <alignment horizontal="center" vertical="center"/>
    </xf>
    <xf numFmtId="2" fontId="14093" fillId="8" borderId="1" xfId="0" applyNumberFormat="1" applyFont="1" applyFill="1" applyBorder="1" applyAlignment="1">
      <alignment horizontal="center" vertical="center"/>
    </xf>
    <xf numFmtId="2" fontId="14094" fillId="8" borderId="1" xfId="0" applyNumberFormat="1" applyFont="1" applyFill="1" applyBorder="1" applyAlignment="1">
      <alignment horizontal="center" vertical="center"/>
    </xf>
    <xf numFmtId="2" fontId="14095" fillId="8" borderId="1" xfId="0" applyNumberFormat="1" applyFont="1" applyFill="1" applyBorder="1" applyAlignment="1">
      <alignment horizontal="center" vertical="center"/>
    </xf>
    <xf numFmtId="2" fontId="14096" fillId="8" borderId="1" xfId="0" applyNumberFormat="1" applyFont="1" applyFill="1" applyBorder="1" applyAlignment="1">
      <alignment horizontal="center" vertical="center"/>
    </xf>
    <xf numFmtId="2" fontId="14097" fillId="8" borderId="1" xfId="0" applyNumberFormat="1" applyFont="1" applyFill="1" applyBorder="1" applyAlignment="1">
      <alignment horizontal="center" vertical="center"/>
    </xf>
    <xf numFmtId="2" fontId="14098" fillId="8" borderId="1" xfId="0" applyNumberFormat="1" applyFont="1" applyFill="1" applyBorder="1" applyAlignment="1">
      <alignment horizontal="center" vertical="center"/>
    </xf>
    <xf numFmtId="2" fontId="14099" fillId="8" borderId="1" xfId="0" applyNumberFormat="1" applyFont="1" applyFill="1" applyBorder="1" applyAlignment="1">
      <alignment horizontal="center" vertical="center"/>
    </xf>
    <xf numFmtId="2" fontId="14100" fillId="8" borderId="1" xfId="0" applyNumberFormat="1" applyFont="1" applyFill="1" applyBorder="1" applyAlignment="1">
      <alignment horizontal="center" vertical="center"/>
    </xf>
    <xf numFmtId="2" fontId="14101" fillId="8" borderId="1" xfId="0" applyNumberFormat="1" applyFont="1" applyFill="1" applyBorder="1" applyAlignment="1">
      <alignment horizontal="center" vertical="center"/>
    </xf>
    <xf numFmtId="2" fontId="14102" fillId="8" borderId="1" xfId="0" applyNumberFormat="1" applyFont="1" applyFill="1" applyBorder="1" applyAlignment="1">
      <alignment horizontal="center" vertical="center"/>
    </xf>
    <xf numFmtId="2" fontId="14103" fillId="8" borderId="1" xfId="0" applyNumberFormat="1" applyFont="1" applyFill="1" applyBorder="1" applyAlignment="1">
      <alignment horizontal="center" vertical="center"/>
    </xf>
    <xf numFmtId="2" fontId="14104" fillId="8" borderId="1" xfId="0" applyNumberFormat="1" applyFont="1" applyFill="1" applyBorder="1" applyAlignment="1">
      <alignment horizontal="center" vertical="center"/>
    </xf>
    <xf numFmtId="2" fontId="14105" fillId="8" borderId="1" xfId="0" applyNumberFormat="1" applyFont="1" applyFill="1" applyBorder="1" applyAlignment="1">
      <alignment horizontal="center" vertical="center"/>
    </xf>
    <xf numFmtId="2" fontId="14106" fillId="8" borderId="1" xfId="0" applyNumberFormat="1" applyFont="1" applyFill="1" applyBorder="1" applyAlignment="1">
      <alignment horizontal="center" vertical="center"/>
    </xf>
    <xf numFmtId="2" fontId="14107" fillId="8" borderId="1" xfId="0" applyNumberFormat="1" applyFont="1" applyFill="1" applyBorder="1" applyAlignment="1">
      <alignment horizontal="center" vertical="center"/>
    </xf>
    <xf numFmtId="2" fontId="14108" fillId="8" borderId="1" xfId="0" applyNumberFormat="1" applyFont="1" applyFill="1" applyBorder="1" applyAlignment="1">
      <alignment horizontal="center" vertical="center"/>
    </xf>
    <xf numFmtId="2" fontId="14109" fillId="8" borderId="1" xfId="0" applyNumberFormat="1" applyFont="1" applyFill="1" applyBorder="1" applyAlignment="1">
      <alignment horizontal="center" vertical="center"/>
    </xf>
    <xf numFmtId="2" fontId="14110" fillId="8" borderId="1" xfId="0" applyNumberFormat="1" applyFont="1" applyFill="1" applyBorder="1" applyAlignment="1">
      <alignment horizontal="center" vertical="center"/>
    </xf>
    <xf numFmtId="2" fontId="14111" fillId="8" borderId="1" xfId="0" applyNumberFormat="1" applyFont="1" applyFill="1" applyBorder="1" applyAlignment="1">
      <alignment horizontal="center" vertical="center"/>
    </xf>
    <xf numFmtId="2" fontId="14112" fillId="8" borderId="1" xfId="0" applyNumberFormat="1" applyFont="1" applyFill="1" applyBorder="1" applyAlignment="1">
      <alignment horizontal="center" vertical="center"/>
    </xf>
    <xf numFmtId="2" fontId="14113" fillId="8" borderId="1" xfId="0" applyNumberFormat="1" applyFont="1" applyFill="1" applyBorder="1" applyAlignment="1">
      <alignment horizontal="center" vertical="center"/>
    </xf>
    <xf numFmtId="2" fontId="14114" fillId="8" borderId="1" xfId="0" applyNumberFormat="1" applyFont="1" applyFill="1" applyBorder="1" applyAlignment="1">
      <alignment horizontal="center" vertical="center"/>
    </xf>
    <xf numFmtId="2" fontId="14115" fillId="8" borderId="1" xfId="0" applyNumberFormat="1" applyFont="1" applyFill="1" applyBorder="1" applyAlignment="1">
      <alignment horizontal="center" vertical="center"/>
    </xf>
    <xf numFmtId="2" fontId="14116" fillId="8" borderId="1" xfId="0" applyNumberFormat="1" applyFont="1" applyFill="1" applyBorder="1" applyAlignment="1">
      <alignment horizontal="center" vertical="center"/>
    </xf>
    <xf numFmtId="2" fontId="14117" fillId="8" borderId="1" xfId="0" applyNumberFormat="1" applyFont="1" applyFill="1" applyBorder="1" applyAlignment="1">
      <alignment horizontal="center" vertical="center"/>
    </xf>
    <xf numFmtId="2" fontId="14118" fillId="8" borderId="1" xfId="0" applyNumberFormat="1" applyFont="1" applyFill="1" applyBorder="1" applyAlignment="1">
      <alignment horizontal="center" vertical="center"/>
    </xf>
    <xf numFmtId="0" fontId="14119" fillId="7" borderId="1" xfId="0" applyNumberFormat="1" applyFont="1" applyFill="1" applyBorder="1" applyAlignment="1">
      <alignment horizontal="left" vertical="center"/>
    </xf>
    <xf numFmtId="0" fontId="14120" fillId="8" borderId="1" xfId="0" applyNumberFormat="1" applyFont="1" applyFill="1" applyBorder="1" applyAlignment="1">
      <alignment horizontal="center" vertical="center"/>
    </xf>
    <xf numFmtId="164" fontId="14121" fillId="8" borderId="1" xfId="0" applyNumberFormat="1" applyFont="1" applyFill="1" applyBorder="1" applyAlignment="1">
      <alignment horizontal="center" vertical="center"/>
    </xf>
    <xf numFmtId="1" fontId="14122" fillId="8" borderId="1" xfId="0" applyNumberFormat="1" applyFont="1" applyFill="1" applyBorder="1" applyAlignment="1">
      <alignment horizontal="center" vertical="center"/>
    </xf>
    <xf numFmtId="1" fontId="14123" fillId="8" borderId="1" xfId="0" applyNumberFormat="1" applyFont="1" applyFill="1" applyBorder="1" applyAlignment="1">
      <alignment horizontal="center" vertical="center"/>
    </xf>
    <xf numFmtId="1" fontId="14124" fillId="8" borderId="1" xfId="0" applyNumberFormat="1" applyFont="1" applyFill="1" applyBorder="1" applyAlignment="1">
      <alignment horizontal="center" vertical="center"/>
    </xf>
    <xf numFmtId="1" fontId="14125" fillId="8" borderId="1" xfId="0" applyNumberFormat="1" applyFont="1" applyFill="1" applyBorder="1" applyAlignment="1">
      <alignment horizontal="center" vertical="center"/>
    </xf>
    <xf numFmtId="1" fontId="14126" fillId="8" borderId="1" xfId="0" applyNumberFormat="1" applyFont="1" applyFill="1" applyBorder="1" applyAlignment="1">
      <alignment horizontal="center" vertical="center"/>
    </xf>
    <xf numFmtId="1" fontId="14127" fillId="8" borderId="1" xfId="0" applyNumberFormat="1" applyFont="1" applyFill="1" applyBorder="1" applyAlignment="1">
      <alignment horizontal="center" vertical="center"/>
    </xf>
    <xf numFmtId="1" fontId="14128" fillId="8" borderId="1" xfId="0" applyNumberFormat="1" applyFont="1" applyFill="1" applyBorder="1" applyAlignment="1">
      <alignment horizontal="center" vertical="center"/>
    </xf>
    <xf numFmtId="0" fontId="14129" fillId="8" borderId="1" xfId="0" applyNumberFormat="1" applyFont="1" applyFill="1" applyBorder="1" applyAlignment="1">
      <alignment horizontal="center" vertical="center"/>
    </xf>
    <xf numFmtId="0" fontId="14130" fillId="8" borderId="1" xfId="0" applyNumberFormat="1" applyFont="1" applyFill="1" applyBorder="1" applyAlignment="1">
      <alignment horizontal="center" vertical="center"/>
    </xf>
    <xf numFmtId="1" fontId="14131" fillId="8" borderId="1" xfId="0" applyNumberFormat="1" applyFont="1" applyFill="1" applyBorder="1" applyAlignment="1">
      <alignment horizontal="center" vertical="center"/>
    </xf>
    <xf numFmtId="1" fontId="14132" fillId="8" borderId="1" xfId="0" applyNumberFormat="1" applyFont="1" applyFill="1" applyBorder="1" applyAlignment="1">
      <alignment horizontal="center" vertical="center"/>
    </xf>
    <xf numFmtId="1" fontId="14133" fillId="8" borderId="1" xfId="0" applyNumberFormat="1" applyFont="1" applyFill="1" applyBorder="1" applyAlignment="1">
      <alignment horizontal="center" vertical="center"/>
    </xf>
    <xf numFmtId="165" fontId="14134" fillId="8" borderId="1" xfId="0" applyNumberFormat="1" applyFont="1" applyFill="1" applyBorder="1" applyAlignment="1">
      <alignment horizontal="center" vertical="center"/>
    </xf>
    <xf numFmtId="1" fontId="14135" fillId="8" borderId="1" xfId="0" applyNumberFormat="1" applyFont="1" applyFill="1" applyBorder="1" applyAlignment="1">
      <alignment horizontal="center" vertical="center"/>
    </xf>
    <xf numFmtId="165" fontId="14136" fillId="8" borderId="1" xfId="0" applyNumberFormat="1" applyFont="1" applyFill="1" applyBorder="1" applyAlignment="1">
      <alignment horizontal="center" vertical="center"/>
    </xf>
    <xf numFmtId="1" fontId="14137" fillId="8" borderId="1" xfId="0" applyNumberFormat="1" applyFont="1" applyFill="1" applyBorder="1" applyAlignment="1">
      <alignment horizontal="center" vertical="center"/>
    </xf>
    <xf numFmtId="165" fontId="14138" fillId="8" borderId="1" xfId="0" applyNumberFormat="1" applyFont="1" applyFill="1" applyBorder="1" applyAlignment="1">
      <alignment horizontal="center" vertical="center"/>
    </xf>
    <xf numFmtId="1" fontId="14139" fillId="8" borderId="1" xfId="0" applyNumberFormat="1" applyFont="1" applyFill="1" applyBorder="1" applyAlignment="1">
      <alignment horizontal="center" vertical="center"/>
    </xf>
    <xf numFmtId="165" fontId="14140" fillId="8" borderId="1" xfId="0" applyNumberFormat="1" applyFont="1" applyFill="1" applyBorder="1" applyAlignment="1">
      <alignment horizontal="center" vertical="center"/>
    </xf>
    <xf numFmtId="165" fontId="14141" fillId="8" borderId="1" xfId="0" applyNumberFormat="1" applyFont="1" applyFill="1" applyBorder="1" applyAlignment="1">
      <alignment horizontal="center" vertical="center"/>
    </xf>
    <xf numFmtId="1" fontId="14142" fillId="8" borderId="1" xfId="0" applyNumberFormat="1" applyFont="1" applyFill="1" applyBorder="1" applyAlignment="1">
      <alignment horizontal="center" vertical="center"/>
    </xf>
    <xf numFmtId="1" fontId="14143" fillId="8" borderId="1" xfId="0" applyNumberFormat="1" applyFont="1" applyFill="1" applyBorder="1" applyAlignment="1">
      <alignment horizontal="center" vertical="center"/>
    </xf>
    <xf numFmtId="1" fontId="14144" fillId="8" borderId="1" xfId="0" applyNumberFormat="1" applyFont="1" applyFill="1" applyBorder="1" applyAlignment="1">
      <alignment horizontal="center" vertical="center"/>
    </xf>
    <xf numFmtId="165" fontId="14145" fillId="8" borderId="1" xfId="0" applyNumberFormat="1" applyFont="1" applyFill="1" applyBorder="1" applyAlignment="1">
      <alignment horizontal="center" vertical="center"/>
    </xf>
    <xf numFmtId="164" fontId="14146" fillId="8" borderId="1" xfId="0" applyNumberFormat="1" applyFont="1" applyFill="1" applyBorder="1" applyAlignment="1">
      <alignment horizontal="center" vertical="center"/>
    </xf>
    <xf numFmtId="164" fontId="14147" fillId="8" borderId="1" xfId="0" applyNumberFormat="1" applyFont="1" applyFill="1" applyBorder="1" applyAlignment="1">
      <alignment horizontal="center" vertical="center"/>
    </xf>
    <xf numFmtId="1" fontId="14148" fillId="8" borderId="1" xfId="0" applyNumberFormat="1" applyFont="1" applyFill="1" applyBorder="1" applyAlignment="1">
      <alignment horizontal="center" vertical="center"/>
    </xf>
    <xf numFmtId="1" fontId="14149" fillId="8" borderId="1" xfId="0" applyNumberFormat="1" applyFont="1" applyFill="1" applyBorder="1" applyAlignment="1">
      <alignment horizontal="center" vertical="center"/>
    </xf>
    <xf numFmtId="1" fontId="14150" fillId="8" borderId="1" xfId="0" applyNumberFormat="1" applyFont="1" applyFill="1" applyBorder="1" applyAlignment="1">
      <alignment horizontal="center" vertical="center"/>
    </xf>
    <xf numFmtId="165" fontId="14151" fillId="8" borderId="1" xfId="0" applyNumberFormat="1" applyFont="1" applyFill="1" applyBorder="1" applyAlignment="1">
      <alignment horizontal="center" vertical="center"/>
    </xf>
    <xf numFmtId="1" fontId="14152" fillId="8" borderId="1" xfId="0" applyNumberFormat="1" applyFont="1" applyFill="1" applyBorder="1" applyAlignment="1">
      <alignment horizontal="center" vertical="center"/>
    </xf>
    <xf numFmtId="165" fontId="14153" fillId="8" borderId="1" xfId="0" applyNumberFormat="1" applyFont="1" applyFill="1" applyBorder="1" applyAlignment="1">
      <alignment horizontal="center" vertical="center"/>
    </xf>
    <xf numFmtId="1" fontId="14154" fillId="8" borderId="1" xfId="0" applyNumberFormat="1" applyFont="1" applyFill="1" applyBorder="1" applyAlignment="1">
      <alignment horizontal="center" vertical="center"/>
    </xf>
    <xf numFmtId="1" fontId="14155" fillId="8" borderId="1" xfId="0" applyNumberFormat="1" applyFont="1" applyFill="1" applyBorder="1" applyAlignment="1">
      <alignment horizontal="center" vertical="center"/>
    </xf>
    <xf numFmtId="1" fontId="14156" fillId="8" borderId="1" xfId="0" applyNumberFormat="1" applyFont="1" applyFill="1" applyBorder="1" applyAlignment="1">
      <alignment horizontal="center" vertical="center"/>
    </xf>
    <xf numFmtId="1" fontId="14157" fillId="8" borderId="1" xfId="0" applyNumberFormat="1" applyFont="1" applyFill="1" applyBorder="1" applyAlignment="1">
      <alignment horizontal="center" vertical="center"/>
    </xf>
    <xf numFmtId="165" fontId="14158" fillId="8" borderId="1" xfId="0" applyNumberFormat="1" applyFont="1" applyFill="1" applyBorder="1" applyAlignment="1">
      <alignment horizontal="center" vertical="center"/>
    </xf>
    <xf numFmtId="1" fontId="14159" fillId="8" borderId="1" xfId="0" applyNumberFormat="1" applyFont="1" applyFill="1" applyBorder="1" applyAlignment="1">
      <alignment horizontal="center" vertical="center"/>
    </xf>
    <xf numFmtId="165" fontId="14160" fillId="8" borderId="1" xfId="0" applyNumberFormat="1" applyFont="1" applyFill="1" applyBorder="1" applyAlignment="1">
      <alignment horizontal="center" vertical="center"/>
    </xf>
    <xf numFmtId="1" fontId="14161" fillId="8" borderId="1" xfId="0" applyNumberFormat="1" applyFont="1" applyFill="1" applyBorder="1" applyAlignment="1">
      <alignment horizontal="center" vertical="center"/>
    </xf>
    <xf numFmtId="165" fontId="14162" fillId="8" borderId="1" xfId="0" applyNumberFormat="1" applyFont="1" applyFill="1" applyBorder="1" applyAlignment="1">
      <alignment horizontal="center" vertical="center"/>
    </xf>
    <xf numFmtId="2" fontId="14163" fillId="8" borderId="1" xfId="0" applyNumberFormat="1" applyFont="1" applyFill="1" applyBorder="1" applyAlignment="1">
      <alignment horizontal="center" vertical="center"/>
    </xf>
    <xf numFmtId="2" fontId="14164" fillId="8" borderId="1" xfId="0" applyNumberFormat="1" applyFont="1" applyFill="1" applyBorder="1" applyAlignment="1">
      <alignment horizontal="center" vertical="center"/>
    </xf>
    <xf numFmtId="2" fontId="14165" fillId="8" borderId="1" xfId="0" applyNumberFormat="1" applyFont="1" applyFill="1" applyBorder="1" applyAlignment="1">
      <alignment horizontal="center" vertical="center"/>
    </xf>
    <xf numFmtId="2" fontId="14166" fillId="8" borderId="1" xfId="0" applyNumberFormat="1" applyFont="1" applyFill="1" applyBorder="1" applyAlignment="1">
      <alignment horizontal="center" vertical="center"/>
    </xf>
    <xf numFmtId="2" fontId="14167" fillId="8" borderId="1" xfId="0" applyNumberFormat="1" applyFont="1" applyFill="1" applyBorder="1" applyAlignment="1">
      <alignment horizontal="center" vertical="center"/>
    </xf>
    <xf numFmtId="2" fontId="14168" fillId="8" borderId="1" xfId="0" applyNumberFormat="1" applyFont="1" applyFill="1" applyBorder="1" applyAlignment="1">
      <alignment horizontal="center" vertical="center"/>
    </xf>
    <xf numFmtId="2" fontId="14169" fillId="8" borderId="1" xfId="0" applyNumberFormat="1" applyFont="1" applyFill="1" applyBorder="1" applyAlignment="1">
      <alignment horizontal="center" vertical="center"/>
    </xf>
    <xf numFmtId="2" fontId="14170" fillId="8" borderId="1" xfId="0" applyNumberFormat="1" applyFont="1" applyFill="1" applyBorder="1" applyAlignment="1">
      <alignment horizontal="center" vertical="center"/>
    </xf>
    <xf numFmtId="2" fontId="14171" fillId="8" borderId="1" xfId="0" applyNumberFormat="1" applyFont="1" applyFill="1" applyBorder="1" applyAlignment="1">
      <alignment horizontal="center" vertical="center"/>
    </xf>
    <xf numFmtId="2" fontId="14172" fillId="8" borderId="1" xfId="0" applyNumberFormat="1" applyFont="1" applyFill="1" applyBorder="1" applyAlignment="1">
      <alignment horizontal="center" vertical="center"/>
    </xf>
    <xf numFmtId="2" fontId="14173" fillId="8" borderId="1" xfId="0" applyNumberFormat="1" applyFont="1" applyFill="1" applyBorder="1" applyAlignment="1">
      <alignment horizontal="center" vertical="center"/>
    </xf>
    <xf numFmtId="2" fontId="14174" fillId="8" borderId="1" xfId="0" applyNumberFormat="1" applyFont="1" applyFill="1" applyBorder="1" applyAlignment="1">
      <alignment horizontal="center" vertical="center"/>
    </xf>
    <xf numFmtId="2" fontId="14175" fillId="8" borderId="1" xfId="0" applyNumberFormat="1" applyFont="1" applyFill="1" applyBorder="1" applyAlignment="1">
      <alignment horizontal="center" vertical="center"/>
    </xf>
    <xf numFmtId="2" fontId="14176" fillId="8" borderId="1" xfId="0" applyNumberFormat="1" applyFont="1" applyFill="1" applyBorder="1" applyAlignment="1">
      <alignment horizontal="center" vertical="center"/>
    </xf>
    <xf numFmtId="2" fontId="14177" fillId="8" borderId="1" xfId="0" applyNumberFormat="1" applyFont="1" applyFill="1" applyBorder="1" applyAlignment="1">
      <alignment horizontal="center" vertical="center"/>
    </xf>
    <xf numFmtId="2" fontId="14178" fillId="8" borderId="1" xfId="0" applyNumberFormat="1" applyFont="1" applyFill="1" applyBorder="1" applyAlignment="1">
      <alignment horizontal="center" vertical="center"/>
    </xf>
    <xf numFmtId="2" fontId="14179" fillId="8" borderId="1" xfId="0" applyNumberFormat="1" applyFont="1" applyFill="1" applyBorder="1" applyAlignment="1">
      <alignment horizontal="center" vertical="center"/>
    </xf>
    <xf numFmtId="2" fontId="14180" fillId="8" borderId="1" xfId="0" applyNumberFormat="1" applyFont="1" applyFill="1" applyBorder="1" applyAlignment="1">
      <alignment horizontal="center" vertical="center"/>
    </xf>
    <xf numFmtId="2" fontId="14181" fillId="8" borderId="1" xfId="0" applyNumberFormat="1" applyFont="1" applyFill="1" applyBorder="1" applyAlignment="1">
      <alignment horizontal="center" vertical="center"/>
    </xf>
    <xf numFmtId="2" fontId="14182" fillId="8" borderId="1" xfId="0" applyNumberFormat="1" applyFont="1" applyFill="1" applyBorder="1" applyAlignment="1">
      <alignment horizontal="center" vertical="center"/>
    </xf>
    <xf numFmtId="2" fontId="14183" fillId="8" borderId="1" xfId="0" applyNumberFormat="1" applyFont="1" applyFill="1" applyBorder="1" applyAlignment="1">
      <alignment horizontal="center" vertical="center"/>
    </xf>
    <xf numFmtId="2" fontId="14184" fillId="8" borderId="1" xfId="0" applyNumberFormat="1" applyFont="1" applyFill="1" applyBorder="1" applyAlignment="1">
      <alignment horizontal="center" vertical="center"/>
    </xf>
    <xf numFmtId="2" fontId="14185" fillId="8" borderId="1" xfId="0" applyNumberFormat="1" applyFont="1" applyFill="1" applyBorder="1" applyAlignment="1">
      <alignment horizontal="center" vertical="center"/>
    </xf>
    <xf numFmtId="2" fontId="14186" fillId="8" borderId="1" xfId="0" applyNumberFormat="1" applyFont="1" applyFill="1" applyBorder="1" applyAlignment="1">
      <alignment horizontal="center" vertical="center"/>
    </xf>
    <xf numFmtId="2" fontId="14187" fillId="8" borderId="1" xfId="0" applyNumberFormat="1" applyFont="1" applyFill="1" applyBorder="1" applyAlignment="1">
      <alignment horizontal="center" vertical="center"/>
    </xf>
    <xf numFmtId="2" fontId="14188" fillId="8" borderId="1" xfId="0" applyNumberFormat="1" applyFont="1" applyFill="1" applyBorder="1" applyAlignment="1">
      <alignment horizontal="center" vertical="center"/>
    </xf>
    <xf numFmtId="2" fontId="14189" fillId="8" borderId="1" xfId="0" applyNumberFormat="1" applyFont="1" applyFill="1" applyBorder="1" applyAlignment="1">
      <alignment horizontal="center" vertical="center"/>
    </xf>
    <xf numFmtId="2" fontId="14190" fillId="8" borderId="1" xfId="0" applyNumberFormat="1" applyFont="1" applyFill="1" applyBorder="1" applyAlignment="1">
      <alignment horizontal="center" vertical="center"/>
    </xf>
    <xf numFmtId="2" fontId="14191" fillId="8" borderId="1" xfId="0" applyNumberFormat="1" applyFont="1" applyFill="1" applyBorder="1" applyAlignment="1">
      <alignment horizontal="center" vertical="center"/>
    </xf>
    <xf numFmtId="2" fontId="14192" fillId="8" borderId="1" xfId="0" applyNumberFormat="1" applyFont="1" applyFill="1" applyBorder="1" applyAlignment="1">
      <alignment horizontal="center" vertical="center"/>
    </xf>
    <xf numFmtId="2" fontId="14193" fillId="8" borderId="1" xfId="0" applyNumberFormat="1" applyFont="1" applyFill="1" applyBorder="1" applyAlignment="1">
      <alignment horizontal="center" vertical="center"/>
    </xf>
    <xf numFmtId="2" fontId="14194" fillId="8" borderId="1" xfId="0" applyNumberFormat="1" applyFont="1" applyFill="1" applyBorder="1" applyAlignment="1">
      <alignment horizontal="center" vertical="center"/>
    </xf>
    <xf numFmtId="2" fontId="14195" fillId="8" borderId="1" xfId="0" applyNumberFormat="1" applyFont="1" applyFill="1" applyBorder="1" applyAlignment="1">
      <alignment horizontal="center" vertical="center"/>
    </xf>
    <xf numFmtId="2" fontId="14196" fillId="8" borderId="1" xfId="0" applyNumberFormat="1" applyFont="1" applyFill="1" applyBorder="1" applyAlignment="1">
      <alignment horizontal="center" vertical="center"/>
    </xf>
    <xf numFmtId="0" fontId="14197" fillId="7" borderId="1" xfId="0" applyNumberFormat="1" applyFont="1" applyFill="1" applyBorder="1" applyAlignment="1">
      <alignment horizontal="left" vertical="center"/>
    </xf>
    <xf numFmtId="0" fontId="14198" fillId="8" borderId="1" xfId="0" applyNumberFormat="1" applyFont="1" applyFill="1" applyBorder="1" applyAlignment="1">
      <alignment horizontal="center" vertical="center"/>
    </xf>
    <xf numFmtId="164" fontId="14199" fillId="8" borderId="1" xfId="0" applyNumberFormat="1" applyFont="1" applyFill="1" applyBorder="1" applyAlignment="1">
      <alignment horizontal="center" vertical="center"/>
    </xf>
    <xf numFmtId="1" fontId="14200" fillId="8" borderId="1" xfId="0" applyNumberFormat="1" applyFont="1" applyFill="1" applyBorder="1" applyAlignment="1">
      <alignment horizontal="center" vertical="center"/>
    </xf>
    <xf numFmtId="1" fontId="14201" fillId="8" borderId="1" xfId="0" applyNumberFormat="1" applyFont="1" applyFill="1" applyBorder="1" applyAlignment="1">
      <alignment horizontal="center" vertical="center"/>
    </xf>
    <xf numFmtId="1" fontId="14202" fillId="8" borderId="1" xfId="0" applyNumberFormat="1" applyFont="1" applyFill="1" applyBorder="1" applyAlignment="1">
      <alignment horizontal="center" vertical="center"/>
    </xf>
    <xf numFmtId="1" fontId="14203" fillId="8" borderId="1" xfId="0" applyNumberFormat="1" applyFont="1" applyFill="1" applyBorder="1" applyAlignment="1">
      <alignment horizontal="center" vertical="center"/>
    </xf>
    <xf numFmtId="1" fontId="14204" fillId="8" borderId="1" xfId="0" applyNumberFormat="1" applyFont="1" applyFill="1" applyBorder="1" applyAlignment="1">
      <alignment horizontal="center" vertical="center"/>
    </xf>
    <xf numFmtId="1" fontId="14205" fillId="8" borderId="1" xfId="0" applyNumberFormat="1" applyFont="1" applyFill="1" applyBorder="1" applyAlignment="1">
      <alignment horizontal="center" vertical="center"/>
    </xf>
    <xf numFmtId="1" fontId="14206" fillId="8" borderId="1" xfId="0" applyNumberFormat="1" applyFont="1" applyFill="1" applyBorder="1" applyAlignment="1">
      <alignment horizontal="center" vertical="center"/>
    </xf>
    <xf numFmtId="0" fontId="14207" fillId="8" borderId="1" xfId="0" applyNumberFormat="1" applyFont="1" applyFill="1" applyBorder="1" applyAlignment="1">
      <alignment horizontal="center" vertical="center"/>
    </xf>
    <xf numFmtId="0" fontId="14208" fillId="8" borderId="1" xfId="0" applyNumberFormat="1" applyFont="1" applyFill="1" applyBorder="1" applyAlignment="1">
      <alignment horizontal="center" vertical="center"/>
    </xf>
    <xf numFmtId="1" fontId="14209" fillId="8" borderId="1" xfId="0" applyNumberFormat="1" applyFont="1" applyFill="1" applyBorder="1" applyAlignment="1">
      <alignment horizontal="center" vertical="center"/>
    </xf>
    <xf numFmtId="1" fontId="14210" fillId="8" borderId="1" xfId="0" applyNumberFormat="1" applyFont="1" applyFill="1" applyBorder="1" applyAlignment="1">
      <alignment horizontal="center" vertical="center"/>
    </xf>
    <xf numFmtId="1" fontId="14211" fillId="8" borderId="1" xfId="0" applyNumberFormat="1" applyFont="1" applyFill="1" applyBorder="1" applyAlignment="1">
      <alignment horizontal="center" vertical="center"/>
    </xf>
    <xf numFmtId="165" fontId="14212" fillId="8" borderId="1" xfId="0" applyNumberFormat="1" applyFont="1" applyFill="1" applyBorder="1" applyAlignment="1">
      <alignment horizontal="center" vertical="center"/>
    </xf>
    <xf numFmtId="1" fontId="14213" fillId="8" borderId="1" xfId="0" applyNumberFormat="1" applyFont="1" applyFill="1" applyBorder="1" applyAlignment="1">
      <alignment horizontal="center" vertical="center"/>
    </xf>
    <xf numFmtId="165" fontId="14214" fillId="8" borderId="1" xfId="0" applyNumberFormat="1" applyFont="1" applyFill="1" applyBorder="1" applyAlignment="1">
      <alignment horizontal="center" vertical="center"/>
    </xf>
    <xf numFmtId="1" fontId="14215" fillId="8" borderId="1" xfId="0" applyNumberFormat="1" applyFont="1" applyFill="1" applyBorder="1" applyAlignment="1">
      <alignment horizontal="center" vertical="center"/>
    </xf>
    <xf numFmtId="165" fontId="14216" fillId="8" borderId="1" xfId="0" applyNumberFormat="1" applyFont="1" applyFill="1" applyBorder="1" applyAlignment="1">
      <alignment horizontal="center" vertical="center"/>
    </xf>
    <xf numFmtId="1" fontId="14217" fillId="8" borderId="1" xfId="0" applyNumberFormat="1" applyFont="1" applyFill="1" applyBorder="1" applyAlignment="1">
      <alignment horizontal="center" vertical="center"/>
    </xf>
    <xf numFmtId="165" fontId="14218" fillId="8" borderId="1" xfId="0" applyNumberFormat="1" applyFont="1" applyFill="1" applyBorder="1" applyAlignment="1">
      <alignment horizontal="center" vertical="center"/>
    </xf>
    <xf numFmtId="165" fontId="14219" fillId="8" borderId="1" xfId="0" applyNumberFormat="1" applyFont="1" applyFill="1" applyBorder="1" applyAlignment="1">
      <alignment horizontal="center" vertical="center"/>
    </xf>
    <xf numFmtId="1" fontId="14220" fillId="8" borderId="1" xfId="0" applyNumberFormat="1" applyFont="1" applyFill="1" applyBorder="1" applyAlignment="1">
      <alignment horizontal="center" vertical="center"/>
    </xf>
    <xf numFmtId="1" fontId="14221" fillId="8" borderId="1" xfId="0" applyNumberFormat="1" applyFont="1" applyFill="1" applyBorder="1" applyAlignment="1">
      <alignment horizontal="center" vertical="center"/>
    </xf>
    <xf numFmtId="1" fontId="14222" fillId="8" borderId="1" xfId="0" applyNumberFormat="1" applyFont="1" applyFill="1" applyBorder="1" applyAlignment="1">
      <alignment horizontal="center" vertical="center"/>
    </xf>
    <xf numFmtId="165" fontId="14223" fillId="8" borderId="1" xfId="0" applyNumberFormat="1" applyFont="1" applyFill="1" applyBorder="1" applyAlignment="1">
      <alignment horizontal="center" vertical="center"/>
    </xf>
    <xf numFmtId="164" fontId="14224" fillId="8" borderId="1" xfId="0" applyNumberFormat="1" applyFont="1" applyFill="1" applyBorder="1" applyAlignment="1">
      <alignment horizontal="center" vertical="center"/>
    </xf>
    <xf numFmtId="164" fontId="14225" fillId="8" borderId="1" xfId="0" applyNumberFormat="1" applyFont="1" applyFill="1" applyBorder="1" applyAlignment="1">
      <alignment horizontal="center" vertical="center"/>
    </xf>
    <xf numFmtId="1" fontId="14226" fillId="8" borderId="1" xfId="0" applyNumberFormat="1" applyFont="1" applyFill="1" applyBorder="1" applyAlignment="1">
      <alignment horizontal="center" vertical="center"/>
    </xf>
    <xf numFmtId="1" fontId="14227" fillId="8" borderId="1" xfId="0" applyNumberFormat="1" applyFont="1" applyFill="1" applyBorder="1" applyAlignment="1">
      <alignment horizontal="center" vertical="center"/>
    </xf>
    <xf numFmtId="1" fontId="14228" fillId="8" borderId="1" xfId="0" applyNumberFormat="1" applyFont="1" applyFill="1" applyBorder="1" applyAlignment="1">
      <alignment horizontal="center" vertical="center"/>
    </xf>
    <xf numFmtId="165" fontId="14229" fillId="8" borderId="1" xfId="0" applyNumberFormat="1" applyFont="1" applyFill="1" applyBorder="1" applyAlignment="1">
      <alignment horizontal="center" vertical="center"/>
    </xf>
    <xf numFmtId="1" fontId="14230" fillId="8" borderId="1" xfId="0" applyNumberFormat="1" applyFont="1" applyFill="1" applyBorder="1" applyAlignment="1">
      <alignment horizontal="center" vertical="center"/>
    </xf>
    <xf numFmtId="165" fontId="14231" fillId="8" borderId="1" xfId="0" applyNumberFormat="1" applyFont="1" applyFill="1" applyBorder="1" applyAlignment="1">
      <alignment horizontal="center" vertical="center"/>
    </xf>
    <xf numFmtId="1" fontId="14232" fillId="8" borderId="1" xfId="0" applyNumberFormat="1" applyFont="1" applyFill="1" applyBorder="1" applyAlignment="1">
      <alignment horizontal="center" vertical="center"/>
    </xf>
    <xf numFmtId="1" fontId="14233" fillId="8" borderId="1" xfId="0" applyNumberFormat="1" applyFont="1" applyFill="1" applyBorder="1" applyAlignment="1">
      <alignment horizontal="center" vertical="center"/>
    </xf>
    <xf numFmtId="1" fontId="14234" fillId="8" borderId="1" xfId="0" applyNumberFormat="1" applyFont="1" applyFill="1" applyBorder="1" applyAlignment="1">
      <alignment horizontal="center" vertical="center"/>
    </xf>
    <xf numFmtId="1" fontId="14235" fillId="8" borderId="1" xfId="0" applyNumberFormat="1" applyFont="1" applyFill="1" applyBorder="1" applyAlignment="1">
      <alignment horizontal="center" vertical="center"/>
    </xf>
    <xf numFmtId="165" fontId="14236" fillId="8" borderId="1" xfId="0" applyNumberFormat="1" applyFont="1" applyFill="1" applyBorder="1" applyAlignment="1">
      <alignment horizontal="center" vertical="center"/>
    </xf>
    <xf numFmtId="1" fontId="14237" fillId="8" borderId="1" xfId="0" applyNumberFormat="1" applyFont="1" applyFill="1" applyBorder="1" applyAlignment="1">
      <alignment horizontal="center" vertical="center"/>
    </xf>
    <xf numFmtId="165" fontId="14238" fillId="8" borderId="1" xfId="0" applyNumberFormat="1" applyFont="1" applyFill="1" applyBorder="1" applyAlignment="1">
      <alignment horizontal="center" vertical="center"/>
    </xf>
    <xf numFmtId="1" fontId="14239" fillId="8" borderId="1" xfId="0" applyNumberFormat="1" applyFont="1" applyFill="1" applyBorder="1" applyAlignment="1">
      <alignment horizontal="center" vertical="center"/>
    </xf>
    <xf numFmtId="165" fontId="14240" fillId="8" borderId="1" xfId="0" applyNumberFormat="1" applyFont="1" applyFill="1" applyBorder="1" applyAlignment="1">
      <alignment horizontal="center" vertical="center"/>
    </xf>
    <xf numFmtId="2" fontId="14241" fillId="8" borderId="1" xfId="0" applyNumberFormat="1" applyFont="1" applyFill="1" applyBorder="1" applyAlignment="1">
      <alignment horizontal="center" vertical="center"/>
    </xf>
    <xf numFmtId="2" fontId="14242" fillId="8" borderId="1" xfId="0" applyNumberFormat="1" applyFont="1" applyFill="1" applyBorder="1" applyAlignment="1">
      <alignment horizontal="center" vertical="center"/>
    </xf>
    <xf numFmtId="2" fontId="14243" fillId="8" borderId="1" xfId="0" applyNumberFormat="1" applyFont="1" applyFill="1" applyBorder="1" applyAlignment="1">
      <alignment horizontal="center" vertical="center"/>
    </xf>
    <xf numFmtId="2" fontId="14244" fillId="8" borderId="1" xfId="0" applyNumberFormat="1" applyFont="1" applyFill="1" applyBorder="1" applyAlignment="1">
      <alignment horizontal="center" vertical="center"/>
    </xf>
    <xf numFmtId="2" fontId="14245" fillId="8" borderId="1" xfId="0" applyNumberFormat="1" applyFont="1" applyFill="1" applyBorder="1" applyAlignment="1">
      <alignment horizontal="center" vertical="center"/>
    </xf>
    <xf numFmtId="2" fontId="14246" fillId="8" borderId="1" xfId="0" applyNumberFormat="1" applyFont="1" applyFill="1" applyBorder="1" applyAlignment="1">
      <alignment horizontal="center" vertical="center"/>
    </xf>
    <xf numFmtId="2" fontId="14247" fillId="8" borderId="1" xfId="0" applyNumberFormat="1" applyFont="1" applyFill="1" applyBorder="1" applyAlignment="1">
      <alignment horizontal="center" vertical="center"/>
    </xf>
    <xf numFmtId="2" fontId="14248" fillId="8" borderId="1" xfId="0" applyNumberFormat="1" applyFont="1" applyFill="1" applyBorder="1" applyAlignment="1">
      <alignment horizontal="center" vertical="center"/>
    </xf>
    <xf numFmtId="2" fontId="14249" fillId="8" borderId="1" xfId="0" applyNumberFormat="1" applyFont="1" applyFill="1" applyBorder="1" applyAlignment="1">
      <alignment horizontal="center" vertical="center"/>
    </xf>
    <xf numFmtId="2" fontId="14250" fillId="8" borderId="1" xfId="0" applyNumberFormat="1" applyFont="1" applyFill="1" applyBorder="1" applyAlignment="1">
      <alignment horizontal="center" vertical="center"/>
    </xf>
    <xf numFmtId="2" fontId="14251" fillId="8" borderId="1" xfId="0" applyNumberFormat="1" applyFont="1" applyFill="1" applyBorder="1" applyAlignment="1">
      <alignment horizontal="center" vertical="center"/>
    </xf>
    <xf numFmtId="2" fontId="14252" fillId="8" borderId="1" xfId="0" applyNumberFormat="1" applyFont="1" applyFill="1" applyBorder="1" applyAlignment="1">
      <alignment horizontal="center" vertical="center"/>
    </xf>
    <xf numFmtId="2" fontId="14253" fillId="8" borderId="1" xfId="0" applyNumberFormat="1" applyFont="1" applyFill="1" applyBorder="1" applyAlignment="1">
      <alignment horizontal="center" vertical="center"/>
    </xf>
    <xf numFmtId="2" fontId="14254" fillId="8" borderId="1" xfId="0" applyNumberFormat="1" applyFont="1" applyFill="1" applyBorder="1" applyAlignment="1">
      <alignment horizontal="center" vertical="center"/>
    </xf>
    <xf numFmtId="2" fontId="14255" fillId="8" borderId="1" xfId="0" applyNumberFormat="1" applyFont="1" applyFill="1" applyBorder="1" applyAlignment="1">
      <alignment horizontal="center" vertical="center"/>
    </xf>
    <xf numFmtId="2" fontId="14256" fillId="8" borderId="1" xfId="0" applyNumberFormat="1" applyFont="1" applyFill="1" applyBorder="1" applyAlignment="1">
      <alignment horizontal="center" vertical="center"/>
    </xf>
    <xf numFmtId="2" fontId="14257" fillId="8" borderId="1" xfId="0" applyNumberFormat="1" applyFont="1" applyFill="1" applyBorder="1" applyAlignment="1">
      <alignment horizontal="center" vertical="center"/>
    </xf>
    <xf numFmtId="2" fontId="14258" fillId="8" borderId="1" xfId="0" applyNumberFormat="1" applyFont="1" applyFill="1" applyBorder="1" applyAlignment="1">
      <alignment horizontal="center" vertical="center"/>
    </xf>
    <xf numFmtId="2" fontId="14259" fillId="8" borderId="1" xfId="0" applyNumberFormat="1" applyFont="1" applyFill="1" applyBorder="1" applyAlignment="1">
      <alignment horizontal="center" vertical="center"/>
    </xf>
    <xf numFmtId="2" fontId="14260" fillId="8" borderId="1" xfId="0" applyNumberFormat="1" applyFont="1" applyFill="1" applyBorder="1" applyAlignment="1">
      <alignment horizontal="center" vertical="center"/>
    </xf>
    <xf numFmtId="2" fontId="14261" fillId="8" borderId="1" xfId="0" applyNumberFormat="1" applyFont="1" applyFill="1" applyBorder="1" applyAlignment="1">
      <alignment horizontal="center" vertical="center"/>
    </xf>
    <xf numFmtId="2" fontId="14262" fillId="8" borderId="1" xfId="0" applyNumberFormat="1" applyFont="1" applyFill="1" applyBorder="1" applyAlignment="1">
      <alignment horizontal="center" vertical="center"/>
    </xf>
    <xf numFmtId="2" fontId="14263" fillId="8" borderId="1" xfId="0" applyNumberFormat="1" applyFont="1" applyFill="1" applyBorder="1" applyAlignment="1">
      <alignment horizontal="center" vertical="center"/>
    </xf>
    <xf numFmtId="2" fontId="14264" fillId="8" borderId="1" xfId="0" applyNumberFormat="1" applyFont="1" applyFill="1" applyBorder="1" applyAlignment="1">
      <alignment horizontal="center" vertical="center"/>
    </xf>
    <xf numFmtId="2" fontId="14265" fillId="8" borderId="1" xfId="0" applyNumberFormat="1" applyFont="1" applyFill="1" applyBorder="1" applyAlignment="1">
      <alignment horizontal="center" vertical="center"/>
    </xf>
    <xf numFmtId="2" fontId="14266" fillId="8" borderId="1" xfId="0" applyNumberFormat="1" applyFont="1" applyFill="1" applyBorder="1" applyAlignment="1">
      <alignment horizontal="center" vertical="center"/>
    </xf>
    <xf numFmtId="2" fontId="14267" fillId="8" borderId="1" xfId="0" applyNumberFormat="1" applyFont="1" applyFill="1" applyBorder="1" applyAlignment="1">
      <alignment horizontal="center" vertical="center"/>
    </xf>
    <xf numFmtId="2" fontId="14268" fillId="8" borderId="1" xfId="0" applyNumberFormat="1" applyFont="1" applyFill="1" applyBorder="1" applyAlignment="1">
      <alignment horizontal="center" vertical="center"/>
    </xf>
    <xf numFmtId="2" fontId="14269" fillId="8" borderId="1" xfId="0" applyNumberFormat="1" applyFont="1" applyFill="1" applyBorder="1" applyAlignment="1">
      <alignment horizontal="center" vertical="center"/>
    </xf>
    <xf numFmtId="2" fontId="14270" fillId="8" borderId="1" xfId="0" applyNumberFormat="1" applyFont="1" applyFill="1" applyBorder="1" applyAlignment="1">
      <alignment horizontal="center" vertical="center"/>
    </xf>
    <xf numFmtId="2" fontId="14271" fillId="8" borderId="1" xfId="0" applyNumberFormat="1" applyFont="1" applyFill="1" applyBorder="1" applyAlignment="1">
      <alignment horizontal="center" vertical="center"/>
    </xf>
    <xf numFmtId="2" fontId="14272" fillId="8" borderId="1" xfId="0" applyNumberFormat="1" applyFont="1" applyFill="1" applyBorder="1" applyAlignment="1">
      <alignment horizontal="center" vertical="center"/>
    </xf>
    <xf numFmtId="2" fontId="14273" fillId="8" borderId="1" xfId="0" applyNumberFormat="1" applyFont="1" applyFill="1" applyBorder="1" applyAlignment="1">
      <alignment horizontal="center" vertical="center"/>
    </xf>
    <xf numFmtId="2" fontId="14274" fillId="8" borderId="1" xfId="0" applyNumberFormat="1" applyFont="1" applyFill="1" applyBorder="1" applyAlignment="1">
      <alignment horizontal="center" vertical="center"/>
    </xf>
    <xf numFmtId="0" fontId="14275" fillId="7" borderId="1" xfId="0" applyNumberFormat="1" applyFont="1" applyFill="1" applyBorder="1" applyAlignment="1">
      <alignment horizontal="left" vertical="center"/>
    </xf>
    <xf numFmtId="0" fontId="14276" fillId="8" borderId="1" xfId="0" applyNumberFormat="1" applyFont="1" applyFill="1" applyBorder="1" applyAlignment="1">
      <alignment horizontal="center" vertical="center"/>
    </xf>
    <xf numFmtId="164" fontId="14277" fillId="8" borderId="1" xfId="0" applyNumberFormat="1" applyFont="1" applyFill="1" applyBorder="1" applyAlignment="1">
      <alignment horizontal="center" vertical="center"/>
    </xf>
    <xf numFmtId="1" fontId="14278" fillId="8" borderId="1" xfId="0" applyNumberFormat="1" applyFont="1" applyFill="1" applyBorder="1" applyAlignment="1">
      <alignment horizontal="center" vertical="center"/>
    </xf>
    <xf numFmtId="1" fontId="14279" fillId="8" borderId="1" xfId="0" applyNumberFormat="1" applyFont="1" applyFill="1" applyBorder="1" applyAlignment="1">
      <alignment horizontal="center" vertical="center"/>
    </xf>
    <xf numFmtId="1" fontId="14280" fillId="8" borderId="1" xfId="0" applyNumberFormat="1" applyFont="1" applyFill="1" applyBorder="1" applyAlignment="1">
      <alignment horizontal="center" vertical="center"/>
    </xf>
    <xf numFmtId="1" fontId="14281" fillId="8" borderId="1" xfId="0" applyNumberFormat="1" applyFont="1" applyFill="1" applyBorder="1" applyAlignment="1">
      <alignment horizontal="center" vertical="center"/>
    </xf>
    <xf numFmtId="1" fontId="14282" fillId="8" borderId="1" xfId="0" applyNumberFormat="1" applyFont="1" applyFill="1" applyBorder="1" applyAlignment="1">
      <alignment horizontal="center" vertical="center"/>
    </xf>
    <xf numFmtId="1" fontId="14283" fillId="8" borderId="1" xfId="0" applyNumberFormat="1" applyFont="1" applyFill="1" applyBorder="1" applyAlignment="1">
      <alignment horizontal="center" vertical="center"/>
    </xf>
    <xf numFmtId="1" fontId="14284" fillId="8" borderId="1" xfId="0" applyNumberFormat="1" applyFont="1" applyFill="1" applyBorder="1" applyAlignment="1">
      <alignment horizontal="center" vertical="center"/>
    </xf>
    <xf numFmtId="0" fontId="14285" fillId="8" borderId="1" xfId="0" applyNumberFormat="1" applyFont="1" applyFill="1" applyBorder="1" applyAlignment="1">
      <alignment horizontal="center" vertical="center"/>
    </xf>
    <xf numFmtId="0" fontId="14286" fillId="8" borderId="1" xfId="0" applyNumberFormat="1" applyFont="1" applyFill="1" applyBorder="1" applyAlignment="1">
      <alignment horizontal="center" vertical="center"/>
    </xf>
    <xf numFmtId="1" fontId="14287" fillId="8" borderId="1" xfId="0" applyNumberFormat="1" applyFont="1" applyFill="1" applyBorder="1" applyAlignment="1">
      <alignment horizontal="center" vertical="center"/>
    </xf>
    <xf numFmtId="1" fontId="14288" fillId="8" borderId="1" xfId="0" applyNumberFormat="1" applyFont="1" applyFill="1" applyBorder="1" applyAlignment="1">
      <alignment horizontal="center" vertical="center"/>
    </xf>
    <xf numFmtId="1" fontId="14289" fillId="8" borderId="1" xfId="0" applyNumberFormat="1" applyFont="1" applyFill="1" applyBorder="1" applyAlignment="1">
      <alignment horizontal="center" vertical="center"/>
    </xf>
    <xf numFmtId="165" fontId="14290" fillId="8" borderId="1" xfId="0" applyNumberFormat="1" applyFont="1" applyFill="1" applyBorder="1" applyAlignment="1">
      <alignment horizontal="center" vertical="center"/>
    </xf>
    <xf numFmtId="1" fontId="14291" fillId="8" borderId="1" xfId="0" applyNumberFormat="1" applyFont="1" applyFill="1" applyBorder="1" applyAlignment="1">
      <alignment horizontal="center" vertical="center"/>
    </xf>
    <xf numFmtId="165" fontId="14292" fillId="8" borderId="1" xfId="0" applyNumberFormat="1" applyFont="1" applyFill="1" applyBorder="1" applyAlignment="1">
      <alignment horizontal="center" vertical="center"/>
    </xf>
    <xf numFmtId="1" fontId="14293" fillId="8" borderId="1" xfId="0" applyNumberFormat="1" applyFont="1" applyFill="1" applyBorder="1" applyAlignment="1">
      <alignment horizontal="center" vertical="center"/>
    </xf>
    <xf numFmtId="165" fontId="14294" fillId="8" borderId="1" xfId="0" applyNumberFormat="1" applyFont="1" applyFill="1" applyBorder="1" applyAlignment="1">
      <alignment horizontal="center" vertical="center"/>
    </xf>
    <xf numFmtId="1" fontId="14295" fillId="8" borderId="1" xfId="0" applyNumberFormat="1" applyFont="1" applyFill="1" applyBorder="1" applyAlignment="1">
      <alignment horizontal="center" vertical="center"/>
    </xf>
    <xf numFmtId="165" fontId="14296" fillId="8" borderId="1" xfId="0" applyNumberFormat="1" applyFont="1" applyFill="1" applyBorder="1" applyAlignment="1">
      <alignment horizontal="center" vertical="center"/>
    </xf>
    <xf numFmtId="165" fontId="14297" fillId="8" borderId="1" xfId="0" applyNumberFormat="1" applyFont="1" applyFill="1" applyBorder="1" applyAlignment="1">
      <alignment horizontal="center" vertical="center"/>
    </xf>
    <xf numFmtId="1" fontId="14298" fillId="8" borderId="1" xfId="0" applyNumberFormat="1" applyFont="1" applyFill="1" applyBorder="1" applyAlignment="1">
      <alignment horizontal="center" vertical="center"/>
    </xf>
    <xf numFmtId="1" fontId="14299" fillId="8" borderId="1" xfId="0" applyNumberFormat="1" applyFont="1" applyFill="1" applyBorder="1" applyAlignment="1">
      <alignment horizontal="center" vertical="center"/>
    </xf>
    <xf numFmtId="1" fontId="14300" fillId="8" borderId="1" xfId="0" applyNumberFormat="1" applyFont="1" applyFill="1" applyBorder="1" applyAlignment="1">
      <alignment horizontal="center" vertical="center"/>
    </xf>
    <xf numFmtId="165" fontId="14301" fillId="8" borderId="1" xfId="0" applyNumberFormat="1" applyFont="1" applyFill="1" applyBorder="1" applyAlignment="1">
      <alignment horizontal="center" vertical="center"/>
    </xf>
    <xf numFmtId="164" fontId="14302" fillId="8" borderId="1" xfId="0" applyNumberFormat="1" applyFont="1" applyFill="1" applyBorder="1" applyAlignment="1">
      <alignment horizontal="center" vertical="center"/>
    </xf>
    <xf numFmtId="164" fontId="14303" fillId="8" borderId="1" xfId="0" applyNumberFormat="1" applyFont="1" applyFill="1" applyBorder="1" applyAlignment="1">
      <alignment horizontal="center" vertical="center"/>
    </xf>
    <xf numFmtId="1" fontId="14304" fillId="8" borderId="1" xfId="0" applyNumberFormat="1" applyFont="1" applyFill="1" applyBorder="1" applyAlignment="1">
      <alignment horizontal="center" vertical="center"/>
    </xf>
    <xf numFmtId="1" fontId="14305" fillId="8" borderId="1" xfId="0" applyNumberFormat="1" applyFont="1" applyFill="1" applyBorder="1" applyAlignment="1">
      <alignment horizontal="center" vertical="center"/>
    </xf>
    <xf numFmtId="1" fontId="14306" fillId="8" borderId="1" xfId="0" applyNumberFormat="1" applyFont="1" applyFill="1" applyBorder="1" applyAlignment="1">
      <alignment horizontal="center" vertical="center"/>
    </xf>
    <xf numFmtId="165" fontId="14307" fillId="8" borderId="1" xfId="0" applyNumberFormat="1" applyFont="1" applyFill="1" applyBorder="1" applyAlignment="1">
      <alignment horizontal="center" vertical="center"/>
    </xf>
    <xf numFmtId="1" fontId="14308" fillId="8" borderId="1" xfId="0" applyNumberFormat="1" applyFont="1" applyFill="1" applyBorder="1" applyAlignment="1">
      <alignment horizontal="center" vertical="center"/>
    </xf>
    <xf numFmtId="165" fontId="14309" fillId="8" borderId="1" xfId="0" applyNumberFormat="1" applyFont="1" applyFill="1" applyBorder="1" applyAlignment="1">
      <alignment horizontal="center" vertical="center"/>
    </xf>
    <xf numFmtId="1" fontId="14310" fillId="8" borderId="1" xfId="0" applyNumberFormat="1" applyFont="1" applyFill="1" applyBorder="1" applyAlignment="1">
      <alignment horizontal="center" vertical="center"/>
    </xf>
    <xf numFmtId="1" fontId="14311" fillId="8" borderId="1" xfId="0" applyNumberFormat="1" applyFont="1" applyFill="1" applyBorder="1" applyAlignment="1">
      <alignment horizontal="center" vertical="center"/>
    </xf>
    <xf numFmtId="1" fontId="14312" fillId="8" borderId="1" xfId="0" applyNumberFormat="1" applyFont="1" applyFill="1" applyBorder="1" applyAlignment="1">
      <alignment horizontal="center" vertical="center"/>
    </xf>
    <xf numFmtId="1" fontId="14313" fillId="8" borderId="1" xfId="0" applyNumberFormat="1" applyFont="1" applyFill="1" applyBorder="1" applyAlignment="1">
      <alignment horizontal="center" vertical="center"/>
    </xf>
    <xf numFmtId="165" fontId="14314" fillId="8" borderId="1" xfId="0" applyNumberFormat="1" applyFont="1" applyFill="1" applyBorder="1" applyAlignment="1">
      <alignment horizontal="center" vertical="center"/>
    </xf>
    <xf numFmtId="1" fontId="14315" fillId="8" borderId="1" xfId="0" applyNumberFormat="1" applyFont="1" applyFill="1" applyBorder="1" applyAlignment="1">
      <alignment horizontal="center" vertical="center"/>
    </xf>
    <xf numFmtId="165" fontId="14316" fillId="8" borderId="1" xfId="0" applyNumberFormat="1" applyFont="1" applyFill="1" applyBorder="1" applyAlignment="1">
      <alignment horizontal="center" vertical="center"/>
    </xf>
    <xf numFmtId="1" fontId="14317" fillId="8" borderId="1" xfId="0" applyNumberFormat="1" applyFont="1" applyFill="1" applyBorder="1" applyAlignment="1">
      <alignment horizontal="center" vertical="center"/>
    </xf>
    <xf numFmtId="165" fontId="14318" fillId="8" borderId="1" xfId="0" applyNumberFormat="1" applyFont="1" applyFill="1" applyBorder="1" applyAlignment="1">
      <alignment horizontal="center" vertical="center"/>
    </xf>
    <xf numFmtId="2" fontId="14319" fillId="8" borderId="1" xfId="0" applyNumberFormat="1" applyFont="1" applyFill="1" applyBorder="1" applyAlignment="1">
      <alignment horizontal="center" vertical="center"/>
    </xf>
    <xf numFmtId="2" fontId="14320" fillId="8" borderId="1" xfId="0" applyNumberFormat="1" applyFont="1" applyFill="1" applyBorder="1" applyAlignment="1">
      <alignment horizontal="center" vertical="center"/>
    </xf>
    <xf numFmtId="2" fontId="14321" fillId="8" borderId="1" xfId="0" applyNumberFormat="1" applyFont="1" applyFill="1" applyBorder="1" applyAlignment="1">
      <alignment horizontal="center" vertical="center"/>
    </xf>
    <xf numFmtId="2" fontId="14322" fillId="8" borderId="1" xfId="0" applyNumberFormat="1" applyFont="1" applyFill="1" applyBorder="1" applyAlignment="1">
      <alignment horizontal="center" vertical="center"/>
    </xf>
    <xf numFmtId="2" fontId="14323" fillId="8" borderId="1" xfId="0" applyNumberFormat="1" applyFont="1" applyFill="1" applyBorder="1" applyAlignment="1">
      <alignment horizontal="center" vertical="center"/>
    </xf>
    <xf numFmtId="2" fontId="14324" fillId="8" borderId="1" xfId="0" applyNumberFormat="1" applyFont="1" applyFill="1" applyBorder="1" applyAlignment="1">
      <alignment horizontal="center" vertical="center"/>
    </xf>
    <xf numFmtId="2" fontId="14325" fillId="8" borderId="1" xfId="0" applyNumberFormat="1" applyFont="1" applyFill="1" applyBorder="1" applyAlignment="1">
      <alignment horizontal="center" vertical="center"/>
    </xf>
    <xf numFmtId="2" fontId="14326" fillId="8" borderId="1" xfId="0" applyNumberFormat="1" applyFont="1" applyFill="1" applyBorder="1" applyAlignment="1">
      <alignment horizontal="center" vertical="center"/>
    </xf>
    <xf numFmtId="2" fontId="14327" fillId="8" borderId="1" xfId="0" applyNumberFormat="1" applyFont="1" applyFill="1" applyBorder="1" applyAlignment="1">
      <alignment horizontal="center" vertical="center"/>
    </xf>
    <xf numFmtId="2" fontId="14328" fillId="8" borderId="1" xfId="0" applyNumberFormat="1" applyFont="1" applyFill="1" applyBorder="1" applyAlignment="1">
      <alignment horizontal="center" vertical="center"/>
    </xf>
    <xf numFmtId="2" fontId="14329" fillId="8" borderId="1" xfId="0" applyNumberFormat="1" applyFont="1" applyFill="1" applyBorder="1" applyAlignment="1">
      <alignment horizontal="center" vertical="center"/>
    </xf>
    <xf numFmtId="2" fontId="14330" fillId="8" borderId="1" xfId="0" applyNumberFormat="1" applyFont="1" applyFill="1" applyBorder="1" applyAlignment="1">
      <alignment horizontal="center" vertical="center"/>
    </xf>
    <xf numFmtId="2" fontId="14331" fillId="8" borderId="1" xfId="0" applyNumberFormat="1" applyFont="1" applyFill="1" applyBorder="1" applyAlignment="1">
      <alignment horizontal="center" vertical="center"/>
    </xf>
    <xf numFmtId="2" fontId="14332" fillId="8" borderId="1" xfId="0" applyNumberFormat="1" applyFont="1" applyFill="1" applyBorder="1" applyAlignment="1">
      <alignment horizontal="center" vertical="center"/>
    </xf>
    <xf numFmtId="2" fontId="14333" fillId="8" borderId="1" xfId="0" applyNumberFormat="1" applyFont="1" applyFill="1" applyBorder="1" applyAlignment="1">
      <alignment horizontal="center" vertical="center"/>
    </xf>
    <xf numFmtId="2" fontId="14334" fillId="8" borderId="1" xfId="0" applyNumberFormat="1" applyFont="1" applyFill="1" applyBorder="1" applyAlignment="1">
      <alignment horizontal="center" vertical="center"/>
    </xf>
    <xf numFmtId="2" fontId="14335" fillId="8" borderId="1" xfId="0" applyNumberFormat="1" applyFont="1" applyFill="1" applyBorder="1" applyAlignment="1">
      <alignment horizontal="center" vertical="center"/>
    </xf>
    <xf numFmtId="2" fontId="14336" fillId="8" borderId="1" xfId="0" applyNumberFormat="1" applyFont="1" applyFill="1" applyBorder="1" applyAlignment="1">
      <alignment horizontal="center" vertical="center"/>
    </xf>
    <xf numFmtId="2" fontId="14337" fillId="8" borderId="1" xfId="0" applyNumberFormat="1" applyFont="1" applyFill="1" applyBorder="1" applyAlignment="1">
      <alignment horizontal="center" vertical="center"/>
    </xf>
    <xf numFmtId="2" fontId="14338" fillId="8" borderId="1" xfId="0" applyNumberFormat="1" applyFont="1" applyFill="1" applyBorder="1" applyAlignment="1">
      <alignment horizontal="center" vertical="center"/>
    </xf>
    <xf numFmtId="2" fontId="14339" fillId="8" borderId="1" xfId="0" applyNumberFormat="1" applyFont="1" applyFill="1" applyBorder="1" applyAlignment="1">
      <alignment horizontal="center" vertical="center"/>
    </xf>
    <xf numFmtId="2" fontId="14340" fillId="8" borderId="1" xfId="0" applyNumberFormat="1" applyFont="1" applyFill="1" applyBorder="1" applyAlignment="1">
      <alignment horizontal="center" vertical="center"/>
    </xf>
    <xf numFmtId="2" fontId="14341" fillId="8" borderId="1" xfId="0" applyNumberFormat="1" applyFont="1" applyFill="1" applyBorder="1" applyAlignment="1">
      <alignment horizontal="center" vertical="center"/>
    </xf>
    <xf numFmtId="2" fontId="14342" fillId="8" borderId="1" xfId="0" applyNumberFormat="1" applyFont="1" applyFill="1" applyBorder="1" applyAlignment="1">
      <alignment horizontal="center" vertical="center"/>
    </xf>
    <xf numFmtId="2" fontId="14343" fillId="8" borderId="1" xfId="0" applyNumberFormat="1" applyFont="1" applyFill="1" applyBorder="1" applyAlignment="1">
      <alignment horizontal="center" vertical="center"/>
    </xf>
    <xf numFmtId="2" fontId="14344" fillId="8" borderId="1" xfId="0" applyNumberFormat="1" applyFont="1" applyFill="1" applyBorder="1" applyAlignment="1">
      <alignment horizontal="center" vertical="center"/>
    </xf>
    <xf numFmtId="2" fontId="14345" fillId="8" borderId="1" xfId="0" applyNumberFormat="1" applyFont="1" applyFill="1" applyBorder="1" applyAlignment="1">
      <alignment horizontal="center" vertical="center"/>
    </xf>
    <xf numFmtId="2" fontId="14346" fillId="8" borderId="1" xfId="0" applyNumberFormat="1" applyFont="1" applyFill="1" applyBorder="1" applyAlignment="1">
      <alignment horizontal="center" vertical="center"/>
    </xf>
    <xf numFmtId="2" fontId="14347" fillId="8" borderId="1" xfId="0" applyNumberFormat="1" applyFont="1" applyFill="1" applyBorder="1" applyAlignment="1">
      <alignment horizontal="center" vertical="center"/>
    </xf>
    <xf numFmtId="2" fontId="14348" fillId="8" borderId="1" xfId="0" applyNumberFormat="1" applyFont="1" applyFill="1" applyBorder="1" applyAlignment="1">
      <alignment horizontal="center" vertical="center"/>
    </xf>
    <xf numFmtId="2" fontId="14349" fillId="8" borderId="1" xfId="0" applyNumberFormat="1" applyFont="1" applyFill="1" applyBorder="1" applyAlignment="1">
      <alignment horizontal="center" vertical="center"/>
    </xf>
    <xf numFmtId="2" fontId="14350" fillId="8" borderId="1" xfId="0" applyNumberFormat="1" applyFont="1" applyFill="1" applyBorder="1" applyAlignment="1">
      <alignment horizontal="center" vertical="center"/>
    </xf>
    <xf numFmtId="2" fontId="14351" fillId="8" borderId="1" xfId="0" applyNumberFormat="1" applyFont="1" applyFill="1" applyBorder="1" applyAlignment="1">
      <alignment horizontal="center" vertical="center"/>
    </xf>
    <xf numFmtId="2" fontId="14352" fillId="8" borderId="1" xfId="0" applyNumberFormat="1" applyFont="1" applyFill="1" applyBorder="1" applyAlignment="1">
      <alignment horizontal="center" vertical="center"/>
    </xf>
    <xf numFmtId="0" fontId="14353" fillId="7" borderId="1" xfId="0" applyNumberFormat="1" applyFont="1" applyFill="1" applyBorder="1" applyAlignment="1">
      <alignment horizontal="left" vertical="center"/>
    </xf>
    <xf numFmtId="0" fontId="14354" fillId="8" borderId="1" xfId="0" applyNumberFormat="1" applyFont="1" applyFill="1" applyBorder="1" applyAlignment="1">
      <alignment horizontal="center" vertical="center"/>
    </xf>
    <xf numFmtId="164" fontId="14355" fillId="8" borderId="1" xfId="0" applyNumberFormat="1" applyFont="1" applyFill="1" applyBorder="1" applyAlignment="1">
      <alignment horizontal="center" vertical="center"/>
    </xf>
    <xf numFmtId="1" fontId="14356" fillId="8" borderId="1" xfId="0" applyNumberFormat="1" applyFont="1" applyFill="1" applyBorder="1" applyAlignment="1">
      <alignment horizontal="center" vertical="center"/>
    </xf>
    <xf numFmtId="1" fontId="14357" fillId="8" borderId="1" xfId="0" applyNumberFormat="1" applyFont="1" applyFill="1" applyBorder="1" applyAlignment="1">
      <alignment horizontal="center" vertical="center"/>
    </xf>
    <xf numFmtId="1" fontId="14358" fillId="8" borderId="1" xfId="0" applyNumberFormat="1" applyFont="1" applyFill="1" applyBorder="1" applyAlignment="1">
      <alignment horizontal="center" vertical="center"/>
    </xf>
    <xf numFmtId="1" fontId="14359" fillId="8" borderId="1" xfId="0" applyNumberFormat="1" applyFont="1" applyFill="1" applyBorder="1" applyAlignment="1">
      <alignment horizontal="center" vertical="center"/>
    </xf>
    <xf numFmtId="1" fontId="14360" fillId="8" borderId="1" xfId="0" applyNumberFormat="1" applyFont="1" applyFill="1" applyBorder="1" applyAlignment="1">
      <alignment horizontal="center" vertical="center"/>
    </xf>
    <xf numFmtId="1" fontId="14361" fillId="8" borderId="1" xfId="0" applyNumberFormat="1" applyFont="1" applyFill="1" applyBorder="1" applyAlignment="1">
      <alignment horizontal="center" vertical="center"/>
    </xf>
    <xf numFmtId="1" fontId="14362" fillId="8" borderId="1" xfId="0" applyNumberFormat="1" applyFont="1" applyFill="1" applyBorder="1" applyAlignment="1">
      <alignment horizontal="center" vertical="center"/>
    </xf>
    <xf numFmtId="0" fontId="14363" fillId="8" borderId="1" xfId="0" applyNumberFormat="1" applyFont="1" applyFill="1" applyBorder="1" applyAlignment="1">
      <alignment horizontal="center" vertical="center"/>
    </xf>
    <xf numFmtId="0" fontId="14364" fillId="8" borderId="1" xfId="0" applyNumberFormat="1" applyFont="1" applyFill="1" applyBorder="1" applyAlignment="1">
      <alignment horizontal="center" vertical="center"/>
    </xf>
    <xf numFmtId="1" fontId="14365" fillId="8" borderId="1" xfId="0" applyNumberFormat="1" applyFont="1" applyFill="1" applyBorder="1" applyAlignment="1">
      <alignment horizontal="center" vertical="center"/>
    </xf>
    <xf numFmtId="1" fontId="14366" fillId="8" borderId="1" xfId="0" applyNumberFormat="1" applyFont="1" applyFill="1" applyBorder="1" applyAlignment="1">
      <alignment horizontal="center" vertical="center"/>
    </xf>
    <xf numFmtId="1" fontId="14367" fillId="8" borderId="1" xfId="0" applyNumberFormat="1" applyFont="1" applyFill="1" applyBorder="1" applyAlignment="1">
      <alignment horizontal="center" vertical="center"/>
    </xf>
    <xf numFmtId="165" fontId="14368" fillId="8" borderId="1" xfId="0" applyNumberFormat="1" applyFont="1" applyFill="1" applyBorder="1" applyAlignment="1">
      <alignment horizontal="center" vertical="center"/>
    </xf>
    <xf numFmtId="1" fontId="14369" fillId="8" borderId="1" xfId="0" applyNumberFormat="1" applyFont="1" applyFill="1" applyBorder="1" applyAlignment="1">
      <alignment horizontal="center" vertical="center"/>
    </xf>
    <xf numFmtId="165" fontId="14370" fillId="8" borderId="1" xfId="0" applyNumberFormat="1" applyFont="1" applyFill="1" applyBorder="1" applyAlignment="1">
      <alignment horizontal="center" vertical="center"/>
    </xf>
    <xf numFmtId="1" fontId="14371" fillId="8" borderId="1" xfId="0" applyNumberFormat="1" applyFont="1" applyFill="1" applyBorder="1" applyAlignment="1">
      <alignment horizontal="center" vertical="center"/>
    </xf>
    <xf numFmtId="165" fontId="14372" fillId="8" borderId="1" xfId="0" applyNumberFormat="1" applyFont="1" applyFill="1" applyBorder="1" applyAlignment="1">
      <alignment horizontal="center" vertical="center"/>
    </xf>
    <xf numFmtId="1" fontId="14373" fillId="8" borderId="1" xfId="0" applyNumberFormat="1" applyFont="1" applyFill="1" applyBorder="1" applyAlignment="1">
      <alignment horizontal="center" vertical="center"/>
    </xf>
    <xf numFmtId="165" fontId="14374" fillId="8" borderId="1" xfId="0" applyNumberFormat="1" applyFont="1" applyFill="1" applyBorder="1" applyAlignment="1">
      <alignment horizontal="center" vertical="center"/>
    </xf>
    <xf numFmtId="165" fontId="14375" fillId="8" borderId="1" xfId="0" applyNumberFormat="1" applyFont="1" applyFill="1" applyBorder="1" applyAlignment="1">
      <alignment horizontal="center" vertical="center"/>
    </xf>
    <xf numFmtId="1" fontId="14376" fillId="8" borderId="1" xfId="0" applyNumberFormat="1" applyFont="1" applyFill="1" applyBorder="1" applyAlignment="1">
      <alignment horizontal="center" vertical="center"/>
    </xf>
    <xf numFmtId="1" fontId="14377" fillId="8" borderId="1" xfId="0" applyNumberFormat="1" applyFont="1" applyFill="1" applyBorder="1" applyAlignment="1">
      <alignment horizontal="center" vertical="center"/>
    </xf>
    <xf numFmtId="1" fontId="14378" fillId="8" borderId="1" xfId="0" applyNumberFormat="1" applyFont="1" applyFill="1" applyBorder="1" applyAlignment="1">
      <alignment horizontal="center" vertical="center"/>
    </xf>
    <xf numFmtId="165" fontId="14379" fillId="8" borderId="1" xfId="0" applyNumberFormat="1" applyFont="1" applyFill="1" applyBorder="1" applyAlignment="1">
      <alignment horizontal="center" vertical="center"/>
    </xf>
    <xf numFmtId="164" fontId="14380" fillId="8" borderId="1" xfId="0" applyNumberFormat="1" applyFont="1" applyFill="1" applyBorder="1" applyAlignment="1">
      <alignment horizontal="center" vertical="center"/>
    </xf>
    <xf numFmtId="164" fontId="14381" fillId="8" borderId="1" xfId="0" applyNumberFormat="1" applyFont="1" applyFill="1" applyBorder="1" applyAlignment="1">
      <alignment horizontal="center" vertical="center"/>
    </xf>
    <xf numFmtId="1" fontId="14382" fillId="8" borderId="1" xfId="0" applyNumberFormat="1" applyFont="1" applyFill="1" applyBorder="1" applyAlignment="1">
      <alignment horizontal="center" vertical="center"/>
    </xf>
    <xf numFmtId="1" fontId="14383" fillId="8" borderId="1" xfId="0" applyNumberFormat="1" applyFont="1" applyFill="1" applyBorder="1" applyAlignment="1">
      <alignment horizontal="center" vertical="center"/>
    </xf>
    <xf numFmtId="1" fontId="14384" fillId="8" borderId="1" xfId="0" applyNumberFormat="1" applyFont="1" applyFill="1" applyBorder="1" applyAlignment="1">
      <alignment horizontal="center" vertical="center"/>
    </xf>
    <xf numFmtId="165" fontId="14385" fillId="8" borderId="1" xfId="0" applyNumberFormat="1" applyFont="1" applyFill="1" applyBorder="1" applyAlignment="1">
      <alignment horizontal="center" vertical="center"/>
    </xf>
    <xf numFmtId="1" fontId="14386" fillId="8" borderId="1" xfId="0" applyNumberFormat="1" applyFont="1" applyFill="1" applyBorder="1" applyAlignment="1">
      <alignment horizontal="center" vertical="center"/>
    </xf>
    <xf numFmtId="165" fontId="14387" fillId="8" borderId="1" xfId="0" applyNumberFormat="1" applyFont="1" applyFill="1" applyBorder="1" applyAlignment="1">
      <alignment horizontal="center" vertical="center"/>
    </xf>
    <xf numFmtId="1" fontId="14388" fillId="8" borderId="1" xfId="0" applyNumberFormat="1" applyFont="1" applyFill="1" applyBorder="1" applyAlignment="1">
      <alignment horizontal="center" vertical="center"/>
    </xf>
    <xf numFmtId="1" fontId="14389" fillId="8" borderId="1" xfId="0" applyNumberFormat="1" applyFont="1" applyFill="1" applyBorder="1" applyAlignment="1">
      <alignment horizontal="center" vertical="center"/>
    </xf>
    <xf numFmtId="1" fontId="14390" fillId="8" borderId="1" xfId="0" applyNumberFormat="1" applyFont="1" applyFill="1" applyBorder="1" applyAlignment="1">
      <alignment horizontal="center" vertical="center"/>
    </xf>
    <xf numFmtId="1" fontId="14391" fillId="8" borderId="1" xfId="0" applyNumberFormat="1" applyFont="1" applyFill="1" applyBorder="1" applyAlignment="1">
      <alignment horizontal="center" vertical="center"/>
    </xf>
    <xf numFmtId="165" fontId="14392" fillId="8" borderId="1" xfId="0" applyNumberFormat="1" applyFont="1" applyFill="1" applyBorder="1" applyAlignment="1">
      <alignment horizontal="center" vertical="center"/>
    </xf>
    <xf numFmtId="1" fontId="14393" fillId="8" borderId="1" xfId="0" applyNumberFormat="1" applyFont="1" applyFill="1" applyBorder="1" applyAlignment="1">
      <alignment horizontal="center" vertical="center"/>
    </xf>
    <xf numFmtId="165" fontId="14394" fillId="8" borderId="1" xfId="0" applyNumberFormat="1" applyFont="1" applyFill="1" applyBorder="1" applyAlignment="1">
      <alignment horizontal="center" vertical="center"/>
    </xf>
    <xf numFmtId="1" fontId="14395" fillId="8" borderId="1" xfId="0" applyNumberFormat="1" applyFont="1" applyFill="1" applyBorder="1" applyAlignment="1">
      <alignment horizontal="center" vertical="center"/>
    </xf>
    <xf numFmtId="165" fontId="14396" fillId="8" borderId="1" xfId="0" applyNumberFormat="1" applyFont="1" applyFill="1" applyBorder="1" applyAlignment="1">
      <alignment horizontal="center" vertical="center"/>
    </xf>
    <xf numFmtId="2" fontId="14397" fillId="8" borderId="1" xfId="0" applyNumberFormat="1" applyFont="1" applyFill="1" applyBorder="1" applyAlignment="1">
      <alignment horizontal="center" vertical="center"/>
    </xf>
    <xf numFmtId="2" fontId="14398" fillId="8" borderId="1" xfId="0" applyNumberFormat="1" applyFont="1" applyFill="1" applyBorder="1" applyAlignment="1">
      <alignment horizontal="center" vertical="center"/>
    </xf>
    <xf numFmtId="2" fontId="14399" fillId="8" borderId="1" xfId="0" applyNumberFormat="1" applyFont="1" applyFill="1" applyBorder="1" applyAlignment="1">
      <alignment horizontal="center" vertical="center"/>
    </xf>
    <xf numFmtId="2" fontId="14400" fillId="8" borderId="1" xfId="0" applyNumberFormat="1" applyFont="1" applyFill="1" applyBorder="1" applyAlignment="1">
      <alignment horizontal="center" vertical="center"/>
    </xf>
    <xf numFmtId="2" fontId="14401" fillId="8" borderId="1" xfId="0" applyNumberFormat="1" applyFont="1" applyFill="1" applyBorder="1" applyAlignment="1">
      <alignment horizontal="center" vertical="center"/>
    </xf>
    <xf numFmtId="2" fontId="14402" fillId="8" borderId="1" xfId="0" applyNumberFormat="1" applyFont="1" applyFill="1" applyBorder="1" applyAlignment="1">
      <alignment horizontal="center" vertical="center"/>
    </xf>
    <xf numFmtId="2" fontId="14403" fillId="8" borderId="1" xfId="0" applyNumberFormat="1" applyFont="1" applyFill="1" applyBorder="1" applyAlignment="1">
      <alignment horizontal="center" vertical="center"/>
    </xf>
    <xf numFmtId="2" fontId="14404" fillId="8" borderId="1" xfId="0" applyNumberFormat="1" applyFont="1" applyFill="1" applyBorder="1" applyAlignment="1">
      <alignment horizontal="center" vertical="center"/>
    </xf>
    <xf numFmtId="2" fontId="14405" fillId="8" borderId="1" xfId="0" applyNumberFormat="1" applyFont="1" applyFill="1" applyBorder="1" applyAlignment="1">
      <alignment horizontal="center" vertical="center"/>
    </xf>
    <xf numFmtId="2" fontId="14406" fillId="8" borderId="1" xfId="0" applyNumberFormat="1" applyFont="1" applyFill="1" applyBorder="1" applyAlignment="1">
      <alignment horizontal="center" vertical="center"/>
    </xf>
    <xf numFmtId="2" fontId="14407" fillId="8" borderId="1" xfId="0" applyNumberFormat="1" applyFont="1" applyFill="1" applyBorder="1" applyAlignment="1">
      <alignment horizontal="center" vertical="center"/>
    </xf>
    <xf numFmtId="2" fontId="14408" fillId="8" borderId="1" xfId="0" applyNumberFormat="1" applyFont="1" applyFill="1" applyBorder="1" applyAlignment="1">
      <alignment horizontal="center" vertical="center"/>
    </xf>
    <xf numFmtId="2" fontId="14409" fillId="8" borderId="1" xfId="0" applyNumberFormat="1" applyFont="1" applyFill="1" applyBorder="1" applyAlignment="1">
      <alignment horizontal="center" vertical="center"/>
    </xf>
    <xf numFmtId="2" fontId="14410" fillId="8" borderId="1" xfId="0" applyNumberFormat="1" applyFont="1" applyFill="1" applyBorder="1" applyAlignment="1">
      <alignment horizontal="center" vertical="center"/>
    </xf>
    <xf numFmtId="2" fontId="14411" fillId="8" borderId="1" xfId="0" applyNumberFormat="1" applyFont="1" applyFill="1" applyBorder="1" applyAlignment="1">
      <alignment horizontal="center" vertical="center"/>
    </xf>
    <xf numFmtId="2" fontId="14412" fillId="8" borderId="1" xfId="0" applyNumberFormat="1" applyFont="1" applyFill="1" applyBorder="1" applyAlignment="1">
      <alignment horizontal="center" vertical="center"/>
    </xf>
    <xf numFmtId="2" fontId="14413" fillId="8" borderId="1" xfId="0" applyNumberFormat="1" applyFont="1" applyFill="1" applyBorder="1" applyAlignment="1">
      <alignment horizontal="center" vertical="center"/>
    </xf>
    <xf numFmtId="2" fontId="14414" fillId="8" borderId="1" xfId="0" applyNumberFormat="1" applyFont="1" applyFill="1" applyBorder="1" applyAlignment="1">
      <alignment horizontal="center" vertical="center"/>
    </xf>
    <xf numFmtId="2" fontId="14415" fillId="8" borderId="1" xfId="0" applyNumberFormat="1" applyFont="1" applyFill="1" applyBorder="1" applyAlignment="1">
      <alignment horizontal="center" vertical="center"/>
    </xf>
    <xf numFmtId="2" fontId="14416" fillId="8" borderId="1" xfId="0" applyNumberFormat="1" applyFont="1" applyFill="1" applyBorder="1" applyAlignment="1">
      <alignment horizontal="center" vertical="center"/>
    </xf>
    <xf numFmtId="2" fontId="14417" fillId="8" borderId="1" xfId="0" applyNumberFormat="1" applyFont="1" applyFill="1" applyBorder="1" applyAlignment="1">
      <alignment horizontal="center" vertical="center"/>
    </xf>
    <xf numFmtId="2" fontId="14418" fillId="8" borderId="1" xfId="0" applyNumberFormat="1" applyFont="1" applyFill="1" applyBorder="1" applyAlignment="1">
      <alignment horizontal="center" vertical="center"/>
    </xf>
    <xf numFmtId="2" fontId="14419" fillId="8" borderId="1" xfId="0" applyNumberFormat="1" applyFont="1" applyFill="1" applyBorder="1" applyAlignment="1">
      <alignment horizontal="center" vertical="center"/>
    </xf>
    <xf numFmtId="2" fontId="14420" fillId="8" borderId="1" xfId="0" applyNumberFormat="1" applyFont="1" applyFill="1" applyBorder="1" applyAlignment="1">
      <alignment horizontal="center" vertical="center"/>
    </xf>
    <xf numFmtId="2" fontId="14421" fillId="8" borderId="1" xfId="0" applyNumberFormat="1" applyFont="1" applyFill="1" applyBorder="1" applyAlignment="1">
      <alignment horizontal="center" vertical="center"/>
    </xf>
    <xf numFmtId="2" fontId="14422" fillId="8" borderId="1" xfId="0" applyNumberFormat="1" applyFont="1" applyFill="1" applyBorder="1" applyAlignment="1">
      <alignment horizontal="center" vertical="center"/>
    </xf>
    <xf numFmtId="2" fontId="14423" fillId="8" borderId="1" xfId="0" applyNumberFormat="1" applyFont="1" applyFill="1" applyBorder="1" applyAlignment="1">
      <alignment horizontal="center" vertical="center"/>
    </xf>
    <xf numFmtId="2" fontId="14424" fillId="8" borderId="1" xfId="0" applyNumberFormat="1" applyFont="1" applyFill="1" applyBorder="1" applyAlignment="1">
      <alignment horizontal="center" vertical="center"/>
    </xf>
    <xf numFmtId="2" fontId="14425" fillId="8" borderId="1" xfId="0" applyNumberFormat="1" applyFont="1" applyFill="1" applyBorder="1" applyAlignment="1">
      <alignment horizontal="center" vertical="center"/>
    </xf>
    <xf numFmtId="2" fontId="14426" fillId="8" borderId="1" xfId="0" applyNumberFormat="1" applyFont="1" applyFill="1" applyBorder="1" applyAlignment="1">
      <alignment horizontal="center" vertical="center"/>
    </xf>
    <xf numFmtId="2" fontId="14427" fillId="8" borderId="1" xfId="0" applyNumberFormat="1" applyFont="1" applyFill="1" applyBorder="1" applyAlignment="1">
      <alignment horizontal="center" vertical="center"/>
    </xf>
    <xf numFmtId="2" fontId="14428" fillId="8" borderId="1" xfId="0" applyNumberFormat="1" applyFont="1" applyFill="1" applyBorder="1" applyAlignment="1">
      <alignment horizontal="center" vertical="center"/>
    </xf>
    <xf numFmtId="2" fontId="14429" fillId="8" borderId="1" xfId="0" applyNumberFormat="1" applyFont="1" applyFill="1" applyBorder="1" applyAlignment="1">
      <alignment horizontal="center" vertical="center"/>
    </xf>
    <xf numFmtId="2" fontId="14430" fillId="8" borderId="1" xfId="0" applyNumberFormat="1" applyFont="1" applyFill="1" applyBorder="1" applyAlignment="1">
      <alignment horizontal="center" vertical="center"/>
    </xf>
    <xf numFmtId="0" fontId="14431" fillId="7" borderId="1" xfId="0" applyNumberFormat="1" applyFont="1" applyFill="1" applyBorder="1" applyAlignment="1">
      <alignment horizontal="left" vertical="center"/>
    </xf>
    <xf numFmtId="0" fontId="14432" fillId="8" borderId="1" xfId="0" applyNumberFormat="1" applyFont="1" applyFill="1" applyBorder="1" applyAlignment="1">
      <alignment horizontal="center" vertical="center"/>
    </xf>
    <xf numFmtId="164" fontId="14433" fillId="8" borderId="1" xfId="0" applyNumberFormat="1" applyFont="1" applyFill="1" applyBorder="1" applyAlignment="1">
      <alignment horizontal="center" vertical="center"/>
    </xf>
    <xf numFmtId="1" fontId="14434" fillId="8" borderId="1" xfId="0" applyNumberFormat="1" applyFont="1" applyFill="1" applyBorder="1" applyAlignment="1">
      <alignment horizontal="center" vertical="center"/>
    </xf>
    <xf numFmtId="1" fontId="14435" fillId="8" borderId="1" xfId="0" applyNumberFormat="1" applyFont="1" applyFill="1" applyBorder="1" applyAlignment="1">
      <alignment horizontal="center" vertical="center"/>
    </xf>
    <xf numFmtId="1" fontId="14436" fillId="8" borderId="1" xfId="0" applyNumberFormat="1" applyFont="1" applyFill="1" applyBorder="1" applyAlignment="1">
      <alignment horizontal="center" vertical="center"/>
    </xf>
    <xf numFmtId="1" fontId="14437" fillId="8" borderId="1" xfId="0" applyNumberFormat="1" applyFont="1" applyFill="1" applyBorder="1" applyAlignment="1">
      <alignment horizontal="center" vertical="center"/>
    </xf>
    <xf numFmtId="1" fontId="14438" fillId="8" borderId="1" xfId="0" applyNumberFormat="1" applyFont="1" applyFill="1" applyBorder="1" applyAlignment="1">
      <alignment horizontal="center" vertical="center"/>
    </xf>
    <xf numFmtId="1" fontId="14439" fillId="8" borderId="1" xfId="0" applyNumberFormat="1" applyFont="1" applyFill="1" applyBorder="1" applyAlignment="1">
      <alignment horizontal="center" vertical="center"/>
    </xf>
    <xf numFmtId="1" fontId="14440" fillId="8" borderId="1" xfId="0" applyNumberFormat="1" applyFont="1" applyFill="1" applyBorder="1" applyAlignment="1">
      <alignment horizontal="center" vertical="center"/>
    </xf>
    <xf numFmtId="0" fontId="14441" fillId="8" borderId="1" xfId="0" applyNumberFormat="1" applyFont="1" applyFill="1" applyBorder="1" applyAlignment="1">
      <alignment horizontal="center" vertical="center"/>
    </xf>
    <xf numFmtId="0" fontId="14442" fillId="8" borderId="1" xfId="0" applyNumberFormat="1" applyFont="1" applyFill="1" applyBorder="1" applyAlignment="1">
      <alignment horizontal="center" vertical="center"/>
    </xf>
    <xf numFmtId="1" fontId="14443" fillId="8" borderId="1" xfId="0" applyNumberFormat="1" applyFont="1" applyFill="1" applyBorder="1" applyAlignment="1">
      <alignment horizontal="center" vertical="center"/>
    </xf>
    <xf numFmtId="1" fontId="14444" fillId="8" borderId="1" xfId="0" applyNumberFormat="1" applyFont="1" applyFill="1" applyBorder="1" applyAlignment="1">
      <alignment horizontal="center" vertical="center"/>
    </xf>
    <xf numFmtId="1" fontId="14445" fillId="8" borderId="1" xfId="0" applyNumberFormat="1" applyFont="1" applyFill="1" applyBorder="1" applyAlignment="1">
      <alignment horizontal="center" vertical="center"/>
    </xf>
    <xf numFmtId="165" fontId="14446" fillId="8" borderId="1" xfId="0" applyNumberFormat="1" applyFont="1" applyFill="1" applyBorder="1" applyAlignment="1">
      <alignment horizontal="center" vertical="center"/>
    </xf>
    <xf numFmtId="1" fontId="14447" fillId="8" borderId="1" xfId="0" applyNumberFormat="1" applyFont="1" applyFill="1" applyBorder="1" applyAlignment="1">
      <alignment horizontal="center" vertical="center"/>
    </xf>
    <xf numFmtId="165" fontId="14448" fillId="8" borderId="1" xfId="0" applyNumberFormat="1" applyFont="1" applyFill="1" applyBorder="1" applyAlignment="1">
      <alignment horizontal="center" vertical="center"/>
    </xf>
    <xf numFmtId="1" fontId="14449" fillId="8" borderId="1" xfId="0" applyNumberFormat="1" applyFont="1" applyFill="1" applyBorder="1" applyAlignment="1">
      <alignment horizontal="center" vertical="center"/>
    </xf>
    <xf numFmtId="165" fontId="14450" fillId="8" borderId="1" xfId="0" applyNumberFormat="1" applyFont="1" applyFill="1" applyBorder="1" applyAlignment="1">
      <alignment horizontal="center" vertical="center"/>
    </xf>
    <xf numFmtId="1" fontId="14451" fillId="8" borderId="1" xfId="0" applyNumberFormat="1" applyFont="1" applyFill="1" applyBorder="1" applyAlignment="1">
      <alignment horizontal="center" vertical="center"/>
    </xf>
    <xf numFmtId="165" fontId="14452" fillId="8" borderId="1" xfId="0" applyNumberFormat="1" applyFont="1" applyFill="1" applyBorder="1" applyAlignment="1">
      <alignment horizontal="center" vertical="center"/>
    </xf>
    <xf numFmtId="165" fontId="14453" fillId="8" borderId="1" xfId="0" applyNumberFormat="1" applyFont="1" applyFill="1" applyBorder="1" applyAlignment="1">
      <alignment horizontal="center" vertical="center"/>
    </xf>
    <xf numFmtId="1" fontId="14454" fillId="8" borderId="1" xfId="0" applyNumberFormat="1" applyFont="1" applyFill="1" applyBorder="1" applyAlignment="1">
      <alignment horizontal="center" vertical="center"/>
    </xf>
    <xf numFmtId="1" fontId="14455" fillId="8" borderId="1" xfId="0" applyNumberFormat="1" applyFont="1" applyFill="1" applyBorder="1" applyAlignment="1">
      <alignment horizontal="center" vertical="center"/>
    </xf>
    <xf numFmtId="1" fontId="14456" fillId="8" borderId="1" xfId="0" applyNumberFormat="1" applyFont="1" applyFill="1" applyBorder="1" applyAlignment="1">
      <alignment horizontal="center" vertical="center"/>
    </xf>
    <xf numFmtId="165" fontId="14457" fillId="8" borderId="1" xfId="0" applyNumberFormat="1" applyFont="1" applyFill="1" applyBorder="1" applyAlignment="1">
      <alignment horizontal="center" vertical="center"/>
    </xf>
    <xf numFmtId="164" fontId="14458" fillId="8" borderId="1" xfId="0" applyNumberFormat="1" applyFont="1" applyFill="1" applyBorder="1" applyAlignment="1">
      <alignment horizontal="center" vertical="center"/>
    </xf>
    <xf numFmtId="164" fontId="14459" fillId="8" borderId="1" xfId="0" applyNumberFormat="1" applyFont="1" applyFill="1" applyBorder="1" applyAlignment="1">
      <alignment horizontal="center" vertical="center"/>
    </xf>
    <xf numFmtId="1" fontId="14460" fillId="8" borderId="1" xfId="0" applyNumberFormat="1" applyFont="1" applyFill="1" applyBorder="1" applyAlignment="1">
      <alignment horizontal="center" vertical="center"/>
    </xf>
    <xf numFmtId="1" fontId="14461" fillId="8" borderId="1" xfId="0" applyNumberFormat="1" applyFont="1" applyFill="1" applyBorder="1" applyAlignment="1">
      <alignment horizontal="center" vertical="center"/>
    </xf>
    <xf numFmtId="1" fontId="14462" fillId="8" borderId="1" xfId="0" applyNumberFormat="1" applyFont="1" applyFill="1" applyBorder="1" applyAlignment="1">
      <alignment horizontal="center" vertical="center"/>
    </xf>
    <xf numFmtId="165" fontId="14463" fillId="8" borderId="1" xfId="0" applyNumberFormat="1" applyFont="1" applyFill="1" applyBorder="1" applyAlignment="1">
      <alignment horizontal="center" vertical="center"/>
    </xf>
    <xf numFmtId="1" fontId="14464" fillId="8" borderId="1" xfId="0" applyNumberFormat="1" applyFont="1" applyFill="1" applyBorder="1" applyAlignment="1">
      <alignment horizontal="center" vertical="center"/>
    </xf>
    <xf numFmtId="165" fontId="14465" fillId="8" borderId="1" xfId="0" applyNumberFormat="1" applyFont="1" applyFill="1" applyBorder="1" applyAlignment="1">
      <alignment horizontal="center" vertical="center"/>
    </xf>
    <xf numFmtId="1" fontId="14466" fillId="8" borderId="1" xfId="0" applyNumberFormat="1" applyFont="1" applyFill="1" applyBorder="1" applyAlignment="1">
      <alignment horizontal="center" vertical="center"/>
    </xf>
    <xf numFmtId="1" fontId="14467" fillId="8" borderId="1" xfId="0" applyNumberFormat="1" applyFont="1" applyFill="1" applyBorder="1" applyAlignment="1">
      <alignment horizontal="center" vertical="center"/>
    </xf>
    <xf numFmtId="1" fontId="14468" fillId="8" borderId="1" xfId="0" applyNumberFormat="1" applyFont="1" applyFill="1" applyBorder="1" applyAlignment="1">
      <alignment horizontal="center" vertical="center"/>
    </xf>
    <xf numFmtId="1" fontId="14469" fillId="8" borderId="1" xfId="0" applyNumberFormat="1" applyFont="1" applyFill="1" applyBorder="1" applyAlignment="1">
      <alignment horizontal="center" vertical="center"/>
    </xf>
    <xf numFmtId="165" fontId="14470" fillId="8" borderId="1" xfId="0" applyNumberFormat="1" applyFont="1" applyFill="1" applyBorder="1" applyAlignment="1">
      <alignment horizontal="center" vertical="center"/>
    </xf>
    <xf numFmtId="1" fontId="14471" fillId="8" borderId="1" xfId="0" applyNumberFormat="1" applyFont="1" applyFill="1" applyBorder="1" applyAlignment="1">
      <alignment horizontal="center" vertical="center"/>
    </xf>
    <xf numFmtId="165" fontId="14472" fillId="8" borderId="1" xfId="0" applyNumberFormat="1" applyFont="1" applyFill="1" applyBorder="1" applyAlignment="1">
      <alignment horizontal="center" vertical="center"/>
    </xf>
    <xf numFmtId="1" fontId="14473" fillId="8" borderId="1" xfId="0" applyNumberFormat="1" applyFont="1" applyFill="1" applyBorder="1" applyAlignment="1">
      <alignment horizontal="center" vertical="center"/>
    </xf>
    <xf numFmtId="165" fontId="14474" fillId="8" borderId="1" xfId="0" applyNumberFormat="1" applyFont="1" applyFill="1" applyBorder="1" applyAlignment="1">
      <alignment horizontal="center" vertical="center"/>
    </xf>
    <xf numFmtId="2" fontId="14475" fillId="8" borderId="1" xfId="0" applyNumberFormat="1" applyFont="1" applyFill="1" applyBorder="1" applyAlignment="1">
      <alignment horizontal="center" vertical="center"/>
    </xf>
    <xf numFmtId="2" fontId="14476" fillId="8" borderId="1" xfId="0" applyNumberFormat="1" applyFont="1" applyFill="1" applyBorder="1" applyAlignment="1">
      <alignment horizontal="center" vertical="center"/>
    </xf>
    <xf numFmtId="2" fontId="14477" fillId="8" borderId="1" xfId="0" applyNumberFormat="1" applyFont="1" applyFill="1" applyBorder="1" applyAlignment="1">
      <alignment horizontal="center" vertical="center"/>
    </xf>
    <xf numFmtId="2" fontId="14478" fillId="8" borderId="1" xfId="0" applyNumberFormat="1" applyFont="1" applyFill="1" applyBorder="1" applyAlignment="1">
      <alignment horizontal="center" vertical="center"/>
    </xf>
    <xf numFmtId="2" fontId="14479" fillId="8" borderId="1" xfId="0" applyNumberFormat="1" applyFont="1" applyFill="1" applyBorder="1" applyAlignment="1">
      <alignment horizontal="center" vertical="center"/>
    </xf>
    <xf numFmtId="2" fontId="14480" fillId="8" borderId="1" xfId="0" applyNumberFormat="1" applyFont="1" applyFill="1" applyBorder="1" applyAlignment="1">
      <alignment horizontal="center" vertical="center"/>
    </xf>
    <xf numFmtId="2" fontId="14481" fillId="8" borderId="1" xfId="0" applyNumberFormat="1" applyFont="1" applyFill="1" applyBorder="1" applyAlignment="1">
      <alignment horizontal="center" vertical="center"/>
    </xf>
    <xf numFmtId="2" fontId="14482" fillId="8" borderId="1" xfId="0" applyNumberFormat="1" applyFont="1" applyFill="1" applyBorder="1" applyAlignment="1">
      <alignment horizontal="center" vertical="center"/>
    </xf>
    <xf numFmtId="2" fontId="14483" fillId="8" borderId="1" xfId="0" applyNumberFormat="1" applyFont="1" applyFill="1" applyBorder="1" applyAlignment="1">
      <alignment horizontal="center" vertical="center"/>
    </xf>
    <xf numFmtId="2" fontId="14484" fillId="8" borderId="1" xfId="0" applyNumberFormat="1" applyFont="1" applyFill="1" applyBorder="1" applyAlignment="1">
      <alignment horizontal="center" vertical="center"/>
    </xf>
    <xf numFmtId="2" fontId="14485" fillId="8" borderId="1" xfId="0" applyNumberFormat="1" applyFont="1" applyFill="1" applyBorder="1" applyAlignment="1">
      <alignment horizontal="center" vertical="center"/>
    </xf>
    <xf numFmtId="2" fontId="14486" fillId="8" borderId="1" xfId="0" applyNumberFormat="1" applyFont="1" applyFill="1" applyBorder="1" applyAlignment="1">
      <alignment horizontal="center" vertical="center"/>
    </xf>
    <xf numFmtId="2" fontId="14487" fillId="8" borderId="1" xfId="0" applyNumberFormat="1" applyFont="1" applyFill="1" applyBorder="1" applyAlignment="1">
      <alignment horizontal="center" vertical="center"/>
    </xf>
    <xf numFmtId="2" fontId="14488" fillId="8" borderId="1" xfId="0" applyNumberFormat="1" applyFont="1" applyFill="1" applyBorder="1" applyAlignment="1">
      <alignment horizontal="center" vertical="center"/>
    </xf>
    <xf numFmtId="2" fontId="14489" fillId="8" borderId="1" xfId="0" applyNumberFormat="1" applyFont="1" applyFill="1" applyBorder="1" applyAlignment="1">
      <alignment horizontal="center" vertical="center"/>
    </xf>
    <xf numFmtId="2" fontId="14490" fillId="8" borderId="1" xfId="0" applyNumberFormat="1" applyFont="1" applyFill="1" applyBorder="1" applyAlignment="1">
      <alignment horizontal="center" vertical="center"/>
    </xf>
    <xf numFmtId="2" fontId="14491" fillId="8" borderId="1" xfId="0" applyNumberFormat="1" applyFont="1" applyFill="1" applyBorder="1" applyAlignment="1">
      <alignment horizontal="center" vertical="center"/>
    </xf>
    <xf numFmtId="2" fontId="14492" fillId="8" borderId="1" xfId="0" applyNumberFormat="1" applyFont="1" applyFill="1" applyBorder="1" applyAlignment="1">
      <alignment horizontal="center" vertical="center"/>
    </xf>
    <xf numFmtId="2" fontId="14493" fillId="8" borderId="1" xfId="0" applyNumberFormat="1" applyFont="1" applyFill="1" applyBorder="1" applyAlignment="1">
      <alignment horizontal="center" vertical="center"/>
    </xf>
    <xf numFmtId="2" fontId="14494" fillId="8" borderId="1" xfId="0" applyNumberFormat="1" applyFont="1" applyFill="1" applyBorder="1" applyAlignment="1">
      <alignment horizontal="center" vertical="center"/>
    </xf>
    <xf numFmtId="2" fontId="14495" fillId="8" borderId="1" xfId="0" applyNumberFormat="1" applyFont="1" applyFill="1" applyBorder="1" applyAlignment="1">
      <alignment horizontal="center" vertical="center"/>
    </xf>
    <xf numFmtId="2" fontId="14496" fillId="8" borderId="1" xfId="0" applyNumberFormat="1" applyFont="1" applyFill="1" applyBorder="1" applyAlignment="1">
      <alignment horizontal="center" vertical="center"/>
    </xf>
    <xf numFmtId="2" fontId="14497" fillId="8" borderId="1" xfId="0" applyNumberFormat="1" applyFont="1" applyFill="1" applyBorder="1" applyAlignment="1">
      <alignment horizontal="center" vertical="center"/>
    </xf>
    <xf numFmtId="2" fontId="14498" fillId="8" borderId="1" xfId="0" applyNumberFormat="1" applyFont="1" applyFill="1" applyBorder="1" applyAlignment="1">
      <alignment horizontal="center" vertical="center"/>
    </xf>
    <xf numFmtId="2" fontId="14499" fillId="8" borderId="1" xfId="0" applyNumberFormat="1" applyFont="1" applyFill="1" applyBorder="1" applyAlignment="1">
      <alignment horizontal="center" vertical="center"/>
    </xf>
    <xf numFmtId="2" fontId="14500" fillId="8" borderId="1" xfId="0" applyNumberFormat="1" applyFont="1" applyFill="1" applyBorder="1" applyAlignment="1">
      <alignment horizontal="center" vertical="center"/>
    </xf>
    <xf numFmtId="2" fontId="14501" fillId="8" borderId="1" xfId="0" applyNumberFormat="1" applyFont="1" applyFill="1" applyBorder="1" applyAlignment="1">
      <alignment horizontal="center" vertical="center"/>
    </xf>
    <xf numFmtId="2" fontId="14502" fillId="8" borderId="1" xfId="0" applyNumberFormat="1" applyFont="1" applyFill="1" applyBorder="1" applyAlignment="1">
      <alignment horizontal="center" vertical="center"/>
    </xf>
    <xf numFmtId="2" fontId="14503" fillId="8" borderId="1" xfId="0" applyNumberFormat="1" applyFont="1" applyFill="1" applyBorder="1" applyAlignment="1">
      <alignment horizontal="center" vertical="center"/>
    </xf>
    <xf numFmtId="2" fontId="14504" fillId="8" borderId="1" xfId="0" applyNumberFormat="1" applyFont="1" applyFill="1" applyBorder="1" applyAlignment="1">
      <alignment horizontal="center" vertical="center"/>
    </xf>
    <xf numFmtId="2" fontId="14505" fillId="8" borderId="1" xfId="0" applyNumberFormat="1" applyFont="1" applyFill="1" applyBorder="1" applyAlignment="1">
      <alignment horizontal="center" vertical="center"/>
    </xf>
    <xf numFmtId="2" fontId="14506" fillId="8" borderId="1" xfId="0" applyNumberFormat="1" applyFont="1" applyFill="1" applyBorder="1" applyAlignment="1">
      <alignment horizontal="center" vertical="center"/>
    </xf>
    <xf numFmtId="2" fontId="14507" fillId="8" borderId="1" xfId="0" applyNumberFormat="1" applyFont="1" applyFill="1" applyBorder="1" applyAlignment="1">
      <alignment horizontal="center" vertical="center"/>
    </xf>
    <xf numFmtId="2" fontId="14508" fillId="8" borderId="1" xfId="0" applyNumberFormat="1" applyFont="1" applyFill="1" applyBorder="1" applyAlignment="1">
      <alignment horizontal="center" vertical="center"/>
    </xf>
    <xf numFmtId="0" fontId="14509" fillId="7" borderId="1" xfId="0" applyNumberFormat="1" applyFont="1" applyFill="1" applyBorder="1" applyAlignment="1">
      <alignment horizontal="left" vertical="center"/>
    </xf>
    <xf numFmtId="0" fontId="14510" fillId="8" borderId="1" xfId="0" applyNumberFormat="1" applyFont="1" applyFill="1" applyBorder="1" applyAlignment="1">
      <alignment horizontal="center" vertical="center"/>
    </xf>
    <xf numFmtId="164" fontId="14511" fillId="8" borderId="1" xfId="0" applyNumberFormat="1" applyFont="1" applyFill="1" applyBorder="1" applyAlignment="1">
      <alignment horizontal="center" vertical="center"/>
    </xf>
    <xf numFmtId="1" fontId="14512" fillId="8" borderId="1" xfId="0" applyNumberFormat="1" applyFont="1" applyFill="1" applyBorder="1" applyAlignment="1">
      <alignment horizontal="center" vertical="center"/>
    </xf>
    <xf numFmtId="1" fontId="14513" fillId="8" borderId="1" xfId="0" applyNumberFormat="1" applyFont="1" applyFill="1" applyBorder="1" applyAlignment="1">
      <alignment horizontal="center" vertical="center"/>
    </xf>
    <xf numFmtId="1" fontId="14514" fillId="8" borderId="1" xfId="0" applyNumberFormat="1" applyFont="1" applyFill="1" applyBorder="1" applyAlignment="1">
      <alignment horizontal="center" vertical="center"/>
    </xf>
    <xf numFmtId="1" fontId="14515" fillId="8" borderId="1" xfId="0" applyNumberFormat="1" applyFont="1" applyFill="1" applyBorder="1" applyAlignment="1">
      <alignment horizontal="center" vertical="center"/>
    </xf>
    <xf numFmtId="1" fontId="14516" fillId="8" borderId="1" xfId="0" applyNumberFormat="1" applyFont="1" applyFill="1" applyBorder="1" applyAlignment="1">
      <alignment horizontal="center" vertical="center"/>
    </xf>
    <xf numFmtId="1" fontId="14517" fillId="8" borderId="1" xfId="0" applyNumberFormat="1" applyFont="1" applyFill="1" applyBorder="1" applyAlignment="1">
      <alignment horizontal="center" vertical="center"/>
    </xf>
    <xf numFmtId="1" fontId="14518" fillId="8" borderId="1" xfId="0" applyNumberFormat="1" applyFont="1" applyFill="1" applyBorder="1" applyAlignment="1">
      <alignment horizontal="center" vertical="center"/>
    </xf>
    <xf numFmtId="0" fontId="14519" fillId="8" borderId="1" xfId="0" applyNumberFormat="1" applyFont="1" applyFill="1" applyBorder="1" applyAlignment="1">
      <alignment horizontal="center" vertical="center"/>
    </xf>
    <xf numFmtId="0" fontId="14520" fillId="8" borderId="1" xfId="0" applyNumberFormat="1" applyFont="1" applyFill="1" applyBorder="1" applyAlignment="1">
      <alignment horizontal="center" vertical="center"/>
    </xf>
    <xf numFmtId="1" fontId="14521" fillId="8" borderId="1" xfId="0" applyNumberFormat="1" applyFont="1" applyFill="1" applyBorder="1" applyAlignment="1">
      <alignment horizontal="center" vertical="center"/>
    </xf>
    <xf numFmtId="1" fontId="14522" fillId="8" borderId="1" xfId="0" applyNumberFormat="1" applyFont="1" applyFill="1" applyBorder="1" applyAlignment="1">
      <alignment horizontal="center" vertical="center"/>
    </xf>
    <xf numFmtId="1" fontId="14523" fillId="8" borderId="1" xfId="0" applyNumberFormat="1" applyFont="1" applyFill="1" applyBorder="1" applyAlignment="1">
      <alignment horizontal="center" vertical="center"/>
    </xf>
    <xf numFmtId="165" fontId="14524" fillId="8" borderId="1" xfId="0" applyNumberFormat="1" applyFont="1" applyFill="1" applyBorder="1" applyAlignment="1">
      <alignment horizontal="center" vertical="center"/>
    </xf>
    <xf numFmtId="1" fontId="14525" fillId="8" borderId="1" xfId="0" applyNumberFormat="1" applyFont="1" applyFill="1" applyBorder="1" applyAlignment="1">
      <alignment horizontal="center" vertical="center"/>
    </xf>
    <xf numFmtId="165" fontId="14526" fillId="8" borderId="1" xfId="0" applyNumberFormat="1" applyFont="1" applyFill="1" applyBorder="1" applyAlignment="1">
      <alignment horizontal="center" vertical="center"/>
    </xf>
    <xf numFmtId="1" fontId="14527" fillId="8" borderId="1" xfId="0" applyNumberFormat="1" applyFont="1" applyFill="1" applyBorder="1" applyAlignment="1">
      <alignment horizontal="center" vertical="center"/>
    </xf>
    <xf numFmtId="165" fontId="14528" fillId="8" borderId="1" xfId="0" applyNumberFormat="1" applyFont="1" applyFill="1" applyBorder="1" applyAlignment="1">
      <alignment horizontal="center" vertical="center"/>
    </xf>
    <xf numFmtId="1" fontId="14529" fillId="8" borderId="1" xfId="0" applyNumberFormat="1" applyFont="1" applyFill="1" applyBorder="1" applyAlignment="1">
      <alignment horizontal="center" vertical="center"/>
    </xf>
    <xf numFmtId="165" fontId="14530" fillId="8" borderId="1" xfId="0" applyNumberFormat="1" applyFont="1" applyFill="1" applyBorder="1" applyAlignment="1">
      <alignment horizontal="center" vertical="center"/>
    </xf>
    <xf numFmtId="165" fontId="14531" fillId="8" borderId="1" xfId="0" applyNumberFormat="1" applyFont="1" applyFill="1" applyBorder="1" applyAlignment="1">
      <alignment horizontal="center" vertical="center"/>
    </xf>
    <xf numFmtId="1" fontId="14532" fillId="8" borderId="1" xfId="0" applyNumberFormat="1" applyFont="1" applyFill="1" applyBorder="1" applyAlignment="1">
      <alignment horizontal="center" vertical="center"/>
    </xf>
    <xf numFmtId="1" fontId="14533" fillId="8" borderId="1" xfId="0" applyNumberFormat="1" applyFont="1" applyFill="1" applyBorder="1" applyAlignment="1">
      <alignment horizontal="center" vertical="center"/>
    </xf>
    <xf numFmtId="1" fontId="14534" fillId="8" borderId="1" xfId="0" applyNumberFormat="1" applyFont="1" applyFill="1" applyBorder="1" applyAlignment="1">
      <alignment horizontal="center" vertical="center"/>
    </xf>
    <xf numFmtId="165" fontId="14535" fillId="8" borderId="1" xfId="0" applyNumberFormat="1" applyFont="1" applyFill="1" applyBorder="1" applyAlignment="1">
      <alignment horizontal="center" vertical="center"/>
    </xf>
    <xf numFmtId="164" fontId="14536" fillId="8" borderId="1" xfId="0" applyNumberFormat="1" applyFont="1" applyFill="1" applyBorder="1" applyAlignment="1">
      <alignment horizontal="center" vertical="center"/>
    </xf>
    <xf numFmtId="164" fontId="14537" fillId="8" borderId="1" xfId="0" applyNumberFormat="1" applyFont="1" applyFill="1" applyBorder="1" applyAlignment="1">
      <alignment horizontal="center" vertical="center"/>
    </xf>
    <xf numFmtId="1" fontId="14538" fillId="8" borderId="1" xfId="0" applyNumberFormat="1" applyFont="1" applyFill="1" applyBorder="1" applyAlignment="1">
      <alignment horizontal="center" vertical="center"/>
    </xf>
    <xf numFmtId="1" fontId="14539" fillId="8" borderId="1" xfId="0" applyNumberFormat="1" applyFont="1" applyFill="1" applyBorder="1" applyAlignment="1">
      <alignment horizontal="center" vertical="center"/>
    </xf>
    <xf numFmtId="1" fontId="14540" fillId="8" borderId="1" xfId="0" applyNumberFormat="1" applyFont="1" applyFill="1" applyBorder="1" applyAlignment="1">
      <alignment horizontal="center" vertical="center"/>
    </xf>
    <xf numFmtId="165" fontId="14541" fillId="8" borderId="1" xfId="0" applyNumberFormat="1" applyFont="1" applyFill="1" applyBorder="1" applyAlignment="1">
      <alignment horizontal="center" vertical="center"/>
    </xf>
    <xf numFmtId="1" fontId="14542" fillId="8" borderId="1" xfId="0" applyNumberFormat="1" applyFont="1" applyFill="1" applyBorder="1" applyAlignment="1">
      <alignment horizontal="center" vertical="center"/>
    </xf>
    <xf numFmtId="165" fontId="14543" fillId="8" borderId="1" xfId="0" applyNumberFormat="1" applyFont="1" applyFill="1" applyBorder="1" applyAlignment="1">
      <alignment horizontal="center" vertical="center"/>
    </xf>
    <xf numFmtId="1" fontId="14544" fillId="8" borderId="1" xfId="0" applyNumberFormat="1" applyFont="1" applyFill="1" applyBorder="1" applyAlignment="1">
      <alignment horizontal="center" vertical="center"/>
    </xf>
    <xf numFmtId="1" fontId="14545" fillId="8" borderId="1" xfId="0" applyNumberFormat="1" applyFont="1" applyFill="1" applyBorder="1" applyAlignment="1">
      <alignment horizontal="center" vertical="center"/>
    </xf>
    <xf numFmtId="1" fontId="14546" fillId="8" borderId="1" xfId="0" applyNumberFormat="1" applyFont="1" applyFill="1" applyBorder="1" applyAlignment="1">
      <alignment horizontal="center" vertical="center"/>
    </xf>
    <xf numFmtId="1" fontId="14547" fillId="8" borderId="1" xfId="0" applyNumberFormat="1" applyFont="1" applyFill="1" applyBorder="1" applyAlignment="1">
      <alignment horizontal="center" vertical="center"/>
    </xf>
    <xf numFmtId="165" fontId="14548" fillId="8" borderId="1" xfId="0" applyNumberFormat="1" applyFont="1" applyFill="1" applyBorder="1" applyAlignment="1">
      <alignment horizontal="center" vertical="center"/>
    </xf>
    <xf numFmtId="1" fontId="14549" fillId="8" borderId="1" xfId="0" applyNumberFormat="1" applyFont="1" applyFill="1" applyBorder="1" applyAlignment="1">
      <alignment horizontal="center" vertical="center"/>
    </xf>
    <xf numFmtId="165" fontId="14550" fillId="8" borderId="1" xfId="0" applyNumberFormat="1" applyFont="1" applyFill="1" applyBorder="1" applyAlignment="1">
      <alignment horizontal="center" vertical="center"/>
    </xf>
    <xf numFmtId="1" fontId="14551" fillId="8" borderId="1" xfId="0" applyNumberFormat="1" applyFont="1" applyFill="1" applyBorder="1" applyAlignment="1">
      <alignment horizontal="center" vertical="center"/>
    </xf>
    <xf numFmtId="165" fontId="14552" fillId="8" borderId="1" xfId="0" applyNumberFormat="1" applyFont="1" applyFill="1" applyBorder="1" applyAlignment="1">
      <alignment horizontal="center" vertical="center"/>
    </xf>
    <xf numFmtId="2" fontId="14553" fillId="8" borderId="1" xfId="0" applyNumberFormat="1" applyFont="1" applyFill="1" applyBorder="1" applyAlignment="1">
      <alignment horizontal="center" vertical="center"/>
    </xf>
    <xf numFmtId="2" fontId="14554" fillId="8" borderId="1" xfId="0" applyNumberFormat="1" applyFont="1" applyFill="1" applyBorder="1" applyAlignment="1">
      <alignment horizontal="center" vertical="center"/>
    </xf>
    <xf numFmtId="2" fontId="14555" fillId="8" borderId="1" xfId="0" applyNumberFormat="1" applyFont="1" applyFill="1" applyBorder="1" applyAlignment="1">
      <alignment horizontal="center" vertical="center"/>
    </xf>
    <xf numFmtId="2" fontId="14556" fillId="8" borderId="1" xfId="0" applyNumberFormat="1" applyFont="1" applyFill="1" applyBorder="1" applyAlignment="1">
      <alignment horizontal="center" vertical="center"/>
    </xf>
    <xf numFmtId="2" fontId="14557" fillId="8" borderId="1" xfId="0" applyNumberFormat="1" applyFont="1" applyFill="1" applyBorder="1" applyAlignment="1">
      <alignment horizontal="center" vertical="center"/>
    </xf>
    <xf numFmtId="2" fontId="14558" fillId="8" borderId="1" xfId="0" applyNumberFormat="1" applyFont="1" applyFill="1" applyBorder="1" applyAlignment="1">
      <alignment horizontal="center" vertical="center"/>
    </xf>
    <xf numFmtId="2" fontId="14559" fillId="8" borderId="1" xfId="0" applyNumberFormat="1" applyFont="1" applyFill="1" applyBorder="1" applyAlignment="1">
      <alignment horizontal="center" vertical="center"/>
    </xf>
    <xf numFmtId="2" fontId="14560" fillId="8" borderId="1" xfId="0" applyNumberFormat="1" applyFont="1" applyFill="1" applyBorder="1" applyAlignment="1">
      <alignment horizontal="center" vertical="center"/>
    </xf>
    <xf numFmtId="2" fontId="14561" fillId="8" borderId="1" xfId="0" applyNumberFormat="1" applyFont="1" applyFill="1" applyBorder="1" applyAlignment="1">
      <alignment horizontal="center" vertical="center"/>
    </xf>
    <xf numFmtId="2" fontId="14562" fillId="8" borderId="1" xfId="0" applyNumberFormat="1" applyFont="1" applyFill="1" applyBorder="1" applyAlignment="1">
      <alignment horizontal="center" vertical="center"/>
    </xf>
    <xf numFmtId="2" fontId="14563" fillId="8" borderId="1" xfId="0" applyNumberFormat="1" applyFont="1" applyFill="1" applyBorder="1" applyAlignment="1">
      <alignment horizontal="center" vertical="center"/>
    </xf>
    <xf numFmtId="2" fontId="14564" fillId="8" borderId="1" xfId="0" applyNumberFormat="1" applyFont="1" applyFill="1" applyBorder="1" applyAlignment="1">
      <alignment horizontal="center" vertical="center"/>
    </xf>
    <xf numFmtId="2" fontId="14565" fillId="8" borderId="1" xfId="0" applyNumberFormat="1" applyFont="1" applyFill="1" applyBorder="1" applyAlignment="1">
      <alignment horizontal="center" vertical="center"/>
    </xf>
    <xf numFmtId="2" fontId="14566" fillId="8" borderId="1" xfId="0" applyNumberFormat="1" applyFont="1" applyFill="1" applyBorder="1" applyAlignment="1">
      <alignment horizontal="center" vertical="center"/>
    </xf>
    <xf numFmtId="2" fontId="14567" fillId="8" borderId="1" xfId="0" applyNumberFormat="1" applyFont="1" applyFill="1" applyBorder="1" applyAlignment="1">
      <alignment horizontal="center" vertical="center"/>
    </xf>
    <xf numFmtId="2" fontId="14568" fillId="8" borderId="1" xfId="0" applyNumberFormat="1" applyFont="1" applyFill="1" applyBorder="1" applyAlignment="1">
      <alignment horizontal="center" vertical="center"/>
    </xf>
    <xf numFmtId="2" fontId="14569" fillId="8" borderId="1" xfId="0" applyNumberFormat="1" applyFont="1" applyFill="1" applyBorder="1" applyAlignment="1">
      <alignment horizontal="center" vertical="center"/>
    </xf>
    <xf numFmtId="2" fontId="14570" fillId="8" borderId="1" xfId="0" applyNumberFormat="1" applyFont="1" applyFill="1" applyBorder="1" applyAlignment="1">
      <alignment horizontal="center" vertical="center"/>
    </xf>
    <xf numFmtId="2" fontId="14571" fillId="8" borderId="1" xfId="0" applyNumberFormat="1" applyFont="1" applyFill="1" applyBorder="1" applyAlignment="1">
      <alignment horizontal="center" vertical="center"/>
    </xf>
    <xf numFmtId="2" fontId="14572" fillId="8" borderId="1" xfId="0" applyNumberFormat="1" applyFont="1" applyFill="1" applyBorder="1" applyAlignment="1">
      <alignment horizontal="center" vertical="center"/>
    </xf>
    <xf numFmtId="2" fontId="14573" fillId="8" borderId="1" xfId="0" applyNumberFormat="1" applyFont="1" applyFill="1" applyBorder="1" applyAlignment="1">
      <alignment horizontal="center" vertical="center"/>
    </xf>
    <xf numFmtId="2" fontId="14574" fillId="8" borderId="1" xfId="0" applyNumberFormat="1" applyFont="1" applyFill="1" applyBorder="1" applyAlignment="1">
      <alignment horizontal="center" vertical="center"/>
    </xf>
    <xf numFmtId="2" fontId="14575" fillId="8" borderId="1" xfId="0" applyNumberFormat="1" applyFont="1" applyFill="1" applyBorder="1" applyAlignment="1">
      <alignment horizontal="center" vertical="center"/>
    </xf>
    <xf numFmtId="2" fontId="14576" fillId="8" borderId="1" xfId="0" applyNumberFormat="1" applyFont="1" applyFill="1" applyBorder="1" applyAlignment="1">
      <alignment horizontal="center" vertical="center"/>
    </xf>
    <xf numFmtId="2" fontId="14577" fillId="8" borderId="1" xfId="0" applyNumberFormat="1" applyFont="1" applyFill="1" applyBorder="1" applyAlignment="1">
      <alignment horizontal="center" vertical="center"/>
    </xf>
    <xf numFmtId="2" fontId="14578" fillId="8" borderId="1" xfId="0" applyNumberFormat="1" applyFont="1" applyFill="1" applyBorder="1" applyAlignment="1">
      <alignment horizontal="center" vertical="center"/>
    </xf>
    <xf numFmtId="2" fontId="14579" fillId="8" borderId="1" xfId="0" applyNumberFormat="1" applyFont="1" applyFill="1" applyBorder="1" applyAlignment="1">
      <alignment horizontal="center" vertical="center"/>
    </xf>
    <xf numFmtId="2" fontId="14580" fillId="8" borderId="1" xfId="0" applyNumberFormat="1" applyFont="1" applyFill="1" applyBorder="1" applyAlignment="1">
      <alignment horizontal="center" vertical="center"/>
    </xf>
    <xf numFmtId="2" fontId="14581" fillId="8" borderId="1" xfId="0" applyNumberFormat="1" applyFont="1" applyFill="1" applyBorder="1" applyAlignment="1">
      <alignment horizontal="center" vertical="center"/>
    </xf>
    <xf numFmtId="2" fontId="14582" fillId="8" borderId="1" xfId="0" applyNumberFormat="1" applyFont="1" applyFill="1" applyBorder="1" applyAlignment="1">
      <alignment horizontal="center" vertical="center"/>
    </xf>
    <xf numFmtId="2" fontId="14583" fillId="8" borderId="1" xfId="0" applyNumberFormat="1" applyFont="1" applyFill="1" applyBorder="1" applyAlignment="1">
      <alignment horizontal="center" vertical="center"/>
    </xf>
    <xf numFmtId="2" fontId="14584" fillId="8" borderId="1" xfId="0" applyNumberFormat="1" applyFont="1" applyFill="1" applyBorder="1" applyAlignment="1">
      <alignment horizontal="center" vertical="center"/>
    </xf>
    <xf numFmtId="2" fontId="14585" fillId="8" borderId="1" xfId="0" applyNumberFormat="1" applyFont="1" applyFill="1" applyBorder="1" applyAlignment="1">
      <alignment horizontal="center" vertical="center"/>
    </xf>
    <xf numFmtId="2" fontId="14586" fillId="8" borderId="1" xfId="0" applyNumberFormat="1" applyFont="1" applyFill="1" applyBorder="1" applyAlignment="1">
      <alignment horizontal="center" vertical="center"/>
    </xf>
    <xf numFmtId="0" fontId="14587" fillId="7" borderId="1" xfId="0" applyNumberFormat="1" applyFont="1" applyFill="1" applyBorder="1" applyAlignment="1">
      <alignment horizontal="left" vertical="center"/>
    </xf>
    <xf numFmtId="0" fontId="14588" fillId="8" borderId="1" xfId="0" applyNumberFormat="1" applyFont="1" applyFill="1" applyBorder="1" applyAlignment="1">
      <alignment horizontal="center" vertical="center"/>
    </xf>
    <xf numFmtId="164" fontId="14589" fillId="8" borderId="1" xfId="0" applyNumberFormat="1" applyFont="1" applyFill="1" applyBorder="1" applyAlignment="1">
      <alignment horizontal="center" vertical="center"/>
    </xf>
    <xf numFmtId="1" fontId="14590" fillId="8" borderId="1" xfId="0" applyNumberFormat="1" applyFont="1" applyFill="1" applyBorder="1" applyAlignment="1">
      <alignment horizontal="center" vertical="center"/>
    </xf>
    <xf numFmtId="1" fontId="14591" fillId="8" borderId="1" xfId="0" applyNumberFormat="1" applyFont="1" applyFill="1" applyBorder="1" applyAlignment="1">
      <alignment horizontal="center" vertical="center"/>
    </xf>
    <xf numFmtId="1" fontId="14592" fillId="8" borderId="1" xfId="0" applyNumberFormat="1" applyFont="1" applyFill="1" applyBorder="1" applyAlignment="1">
      <alignment horizontal="center" vertical="center"/>
    </xf>
    <xf numFmtId="1" fontId="14593" fillId="8" borderId="1" xfId="0" applyNumberFormat="1" applyFont="1" applyFill="1" applyBorder="1" applyAlignment="1">
      <alignment horizontal="center" vertical="center"/>
    </xf>
    <xf numFmtId="1" fontId="14594" fillId="8" borderId="1" xfId="0" applyNumberFormat="1" applyFont="1" applyFill="1" applyBorder="1" applyAlignment="1">
      <alignment horizontal="center" vertical="center"/>
    </xf>
    <xf numFmtId="1" fontId="14595" fillId="8" borderId="1" xfId="0" applyNumberFormat="1" applyFont="1" applyFill="1" applyBorder="1" applyAlignment="1">
      <alignment horizontal="center" vertical="center"/>
    </xf>
    <xf numFmtId="1" fontId="14596" fillId="8" borderId="1" xfId="0" applyNumberFormat="1" applyFont="1" applyFill="1" applyBorder="1" applyAlignment="1">
      <alignment horizontal="center" vertical="center"/>
    </xf>
    <xf numFmtId="0" fontId="14597" fillId="8" borderId="1" xfId="0" applyNumberFormat="1" applyFont="1" applyFill="1" applyBorder="1" applyAlignment="1">
      <alignment horizontal="center" vertical="center"/>
    </xf>
    <xf numFmtId="0" fontId="14598" fillId="8" borderId="1" xfId="0" applyNumberFormat="1" applyFont="1" applyFill="1" applyBorder="1" applyAlignment="1">
      <alignment horizontal="center" vertical="center"/>
    </xf>
    <xf numFmtId="1" fontId="14599" fillId="8" borderId="1" xfId="0" applyNumberFormat="1" applyFont="1" applyFill="1" applyBorder="1" applyAlignment="1">
      <alignment horizontal="center" vertical="center"/>
    </xf>
    <xf numFmtId="1" fontId="14600" fillId="8" borderId="1" xfId="0" applyNumberFormat="1" applyFont="1" applyFill="1" applyBorder="1" applyAlignment="1">
      <alignment horizontal="center" vertical="center"/>
    </xf>
    <xf numFmtId="1" fontId="14601" fillId="8" borderId="1" xfId="0" applyNumberFormat="1" applyFont="1" applyFill="1" applyBorder="1" applyAlignment="1">
      <alignment horizontal="center" vertical="center"/>
    </xf>
    <xf numFmtId="165" fontId="14602" fillId="8" borderId="1" xfId="0" applyNumberFormat="1" applyFont="1" applyFill="1" applyBorder="1" applyAlignment="1">
      <alignment horizontal="center" vertical="center"/>
    </xf>
    <xf numFmtId="1" fontId="14603" fillId="8" borderId="1" xfId="0" applyNumberFormat="1" applyFont="1" applyFill="1" applyBorder="1" applyAlignment="1">
      <alignment horizontal="center" vertical="center"/>
    </xf>
    <xf numFmtId="165" fontId="14604" fillId="8" borderId="1" xfId="0" applyNumberFormat="1" applyFont="1" applyFill="1" applyBorder="1" applyAlignment="1">
      <alignment horizontal="center" vertical="center"/>
    </xf>
    <xf numFmtId="1" fontId="14605" fillId="8" borderId="1" xfId="0" applyNumberFormat="1" applyFont="1" applyFill="1" applyBorder="1" applyAlignment="1">
      <alignment horizontal="center" vertical="center"/>
    </xf>
    <xf numFmtId="165" fontId="14606" fillId="8" borderId="1" xfId="0" applyNumberFormat="1" applyFont="1" applyFill="1" applyBorder="1" applyAlignment="1">
      <alignment horizontal="center" vertical="center"/>
    </xf>
    <xf numFmtId="1" fontId="14607" fillId="8" borderId="1" xfId="0" applyNumberFormat="1" applyFont="1" applyFill="1" applyBorder="1" applyAlignment="1">
      <alignment horizontal="center" vertical="center"/>
    </xf>
    <xf numFmtId="165" fontId="14608" fillId="8" borderId="1" xfId="0" applyNumberFormat="1" applyFont="1" applyFill="1" applyBorder="1" applyAlignment="1">
      <alignment horizontal="center" vertical="center"/>
    </xf>
    <xf numFmtId="165" fontId="14609" fillId="8" borderId="1" xfId="0" applyNumberFormat="1" applyFont="1" applyFill="1" applyBorder="1" applyAlignment="1">
      <alignment horizontal="center" vertical="center"/>
    </xf>
    <xf numFmtId="1" fontId="14610" fillId="8" borderId="1" xfId="0" applyNumberFormat="1" applyFont="1" applyFill="1" applyBorder="1" applyAlignment="1">
      <alignment horizontal="center" vertical="center"/>
    </xf>
    <xf numFmtId="1" fontId="14611" fillId="8" borderId="1" xfId="0" applyNumberFormat="1" applyFont="1" applyFill="1" applyBorder="1" applyAlignment="1">
      <alignment horizontal="center" vertical="center"/>
    </xf>
    <xf numFmtId="1" fontId="14612" fillId="8" borderId="1" xfId="0" applyNumberFormat="1" applyFont="1" applyFill="1" applyBorder="1" applyAlignment="1">
      <alignment horizontal="center" vertical="center"/>
    </xf>
    <xf numFmtId="165" fontId="14613" fillId="8" borderId="1" xfId="0" applyNumberFormat="1" applyFont="1" applyFill="1" applyBorder="1" applyAlignment="1">
      <alignment horizontal="center" vertical="center"/>
    </xf>
    <xf numFmtId="164" fontId="14614" fillId="8" borderId="1" xfId="0" applyNumberFormat="1" applyFont="1" applyFill="1" applyBorder="1" applyAlignment="1">
      <alignment horizontal="center" vertical="center"/>
    </xf>
    <xf numFmtId="164" fontId="14615" fillId="8" borderId="1" xfId="0" applyNumberFormat="1" applyFont="1" applyFill="1" applyBorder="1" applyAlignment="1">
      <alignment horizontal="center" vertical="center"/>
    </xf>
    <xf numFmtId="1" fontId="14616" fillId="8" borderId="1" xfId="0" applyNumberFormat="1" applyFont="1" applyFill="1" applyBorder="1" applyAlignment="1">
      <alignment horizontal="center" vertical="center"/>
    </xf>
    <xf numFmtId="1" fontId="14617" fillId="8" borderId="1" xfId="0" applyNumberFormat="1" applyFont="1" applyFill="1" applyBorder="1" applyAlignment="1">
      <alignment horizontal="center" vertical="center"/>
    </xf>
    <xf numFmtId="1" fontId="14618" fillId="8" borderId="1" xfId="0" applyNumberFormat="1" applyFont="1" applyFill="1" applyBorder="1" applyAlignment="1">
      <alignment horizontal="center" vertical="center"/>
    </xf>
    <xf numFmtId="165" fontId="14619" fillId="8" borderId="1" xfId="0" applyNumberFormat="1" applyFont="1" applyFill="1" applyBorder="1" applyAlignment="1">
      <alignment horizontal="center" vertical="center"/>
    </xf>
    <xf numFmtId="1" fontId="14620" fillId="8" borderId="1" xfId="0" applyNumberFormat="1" applyFont="1" applyFill="1" applyBorder="1" applyAlignment="1">
      <alignment horizontal="center" vertical="center"/>
    </xf>
    <xf numFmtId="165" fontId="14621" fillId="8" borderId="1" xfId="0" applyNumberFormat="1" applyFont="1" applyFill="1" applyBorder="1" applyAlignment="1">
      <alignment horizontal="center" vertical="center"/>
    </xf>
    <xf numFmtId="1" fontId="14622" fillId="8" borderId="1" xfId="0" applyNumberFormat="1" applyFont="1" applyFill="1" applyBorder="1" applyAlignment="1">
      <alignment horizontal="center" vertical="center"/>
    </xf>
    <xf numFmtId="1" fontId="14623" fillId="8" borderId="1" xfId="0" applyNumberFormat="1" applyFont="1" applyFill="1" applyBorder="1" applyAlignment="1">
      <alignment horizontal="center" vertical="center"/>
    </xf>
    <xf numFmtId="1" fontId="14624" fillId="8" borderId="1" xfId="0" applyNumberFormat="1" applyFont="1" applyFill="1" applyBorder="1" applyAlignment="1">
      <alignment horizontal="center" vertical="center"/>
    </xf>
    <xf numFmtId="1" fontId="14625" fillId="8" borderId="1" xfId="0" applyNumberFormat="1" applyFont="1" applyFill="1" applyBorder="1" applyAlignment="1">
      <alignment horizontal="center" vertical="center"/>
    </xf>
    <xf numFmtId="165" fontId="14626" fillId="8" borderId="1" xfId="0" applyNumberFormat="1" applyFont="1" applyFill="1" applyBorder="1" applyAlignment="1">
      <alignment horizontal="center" vertical="center"/>
    </xf>
    <xf numFmtId="1" fontId="14627" fillId="8" borderId="1" xfId="0" applyNumberFormat="1" applyFont="1" applyFill="1" applyBorder="1" applyAlignment="1">
      <alignment horizontal="center" vertical="center"/>
    </xf>
    <xf numFmtId="165" fontId="14628" fillId="8" borderId="1" xfId="0" applyNumberFormat="1" applyFont="1" applyFill="1" applyBorder="1" applyAlignment="1">
      <alignment horizontal="center" vertical="center"/>
    </xf>
    <xf numFmtId="1" fontId="14629" fillId="8" borderId="1" xfId="0" applyNumberFormat="1" applyFont="1" applyFill="1" applyBorder="1" applyAlignment="1">
      <alignment horizontal="center" vertical="center"/>
    </xf>
    <xf numFmtId="165" fontId="14630" fillId="8" borderId="1" xfId="0" applyNumberFormat="1" applyFont="1" applyFill="1" applyBorder="1" applyAlignment="1">
      <alignment horizontal="center" vertical="center"/>
    </xf>
    <xf numFmtId="2" fontId="14631" fillId="8" borderId="1" xfId="0" applyNumberFormat="1" applyFont="1" applyFill="1" applyBorder="1" applyAlignment="1">
      <alignment horizontal="center" vertical="center"/>
    </xf>
    <xf numFmtId="2" fontId="14632" fillId="8" borderId="1" xfId="0" applyNumberFormat="1" applyFont="1" applyFill="1" applyBorder="1" applyAlignment="1">
      <alignment horizontal="center" vertical="center"/>
    </xf>
    <xf numFmtId="2" fontId="14633" fillId="8" borderId="1" xfId="0" applyNumberFormat="1" applyFont="1" applyFill="1" applyBorder="1" applyAlignment="1">
      <alignment horizontal="center" vertical="center"/>
    </xf>
    <xf numFmtId="2" fontId="14634" fillId="8" borderId="1" xfId="0" applyNumberFormat="1" applyFont="1" applyFill="1" applyBorder="1" applyAlignment="1">
      <alignment horizontal="center" vertical="center"/>
    </xf>
    <xf numFmtId="2" fontId="14635" fillId="8" borderId="1" xfId="0" applyNumberFormat="1" applyFont="1" applyFill="1" applyBorder="1" applyAlignment="1">
      <alignment horizontal="center" vertical="center"/>
    </xf>
    <xf numFmtId="2" fontId="14636" fillId="8" borderId="1" xfId="0" applyNumberFormat="1" applyFont="1" applyFill="1" applyBorder="1" applyAlignment="1">
      <alignment horizontal="center" vertical="center"/>
    </xf>
    <xf numFmtId="2" fontId="14637" fillId="8" borderId="1" xfId="0" applyNumberFormat="1" applyFont="1" applyFill="1" applyBorder="1" applyAlignment="1">
      <alignment horizontal="center" vertical="center"/>
    </xf>
    <xf numFmtId="2" fontId="14638" fillId="8" borderId="1" xfId="0" applyNumberFormat="1" applyFont="1" applyFill="1" applyBorder="1" applyAlignment="1">
      <alignment horizontal="center" vertical="center"/>
    </xf>
    <xf numFmtId="2" fontId="14639" fillId="8" borderId="1" xfId="0" applyNumberFormat="1" applyFont="1" applyFill="1" applyBorder="1" applyAlignment="1">
      <alignment horizontal="center" vertical="center"/>
    </xf>
    <xf numFmtId="2" fontId="14640" fillId="8" borderId="1" xfId="0" applyNumberFormat="1" applyFont="1" applyFill="1" applyBorder="1" applyAlignment="1">
      <alignment horizontal="center" vertical="center"/>
    </xf>
    <xf numFmtId="2" fontId="14641" fillId="8" borderId="1" xfId="0" applyNumberFormat="1" applyFont="1" applyFill="1" applyBorder="1" applyAlignment="1">
      <alignment horizontal="center" vertical="center"/>
    </xf>
    <xf numFmtId="2" fontId="14642" fillId="8" borderId="1" xfId="0" applyNumberFormat="1" applyFont="1" applyFill="1" applyBorder="1" applyAlignment="1">
      <alignment horizontal="center" vertical="center"/>
    </xf>
    <xf numFmtId="2" fontId="14643" fillId="8" borderId="1" xfId="0" applyNumberFormat="1" applyFont="1" applyFill="1" applyBorder="1" applyAlignment="1">
      <alignment horizontal="center" vertical="center"/>
    </xf>
    <xf numFmtId="2" fontId="14644" fillId="8" borderId="1" xfId="0" applyNumberFormat="1" applyFont="1" applyFill="1" applyBorder="1" applyAlignment="1">
      <alignment horizontal="center" vertical="center"/>
    </xf>
    <xf numFmtId="2" fontId="14645" fillId="8" borderId="1" xfId="0" applyNumberFormat="1" applyFont="1" applyFill="1" applyBorder="1" applyAlignment="1">
      <alignment horizontal="center" vertical="center"/>
    </xf>
    <xf numFmtId="2" fontId="14646" fillId="8" borderId="1" xfId="0" applyNumberFormat="1" applyFont="1" applyFill="1" applyBorder="1" applyAlignment="1">
      <alignment horizontal="center" vertical="center"/>
    </xf>
    <xf numFmtId="2" fontId="14647" fillId="8" borderId="1" xfId="0" applyNumberFormat="1" applyFont="1" applyFill="1" applyBorder="1" applyAlignment="1">
      <alignment horizontal="center" vertical="center"/>
    </xf>
    <xf numFmtId="2" fontId="14648" fillId="8" borderId="1" xfId="0" applyNumberFormat="1" applyFont="1" applyFill="1" applyBorder="1" applyAlignment="1">
      <alignment horizontal="center" vertical="center"/>
    </xf>
    <xf numFmtId="2" fontId="14649" fillId="8" borderId="1" xfId="0" applyNumberFormat="1" applyFont="1" applyFill="1" applyBorder="1" applyAlignment="1">
      <alignment horizontal="center" vertical="center"/>
    </xf>
    <xf numFmtId="2" fontId="14650" fillId="8" borderId="1" xfId="0" applyNumberFormat="1" applyFont="1" applyFill="1" applyBorder="1" applyAlignment="1">
      <alignment horizontal="center" vertical="center"/>
    </xf>
    <xf numFmtId="2" fontId="14651" fillId="8" borderId="1" xfId="0" applyNumberFormat="1" applyFont="1" applyFill="1" applyBorder="1" applyAlignment="1">
      <alignment horizontal="center" vertical="center"/>
    </xf>
    <xf numFmtId="2" fontId="14652" fillId="8" borderId="1" xfId="0" applyNumberFormat="1" applyFont="1" applyFill="1" applyBorder="1" applyAlignment="1">
      <alignment horizontal="center" vertical="center"/>
    </xf>
    <xf numFmtId="2" fontId="14653" fillId="8" borderId="1" xfId="0" applyNumberFormat="1" applyFont="1" applyFill="1" applyBorder="1" applyAlignment="1">
      <alignment horizontal="center" vertical="center"/>
    </xf>
    <xf numFmtId="2" fontId="14654" fillId="8" borderId="1" xfId="0" applyNumberFormat="1" applyFont="1" applyFill="1" applyBorder="1" applyAlignment="1">
      <alignment horizontal="center" vertical="center"/>
    </xf>
    <xf numFmtId="2" fontId="14655" fillId="8" borderId="1" xfId="0" applyNumberFormat="1" applyFont="1" applyFill="1" applyBorder="1" applyAlignment="1">
      <alignment horizontal="center" vertical="center"/>
    </xf>
    <xf numFmtId="2" fontId="14656" fillId="8" borderId="1" xfId="0" applyNumberFormat="1" applyFont="1" applyFill="1" applyBorder="1" applyAlignment="1">
      <alignment horizontal="center" vertical="center"/>
    </xf>
    <xf numFmtId="2" fontId="14657" fillId="8" borderId="1" xfId="0" applyNumberFormat="1" applyFont="1" applyFill="1" applyBorder="1" applyAlignment="1">
      <alignment horizontal="center" vertical="center"/>
    </xf>
    <xf numFmtId="2" fontId="14658" fillId="8" borderId="1" xfId="0" applyNumberFormat="1" applyFont="1" applyFill="1" applyBorder="1" applyAlignment="1">
      <alignment horizontal="center" vertical="center"/>
    </xf>
    <xf numFmtId="2" fontId="14659" fillId="8" borderId="1" xfId="0" applyNumberFormat="1" applyFont="1" applyFill="1" applyBorder="1" applyAlignment="1">
      <alignment horizontal="center" vertical="center"/>
    </xf>
    <xf numFmtId="2" fontId="14660" fillId="8" borderId="1" xfId="0" applyNumberFormat="1" applyFont="1" applyFill="1" applyBorder="1" applyAlignment="1">
      <alignment horizontal="center" vertical="center"/>
    </xf>
    <xf numFmtId="2" fontId="14661" fillId="8" borderId="1" xfId="0" applyNumberFormat="1" applyFont="1" applyFill="1" applyBorder="1" applyAlignment="1">
      <alignment horizontal="center" vertical="center"/>
    </xf>
    <xf numFmtId="2" fontId="14662" fillId="8" borderId="1" xfId="0" applyNumberFormat="1" applyFont="1" applyFill="1" applyBorder="1" applyAlignment="1">
      <alignment horizontal="center" vertical="center"/>
    </xf>
    <xf numFmtId="2" fontId="14663" fillId="8" borderId="1" xfId="0" applyNumberFormat="1" applyFont="1" applyFill="1" applyBorder="1" applyAlignment="1">
      <alignment horizontal="center" vertical="center"/>
    </xf>
    <xf numFmtId="2" fontId="14664" fillId="8" borderId="1" xfId="0" applyNumberFormat="1" applyFont="1" applyFill="1" applyBorder="1" applyAlignment="1">
      <alignment horizontal="center" vertical="center"/>
    </xf>
    <xf numFmtId="0" fontId="14665" fillId="7" borderId="1" xfId="0" applyNumberFormat="1" applyFont="1" applyFill="1" applyBorder="1" applyAlignment="1">
      <alignment horizontal="left" vertical="center"/>
    </xf>
    <xf numFmtId="0" fontId="14666" fillId="8" borderId="1" xfId="0" applyNumberFormat="1" applyFont="1" applyFill="1" applyBorder="1" applyAlignment="1">
      <alignment horizontal="center" vertical="center"/>
    </xf>
    <xf numFmtId="164" fontId="14667" fillId="8" borderId="1" xfId="0" applyNumberFormat="1" applyFont="1" applyFill="1" applyBorder="1" applyAlignment="1">
      <alignment horizontal="center" vertical="center"/>
    </xf>
    <xf numFmtId="1" fontId="14668" fillId="8" borderId="1" xfId="0" applyNumberFormat="1" applyFont="1" applyFill="1" applyBorder="1" applyAlignment="1">
      <alignment horizontal="center" vertical="center"/>
    </xf>
    <xf numFmtId="1" fontId="14669" fillId="8" borderId="1" xfId="0" applyNumberFormat="1" applyFont="1" applyFill="1" applyBorder="1" applyAlignment="1">
      <alignment horizontal="center" vertical="center"/>
    </xf>
    <xf numFmtId="1" fontId="14670" fillId="8" borderId="1" xfId="0" applyNumberFormat="1" applyFont="1" applyFill="1" applyBorder="1" applyAlignment="1">
      <alignment horizontal="center" vertical="center"/>
    </xf>
    <xf numFmtId="1" fontId="14671" fillId="8" borderId="1" xfId="0" applyNumberFormat="1" applyFont="1" applyFill="1" applyBorder="1" applyAlignment="1">
      <alignment horizontal="center" vertical="center"/>
    </xf>
    <xf numFmtId="1" fontId="14672" fillId="8" borderId="1" xfId="0" applyNumberFormat="1" applyFont="1" applyFill="1" applyBorder="1" applyAlignment="1">
      <alignment horizontal="center" vertical="center"/>
    </xf>
    <xf numFmtId="1" fontId="14673" fillId="8" borderId="1" xfId="0" applyNumberFormat="1" applyFont="1" applyFill="1" applyBorder="1" applyAlignment="1">
      <alignment horizontal="center" vertical="center"/>
    </xf>
    <xf numFmtId="1" fontId="14674" fillId="8" borderId="1" xfId="0" applyNumberFormat="1" applyFont="1" applyFill="1" applyBorder="1" applyAlignment="1">
      <alignment horizontal="center" vertical="center"/>
    </xf>
    <xf numFmtId="0" fontId="14675" fillId="8" borderId="1" xfId="0" applyNumberFormat="1" applyFont="1" applyFill="1" applyBorder="1" applyAlignment="1">
      <alignment horizontal="center" vertical="center"/>
    </xf>
    <xf numFmtId="0" fontId="14676" fillId="8" borderId="1" xfId="0" applyNumberFormat="1" applyFont="1" applyFill="1" applyBorder="1" applyAlignment="1">
      <alignment horizontal="center" vertical="center"/>
    </xf>
    <xf numFmtId="1" fontId="14677" fillId="8" borderId="1" xfId="0" applyNumberFormat="1" applyFont="1" applyFill="1" applyBorder="1" applyAlignment="1">
      <alignment horizontal="center" vertical="center"/>
    </xf>
    <xf numFmtId="1" fontId="14678" fillId="8" borderId="1" xfId="0" applyNumberFormat="1" applyFont="1" applyFill="1" applyBorder="1" applyAlignment="1">
      <alignment horizontal="center" vertical="center"/>
    </xf>
    <xf numFmtId="1" fontId="14679" fillId="8" borderId="1" xfId="0" applyNumberFormat="1" applyFont="1" applyFill="1" applyBorder="1" applyAlignment="1">
      <alignment horizontal="center" vertical="center"/>
    </xf>
    <xf numFmtId="165" fontId="14680" fillId="8" borderId="1" xfId="0" applyNumberFormat="1" applyFont="1" applyFill="1" applyBorder="1" applyAlignment="1">
      <alignment horizontal="center" vertical="center"/>
    </xf>
    <xf numFmtId="1" fontId="14681" fillId="8" borderId="1" xfId="0" applyNumberFormat="1" applyFont="1" applyFill="1" applyBorder="1" applyAlignment="1">
      <alignment horizontal="center" vertical="center"/>
    </xf>
    <xf numFmtId="165" fontId="14682" fillId="8" borderId="1" xfId="0" applyNumberFormat="1" applyFont="1" applyFill="1" applyBorder="1" applyAlignment="1">
      <alignment horizontal="center" vertical="center"/>
    </xf>
    <xf numFmtId="1" fontId="14683" fillId="8" borderId="1" xfId="0" applyNumberFormat="1" applyFont="1" applyFill="1" applyBorder="1" applyAlignment="1">
      <alignment horizontal="center" vertical="center"/>
    </xf>
    <xf numFmtId="165" fontId="14684" fillId="8" borderId="1" xfId="0" applyNumberFormat="1" applyFont="1" applyFill="1" applyBorder="1" applyAlignment="1">
      <alignment horizontal="center" vertical="center"/>
    </xf>
    <xf numFmtId="1" fontId="14685" fillId="8" borderId="1" xfId="0" applyNumberFormat="1" applyFont="1" applyFill="1" applyBorder="1" applyAlignment="1">
      <alignment horizontal="center" vertical="center"/>
    </xf>
    <xf numFmtId="165" fontId="14686" fillId="8" borderId="1" xfId="0" applyNumberFormat="1" applyFont="1" applyFill="1" applyBorder="1" applyAlignment="1">
      <alignment horizontal="center" vertical="center"/>
    </xf>
    <xf numFmtId="165" fontId="14687" fillId="8" borderId="1" xfId="0" applyNumberFormat="1" applyFont="1" applyFill="1" applyBorder="1" applyAlignment="1">
      <alignment horizontal="center" vertical="center"/>
    </xf>
    <xf numFmtId="1" fontId="14688" fillId="8" borderId="1" xfId="0" applyNumberFormat="1" applyFont="1" applyFill="1" applyBorder="1" applyAlignment="1">
      <alignment horizontal="center" vertical="center"/>
    </xf>
    <xf numFmtId="1" fontId="14689" fillId="8" borderId="1" xfId="0" applyNumberFormat="1" applyFont="1" applyFill="1" applyBorder="1" applyAlignment="1">
      <alignment horizontal="center" vertical="center"/>
    </xf>
    <xf numFmtId="1" fontId="14690" fillId="8" borderId="1" xfId="0" applyNumberFormat="1" applyFont="1" applyFill="1" applyBorder="1" applyAlignment="1">
      <alignment horizontal="center" vertical="center"/>
    </xf>
    <xf numFmtId="165" fontId="14691" fillId="8" borderId="1" xfId="0" applyNumberFormat="1" applyFont="1" applyFill="1" applyBorder="1" applyAlignment="1">
      <alignment horizontal="center" vertical="center"/>
    </xf>
    <xf numFmtId="164" fontId="14692" fillId="8" borderId="1" xfId="0" applyNumberFormat="1" applyFont="1" applyFill="1" applyBorder="1" applyAlignment="1">
      <alignment horizontal="center" vertical="center"/>
    </xf>
    <xf numFmtId="164" fontId="14693" fillId="8" borderId="1" xfId="0" applyNumberFormat="1" applyFont="1" applyFill="1" applyBorder="1" applyAlignment="1">
      <alignment horizontal="center" vertical="center"/>
    </xf>
    <xf numFmtId="1" fontId="14694" fillId="8" borderId="1" xfId="0" applyNumberFormat="1" applyFont="1" applyFill="1" applyBorder="1" applyAlignment="1">
      <alignment horizontal="center" vertical="center"/>
    </xf>
    <xf numFmtId="1" fontId="14695" fillId="8" borderId="1" xfId="0" applyNumberFormat="1" applyFont="1" applyFill="1" applyBorder="1" applyAlignment="1">
      <alignment horizontal="center" vertical="center"/>
    </xf>
    <xf numFmtId="1" fontId="14696" fillId="8" borderId="1" xfId="0" applyNumberFormat="1" applyFont="1" applyFill="1" applyBorder="1" applyAlignment="1">
      <alignment horizontal="center" vertical="center"/>
    </xf>
    <xf numFmtId="165" fontId="14697" fillId="8" borderId="1" xfId="0" applyNumberFormat="1" applyFont="1" applyFill="1" applyBorder="1" applyAlignment="1">
      <alignment horizontal="center" vertical="center"/>
    </xf>
    <xf numFmtId="1" fontId="14698" fillId="8" borderId="1" xfId="0" applyNumberFormat="1" applyFont="1" applyFill="1" applyBorder="1" applyAlignment="1">
      <alignment horizontal="center" vertical="center"/>
    </xf>
    <xf numFmtId="165" fontId="14699" fillId="8" borderId="1" xfId="0" applyNumberFormat="1" applyFont="1" applyFill="1" applyBorder="1" applyAlignment="1">
      <alignment horizontal="center" vertical="center"/>
    </xf>
    <xf numFmtId="1" fontId="14700" fillId="8" borderId="1" xfId="0" applyNumberFormat="1" applyFont="1" applyFill="1" applyBorder="1" applyAlignment="1">
      <alignment horizontal="center" vertical="center"/>
    </xf>
    <xf numFmtId="1" fontId="14701" fillId="8" borderId="1" xfId="0" applyNumberFormat="1" applyFont="1" applyFill="1" applyBorder="1" applyAlignment="1">
      <alignment horizontal="center" vertical="center"/>
    </xf>
    <xf numFmtId="1" fontId="14702" fillId="8" borderId="1" xfId="0" applyNumberFormat="1" applyFont="1" applyFill="1" applyBorder="1" applyAlignment="1">
      <alignment horizontal="center" vertical="center"/>
    </xf>
    <xf numFmtId="1" fontId="14703" fillId="8" borderId="1" xfId="0" applyNumberFormat="1" applyFont="1" applyFill="1" applyBorder="1" applyAlignment="1">
      <alignment horizontal="center" vertical="center"/>
    </xf>
    <xf numFmtId="165" fontId="14704" fillId="8" borderId="1" xfId="0" applyNumberFormat="1" applyFont="1" applyFill="1" applyBorder="1" applyAlignment="1">
      <alignment horizontal="center" vertical="center"/>
    </xf>
    <xf numFmtId="1" fontId="14705" fillId="8" borderId="1" xfId="0" applyNumberFormat="1" applyFont="1" applyFill="1" applyBorder="1" applyAlignment="1">
      <alignment horizontal="center" vertical="center"/>
    </xf>
    <xf numFmtId="165" fontId="14706" fillId="8" borderId="1" xfId="0" applyNumberFormat="1" applyFont="1" applyFill="1" applyBorder="1" applyAlignment="1">
      <alignment horizontal="center" vertical="center"/>
    </xf>
    <xf numFmtId="1" fontId="14707" fillId="8" borderId="1" xfId="0" applyNumberFormat="1" applyFont="1" applyFill="1" applyBorder="1" applyAlignment="1">
      <alignment horizontal="center" vertical="center"/>
    </xf>
    <xf numFmtId="165" fontId="14708" fillId="8" borderId="1" xfId="0" applyNumberFormat="1" applyFont="1" applyFill="1" applyBorder="1" applyAlignment="1">
      <alignment horizontal="center" vertical="center"/>
    </xf>
    <xf numFmtId="2" fontId="14709" fillId="8" borderId="1" xfId="0" applyNumberFormat="1" applyFont="1" applyFill="1" applyBorder="1" applyAlignment="1">
      <alignment horizontal="center" vertical="center"/>
    </xf>
    <xf numFmtId="2" fontId="14710" fillId="8" borderId="1" xfId="0" applyNumberFormat="1" applyFont="1" applyFill="1" applyBorder="1" applyAlignment="1">
      <alignment horizontal="center" vertical="center"/>
    </xf>
    <xf numFmtId="2" fontId="14711" fillId="8" borderId="1" xfId="0" applyNumberFormat="1" applyFont="1" applyFill="1" applyBorder="1" applyAlignment="1">
      <alignment horizontal="center" vertical="center"/>
    </xf>
    <xf numFmtId="2" fontId="14712" fillId="8" borderId="1" xfId="0" applyNumberFormat="1" applyFont="1" applyFill="1" applyBorder="1" applyAlignment="1">
      <alignment horizontal="center" vertical="center"/>
    </xf>
    <xf numFmtId="2" fontId="14713" fillId="8" borderId="1" xfId="0" applyNumberFormat="1" applyFont="1" applyFill="1" applyBorder="1" applyAlignment="1">
      <alignment horizontal="center" vertical="center"/>
    </xf>
    <xf numFmtId="2" fontId="14714" fillId="8" borderId="1" xfId="0" applyNumberFormat="1" applyFont="1" applyFill="1" applyBorder="1" applyAlignment="1">
      <alignment horizontal="center" vertical="center"/>
    </xf>
    <xf numFmtId="2" fontId="14715" fillId="8" borderId="1" xfId="0" applyNumberFormat="1" applyFont="1" applyFill="1" applyBorder="1" applyAlignment="1">
      <alignment horizontal="center" vertical="center"/>
    </xf>
    <xf numFmtId="2" fontId="14716" fillId="8" borderId="1" xfId="0" applyNumberFormat="1" applyFont="1" applyFill="1" applyBorder="1" applyAlignment="1">
      <alignment horizontal="center" vertical="center"/>
    </xf>
    <xf numFmtId="2" fontId="14717" fillId="8" borderId="1" xfId="0" applyNumberFormat="1" applyFont="1" applyFill="1" applyBorder="1" applyAlignment="1">
      <alignment horizontal="center" vertical="center"/>
    </xf>
    <xf numFmtId="2" fontId="14718" fillId="8" borderId="1" xfId="0" applyNumberFormat="1" applyFont="1" applyFill="1" applyBorder="1" applyAlignment="1">
      <alignment horizontal="center" vertical="center"/>
    </xf>
    <xf numFmtId="2" fontId="14719" fillId="8" borderId="1" xfId="0" applyNumberFormat="1" applyFont="1" applyFill="1" applyBorder="1" applyAlignment="1">
      <alignment horizontal="center" vertical="center"/>
    </xf>
    <xf numFmtId="2" fontId="14720" fillId="8" borderId="1" xfId="0" applyNumberFormat="1" applyFont="1" applyFill="1" applyBorder="1" applyAlignment="1">
      <alignment horizontal="center" vertical="center"/>
    </xf>
    <xf numFmtId="2" fontId="14721" fillId="8" borderId="1" xfId="0" applyNumberFormat="1" applyFont="1" applyFill="1" applyBorder="1" applyAlignment="1">
      <alignment horizontal="center" vertical="center"/>
    </xf>
    <xf numFmtId="2" fontId="14722" fillId="8" borderId="1" xfId="0" applyNumberFormat="1" applyFont="1" applyFill="1" applyBorder="1" applyAlignment="1">
      <alignment horizontal="center" vertical="center"/>
    </xf>
    <xf numFmtId="2" fontId="14723" fillId="8" borderId="1" xfId="0" applyNumberFormat="1" applyFont="1" applyFill="1" applyBorder="1" applyAlignment="1">
      <alignment horizontal="center" vertical="center"/>
    </xf>
    <xf numFmtId="2" fontId="14724" fillId="8" borderId="1" xfId="0" applyNumberFormat="1" applyFont="1" applyFill="1" applyBorder="1" applyAlignment="1">
      <alignment horizontal="center" vertical="center"/>
    </xf>
    <xf numFmtId="2" fontId="14725" fillId="8" borderId="1" xfId="0" applyNumberFormat="1" applyFont="1" applyFill="1" applyBorder="1" applyAlignment="1">
      <alignment horizontal="center" vertical="center"/>
    </xf>
    <xf numFmtId="2" fontId="14726" fillId="8" borderId="1" xfId="0" applyNumberFormat="1" applyFont="1" applyFill="1" applyBorder="1" applyAlignment="1">
      <alignment horizontal="center" vertical="center"/>
    </xf>
    <xf numFmtId="2" fontId="14727" fillId="8" borderId="1" xfId="0" applyNumberFormat="1" applyFont="1" applyFill="1" applyBorder="1" applyAlignment="1">
      <alignment horizontal="center" vertical="center"/>
    </xf>
    <xf numFmtId="2" fontId="14728" fillId="8" borderId="1" xfId="0" applyNumberFormat="1" applyFont="1" applyFill="1" applyBorder="1" applyAlignment="1">
      <alignment horizontal="center" vertical="center"/>
    </xf>
    <xf numFmtId="2" fontId="14729" fillId="8" borderId="1" xfId="0" applyNumberFormat="1" applyFont="1" applyFill="1" applyBorder="1" applyAlignment="1">
      <alignment horizontal="center" vertical="center"/>
    </xf>
    <xf numFmtId="2" fontId="14730" fillId="8" borderId="1" xfId="0" applyNumberFormat="1" applyFont="1" applyFill="1" applyBorder="1" applyAlignment="1">
      <alignment horizontal="center" vertical="center"/>
    </xf>
    <xf numFmtId="2" fontId="14731" fillId="8" borderId="1" xfId="0" applyNumberFormat="1" applyFont="1" applyFill="1" applyBorder="1" applyAlignment="1">
      <alignment horizontal="center" vertical="center"/>
    </xf>
    <xf numFmtId="2" fontId="14732" fillId="8" borderId="1" xfId="0" applyNumberFormat="1" applyFont="1" applyFill="1" applyBorder="1" applyAlignment="1">
      <alignment horizontal="center" vertical="center"/>
    </xf>
    <xf numFmtId="2" fontId="14733" fillId="8" borderId="1" xfId="0" applyNumberFormat="1" applyFont="1" applyFill="1" applyBorder="1" applyAlignment="1">
      <alignment horizontal="center" vertical="center"/>
    </xf>
    <xf numFmtId="2" fontId="14734" fillId="8" borderId="1" xfId="0" applyNumberFormat="1" applyFont="1" applyFill="1" applyBorder="1" applyAlignment="1">
      <alignment horizontal="center" vertical="center"/>
    </xf>
    <xf numFmtId="2" fontId="14735" fillId="8" borderId="1" xfId="0" applyNumberFormat="1" applyFont="1" applyFill="1" applyBorder="1" applyAlignment="1">
      <alignment horizontal="center" vertical="center"/>
    </xf>
    <xf numFmtId="2" fontId="14736" fillId="8" borderId="1" xfId="0" applyNumberFormat="1" applyFont="1" applyFill="1" applyBorder="1" applyAlignment="1">
      <alignment horizontal="center" vertical="center"/>
    </xf>
    <xf numFmtId="2" fontId="14737" fillId="8" borderId="1" xfId="0" applyNumberFormat="1" applyFont="1" applyFill="1" applyBorder="1" applyAlignment="1">
      <alignment horizontal="center" vertical="center"/>
    </xf>
    <xf numFmtId="2" fontId="14738" fillId="8" borderId="1" xfId="0" applyNumberFormat="1" applyFont="1" applyFill="1" applyBorder="1" applyAlignment="1">
      <alignment horizontal="center" vertical="center"/>
    </xf>
    <xf numFmtId="2" fontId="14739" fillId="8" borderId="1" xfId="0" applyNumberFormat="1" applyFont="1" applyFill="1" applyBorder="1" applyAlignment="1">
      <alignment horizontal="center" vertical="center"/>
    </xf>
    <xf numFmtId="2" fontId="14740" fillId="8" borderId="1" xfId="0" applyNumberFormat="1" applyFont="1" applyFill="1" applyBorder="1" applyAlignment="1">
      <alignment horizontal="center" vertical="center"/>
    </xf>
    <xf numFmtId="2" fontId="14741" fillId="8" borderId="1" xfId="0" applyNumberFormat="1" applyFont="1" applyFill="1" applyBorder="1" applyAlignment="1">
      <alignment horizontal="center" vertical="center"/>
    </xf>
    <xf numFmtId="2" fontId="14742" fillId="8" borderId="1" xfId="0" applyNumberFormat="1" applyFont="1" applyFill="1" applyBorder="1" applyAlignment="1">
      <alignment horizontal="center" vertical="center"/>
    </xf>
    <xf numFmtId="0" fontId="14743" fillId="7" borderId="1" xfId="0" applyNumberFormat="1" applyFont="1" applyFill="1" applyBorder="1" applyAlignment="1">
      <alignment horizontal="left" vertical="center"/>
    </xf>
    <xf numFmtId="0" fontId="14744" fillId="8" borderId="1" xfId="0" applyNumberFormat="1" applyFont="1" applyFill="1" applyBorder="1" applyAlignment="1">
      <alignment horizontal="center" vertical="center"/>
    </xf>
    <xf numFmtId="164" fontId="14745" fillId="8" borderId="1" xfId="0" applyNumberFormat="1" applyFont="1" applyFill="1" applyBorder="1" applyAlignment="1">
      <alignment horizontal="center" vertical="center"/>
    </xf>
    <xf numFmtId="1" fontId="14746" fillId="8" borderId="1" xfId="0" applyNumberFormat="1" applyFont="1" applyFill="1" applyBorder="1" applyAlignment="1">
      <alignment horizontal="center" vertical="center"/>
    </xf>
    <xf numFmtId="1" fontId="14747" fillId="8" borderId="1" xfId="0" applyNumberFormat="1" applyFont="1" applyFill="1" applyBorder="1" applyAlignment="1">
      <alignment horizontal="center" vertical="center"/>
    </xf>
    <xf numFmtId="1" fontId="14748" fillId="8" borderId="1" xfId="0" applyNumberFormat="1" applyFont="1" applyFill="1" applyBorder="1" applyAlignment="1">
      <alignment horizontal="center" vertical="center"/>
    </xf>
    <xf numFmtId="1" fontId="14749" fillId="8" borderId="1" xfId="0" applyNumberFormat="1" applyFont="1" applyFill="1" applyBorder="1" applyAlignment="1">
      <alignment horizontal="center" vertical="center"/>
    </xf>
    <xf numFmtId="1" fontId="14750" fillId="8" borderId="1" xfId="0" applyNumberFormat="1" applyFont="1" applyFill="1" applyBorder="1" applyAlignment="1">
      <alignment horizontal="center" vertical="center"/>
    </xf>
    <xf numFmtId="1" fontId="14751" fillId="8" borderId="1" xfId="0" applyNumberFormat="1" applyFont="1" applyFill="1" applyBorder="1" applyAlignment="1">
      <alignment horizontal="center" vertical="center"/>
    </xf>
    <xf numFmtId="1" fontId="14752" fillId="8" borderId="1" xfId="0" applyNumberFormat="1" applyFont="1" applyFill="1" applyBorder="1" applyAlignment="1">
      <alignment horizontal="center" vertical="center"/>
    </xf>
    <xf numFmtId="0" fontId="14753" fillId="8" borderId="1" xfId="0" applyNumberFormat="1" applyFont="1" applyFill="1" applyBorder="1" applyAlignment="1">
      <alignment horizontal="center" vertical="center"/>
    </xf>
    <xf numFmtId="0" fontId="14754" fillId="8" borderId="1" xfId="0" applyNumberFormat="1" applyFont="1" applyFill="1" applyBorder="1" applyAlignment="1">
      <alignment horizontal="center" vertical="center"/>
    </xf>
    <xf numFmtId="1" fontId="14755" fillId="8" borderId="1" xfId="0" applyNumberFormat="1" applyFont="1" applyFill="1" applyBorder="1" applyAlignment="1">
      <alignment horizontal="center" vertical="center"/>
    </xf>
    <xf numFmtId="1" fontId="14756" fillId="8" borderId="1" xfId="0" applyNumberFormat="1" applyFont="1" applyFill="1" applyBorder="1" applyAlignment="1">
      <alignment horizontal="center" vertical="center"/>
    </xf>
    <xf numFmtId="1" fontId="14757" fillId="8" borderId="1" xfId="0" applyNumberFormat="1" applyFont="1" applyFill="1" applyBorder="1" applyAlignment="1">
      <alignment horizontal="center" vertical="center"/>
    </xf>
    <xf numFmtId="165" fontId="14758" fillId="8" borderId="1" xfId="0" applyNumberFormat="1" applyFont="1" applyFill="1" applyBorder="1" applyAlignment="1">
      <alignment horizontal="center" vertical="center"/>
    </xf>
    <xf numFmtId="1" fontId="14759" fillId="8" borderId="1" xfId="0" applyNumberFormat="1" applyFont="1" applyFill="1" applyBorder="1" applyAlignment="1">
      <alignment horizontal="center" vertical="center"/>
    </xf>
    <xf numFmtId="165" fontId="14760" fillId="8" borderId="1" xfId="0" applyNumberFormat="1" applyFont="1" applyFill="1" applyBorder="1" applyAlignment="1">
      <alignment horizontal="center" vertical="center"/>
    </xf>
    <xf numFmtId="1" fontId="14761" fillId="8" borderId="1" xfId="0" applyNumberFormat="1" applyFont="1" applyFill="1" applyBorder="1" applyAlignment="1">
      <alignment horizontal="center" vertical="center"/>
    </xf>
    <xf numFmtId="165" fontId="14762" fillId="8" borderId="1" xfId="0" applyNumberFormat="1" applyFont="1" applyFill="1" applyBorder="1" applyAlignment="1">
      <alignment horizontal="center" vertical="center"/>
    </xf>
    <xf numFmtId="1" fontId="14763" fillId="8" borderId="1" xfId="0" applyNumberFormat="1" applyFont="1" applyFill="1" applyBorder="1" applyAlignment="1">
      <alignment horizontal="center" vertical="center"/>
    </xf>
    <xf numFmtId="165" fontId="14764" fillId="8" borderId="1" xfId="0" applyNumberFormat="1" applyFont="1" applyFill="1" applyBorder="1" applyAlignment="1">
      <alignment horizontal="center" vertical="center"/>
    </xf>
    <xf numFmtId="165" fontId="14765" fillId="8" borderId="1" xfId="0" applyNumberFormat="1" applyFont="1" applyFill="1" applyBorder="1" applyAlignment="1">
      <alignment horizontal="center" vertical="center"/>
    </xf>
    <xf numFmtId="1" fontId="14766" fillId="8" borderId="1" xfId="0" applyNumberFormat="1" applyFont="1" applyFill="1" applyBorder="1" applyAlignment="1">
      <alignment horizontal="center" vertical="center"/>
    </xf>
    <xf numFmtId="1" fontId="14767" fillId="8" borderId="1" xfId="0" applyNumberFormat="1" applyFont="1" applyFill="1" applyBorder="1" applyAlignment="1">
      <alignment horizontal="center" vertical="center"/>
    </xf>
    <xf numFmtId="1" fontId="14768" fillId="8" borderId="1" xfId="0" applyNumberFormat="1" applyFont="1" applyFill="1" applyBorder="1" applyAlignment="1">
      <alignment horizontal="center" vertical="center"/>
    </xf>
    <xf numFmtId="165" fontId="14769" fillId="8" borderId="1" xfId="0" applyNumberFormat="1" applyFont="1" applyFill="1" applyBorder="1" applyAlignment="1">
      <alignment horizontal="center" vertical="center"/>
    </xf>
    <xf numFmtId="164" fontId="14770" fillId="8" borderId="1" xfId="0" applyNumberFormat="1" applyFont="1" applyFill="1" applyBorder="1" applyAlignment="1">
      <alignment horizontal="center" vertical="center"/>
    </xf>
    <xf numFmtId="164" fontId="14771" fillId="8" borderId="1" xfId="0" applyNumberFormat="1" applyFont="1" applyFill="1" applyBorder="1" applyAlignment="1">
      <alignment horizontal="center" vertical="center"/>
    </xf>
    <xf numFmtId="1" fontId="14772" fillId="8" borderId="1" xfId="0" applyNumberFormat="1" applyFont="1" applyFill="1" applyBorder="1" applyAlignment="1">
      <alignment horizontal="center" vertical="center"/>
    </xf>
    <xf numFmtId="1" fontId="14773" fillId="8" borderId="1" xfId="0" applyNumberFormat="1" applyFont="1" applyFill="1" applyBorder="1" applyAlignment="1">
      <alignment horizontal="center" vertical="center"/>
    </xf>
    <xf numFmtId="1" fontId="14774" fillId="8" borderId="1" xfId="0" applyNumberFormat="1" applyFont="1" applyFill="1" applyBorder="1" applyAlignment="1">
      <alignment horizontal="center" vertical="center"/>
    </xf>
    <xf numFmtId="165" fontId="14775" fillId="8" borderId="1" xfId="0" applyNumberFormat="1" applyFont="1" applyFill="1" applyBorder="1" applyAlignment="1">
      <alignment horizontal="center" vertical="center"/>
    </xf>
    <xf numFmtId="1" fontId="14776" fillId="8" borderId="1" xfId="0" applyNumberFormat="1" applyFont="1" applyFill="1" applyBorder="1" applyAlignment="1">
      <alignment horizontal="center" vertical="center"/>
    </xf>
    <xf numFmtId="165" fontId="14777" fillId="8" borderId="1" xfId="0" applyNumberFormat="1" applyFont="1" applyFill="1" applyBorder="1" applyAlignment="1">
      <alignment horizontal="center" vertical="center"/>
    </xf>
    <xf numFmtId="1" fontId="14778" fillId="8" borderId="1" xfId="0" applyNumberFormat="1" applyFont="1" applyFill="1" applyBorder="1" applyAlignment="1">
      <alignment horizontal="center" vertical="center"/>
    </xf>
    <xf numFmtId="1" fontId="14779" fillId="8" borderId="1" xfId="0" applyNumberFormat="1" applyFont="1" applyFill="1" applyBorder="1" applyAlignment="1">
      <alignment horizontal="center" vertical="center"/>
    </xf>
    <xf numFmtId="1" fontId="14780" fillId="8" borderId="1" xfId="0" applyNumberFormat="1" applyFont="1" applyFill="1" applyBorder="1" applyAlignment="1">
      <alignment horizontal="center" vertical="center"/>
    </xf>
    <xf numFmtId="1" fontId="14781" fillId="8" borderId="1" xfId="0" applyNumberFormat="1" applyFont="1" applyFill="1" applyBorder="1" applyAlignment="1">
      <alignment horizontal="center" vertical="center"/>
    </xf>
    <xf numFmtId="165" fontId="14782" fillId="8" borderId="1" xfId="0" applyNumberFormat="1" applyFont="1" applyFill="1" applyBorder="1" applyAlignment="1">
      <alignment horizontal="center" vertical="center"/>
    </xf>
    <xf numFmtId="1" fontId="14783" fillId="8" borderId="1" xfId="0" applyNumberFormat="1" applyFont="1" applyFill="1" applyBorder="1" applyAlignment="1">
      <alignment horizontal="center" vertical="center"/>
    </xf>
    <xf numFmtId="165" fontId="14784" fillId="8" borderId="1" xfId="0" applyNumberFormat="1" applyFont="1" applyFill="1" applyBorder="1" applyAlignment="1">
      <alignment horizontal="center" vertical="center"/>
    </xf>
    <xf numFmtId="1" fontId="14785" fillId="8" borderId="1" xfId="0" applyNumberFormat="1" applyFont="1" applyFill="1" applyBorder="1" applyAlignment="1">
      <alignment horizontal="center" vertical="center"/>
    </xf>
    <xf numFmtId="165" fontId="14786" fillId="8" borderId="1" xfId="0" applyNumberFormat="1" applyFont="1" applyFill="1" applyBorder="1" applyAlignment="1">
      <alignment horizontal="center" vertical="center"/>
    </xf>
    <xf numFmtId="2" fontId="14787" fillId="8" borderId="1" xfId="0" applyNumberFormat="1" applyFont="1" applyFill="1" applyBorder="1" applyAlignment="1">
      <alignment horizontal="center" vertical="center"/>
    </xf>
    <xf numFmtId="2" fontId="14788" fillId="8" borderId="1" xfId="0" applyNumberFormat="1" applyFont="1" applyFill="1" applyBorder="1" applyAlignment="1">
      <alignment horizontal="center" vertical="center"/>
    </xf>
    <xf numFmtId="2" fontId="14789" fillId="8" borderId="1" xfId="0" applyNumberFormat="1" applyFont="1" applyFill="1" applyBorder="1" applyAlignment="1">
      <alignment horizontal="center" vertical="center"/>
    </xf>
    <xf numFmtId="2" fontId="14790" fillId="8" borderId="1" xfId="0" applyNumberFormat="1" applyFont="1" applyFill="1" applyBorder="1" applyAlignment="1">
      <alignment horizontal="center" vertical="center"/>
    </xf>
    <xf numFmtId="2" fontId="14791" fillId="8" borderId="1" xfId="0" applyNumberFormat="1" applyFont="1" applyFill="1" applyBorder="1" applyAlignment="1">
      <alignment horizontal="center" vertical="center"/>
    </xf>
    <xf numFmtId="2" fontId="14792" fillId="8" borderId="1" xfId="0" applyNumberFormat="1" applyFont="1" applyFill="1" applyBorder="1" applyAlignment="1">
      <alignment horizontal="center" vertical="center"/>
    </xf>
    <xf numFmtId="2" fontId="14793" fillId="8" borderId="1" xfId="0" applyNumberFormat="1" applyFont="1" applyFill="1" applyBorder="1" applyAlignment="1">
      <alignment horizontal="center" vertical="center"/>
    </xf>
    <xf numFmtId="2" fontId="14794" fillId="8" borderId="1" xfId="0" applyNumberFormat="1" applyFont="1" applyFill="1" applyBorder="1" applyAlignment="1">
      <alignment horizontal="center" vertical="center"/>
    </xf>
    <xf numFmtId="2" fontId="14795" fillId="8" borderId="1" xfId="0" applyNumberFormat="1" applyFont="1" applyFill="1" applyBorder="1" applyAlignment="1">
      <alignment horizontal="center" vertical="center"/>
    </xf>
    <xf numFmtId="2" fontId="14796" fillId="8" borderId="1" xfId="0" applyNumberFormat="1" applyFont="1" applyFill="1" applyBorder="1" applyAlignment="1">
      <alignment horizontal="center" vertical="center"/>
    </xf>
    <xf numFmtId="2" fontId="14797" fillId="8" borderId="1" xfId="0" applyNumberFormat="1" applyFont="1" applyFill="1" applyBorder="1" applyAlignment="1">
      <alignment horizontal="center" vertical="center"/>
    </xf>
    <xf numFmtId="2" fontId="14798" fillId="8" borderId="1" xfId="0" applyNumberFormat="1" applyFont="1" applyFill="1" applyBorder="1" applyAlignment="1">
      <alignment horizontal="center" vertical="center"/>
    </xf>
    <xf numFmtId="2" fontId="14799" fillId="8" borderId="1" xfId="0" applyNumberFormat="1" applyFont="1" applyFill="1" applyBorder="1" applyAlignment="1">
      <alignment horizontal="center" vertical="center"/>
    </xf>
    <xf numFmtId="2" fontId="14800" fillId="8" borderId="1" xfId="0" applyNumberFormat="1" applyFont="1" applyFill="1" applyBorder="1" applyAlignment="1">
      <alignment horizontal="center" vertical="center"/>
    </xf>
    <xf numFmtId="2" fontId="14801" fillId="8" borderId="1" xfId="0" applyNumberFormat="1" applyFont="1" applyFill="1" applyBorder="1" applyAlignment="1">
      <alignment horizontal="center" vertical="center"/>
    </xf>
    <xf numFmtId="2" fontId="14802" fillId="8" borderId="1" xfId="0" applyNumberFormat="1" applyFont="1" applyFill="1" applyBorder="1" applyAlignment="1">
      <alignment horizontal="center" vertical="center"/>
    </xf>
    <xf numFmtId="2" fontId="14803" fillId="8" borderId="1" xfId="0" applyNumberFormat="1" applyFont="1" applyFill="1" applyBorder="1" applyAlignment="1">
      <alignment horizontal="center" vertical="center"/>
    </xf>
    <xf numFmtId="2" fontId="14804" fillId="8" borderId="1" xfId="0" applyNumberFormat="1" applyFont="1" applyFill="1" applyBorder="1" applyAlignment="1">
      <alignment horizontal="center" vertical="center"/>
    </xf>
    <xf numFmtId="2" fontId="14805" fillId="8" borderId="1" xfId="0" applyNumberFormat="1" applyFont="1" applyFill="1" applyBorder="1" applyAlignment="1">
      <alignment horizontal="center" vertical="center"/>
    </xf>
    <xf numFmtId="2" fontId="14806" fillId="8" borderId="1" xfId="0" applyNumberFormat="1" applyFont="1" applyFill="1" applyBorder="1" applyAlignment="1">
      <alignment horizontal="center" vertical="center"/>
    </xf>
    <xf numFmtId="2" fontId="14807" fillId="8" borderId="1" xfId="0" applyNumberFormat="1" applyFont="1" applyFill="1" applyBorder="1" applyAlignment="1">
      <alignment horizontal="center" vertical="center"/>
    </xf>
    <xf numFmtId="2" fontId="14808" fillId="8" borderId="1" xfId="0" applyNumberFormat="1" applyFont="1" applyFill="1" applyBorder="1" applyAlignment="1">
      <alignment horizontal="center" vertical="center"/>
    </xf>
    <xf numFmtId="2" fontId="14809" fillId="8" borderId="1" xfId="0" applyNumberFormat="1" applyFont="1" applyFill="1" applyBorder="1" applyAlignment="1">
      <alignment horizontal="center" vertical="center"/>
    </xf>
    <xf numFmtId="2" fontId="14810" fillId="8" borderId="1" xfId="0" applyNumberFormat="1" applyFont="1" applyFill="1" applyBorder="1" applyAlignment="1">
      <alignment horizontal="center" vertical="center"/>
    </xf>
    <xf numFmtId="2" fontId="14811" fillId="8" borderId="1" xfId="0" applyNumberFormat="1" applyFont="1" applyFill="1" applyBorder="1" applyAlignment="1">
      <alignment horizontal="center" vertical="center"/>
    </xf>
    <xf numFmtId="2" fontId="14812" fillId="8" borderId="1" xfId="0" applyNumberFormat="1" applyFont="1" applyFill="1" applyBorder="1" applyAlignment="1">
      <alignment horizontal="center" vertical="center"/>
    </xf>
    <xf numFmtId="2" fontId="14813" fillId="8" borderId="1" xfId="0" applyNumberFormat="1" applyFont="1" applyFill="1" applyBorder="1" applyAlignment="1">
      <alignment horizontal="center" vertical="center"/>
    </xf>
    <xf numFmtId="2" fontId="14814" fillId="8" borderId="1" xfId="0" applyNumberFormat="1" applyFont="1" applyFill="1" applyBorder="1" applyAlignment="1">
      <alignment horizontal="center" vertical="center"/>
    </xf>
    <xf numFmtId="2" fontId="14815" fillId="8" borderId="1" xfId="0" applyNumberFormat="1" applyFont="1" applyFill="1" applyBorder="1" applyAlignment="1">
      <alignment horizontal="center" vertical="center"/>
    </xf>
    <xf numFmtId="2" fontId="14816" fillId="8" borderId="1" xfId="0" applyNumberFormat="1" applyFont="1" applyFill="1" applyBorder="1" applyAlignment="1">
      <alignment horizontal="center" vertical="center"/>
    </xf>
    <xf numFmtId="2" fontId="14817" fillId="8" borderId="1" xfId="0" applyNumberFormat="1" applyFont="1" applyFill="1" applyBorder="1" applyAlignment="1">
      <alignment horizontal="center" vertical="center"/>
    </xf>
    <xf numFmtId="2" fontId="14818" fillId="8" borderId="1" xfId="0" applyNumberFormat="1" applyFont="1" applyFill="1" applyBorder="1" applyAlignment="1">
      <alignment horizontal="center" vertical="center"/>
    </xf>
    <xf numFmtId="2" fontId="14819" fillId="8" borderId="1" xfId="0" applyNumberFormat="1" applyFont="1" applyFill="1" applyBorder="1" applyAlignment="1">
      <alignment horizontal="center" vertical="center"/>
    </xf>
    <xf numFmtId="2" fontId="14820" fillId="8" borderId="1" xfId="0" applyNumberFormat="1" applyFont="1" applyFill="1" applyBorder="1" applyAlignment="1">
      <alignment horizontal="center" vertical="center"/>
    </xf>
    <xf numFmtId="0" fontId="14821" fillId="7" borderId="1" xfId="0" applyNumberFormat="1" applyFont="1" applyFill="1" applyBorder="1" applyAlignment="1">
      <alignment horizontal="left" vertical="center"/>
    </xf>
    <xf numFmtId="0" fontId="14822" fillId="8" borderId="1" xfId="0" applyNumberFormat="1" applyFont="1" applyFill="1" applyBorder="1" applyAlignment="1">
      <alignment horizontal="center" vertical="center"/>
    </xf>
    <xf numFmtId="164" fontId="14823" fillId="8" borderId="1" xfId="0" applyNumberFormat="1" applyFont="1" applyFill="1" applyBorder="1" applyAlignment="1">
      <alignment horizontal="center" vertical="center"/>
    </xf>
    <xf numFmtId="1" fontId="14824" fillId="8" borderId="1" xfId="0" applyNumberFormat="1" applyFont="1" applyFill="1" applyBorder="1" applyAlignment="1">
      <alignment horizontal="center" vertical="center"/>
    </xf>
    <xf numFmtId="1" fontId="14825" fillId="8" borderId="1" xfId="0" applyNumberFormat="1" applyFont="1" applyFill="1" applyBorder="1" applyAlignment="1">
      <alignment horizontal="center" vertical="center"/>
    </xf>
    <xf numFmtId="1" fontId="14826" fillId="8" borderId="1" xfId="0" applyNumberFormat="1" applyFont="1" applyFill="1" applyBorder="1" applyAlignment="1">
      <alignment horizontal="center" vertical="center"/>
    </xf>
    <xf numFmtId="1" fontId="14827" fillId="8" borderId="1" xfId="0" applyNumberFormat="1" applyFont="1" applyFill="1" applyBorder="1" applyAlignment="1">
      <alignment horizontal="center" vertical="center"/>
    </xf>
    <xf numFmtId="1" fontId="14828" fillId="8" borderId="1" xfId="0" applyNumberFormat="1" applyFont="1" applyFill="1" applyBorder="1" applyAlignment="1">
      <alignment horizontal="center" vertical="center"/>
    </xf>
    <xf numFmtId="1" fontId="14829" fillId="8" borderId="1" xfId="0" applyNumberFormat="1" applyFont="1" applyFill="1" applyBorder="1" applyAlignment="1">
      <alignment horizontal="center" vertical="center"/>
    </xf>
    <xf numFmtId="1" fontId="14830" fillId="8" borderId="1" xfId="0" applyNumberFormat="1" applyFont="1" applyFill="1" applyBorder="1" applyAlignment="1">
      <alignment horizontal="center" vertical="center"/>
    </xf>
    <xf numFmtId="0" fontId="14831" fillId="8" borderId="1" xfId="0" applyNumberFormat="1" applyFont="1" applyFill="1" applyBorder="1" applyAlignment="1">
      <alignment horizontal="center" vertical="center"/>
    </xf>
    <xf numFmtId="0" fontId="14832" fillId="8" borderId="1" xfId="0" applyNumberFormat="1" applyFont="1" applyFill="1" applyBorder="1" applyAlignment="1">
      <alignment horizontal="center" vertical="center"/>
    </xf>
    <xf numFmtId="1" fontId="14833" fillId="8" borderId="1" xfId="0" applyNumberFormat="1" applyFont="1" applyFill="1" applyBorder="1" applyAlignment="1">
      <alignment horizontal="center" vertical="center"/>
    </xf>
    <xf numFmtId="1" fontId="14834" fillId="8" borderId="1" xfId="0" applyNumberFormat="1" applyFont="1" applyFill="1" applyBorder="1" applyAlignment="1">
      <alignment horizontal="center" vertical="center"/>
    </xf>
    <xf numFmtId="1" fontId="14835" fillId="8" borderId="1" xfId="0" applyNumberFormat="1" applyFont="1" applyFill="1" applyBorder="1" applyAlignment="1">
      <alignment horizontal="center" vertical="center"/>
    </xf>
    <xf numFmtId="165" fontId="14836" fillId="8" borderId="1" xfId="0" applyNumberFormat="1" applyFont="1" applyFill="1" applyBorder="1" applyAlignment="1">
      <alignment horizontal="center" vertical="center"/>
    </xf>
    <xf numFmtId="1" fontId="14837" fillId="8" borderId="1" xfId="0" applyNumberFormat="1" applyFont="1" applyFill="1" applyBorder="1" applyAlignment="1">
      <alignment horizontal="center" vertical="center"/>
    </xf>
    <xf numFmtId="165" fontId="14838" fillId="8" borderId="1" xfId="0" applyNumberFormat="1" applyFont="1" applyFill="1" applyBorder="1" applyAlignment="1">
      <alignment horizontal="center" vertical="center"/>
    </xf>
    <xf numFmtId="1" fontId="14839" fillId="8" borderId="1" xfId="0" applyNumberFormat="1" applyFont="1" applyFill="1" applyBorder="1" applyAlignment="1">
      <alignment horizontal="center" vertical="center"/>
    </xf>
    <xf numFmtId="165" fontId="14840" fillId="8" borderId="1" xfId="0" applyNumberFormat="1" applyFont="1" applyFill="1" applyBorder="1" applyAlignment="1">
      <alignment horizontal="center" vertical="center"/>
    </xf>
    <xf numFmtId="1" fontId="14841" fillId="8" borderId="1" xfId="0" applyNumberFormat="1" applyFont="1" applyFill="1" applyBorder="1" applyAlignment="1">
      <alignment horizontal="center" vertical="center"/>
    </xf>
    <xf numFmtId="165" fontId="14842" fillId="8" borderId="1" xfId="0" applyNumberFormat="1" applyFont="1" applyFill="1" applyBorder="1" applyAlignment="1">
      <alignment horizontal="center" vertical="center"/>
    </xf>
    <xf numFmtId="165" fontId="14843" fillId="8" borderId="1" xfId="0" applyNumberFormat="1" applyFont="1" applyFill="1" applyBorder="1" applyAlignment="1">
      <alignment horizontal="center" vertical="center"/>
    </xf>
    <xf numFmtId="1" fontId="14844" fillId="8" borderId="1" xfId="0" applyNumberFormat="1" applyFont="1" applyFill="1" applyBorder="1" applyAlignment="1">
      <alignment horizontal="center" vertical="center"/>
    </xf>
    <xf numFmtId="1" fontId="14845" fillId="8" borderId="1" xfId="0" applyNumberFormat="1" applyFont="1" applyFill="1" applyBorder="1" applyAlignment="1">
      <alignment horizontal="center" vertical="center"/>
    </xf>
    <xf numFmtId="1" fontId="14846" fillId="8" borderId="1" xfId="0" applyNumberFormat="1" applyFont="1" applyFill="1" applyBorder="1" applyAlignment="1">
      <alignment horizontal="center" vertical="center"/>
    </xf>
    <xf numFmtId="165" fontId="14847" fillId="8" borderId="1" xfId="0" applyNumberFormat="1" applyFont="1" applyFill="1" applyBorder="1" applyAlignment="1">
      <alignment horizontal="center" vertical="center"/>
    </xf>
    <xf numFmtId="164" fontId="14848" fillId="8" borderId="1" xfId="0" applyNumberFormat="1" applyFont="1" applyFill="1" applyBorder="1" applyAlignment="1">
      <alignment horizontal="center" vertical="center"/>
    </xf>
    <xf numFmtId="164" fontId="14849" fillId="8" borderId="1" xfId="0" applyNumberFormat="1" applyFont="1" applyFill="1" applyBorder="1" applyAlignment="1">
      <alignment horizontal="center" vertical="center"/>
    </xf>
    <xf numFmtId="1" fontId="14850" fillId="8" borderId="1" xfId="0" applyNumberFormat="1" applyFont="1" applyFill="1" applyBorder="1" applyAlignment="1">
      <alignment horizontal="center" vertical="center"/>
    </xf>
    <xf numFmtId="1" fontId="14851" fillId="8" borderId="1" xfId="0" applyNumberFormat="1" applyFont="1" applyFill="1" applyBorder="1" applyAlignment="1">
      <alignment horizontal="center" vertical="center"/>
    </xf>
    <xf numFmtId="1" fontId="14852" fillId="8" borderId="1" xfId="0" applyNumberFormat="1" applyFont="1" applyFill="1" applyBorder="1" applyAlignment="1">
      <alignment horizontal="center" vertical="center"/>
    </xf>
    <xf numFmtId="165" fontId="14853" fillId="8" borderId="1" xfId="0" applyNumberFormat="1" applyFont="1" applyFill="1" applyBorder="1" applyAlignment="1">
      <alignment horizontal="center" vertical="center"/>
    </xf>
    <xf numFmtId="1" fontId="14854" fillId="8" borderId="1" xfId="0" applyNumberFormat="1" applyFont="1" applyFill="1" applyBorder="1" applyAlignment="1">
      <alignment horizontal="center" vertical="center"/>
    </xf>
    <xf numFmtId="165" fontId="14855" fillId="8" borderId="1" xfId="0" applyNumberFormat="1" applyFont="1" applyFill="1" applyBorder="1" applyAlignment="1">
      <alignment horizontal="center" vertical="center"/>
    </xf>
    <xf numFmtId="1" fontId="14856" fillId="8" borderId="1" xfId="0" applyNumberFormat="1" applyFont="1" applyFill="1" applyBorder="1" applyAlignment="1">
      <alignment horizontal="center" vertical="center"/>
    </xf>
    <xf numFmtId="1" fontId="14857" fillId="8" borderId="1" xfId="0" applyNumberFormat="1" applyFont="1" applyFill="1" applyBorder="1" applyAlignment="1">
      <alignment horizontal="center" vertical="center"/>
    </xf>
    <xf numFmtId="1" fontId="14858" fillId="8" borderId="1" xfId="0" applyNumberFormat="1" applyFont="1" applyFill="1" applyBorder="1" applyAlignment="1">
      <alignment horizontal="center" vertical="center"/>
    </xf>
    <xf numFmtId="1" fontId="14859" fillId="8" borderId="1" xfId="0" applyNumberFormat="1" applyFont="1" applyFill="1" applyBorder="1" applyAlignment="1">
      <alignment horizontal="center" vertical="center"/>
    </xf>
    <xf numFmtId="165" fontId="14860" fillId="8" borderId="1" xfId="0" applyNumberFormat="1" applyFont="1" applyFill="1" applyBorder="1" applyAlignment="1">
      <alignment horizontal="center" vertical="center"/>
    </xf>
    <xf numFmtId="1" fontId="14861" fillId="8" borderId="1" xfId="0" applyNumberFormat="1" applyFont="1" applyFill="1" applyBorder="1" applyAlignment="1">
      <alignment horizontal="center" vertical="center"/>
    </xf>
    <xf numFmtId="165" fontId="14862" fillId="8" borderId="1" xfId="0" applyNumberFormat="1" applyFont="1" applyFill="1" applyBorder="1" applyAlignment="1">
      <alignment horizontal="center" vertical="center"/>
    </xf>
    <xf numFmtId="1" fontId="14863" fillId="8" borderId="1" xfId="0" applyNumberFormat="1" applyFont="1" applyFill="1" applyBorder="1" applyAlignment="1">
      <alignment horizontal="center" vertical="center"/>
    </xf>
    <xf numFmtId="165" fontId="14864" fillId="8" borderId="1" xfId="0" applyNumberFormat="1" applyFont="1" applyFill="1" applyBorder="1" applyAlignment="1">
      <alignment horizontal="center" vertical="center"/>
    </xf>
    <xf numFmtId="2" fontId="14865" fillId="8" borderId="1" xfId="0" applyNumberFormat="1" applyFont="1" applyFill="1" applyBorder="1" applyAlignment="1">
      <alignment horizontal="center" vertical="center"/>
    </xf>
    <xf numFmtId="2" fontId="14866" fillId="8" borderId="1" xfId="0" applyNumberFormat="1" applyFont="1" applyFill="1" applyBorder="1" applyAlignment="1">
      <alignment horizontal="center" vertical="center"/>
    </xf>
    <xf numFmtId="2" fontId="14867" fillId="8" borderId="1" xfId="0" applyNumberFormat="1" applyFont="1" applyFill="1" applyBorder="1" applyAlignment="1">
      <alignment horizontal="center" vertical="center"/>
    </xf>
    <xf numFmtId="2" fontId="14868" fillId="8" borderId="1" xfId="0" applyNumberFormat="1" applyFont="1" applyFill="1" applyBorder="1" applyAlignment="1">
      <alignment horizontal="center" vertical="center"/>
    </xf>
    <xf numFmtId="2" fontId="14869" fillId="8" borderId="1" xfId="0" applyNumberFormat="1" applyFont="1" applyFill="1" applyBorder="1" applyAlignment="1">
      <alignment horizontal="center" vertical="center"/>
    </xf>
    <xf numFmtId="2" fontId="14870" fillId="8" borderId="1" xfId="0" applyNumberFormat="1" applyFont="1" applyFill="1" applyBorder="1" applyAlignment="1">
      <alignment horizontal="center" vertical="center"/>
    </xf>
    <xf numFmtId="2" fontId="14871" fillId="8" borderId="1" xfId="0" applyNumberFormat="1" applyFont="1" applyFill="1" applyBorder="1" applyAlignment="1">
      <alignment horizontal="center" vertical="center"/>
    </xf>
    <xf numFmtId="2" fontId="14872" fillId="8" borderId="1" xfId="0" applyNumberFormat="1" applyFont="1" applyFill="1" applyBorder="1" applyAlignment="1">
      <alignment horizontal="center" vertical="center"/>
    </xf>
    <xf numFmtId="2" fontId="14873" fillId="8" borderId="1" xfId="0" applyNumberFormat="1" applyFont="1" applyFill="1" applyBorder="1" applyAlignment="1">
      <alignment horizontal="center" vertical="center"/>
    </xf>
    <xf numFmtId="2" fontId="14874" fillId="8" borderId="1" xfId="0" applyNumberFormat="1" applyFont="1" applyFill="1" applyBorder="1" applyAlignment="1">
      <alignment horizontal="center" vertical="center"/>
    </xf>
    <xf numFmtId="2" fontId="14875" fillId="8" borderId="1" xfId="0" applyNumberFormat="1" applyFont="1" applyFill="1" applyBorder="1" applyAlignment="1">
      <alignment horizontal="center" vertical="center"/>
    </xf>
    <xf numFmtId="2" fontId="14876" fillId="8" borderId="1" xfId="0" applyNumberFormat="1" applyFont="1" applyFill="1" applyBorder="1" applyAlignment="1">
      <alignment horizontal="center" vertical="center"/>
    </xf>
    <xf numFmtId="2" fontId="14877" fillId="8" borderId="1" xfId="0" applyNumberFormat="1" applyFont="1" applyFill="1" applyBorder="1" applyAlignment="1">
      <alignment horizontal="center" vertical="center"/>
    </xf>
    <xf numFmtId="2" fontId="14878" fillId="8" borderId="1" xfId="0" applyNumberFormat="1" applyFont="1" applyFill="1" applyBorder="1" applyAlignment="1">
      <alignment horizontal="center" vertical="center"/>
    </xf>
    <xf numFmtId="2" fontId="14879" fillId="8" borderId="1" xfId="0" applyNumberFormat="1" applyFont="1" applyFill="1" applyBorder="1" applyAlignment="1">
      <alignment horizontal="center" vertical="center"/>
    </xf>
    <xf numFmtId="2" fontId="14880" fillId="8" borderId="1" xfId="0" applyNumberFormat="1" applyFont="1" applyFill="1" applyBorder="1" applyAlignment="1">
      <alignment horizontal="center" vertical="center"/>
    </xf>
    <xf numFmtId="2" fontId="14881" fillId="8" borderId="1" xfId="0" applyNumberFormat="1" applyFont="1" applyFill="1" applyBorder="1" applyAlignment="1">
      <alignment horizontal="center" vertical="center"/>
    </xf>
    <xf numFmtId="2" fontId="14882" fillId="8" borderId="1" xfId="0" applyNumberFormat="1" applyFont="1" applyFill="1" applyBorder="1" applyAlignment="1">
      <alignment horizontal="center" vertical="center"/>
    </xf>
    <xf numFmtId="2" fontId="14883" fillId="8" borderId="1" xfId="0" applyNumberFormat="1" applyFont="1" applyFill="1" applyBorder="1" applyAlignment="1">
      <alignment horizontal="center" vertical="center"/>
    </xf>
    <xf numFmtId="2" fontId="14884" fillId="8" borderId="1" xfId="0" applyNumberFormat="1" applyFont="1" applyFill="1" applyBorder="1" applyAlignment="1">
      <alignment horizontal="center" vertical="center"/>
    </xf>
    <xf numFmtId="2" fontId="14885" fillId="8" borderId="1" xfId="0" applyNumberFormat="1" applyFont="1" applyFill="1" applyBorder="1" applyAlignment="1">
      <alignment horizontal="center" vertical="center"/>
    </xf>
    <xf numFmtId="2" fontId="14886" fillId="8" borderId="1" xfId="0" applyNumberFormat="1" applyFont="1" applyFill="1" applyBorder="1" applyAlignment="1">
      <alignment horizontal="center" vertical="center"/>
    </xf>
    <xf numFmtId="2" fontId="14887" fillId="8" borderId="1" xfId="0" applyNumberFormat="1" applyFont="1" applyFill="1" applyBorder="1" applyAlignment="1">
      <alignment horizontal="center" vertical="center"/>
    </xf>
    <xf numFmtId="2" fontId="14888" fillId="8" borderId="1" xfId="0" applyNumberFormat="1" applyFont="1" applyFill="1" applyBorder="1" applyAlignment="1">
      <alignment horizontal="center" vertical="center"/>
    </xf>
    <xf numFmtId="2" fontId="14889" fillId="8" borderId="1" xfId="0" applyNumberFormat="1" applyFont="1" applyFill="1" applyBorder="1" applyAlignment="1">
      <alignment horizontal="center" vertical="center"/>
    </xf>
    <xf numFmtId="2" fontId="14890" fillId="8" borderId="1" xfId="0" applyNumberFormat="1" applyFont="1" applyFill="1" applyBorder="1" applyAlignment="1">
      <alignment horizontal="center" vertical="center"/>
    </xf>
    <xf numFmtId="2" fontId="14891" fillId="8" borderId="1" xfId="0" applyNumberFormat="1" applyFont="1" applyFill="1" applyBorder="1" applyAlignment="1">
      <alignment horizontal="center" vertical="center"/>
    </xf>
    <xf numFmtId="2" fontId="14892" fillId="8" borderId="1" xfId="0" applyNumberFormat="1" applyFont="1" applyFill="1" applyBorder="1" applyAlignment="1">
      <alignment horizontal="center" vertical="center"/>
    </xf>
    <xf numFmtId="2" fontId="14893" fillId="8" borderId="1" xfId="0" applyNumberFormat="1" applyFont="1" applyFill="1" applyBorder="1" applyAlignment="1">
      <alignment horizontal="center" vertical="center"/>
    </xf>
    <xf numFmtId="2" fontId="14894" fillId="8" borderId="1" xfId="0" applyNumberFormat="1" applyFont="1" applyFill="1" applyBorder="1" applyAlignment="1">
      <alignment horizontal="center" vertical="center"/>
    </xf>
    <xf numFmtId="2" fontId="14895" fillId="8" borderId="1" xfId="0" applyNumberFormat="1" applyFont="1" applyFill="1" applyBorder="1" applyAlignment="1">
      <alignment horizontal="center" vertical="center"/>
    </xf>
    <xf numFmtId="2" fontId="14896" fillId="8" borderId="1" xfId="0" applyNumberFormat="1" applyFont="1" applyFill="1" applyBorder="1" applyAlignment="1">
      <alignment horizontal="center" vertical="center"/>
    </xf>
    <xf numFmtId="2" fontId="14897" fillId="8" borderId="1" xfId="0" applyNumberFormat="1" applyFont="1" applyFill="1" applyBorder="1" applyAlignment="1">
      <alignment horizontal="center" vertical="center"/>
    </xf>
    <xf numFmtId="2" fontId="14898" fillId="8" borderId="1" xfId="0" applyNumberFormat="1" applyFont="1" applyFill="1" applyBorder="1" applyAlignment="1">
      <alignment horizontal="center" vertical="center"/>
    </xf>
    <xf numFmtId="0" fontId="14899" fillId="7" borderId="1" xfId="0" applyNumberFormat="1" applyFont="1" applyFill="1" applyBorder="1" applyAlignment="1">
      <alignment horizontal="left" vertical="center"/>
    </xf>
    <xf numFmtId="0" fontId="14900" fillId="8" borderId="1" xfId="0" applyNumberFormat="1" applyFont="1" applyFill="1" applyBorder="1" applyAlignment="1">
      <alignment horizontal="center" vertical="center"/>
    </xf>
    <xf numFmtId="164" fontId="14901" fillId="8" borderId="1" xfId="0" applyNumberFormat="1" applyFont="1" applyFill="1" applyBorder="1" applyAlignment="1">
      <alignment horizontal="center" vertical="center"/>
    </xf>
    <xf numFmtId="1" fontId="14902" fillId="8" borderId="1" xfId="0" applyNumberFormat="1" applyFont="1" applyFill="1" applyBorder="1" applyAlignment="1">
      <alignment horizontal="center" vertical="center"/>
    </xf>
    <xf numFmtId="1" fontId="14903" fillId="8" borderId="1" xfId="0" applyNumberFormat="1" applyFont="1" applyFill="1" applyBorder="1" applyAlignment="1">
      <alignment horizontal="center" vertical="center"/>
    </xf>
    <xf numFmtId="1" fontId="14904" fillId="8" borderId="1" xfId="0" applyNumberFormat="1" applyFont="1" applyFill="1" applyBorder="1" applyAlignment="1">
      <alignment horizontal="center" vertical="center"/>
    </xf>
    <xf numFmtId="1" fontId="14905" fillId="8" borderId="1" xfId="0" applyNumberFormat="1" applyFont="1" applyFill="1" applyBorder="1" applyAlignment="1">
      <alignment horizontal="center" vertical="center"/>
    </xf>
    <xf numFmtId="1" fontId="14906" fillId="8" borderId="1" xfId="0" applyNumberFormat="1" applyFont="1" applyFill="1" applyBorder="1" applyAlignment="1">
      <alignment horizontal="center" vertical="center"/>
    </xf>
    <xf numFmtId="1" fontId="14907" fillId="8" borderId="1" xfId="0" applyNumberFormat="1" applyFont="1" applyFill="1" applyBorder="1" applyAlignment="1">
      <alignment horizontal="center" vertical="center"/>
    </xf>
    <xf numFmtId="1" fontId="14908" fillId="8" borderId="1" xfId="0" applyNumberFormat="1" applyFont="1" applyFill="1" applyBorder="1" applyAlignment="1">
      <alignment horizontal="center" vertical="center"/>
    </xf>
    <xf numFmtId="0" fontId="14909" fillId="8" borderId="1" xfId="0" applyNumberFormat="1" applyFont="1" applyFill="1" applyBorder="1" applyAlignment="1">
      <alignment horizontal="center" vertical="center"/>
    </xf>
    <xf numFmtId="0" fontId="14910" fillId="8" borderId="1" xfId="0" applyNumberFormat="1" applyFont="1" applyFill="1" applyBorder="1" applyAlignment="1">
      <alignment horizontal="center" vertical="center"/>
    </xf>
    <xf numFmtId="1" fontId="14911" fillId="8" borderId="1" xfId="0" applyNumberFormat="1" applyFont="1" applyFill="1" applyBorder="1" applyAlignment="1">
      <alignment horizontal="center" vertical="center"/>
    </xf>
    <xf numFmtId="1" fontId="14912" fillId="8" borderId="1" xfId="0" applyNumberFormat="1" applyFont="1" applyFill="1" applyBorder="1" applyAlignment="1">
      <alignment horizontal="center" vertical="center"/>
    </xf>
    <xf numFmtId="1" fontId="14913" fillId="8" borderId="1" xfId="0" applyNumberFormat="1" applyFont="1" applyFill="1" applyBorder="1" applyAlignment="1">
      <alignment horizontal="center" vertical="center"/>
    </xf>
    <xf numFmtId="165" fontId="14914" fillId="8" borderId="1" xfId="0" applyNumberFormat="1" applyFont="1" applyFill="1" applyBorder="1" applyAlignment="1">
      <alignment horizontal="center" vertical="center"/>
    </xf>
    <xf numFmtId="1" fontId="14915" fillId="8" borderId="1" xfId="0" applyNumberFormat="1" applyFont="1" applyFill="1" applyBorder="1" applyAlignment="1">
      <alignment horizontal="center" vertical="center"/>
    </xf>
    <xf numFmtId="165" fontId="14916" fillId="8" borderId="1" xfId="0" applyNumberFormat="1" applyFont="1" applyFill="1" applyBorder="1" applyAlignment="1">
      <alignment horizontal="center" vertical="center"/>
    </xf>
    <xf numFmtId="1" fontId="14917" fillId="8" borderId="1" xfId="0" applyNumberFormat="1" applyFont="1" applyFill="1" applyBorder="1" applyAlignment="1">
      <alignment horizontal="center" vertical="center"/>
    </xf>
    <xf numFmtId="165" fontId="14918" fillId="8" borderId="1" xfId="0" applyNumberFormat="1" applyFont="1" applyFill="1" applyBorder="1" applyAlignment="1">
      <alignment horizontal="center" vertical="center"/>
    </xf>
    <xf numFmtId="1" fontId="14919" fillId="8" borderId="1" xfId="0" applyNumberFormat="1" applyFont="1" applyFill="1" applyBorder="1" applyAlignment="1">
      <alignment horizontal="center" vertical="center"/>
    </xf>
    <xf numFmtId="165" fontId="14920" fillId="8" borderId="1" xfId="0" applyNumberFormat="1" applyFont="1" applyFill="1" applyBorder="1" applyAlignment="1">
      <alignment horizontal="center" vertical="center"/>
    </xf>
    <xf numFmtId="165" fontId="14921" fillId="8" borderId="1" xfId="0" applyNumberFormat="1" applyFont="1" applyFill="1" applyBorder="1" applyAlignment="1">
      <alignment horizontal="center" vertical="center"/>
    </xf>
    <xf numFmtId="1" fontId="14922" fillId="8" borderId="1" xfId="0" applyNumberFormat="1" applyFont="1" applyFill="1" applyBorder="1" applyAlignment="1">
      <alignment horizontal="center" vertical="center"/>
    </xf>
    <xf numFmtId="1" fontId="14923" fillId="8" borderId="1" xfId="0" applyNumberFormat="1" applyFont="1" applyFill="1" applyBorder="1" applyAlignment="1">
      <alignment horizontal="center" vertical="center"/>
    </xf>
    <xf numFmtId="1" fontId="14924" fillId="8" borderId="1" xfId="0" applyNumberFormat="1" applyFont="1" applyFill="1" applyBorder="1" applyAlignment="1">
      <alignment horizontal="center" vertical="center"/>
    </xf>
    <xf numFmtId="165" fontId="14925" fillId="8" borderId="1" xfId="0" applyNumberFormat="1" applyFont="1" applyFill="1" applyBorder="1" applyAlignment="1">
      <alignment horizontal="center" vertical="center"/>
    </xf>
    <xf numFmtId="164" fontId="14926" fillId="8" borderId="1" xfId="0" applyNumberFormat="1" applyFont="1" applyFill="1" applyBorder="1" applyAlignment="1">
      <alignment horizontal="center" vertical="center"/>
    </xf>
    <xf numFmtId="164" fontId="14927" fillId="8" borderId="1" xfId="0" applyNumberFormat="1" applyFont="1" applyFill="1" applyBorder="1" applyAlignment="1">
      <alignment horizontal="center" vertical="center"/>
    </xf>
    <xf numFmtId="1" fontId="14928" fillId="8" borderId="1" xfId="0" applyNumberFormat="1" applyFont="1" applyFill="1" applyBorder="1" applyAlignment="1">
      <alignment horizontal="center" vertical="center"/>
    </xf>
    <xf numFmtId="1" fontId="14929" fillId="8" borderId="1" xfId="0" applyNumberFormat="1" applyFont="1" applyFill="1" applyBorder="1" applyAlignment="1">
      <alignment horizontal="center" vertical="center"/>
    </xf>
    <xf numFmtId="1" fontId="14930" fillId="8" borderId="1" xfId="0" applyNumberFormat="1" applyFont="1" applyFill="1" applyBorder="1" applyAlignment="1">
      <alignment horizontal="center" vertical="center"/>
    </xf>
    <xf numFmtId="165" fontId="14931" fillId="8" borderId="1" xfId="0" applyNumberFormat="1" applyFont="1" applyFill="1" applyBorder="1" applyAlignment="1">
      <alignment horizontal="center" vertical="center"/>
    </xf>
    <xf numFmtId="1" fontId="14932" fillId="8" borderId="1" xfId="0" applyNumberFormat="1" applyFont="1" applyFill="1" applyBorder="1" applyAlignment="1">
      <alignment horizontal="center" vertical="center"/>
    </xf>
    <xf numFmtId="165" fontId="14933" fillId="8" borderId="1" xfId="0" applyNumberFormat="1" applyFont="1" applyFill="1" applyBorder="1" applyAlignment="1">
      <alignment horizontal="center" vertical="center"/>
    </xf>
    <xf numFmtId="1" fontId="14934" fillId="8" borderId="1" xfId="0" applyNumberFormat="1" applyFont="1" applyFill="1" applyBorder="1" applyAlignment="1">
      <alignment horizontal="center" vertical="center"/>
    </xf>
    <xf numFmtId="1" fontId="14935" fillId="8" borderId="1" xfId="0" applyNumberFormat="1" applyFont="1" applyFill="1" applyBorder="1" applyAlignment="1">
      <alignment horizontal="center" vertical="center"/>
    </xf>
    <xf numFmtId="1" fontId="14936" fillId="8" borderId="1" xfId="0" applyNumberFormat="1" applyFont="1" applyFill="1" applyBorder="1" applyAlignment="1">
      <alignment horizontal="center" vertical="center"/>
    </xf>
    <xf numFmtId="1" fontId="14937" fillId="8" borderId="1" xfId="0" applyNumberFormat="1" applyFont="1" applyFill="1" applyBorder="1" applyAlignment="1">
      <alignment horizontal="center" vertical="center"/>
    </xf>
    <xf numFmtId="165" fontId="14938" fillId="8" borderId="1" xfId="0" applyNumberFormat="1" applyFont="1" applyFill="1" applyBorder="1" applyAlignment="1">
      <alignment horizontal="center" vertical="center"/>
    </xf>
    <xf numFmtId="1" fontId="14939" fillId="8" borderId="1" xfId="0" applyNumberFormat="1" applyFont="1" applyFill="1" applyBorder="1" applyAlignment="1">
      <alignment horizontal="center" vertical="center"/>
    </xf>
    <xf numFmtId="165" fontId="14940" fillId="8" borderId="1" xfId="0" applyNumberFormat="1" applyFont="1" applyFill="1" applyBorder="1" applyAlignment="1">
      <alignment horizontal="center" vertical="center"/>
    </xf>
    <xf numFmtId="1" fontId="14941" fillId="8" borderId="1" xfId="0" applyNumberFormat="1" applyFont="1" applyFill="1" applyBorder="1" applyAlignment="1">
      <alignment horizontal="center" vertical="center"/>
    </xf>
    <xf numFmtId="165" fontId="14942" fillId="8" borderId="1" xfId="0" applyNumberFormat="1" applyFont="1" applyFill="1" applyBorder="1" applyAlignment="1">
      <alignment horizontal="center" vertical="center"/>
    </xf>
    <xf numFmtId="2" fontId="14943" fillId="8" borderId="1" xfId="0" applyNumberFormat="1" applyFont="1" applyFill="1" applyBorder="1" applyAlignment="1">
      <alignment horizontal="center" vertical="center"/>
    </xf>
    <xf numFmtId="2" fontId="14944" fillId="8" borderId="1" xfId="0" applyNumberFormat="1" applyFont="1" applyFill="1" applyBorder="1" applyAlignment="1">
      <alignment horizontal="center" vertical="center"/>
    </xf>
    <xf numFmtId="2" fontId="14945" fillId="8" borderId="1" xfId="0" applyNumberFormat="1" applyFont="1" applyFill="1" applyBorder="1" applyAlignment="1">
      <alignment horizontal="center" vertical="center"/>
    </xf>
    <xf numFmtId="2" fontId="14946" fillId="8" borderId="1" xfId="0" applyNumberFormat="1" applyFont="1" applyFill="1" applyBorder="1" applyAlignment="1">
      <alignment horizontal="center" vertical="center"/>
    </xf>
    <xf numFmtId="2" fontId="14947" fillId="8" borderId="1" xfId="0" applyNumberFormat="1" applyFont="1" applyFill="1" applyBorder="1" applyAlignment="1">
      <alignment horizontal="center" vertical="center"/>
    </xf>
    <xf numFmtId="2" fontId="14948" fillId="8" borderId="1" xfId="0" applyNumberFormat="1" applyFont="1" applyFill="1" applyBorder="1" applyAlignment="1">
      <alignment horizontal="center" vertical="center"/>
    </xf>
    <xf numFmtId="2" fontId="14949" fillId="8" borderId="1" xfId="0" applyNumberFormat="1" applyFont="1" applyFill="1" applyBorder="1" applyAlignment="1">
      <alignment horizontal="center" vertical="center"/>
    </xf>
    <xf numFmtId="2" fontId="14950" fillId="8" borderId="1" xfId="0" applyNumberFormat="1" applyFont="1" applyFill="1" applyBorder="1" applyAlignment="1">
      <alignment horizontal="center" vertical="center"/>
    </xf>
    <xf numFmtId="2" fontId="14951" fillId="8" borderId="1" xfId="0" applyNumberFormat="1" applyFont="1" applyFill="1" applyBorder="1" applyAlignment="1">
      <alignment horizontal="center" vertical="center"/>
    </xf>
    <xf numFmtId="2" fontId="14952" fillId="8" borderId="1" xfId="0" applyNumberFormat="1" applyFont="1" applyFill="1" applyBorder="1" applyAlignment="1">
      <alignment horizontal="center" vertical="center"/>
    </xf>
    <xf numFmtId="2" fontId="14953" fillId="8" borderId="1" xfId="0" applyNumberFormat="1" applyFont="1" applyFill="1" applyBorder="1" applyAlignment="1">
      <alignment horizontal="center" vertical="center"/>
    </xf>
    <xf numFmtId="2" fontId="14954" fillId="8" borderId="1" xfId="0" applyNumberFormat="1" applyFont="1" applyFill="1" applyBorder="1" applyAlignment="1">
      <alignment horizontal="center" vertical="center"/>
    </xf>
    <xf numFmtId="2" fontId="14955" fillId="8" borderId="1" xfId="0" applyNumberFormat="1" applyFont="1" applyFill="1" applyBorder="1" applyAlignment="1">
      <alignment horizontal="center" vertical="center"/>
    </xf>
    <xf numFmtId="2" fontId="14956" fillId="8" borderId="1" xfId="0" applyNumberFormat="1" applyFont="1" applyFill="1" applyBorder="1" applyAlignment="1">
      <alignment horizontal="center" vertical="center"/>
    </xf>
    <xf numFmtId="2" fontId="14957" fillId="8" borderId="1" xfId="0" applyNumberFormat="1" applyFont="1" applyFill="1" applyBorder="1" applyAlignment="1">
      <alignment horizontal="center" vertical="center"/>
    </xf>
    <xf numFmtId="2" fontId="14958" fillId="8" borderId="1" xfId="0" applyNumberFormat="1" applyFont="1" applyFill="1" applyBorder="1" applyAlignment="1">
      <alignment horizontal="center" vertical="center"/>
    </xf>
    <xf numFmtId="2" fontId="14959" fillId="8" borderId="1" xfId="0" applyNumberFormat="1" applyFont="1" applyFill="1" applyBorder="1" applyAlignment="1">
      <alignment horizontal="center" vertical="center"/>
    </xf>
    <xf numFmtId="2" fontId="14960" fillId="8" borderId="1" xfId="0" applyNumberFormat="1" applyFont="1" applyFill="1" applyBorder="1" applyAlignment="1">
      <alignment horizontal="center" vertical="center"/>
    </xf>
    <xf numFmtId="2" fontId="14961" fillId="8" borderId="1" xfId="0" applyNumberFormat="1" applyFont="1" applyFill="1" applyBorder="1" applyAlignment="1">
      <alignment horizontal="center" vertical="center"/>
    </xf>
    <xf numFmtId="2" fontId="14962" fillId="8" borderId="1" xfId="0" applyNumberFormat="1" applyFont="1" applyFill="1" applyBorder="1" applyAlignment="1">
      <alignment horizontal="center" vertical="center"/>
    </xf>
    <xf numFmtId="2" fontId="14963" fillId="8" borderId="1" xfId="0" applyNumberFormat="1" applyFont="1" applyFill="1" applyBorder="1" applyAlignment="1">
      <alignment horizontal="center" vertical="center"/>
    </xf>
    <xf numFmtId="2" fontId="14964" fillId="8" borderId="1" xfId="0" applyNumberFormat="1" applyFont="1" applyFill="1" applyBorder="1" applyAlignment="1">
      <alignment horizontal="center" vertical="center"/>
    </xf>
    <xf numFmtId="2" fontId="14965" fillId="8" borderId="1" xfId="0" applyNumberFormat="1" applyFont="1" applyFill="1" applyBorder="1" applyAlignment="1">
      <alignment horizontal="center" vertical="center"/>
    </xf>
    <xf numFmtId="2" fontId="14966" fillId="8" borderId="1" xfId="0" applyNumberFormat="1" applyFont="1" applyFill="1" applyBorder="1" applyAlignment="1">
      <alignment horizontal="center" vertical="center"/>
    </xf>
    <xf numFmtId="2" fontId="14967" fillId="8" borderId="1" xfId="0" applyNumberFormat="1" applyFont="1" applyFill="1" applyBorder="1" applyAlignment="1">
      <alignment horizontal="center" vertical="center"/>
    </xf>
    <xf numFmtId="2" fontId="14968" fillId="8" borderId="1" xfId="0" applyNumberFormat="1" applyFont="1" applyFill="1" applyBorder="1" applyAlignment="1">
      <alignment horizontal="center" vertical="center"/>
    </xf>
    <xf numFmtId="2" fontId="14969" fillId="8" borderId="1" xfId="0" applyNumberFormat="1" applyFont="1" applyFill="1" applyBorder="1" applyAlignment="1">
      <alignment horizontal="center" vertical="center"/>
    </xf>
    <xf numFmtId="2" fontId="14970" fillId="8" borderId="1" xfId="0" applyNumberFormat="1" applyFont="1" applyFill="1" applyBorder="1" applyAlignment="1">
      <alignment horizontal="center" vertical="center"/>
    </xf>
    <xf numFmtId="2" fontId="14971" fillId="8" borderId="1" xfId="0" applyNumberFormat="1" applyFont="1" applyFill="1" applyBorder="1" applyAlignment="1">
      <alignment horizontal="center" vertical="center"/>
    </xf>
    <xf numFmtId="2" fontId="14972" fillId="8" borderId="1" xfId="0" applyNumberFormat="1" applyFont="1" applyFill="1" applyBorder="1" applyAlignment="1">
      <alignment horizontal="center" vertical="center"/>
    </xf>
    <xf numFmtId="2" fontId="14973" fillId="8" borderId="1" xfId="0" applyNumberFormat="1" applyFont="1" applyFill="1" applyBorder="1" applyAlignment="1">
      <alignment horizontal="center" vertical="center"/>
    </xf>
    <xf numFmtId="2" fontId="14974" fillId="8" borderId="1" xfId="0" applyNumberFormat="1" applyFont="1" applyFill="1" applyBorder="1" applyAlignment="1">
      <alignment horizontal="center" vertical="center"/>
    </xf>
    <xf numFmtId="2" fontId="14975" fillId="8" borderId="1" xfId="0" applyNumberFormat="1" applyFont="1" applyFill="1" applyBorder="1" applyAlignment="1">
      <alignment horizontal="center" vertical="center"/>
    </xf>
    <xf numFmtId="2" fontId="14976" fillId="8" borderId="1" xfId="0" applyNumberFormat="1" applyFont="1" applyFill="1" applyBorder="1" applyAlignment="1">
      <alignment horizontal="center" vertical="center"/>
    </xf>
    <xf numFmtId="0" fontId="14977" fillId="7" borderId="1" xfId="0" applyNumberFormat="1" applyFont="1" applyFill="1" applyBorder="1" applyAlignment="1">
      <alignment horizontal="left" vertical="center"/>
    </xf>
    <xf numFmtId="0" fontId="14978" fillId="8" borderId="1" xfId="0" applyNumberFormat="1" applyFont="1" applyFill="1" applyBorder="1" applyAlignment="1">
      <alignment horizontal="center" vertical="center"/>
    </xf>
    <xf numFmtId="164" fontId="14979" fillId="8" borderId="1" xfId="0" applyNumberFormat="1" applyFont="1" applyFill="1" applyBorder="1" applyAlignment="1">
      <alignment horizontal="center" vertical="center"/>
    </xf>
    <xf numFmtId="1" fontId="14980" fillId="8" borderId="1" xfId="0" applyNumberFormat="1" applyFont="1" applyFill="1" applyBorder="1" applyAlignment="1">
      <alignment horizontal="center" vertical="center"/>
    </xf>
    <xf numFmtId="1" fontId="14981" fillId="8" borderId="1" xfId="0" applyNumberFormat="1" applyFont="1" applyFill="1" applyBorder="1" applyAlignment="1">
      <alignment horizontal="center" vertical="center"/>
    </xf>
    <xf numFmtId="1" fontId="14982" fillId="8" borderId="1" xfId="0" applyNumberFormat="1" applyFont="1" applyFill="1" applyBorder="1" applyAlignment="1">
      <alignment horizontal="center" vertical="center"/>
    </xf>
    <xf numFmtId="1" fontId="14983" fillId="8" borderId="1" xfId="0" applyNumberFormat="1" applyFont="1" applyFill="1" applyBorder="1" applyAlignment="1">
      <alignment horizontal="center" vertical="center"/>
    </xf>
    <xf numFmtId="1" fontId="14984" fillId="8" borderId="1" xfId="0" applyNumberFormat="1" applyFont="1" applyFill="1" applyBorder="1" applyAlignment="1">
      <alignment horizontal="center" vertical="center"/>
    </xf>
    <xf numFmtId="1" fontId="14985" fillId="8" borderId="1" xfId="0" applyNumberFormat="1" applyFont="1" applyFill="1" applyBorder="1" applyAlignment="1">
      <alignment horizontal="center" vertical="center"/>
    </xf>
    <xf numFmtId="1" fontId="14986" fillId="8" borderId="1" xfId="0" applyNumberFormat="1" applyFont="1" applyFill="1" applyBorder="1" applyAlignment="1">
      <alignment horizontal="center" vertical="center"/>
    </xf>
    <xf numFmtId="0" fontId="14987" fillId="8" borderId="1" xfId="0" applyNumberFormat="1" applyFont="1" applyFill="1" applyBorder="1" applyAlignment="1">
      <alignment horizontal="center" vertical="center"/>
    </xf>
    <xf numFmtId="0" fontId="14988" fillId="8" borderId="1" xfId="0" applyNumberFormat="1" applyFont="1" applyFill="1" applyBorder="1" applyAlignment="1">
      <alignment horizontal="center" vertical="center"/>
    </xf>
    <xf numFmtId="1" fontId="14989" fillId="8" borderId="1" xfId="0" applyNumberFormat="1" applyFont="1" applyFill="1" applyBorder="1" applyAlignment="1">
      <alignment horizontal="center" vertical="center"/>
    </xf>
    <xf numFmtId="1" fontId="14990" fillId="8" borderId="1" xfId="0" applyNumberFormat="1" applyFont="1" applyFill="1" applyBorder="1" applyAlignment="1">
      <alignment horizontal="center" vertical="center"/>
    </xf>
    <xf numFmtId="1" fontId="14991" fillId="8" borderId="1" xfId="0" applyNumberFormat="1" applyFont="1" applyFill="1" applyBorder="1" applyAlignment="1">
      <alignment horizontal="center" vertical="center"/>
    </xf>
    <xf numFmtId="165" fontId="14992" fillId="8" borderId="1" xfId="0" applyNumberFormat="1" applyFont="1" applyFill="1" applyBorder="1" applyAlignment="1">
      <alignment horizontal="center" vertical="center"/>
    </xf>
    <xf numFmtId="1" fontId="14993" fillId="8" borderId="1" xfId="0" applyNumberFormat="1" applyFont="1" applyFill="1" applyBorder="1" applyAlignment="1">
      <alignment horizontal="center" vertical="center"/>
    </xf>
    <xf numFmtId="165" fontId="14994" fillId="8" borderId="1" xfId="0" applyNumberFormat="1" applyFont="1" applyFill="1" applyBorder="1" applyAlignment="1">
      <alignment horizontal="center" vertical="center"/>
    </xf>
    <xf numFmtId="1" fontId="14995" fillId="8" borderId="1" xfId="0" applyNumberFormat="1" applyFont="1" applyFill="1" applyBorder="1" applyAlignment="1">
      <alignment horizontal="center" vertical="center"/>
    </xf>
    <xf numFmtId="165" fontId="14996" fillId="8" borderId="1" xfId="0" applyNumberFormat="1" applyFont="1" applyFill="1" applyBorder="1" applyAlignment="1">
      <alignment horizontal="center" vertical="center"/>
    </xf>
    <xf numFmtId="1" fontId="14997" fillId="8" borderId="1" xfId="0" applyNumberFormat="1" applyFont="1" applyFill="1" applyBorder="1" applyAlignment="1">
      <alignment horizontal="center" vertical="center"/>
    </xf>
    <xf numFmtId="165" fontId="14998" fillId="8" borderId="1" xfId="0" applyNumberFormat="1" applyFont="1" applyFill="1" applyBorder="1" applyAlignment="1">
      <alignment horizontal="center" vertical="center"/>
    </xf>
    <xf numFmtId="165" fontId="14999" fillId="8" borderId="1" xfId="0" applyNumberFormat="1" applyFont="1" applyFill="1" applyBorder="1" applyAlignment="1">
      <alignment horizontal="center" vertical="center"/>
    </xf>
    <xf numFmtId="1" fontId="15000" fillId="8" borderId="1" xfId="0" applyNumberFormat="1" applyFont="1" applyFill="1" applyBorder="1" applyAlignment="1">
      <alignment horizontal="center" vertical="center"/>
    </xf>
    <xf numFmtId="1" fontId="15001" fillId="8" borderId="1" xfId="0" applyNumberFormat="1" applyFont="1" applyFill="1" applyBorder="1" applyAlignment="1">
      <alignment horizontal="center" vertical="center"/>
    </xf>
    <xf numFmtId="1" fontId="15002" fillId="8" borderId="1" xfId="0" applyNumberFormat="1" applyFont="1" applyFill="1" applyBorder="1" applyAlignment="1">
      <alignment horizontal="center" vertical="center"/>
    </xf>
    <xf numFmtId="165" fontId="15003" fillId="8" borderId="1" xfId="0" applyNumberFormat="1" applyFont="1" applyFill="1" applyBorder="1" applyAlignment="1">
      <alignment horizontal="center" vertical="center"/>
    </xf>
    <xf numFmtId="164" fontId="15004" fillId="8" borderId="1" xfId="0" applyNumberFormat="1" applyFont="1" applyFill="1" applyBorder="1" applyAlignment="1">
      <alignment horizontal="center" vertical="center"/>
    </xf>
    <xf numFmtId="164" fontId="15005" fillId="8" borderId="1" xfId="0" applyNumberFormat="1" applyFont="1" applyFill="1" applyBorder="1" applyAlignment="1">
      <alignment horizontal="center" vertical="center"/>
    </xf>
    <xf numFmtId="1" fontId="15006" fillId="8" borderId="1" xfId="0" applyNumberFormat="1" applyFont="1" applyFill="1" applyBorder="1" applyAlignment="1">
      <alignment horizontal="center" vertical="center"/>
    </xf>
    <xf numFmtId="1" fontId="15007" fillId="8" borderId="1" xfId="0" applyNumberFormat="1" applyFont="1" applyFill="1" applyBorder="1" applyAlignment="1">
      <alignment horizontal="center" vertical="center"/>
    </xf>
    <xf numFmtId="1" fontId="15008" fillId="8" borderId="1" xfId="0" applyNumberFormat="1" applyFont="1" applyFill="1" applyBorder="1" applyAlignment="1">
      <alignment horizontal="center" vertical="center"/>
    </xf>
    <xf numFmtId="165" fontId="15009" fillId="8" borderId="1" xfId="0" applyNumberFormat="1" applyFont="1" applyFill="1" applyBorder="1" applyAlignment="1">
      <alignment horizontal="center" vertical="center"/>
    </xf>
    <xf numFmtId="1" fontId="15010" fillId="8" borderId="1" xfId="0" applyNumberFormat="1" applyFont="1" applyFill="1" applyBorder="1" applyAlignment="1">
      <alignment horizontal="center" vertical="center"/>
    </xf>
    <xf numFmtId="165" fontId="15011" fillId="8" borderId="1" xfId="0" applyNumberFormat="1" applyFont="1" applyFill="1" applyBorder="1" applyAlignment="1">
      <alignment horizontal="center" vertical="center"/>
    </xf>
    <xf numFmtId="1" fontId="15012" fillId="8" borderId="1" xfId="0" applyNumberFormat="1" applyFont="1" applyFill="1" applyBorder="1" applyAlignment="1">
      <alignment horizontal="center" vertical="center"/>
    </xf>
    <xf numFmtId="1" fontId="15013" fillId="8" borderId="1" xfId="0" applyNumberFormat="1" applyFont="1" applyFill="1" applyBorder="1" applyAlignment="1">
      <alignment horizontal="center" vertical="center"/>
    </xf>
    <xf numFmtId="1" fontId="15014" fillId="8" borderId="1" xfId="0" applyNumberFormat="1" applyFont="1" applyFill="1" applyBorder="1" applyAlignment="1">
      <alignment horizontal="center" vertical="center"/>
    </xf>
    <xf numFmtId="1" fontId="15015" fillId="8" borderId="1" xfId="0" applyNumberFormat="1" applyFont="1" applyFill="1" applyBorder="1" applyAlignment="1">
      <alignment horizontal="center" vertical="center"/>
    </xf>
    <xf numFmtId="165" fontId="15016" fillId="8" borderId="1" xfId="0" applyNumberFormat="1" applyFont="1" applyFill="1" applyBorder="1" applyAlignment="1">
      <alignment horizontal="center" vertical="center"/>
    </xf>
    <xf numFmtId="1" fontId="15017" fillId="8" borderId="1" xfId="0" applyNumberFormat="1" applyFont="1" applyFill="1" applyBorder="1" applyAlignment="1">
      <alignment horizontal="center" vertical="center"/>
    </xf>
    <xf numFmtId="165" fontId="15018" fillId="8" borderId="1" xfId="0" applyNumberFormat="1" applyFont="1" applyFill="1" applyBorder="1" applyAlignment="1">
      <alignment horizontal="center" vertical="center"/>
    </xf>
    <xf numFmtId="1" fontId="15019" fillId="8" borderId="1" xfId="0" applyNumberFormat="1" applyFont="1" applyFill="1" applyBorder="1" applyAlignment="1">
      <alignment horizontal="center" vertical="center"/>
    </xf>
    <xf numFmtId="165" fontId="15020" fillId="8" borderId="1" xfId="0" applyNumberFormat="1" applyFont="1" applyFill="1" applyBorder="1" applyAlignment="1">
      <alignment horizontal="center" vertical="center"/>
    </xf>
    <xf numFmtId="2" fontId="15021" fillId="8" borderId="1" xfId="0" applyNumberFormat="1" applyFont="1" applyFill="1" applyBorder="1" applyAlignment="1">
      <alignment horizontal="center" vertical="center"/>
    </xf>
    <xf numFmtId="2" fontId="15022" fillId="8" borderId="1" xfId="0" applyNumberFormat="1" applyFont="1" applyFill="1" applyBorder="1" applyAlignment="1">
      <alignment horizontal="center" vertical="center"/>
    </xf>
    <xf numFmtId="2" fontId="15023" fillId="8" borderId="1" xfId="0" applyNumberFormat="1" applyFont="1" applyFill="1" applyBorder="1" applyAlignment="1">
      <alignment horizontal="center" vertical="center"/>
    </xf>
    <xf numFmtId="2" fontId="15024" fillId="8" borderId="1" xfId="0" applyNumberFormat="1" applyFont="1" applyFill="1" applyBorder="1" applyAlignment="1">
      <alignment horizontal="center" vertical="center"/>
    </xf>
    <xf numFmtId="2" fontId="15025" fillId="8" borderId="1" xfId="0" applyNumberFormat="1" applyFont="1" applyFill="1" applyBorder="1" applyAlignment="1">
      <alignment horizontal="center" vertical="center"/>
    </xf>
    <xf numFmtId="2" fontId="15026" fillId="8" borderId="1" xfId="0" applyNumberFormat="1" applyFont="1" applyFill="1" applyBorder="1" applyAlignment="1">
      <alignment horizontal="center" vertical="center"/>
    </xf>
    <xf numFmtId="2" fontId="15027" fillId="8" borderId="1" xfId="0" applyNumberFormat="1" applyFont="1" applyFill="1" applyBorder="1" applyAlignment="1">
      <alignment horizontal="center" vertical="center"/>
    </xf>
    <xf numFmtId="2" fontId="15028" fillId="8" borderId="1" xfId="0" applyNumberFormat="1" applyFont="1" applyFill="1" applyBorder="1" applyAlignment="1">
      <alignment horizontal="center" vertical="center"/>
    </xf>
    <xf numFmtId="2" fontId="15029" fillId="8" borderId="1" xfId="0" applyNumberFormat="1" applyFont="1" applyFill="1" applyBorder="1" applyAlignment="1">
      <alignment horizontal="center" vertical="center"/>
    </xf>
    <xf numFmtId="2" fontId="15030" fillId="8" borderId="1" xfId="0" applyNumberFormat="1" applyFont="1" applyFill="1" applyBorder="1" applyAlignment="1">
      <alignment horizontal="center" vertical="center"/>
    </xf>
    <xf numFmtId="2" fontId="15031" fillId="8" borderId="1" xfId="0" applyNumberFormat="1" applyFont="1" applyFill="1" applyBorder="1" applyAlignment="1">
      <alignment horizontal="center" vertical="center"/>
    </xf>
    <xf numFmtId="2" fontId="15032" fillId="8" borderId="1" xfId="0" applyNumberFormat="1" applyFont="1" applyFill="1" applyBorder="1" applyAlignment="1">
      <alignment horizontal="center" vertical="center"/>
    </xf>
    <xf numFmtId="2" fontId="15033" fillId="8" borderId="1" xfId="0" applyNumberFormat="1" applyFont="1" applyFill="1" applyBorder="1" applyAlignment="1">
      <alignment horizontal="center" vertical="center"/>
    </xf>
    <xf numFmtId="2" fontId="15034" fillId="8" borderId="1" xfId="0" applyNumberFormat="1" applyFont="1" applyFill="1" applyBorder="1" applyAlignment="1">
      <alignment horizontal="center" vertical="center"/>
    </xf>
    <xf numFmtId="2" fontId="15035" fillId="8" borderId="1" xfId="0" applyNumberFormat="1" applyFont="1" applyFill="1" applyBorder="1" applyAlignment="1">
      <alignment horizontal="center" vertical="center"/>
    </xf>
    <xf numFmtId="2" fontId="15036" fillId="8" borderId="1" xfId="0" applyNumberFormat="1" applyFont="1" applyFill="1" applyBorder="1" applyAlignment="1">
      <alignment horizontal="center" vertical="center"/>
    </xf>
    <xf numFmtId="2" fontId="15037" fillId="8" borderId="1" xfId="0" applyNumberFormat="1" applyFont="1" applyFill="1" applyBorder="1" applyAlignment="1">
      <alignment horizontal="center" vertical="center"/>
    </xf>
    <xf numFmtId="2" fontId="15038" fillId="8" borderId="1" xfId="0" applyNumberFormat="1" applyFont="1" applyFill="1" applyBorder="1" applyAlignment="1">
      <alignment horizontal="center" vertical="center"/>
    </xf>
    <xf numFmtId="2" fontId="15039" fillId="8" borderId="1" xfId="0" applyNumberFormat="1" applyFont="1" applyFill="1" applyBorder="1" applyAlignment="1">
      <alignment horizontal="center" vertical="center"/>
    </xf>
    <xf numFmtId="2" fontId="15040" fillId="8" borderId="1" xfId="0" applyNumberFormat="1" applyFont="1" applyFill="1" applyBorder="1" applyAlignment="1">
      <alignment horizontal="center" vertical="center"/>
    </xf>
    <xf numFmtId="2" fontId="15041" fillId="8" borderId="1" xfId="0" applyNumberFormat="1" applyFont="1" applyFill="1" applyBorder="1" applyAlignment="1">
      <alignment horizontal="center" vertical="center"/>
    </xf>
    <xf numFmtId="2" fontId="15042" fillId="8" borderId="1" xfId="0" applyNumberFormat="1" applyFont="1" applyFill="1" applyBorder="1" applyAlignment="1">
      <alignment horizontal="center" vertical="center"/>
    </xf>
    <xf numFmtId="2" fontId="15043" fillId="8" borderId="1" xfId="0" applyNumberFormat="1" applyFont="1" applyFill="1" applyBorder="1" applyAlignment="1">
      <alignment horizontal="center" vertical="center"/>
    </xf>
    <xf numFmtId="2" fontId="15044" fillId="8" borderId="1" xfId="0" applyNumberFormat="1" applyFont="1" applyFill="1" applyBorder="1" applyAlignment="1">
      <alignment horizontal="center" vertical="center"/>
    </xf>
    <xf numFmtId="2" fontId="15045" fillId="8" borderId="1" xfId="0" applyNumberFormat="1" applyFont="1" applyFill="1" applyBorder="1" applyAlignment="1">
      <alignment horizontal="center" vertical="center"/>
    </xf>
    <xf numFmtId="2" fontId="15046" fillId="8" borderId="1" xfId="0" applyNumberFormat="1" applyFont="1" applyFill="1" applyBorder="1" applyAlignment="1">
      <alignment horizontal="center" vertical="center"/>
    </xf>
    <xf numFmtId="2" fontId="15047" fillId="8" borderId="1" xfId="0" applyNumberFormat="1" applyFont="1" applyFill="1" applyBorder="1" applyAlignment="1">
      <alignment horizontal="center" vertical="center"/>
    </xf>
    <xf numFmtId="2" fontId="15048" fillId="8" borderId="1" xfId="0" applyNumberFormat="1" applyFont="1" applyFill="1" applyBorder="1" applyAlignment="1">
      <alignment horizontal="center" vertical="center"/>
    </xf>
    <xf numFmtId="2" fontId="15049" fillId="8" borderId="1" xfId="0" applyNumberFormat="1" applyFont="1" applyFill="1" applyBorder="1" applyAlignment="1">
      <alignment horizontal="center" vertical="center"/>
    </xf>
    <xf numFmtId="2" fontId="15050" fillId="8" borderId="1" xfId="0" applyNumberFormat="1" applyFont="1" applyFill="1" applyBorder="1" applyAlignment="1">
      <alignment horizontal="center" vertical="center"/>
    </xf>
    <xf numFmtId="2" fontId="15051" fillId="8" borderId="1" xfId="0" applyNumberFormat="1" applyFont="1" applyFill="1" applyBorder="1" applyAlignment="1">
      <alignment horizontal="center" vertical="center"/>
    </xf>
    <xf numFmtId="2" fontId="15052" fillId="8" borderId="1" xfId="0" applyNumberFormat="1" applyFont="1" applyFill="1" applyBorder="1" applyAlignment="1">
      <alignment horizontal="center" vertical="center"/>
    </xf>
    <xf numFmtId="2" fontId="15053" fillId="8" borderId="1" xfId="0" applyNumberFormat="1" applyFont="1" applyFill="1" applyBorder="1" applyAlignment="1">
      <alignment horizontal="center" vertical="center"/>
    </xf>
    <xf numFmtId="2" fontId="15054" fillId="8" borderId="1" xfId="0" applyNumberFormat="1" applyFont="1" applyFill="1" applyBorder="1" applyAlignment="1">
      <alignment horizontal="center" vertical="center"/>
    </xf>
    <xf numFmtId="0" fontId="15055" fillId="7" borderId="1" xfId="0" applyNumberFormat="1" applyFont="1" applyFill="1" applyBorder="1" applyAlignment="1">
      <alignment horizontal="left" vertical="center"/>
    </xf>
    <xf numFmtId="0" fontId="15056" fillId="8" borderId="1" xfId="0" applyNumberFormat="1" applyFont="1" applyFill="1" applyBorder="1" applyAlignment="1">
      <alignment horizontal="center" vertical="center"/>
    </xf>
    <xf numFmtId="164" fontId="15057" fillId="8" borderId="1" xfId="0" applyNumberFormat="1" applyFont="1" applyFill="1" applyBorder="1" applyAlignment="1">
      <alignment horizontal="center" vertical="center"/>
    </xf>
    <xf numFmtId="1" fontId="15058" fillId="8" borderId="1" xfId="0" applyNumberFormat="1" applyFont="1" applyFill="1" applyBorder="1" applyAlignment="1">
      <alignment horizontal="center" vertical="center"/>
    </xf>
    <xf numFmtId="1" fontId="15059" fillId="8" borderId="1" xfId="0" applyNumberFormat="1" applyFont="1" applyFill="1" applyBorder="1" applyAlignment="1">
      <alignment horizontal="center" vertical="center"/>
    </xf>
    <xf numFmtId="1" fontId="15060" fillId="8" borderId="1" xfId="0" applyNumberFormat="1" applyFont="1" applyFill="1" applyBorder="1" applyAlignment="1">
      <alignment horizontal="center" vertical="center"/>
    </xf>
    <xf numFmtId="1" fontId="15061" fillId="8" borderId="1" xfId="0" applyNumberFormat="1" applyFont="1" applyFill="1" applyBorder="1" applyAlignment="1">
      <alignment horizontal="center" vertical="center"/>
    </xf>
    <xf numFmtId="1" fontId="15062" fillId="8" borderId="1" xfId="0" applyNumberFormat="1" applyFont="1" applyFill="1" applyBorder="1" applyAlignment="1">
      <alignment horizontal="center" vertical="center"/>
    </xf>
    <xf numFmtId="1" fontId="15063" fillId="8" borderId="1" xfId="0" applyNumberFormat="1" applyFont="1" applyFill="1" applyBorder="1" applyAlignment="1">
      <alignment horizontal="center" vertical="center"/>
    </xf>
    <xf numFmtId="1" fontId="15064" fillId="8" borderId="1" xfId="0" applyNumberFormat="1" applyFont="1" applyFill="1" applyBorder="1" applyAlignment="1">
      <alignment horizontal="center" vertical="center"/>
    </xf>
    <xf numFmtId="0" fontId="15065" fillId="8" borderId="1" xfId="0" applyNumberFormat="1" applyFont="1" applyFill="1" applyBorder="1" applyAlignment="1">
      <alignment horizontal="center" vertical="center"/>
    </xf>
    <xf numFmtId="0" fontId="15066" fillId="8" borderId="1" xfId="0" applyNumberFormat="1" applyFont="1" applyFill="1" applyBorder="1" applyAlignment="1">
      <alignment horizontal="center" vertical="center"/>
    </xf>
    <xf numFmtId="1" fontId="15067" fillId="8" borderId="1" xfId="0" applyNumberFormat="1" applyFont="1" applyFill="1" applyBorder="1" applyAlignment="1">
      <alignment horizontal="center" vertical="center"/>
    </xf>
    <xf numFmtId="1" fontId="15068" fillId="8" borderId="1" xfId="0" applyNumberFormat="1" applyFont="1" applyFill="1" applyBorder="1" applyAlignment="1">
      <alignment horizontal="center" vertical="center"/>
    </xf>
    <xf numFmtId="1" fontId="15069" fillId="8" borderId="1" xfId="0" applyNumberFormat="1" applyFont="1" applyFill="1" applyBorder="1" applyAlignment="1">
      <alignment horizontal="center" vertical="center"/>
    </xf>
    <xf numFmtId="165" fontId="15070" fillId="8" borderId="1" xfId="0" applyNumberFormat="1" applyFont="1" applyFill="1" applyBorder="1" applyAlignment="1">
      <alignment horizontal="center" vertical="center"/>
    </xf>
    <xf numFmtId="1" fontId="15071" fillId="8" borderId="1" xfId="0" applyNumberFormat="1" applyFont="1" applyFill="1" applyBorder="1" applyAlignment="1">
      <alignment horizontal="center" vertical="center"/>
    </xf>
    <xf numFmtId="165" fontId="15072" fillId="8" borderId="1" xfId="0" applyNumberFormat="1" applyFont="1" applyFill="1" applyBorder="1" applyAlignment="1">
      <alignment horizontal="center" vertical="center"/>
    </xf>
    <xf numFmtId="1" fontId="15073" fillId="8" borderId="1" xfId="0" applyNumberFormat="1" applyFont="1" applyFill="1" applyBorder="1" applyAlignment="1">
      <alignment horizontal="center" vertical="center"/>
    </xf>
    <xf numFmtId="165" fontId="15074" fillId="8" borderId="1" xfId="0" applyNumberFormat="1" applyFont="1" applyFill="1" applyBorder="1" applyAlignment="1">
      <alignment horizontal="center" vertical="center"/>
    </xf>
    <xf numFmtId="1" fontId="15075" fillId="8" borderId="1" xfId="0" applyNumberFormat="1" applyFont="1" applyFill="1" applyBorder="1" applyAlignment="1">
      <alignment horizontal="center" vertical="center"/>
    </xf>
    <xf numFmtId="165" fontId="15076" fillId="8" borderId="1" xfId="0" applyNumberFormat="1" applyFont="1" applyFill="1" applyBorder="1" applyAlignment="1">
      <alignment horizontal="center" vertical="center"/>
    </xf>
    <xf numFmtId="165" fontId="15077" fillId="8" borderId="1" xfId="0" applyNumberFormat="1" applyFont="1" applyFill="1" applyBorder="1" applyAlignment="1">
      <alignment horizontal="center" vertical="center"/>
    </xf>
    <xf numFmtId="1" fontId="15078" fillId="8" borderId="1" xfId="0" applyNumberFormat="1" applyFont="1" applyFill="1" applyBorder="1" applyAlignment="1">
      <alignment horizontal="center" vertical="center"/>
    </xf>
    <xf numFmtId="1" fontId="15079" fillId="8" borderId="1" xfId="0" applyNumberFormat="1" applyFont="1" applyFill="1" applyBorder="1" applyAlignment="1">
      <alignment horizontal="center" vertical="center"/>
    </xf>
    <xf numFmtId="1" fontId="15080" fillId="8" borderId="1" xfId="0" applyNumberFormat="1" applyFont="1" applyFill="1" applyBorder="1" applyAlignment="1">
      <alignment horizontal="center" vertical="center"/>
    </xf>
    <xf numFmtId="165" fontId="15081" fillId="8" borderId="1" xfId="0" applyNumberFormat="1" applyFont="1" applyFill="1" applyBorder="1" applyAlignment="1">
      <alignment horizontal="center" vertical="center"/>
    </xf>
    <xf numFmtId="164" fontId="15082" fillId="8" borderId="1" xfId="0" applyNumberFormat="1" applyFont="1" applyFill="1" applyBorder="1" applyAlignment="1">
      <alignment horizontal="center" vertical="center"/>
    </xf>
    <xf numFmtId="164" fontId="15083" fillId="8" borderId="1" xfId="0" applyNumberFormat="1" applyFont="1" applyFill="1" applyBorder="1" applyAlignment="1">
      <alignment horizontal="center" vertical="center"/>
    </xf>
    <xf numFmtId="1" fontId="15084" fillId="8" borderId="1" xfId="0" applyNumberFormat="1" applyFont="1" applyFill="1" applyBorder="1" applyAlignment="1">
      <alignment horizontal="center" vertical="center"/>
    </xf>
    <xf numFmtId="1" fontId="15085" fillId="8" borderId="1" xfId="0" applyNumberFormat="1" applyFont="1" applyFill="1" applyBorder="1" applyAlignment="1">
      <alignment horizontal="center" vertical="center"/>
    </xf>
    <xf numFmtId="1" fontId="15086" fillId="8" borderId="1" xfId="0" applyNumberFormat="1" applyFont="1" applyFill="1" applyBorder="1" applyAlignment="1">
      <alignment horizontal="center" vertical="center"/>
    </xf>
    <xf numFmtId="165" fontId="15087" fillId="8" borderId="1" xfId="0" applyNumberFormat="1" applyFont="1" applyFill="1" applyBorder="1" applyAlignment="1">
      <alignment horizontal="center" vertical="center"/>
    </xf>
    <xf numFmtId="1" fontId="15088" fillId="8" borderId="1" xfId="0" applyNumberFormat="1" applyFont="1" applyFill="1" applyBorder="1" applyAlignment="1">
      <alignment horizontal="center" vertical="center"/>
    </xf>
    <xf numFmtId="165" fontId="15089" fillId="8" borderId="1" xfId="0" applyNumberFormat="1" applyFont="1" applyFill="1" applyBorder="1" applyAlignment="1">
      <alignment horizontal="center" vertical="center"/>
    </xf>
    <xf numFmtId="1" fontId="15090" fillId="8" borderId="1" xfId="0" applyNumberFormat="1" applyFont="1" applyFill="1" applyBorder="1" applyAlignment="1">
      <alignment horizontal="center" vertical="center"/>
    </xf>
    <xf numFmtId="1" fontId="15091" fillId="8" borderId="1" xfId="0" applyNumberFormat="1" applyFont="1" applyFill="1" applyBorder="1" applyAlignment="1">
      <alignment horizontal="center" vertical="center"/>
    </xf>
    <xf numFmtId="1" fontId="15092" fillId="8" borderId="1" xfId="0" applyNumberFormat="1" applyFont="1" applyFill="1" applyBorder="1" applyAlignment="1">
      <alignment horizontal="center" vertical="center"/>
    </xf>
    <xf numFmtId="1" fontId="15093" fillId="8" borderId="1" xfId="0" applyNumberFormat="1" applyFont="1" applyFill="1" applyBorder="1" applyAlignment="1">
      <alignment horizontal="center" vertical="center"/>
    </xf>
    <xf numFmtId="165" fontId="15094" fillId="8" borderId="1" xfId="0" applyNumberFormat="1" applyFont="1" applyFill="1" applyBorder="1" applyAlignment="1">
      <alignment horizontal="center" vertical="center"/>
    </xf>
    <xf numFmtId="1" fontId="15095" fillId="8" borderId="1" xfId="0" applyNumberFormat="1" applyFont="1" applyFill="1" applyBorder="1" applyAlignment="1">
      <alignment horizontal="center" vertical="center"/>
    </xf>
    <xf numFmtId="165" fontId="15096" fillId="8" borderId="1" xfId="0" applyNumberFormat="1" applyFont="1" applyFill="1" applyBorder="1" applyAlignment="1">
      <alignment horizontal="center" vertical="center"/>
    </xf>
    <xf numFmtId="1" fontId="15097" fillId="8" borderId="1" xfId="0" applyNumberFormat="1" applyFont="1" applyFill="1" applyBorder="1" applyAlignment="1">
      <alignment horizontal="center" vertical="center"/>
    </xf>
    <xf numFmtId="165" fontId="15098" fillId="8" borderId="1" xfId="0" applyNumberFormat="1" applyFont="1" applyFill="1" applyBorder="1" applyAlignment="1">
      <alignment horizontal="center" vertical="center"/>
    </xf>
    <xf numFmtId="2" fontId="15099" fillId="8" borderId="1" xfId="0" applyNumberFormat="1" applyFont="1" applyFill="1" applyBorder="1" applyAlignment="1">
      <alignment horizontal="center" vertical="center"/>
    </xf>
    <xf numFmtId="2" fontId="15100" fillId="8" borderId="1" xfId="0" applyNumberFormat="1" applyFont="1" applyFill="1" applyBorder="1" applyAlignment="1">
      <alignment horizontal="center" vertical="center"/>
    </xf>
    <xf numFmtId="2" fontId="15101" fillId="8" borderId="1" xfId="0" applyNumberFormat="1" applyFont="1" applyFill="1" applyBorder="1" applyAlignment="1">
      <alignment horizontal="center" vertical="center"/>
    </xf>
    <xf numFmtId="2" fontId="15102" fillId="8" borderId="1" xfId="0" applyNumberFormat="1" applyFont="1" applyFill="1" applyBorder="1" applyAlignment="1">
      <alignment horizontal="center" vertical="center"/>
    </xf>
    <xf numFmtId="2" fontId="15103" fillId="8" borderId="1" xfId="0" applyNumberFormat="1" applyFont="1" applyFill="1" applyBorder="1" applyAlignment="1">
      <alignment horizontal="center" vertical="center"/>
    </xf>
    <xf numFmtId="2" fontId="15104" fillId="8" borderId="1" xfId="0" applyNumberFormat="1" applyFont="1" applyFill="1" applyBorder="1" applyAlignment="1">
      <alignment horizontal="center" vertical="center"/>
    </xf>
    <xf numFmtId="2" fontId="15105" fillId="8" borderId="1" xfId="0" applyNumberFormat="1" applyFont="1" applyFill="1" applyBorder="1" applyAlignment="1">
      <alignment horizontal="center" vertical="center"/>
    </xf>
    <xf numFmtId="2" fontId="15106" fillId="8" borderId="1" xfId="0" applyNumberFormat="1" applyFont="1" applyFill="1" applyBorder="1" applyAlignment="1">
      <alignment horizontal="center" vertical="center"/>
    </xf>
    <xf numFmtId="2" fontId="15107" fillId="8" borderId="1" xfId="0" applyNumberFormat="1" applyFont="1" applyFill="1" applyBorder="1" applyAlignment="1">
      <alignment horizontal="center" vertical="center"/>
    </xf>
    <xf numFmtId="2" fontId="15108" fillId="8" borderId="1" xfId="0" applyNumberFormat="1" applyFont="1" applyFill="1" applyBorder="1" applyAlignment="1">
      <alignment horizontal="center" vertical="center"/>
    </xf>
    <xf numFmtId="2" fontId="15109" fillId="8" borderId="1" xfId="0" applyNumberFormat="1" applyFont="1" applyFill="1" applyBorder="1" applyAlignment="1">
      <alignment horizontal="center" vertical="center"/>
    </xf>
    <xf numFmtId="2" fontId="15110" fillId="8" borderId="1" xfId="0" applyNumberFormat="1" applyFont="1" applyFill="1" applyBorder="1" applyAlignment="1">
      <alignment horizontal="center" vertical="center"/>
    </xf>
    <xf numFmtId="2" fontId="15111" fillId="8" borderId="1" xfId="0" applyNumberFormat="1" applyFont="1" applyFill="1" applyBorder="1" applyAlignment="1">
      <alignment horizontal="center" vertical="center"/>
    </xf>
    <xf numFmtId="2" fontId="15112" fillId="8" borderId="1" xfId="0" applyNumberFormat="1" applyFont="1" applyFill="1" applyBorder="1" applyAlignment="1">
      <alignment horizontal="center" vertical="center"/>
    </xf>
    <xf numFmtId="2" fontId="15113" fillId="8" borderId="1" xfId="0" applyNumberFormat="1" applyFont="1" applyFill="1" applyBorder="1" applyAlignment="1">
      <alignment horizontal="center" vertical="center"/>
    </xf>
    <xf numFmtId="2" fontId="15114" fillId="8" borderId="1" xfId="0" applyNumberFormat="1" applyFont="1" applyFill="1" applyBorder="1" applyAlignment="1">
      <alignment horizontal="center" vertical="center"/>
    </xf>
    <xf numFmtId="2" fontId="15115" fillId="8" borderId="1" xfId="0" applyNumberFormat="1" applyFont="1" applyFill="1" applyBorder="1" applyAlignment="1">
      <alignment horizontal="center" vertical="center"/>
    </xf>
    <xf numFmtId="2" fontId="15116" fillId="8" borderId="1" xfId="0" applyNumberFormat="1" applyFont="1" applyFill="1" applyBorder="1" applyAlignment="1">
      <alignment horizontal="center" vertical="center"/>
    </xf>
    <xf numFmtId="2" fontId="15117" fillId="8" borderId="1" xfId="0" applyNumberFormat="1" applyFont="1" applyFill="1" applyBorder="1" applyAlignment="1">
      <alignment horizontal="center" vertical="center"/>
    </xf>
    <xf numFmtId="2" fontId="15118" fillId="8" borderId="1" xfId="0" applyNumberFormat="1" applyFont="1" applyFill="1" applyBorder="1" applyAlignment="1">
      <alignment horizontal="center" vertical="center"/>
    </xf>
    <xf numFmtId="2" fontId="15119" fillId="8" borderId="1" xfId="0" applyNumberFormat="1" applyFont="1" applyFill="1" applyBorder="1" applyAlignment="1">
      <alignment horizontal="center" vertical="center"/>
    </xf>
    <xf numFmtId="2" fontId="15120" fillId="8" borderId="1" xfId="0" applyNumberFormat="1" applyFont="1" applyFill="1" applyBorder="1" applyAlignment="1">
      <alignment horizontal="center" vertical="center"/>
    </xf>
    <xf numFmtId="2" fontId="15121" fillId="8" borderId="1" xfId="0" applyNumberFormat="1" applyFont="1" applyFill="1" applyBorder="1" applyAlignment="1">
      <alignment horizontal="center" vertical="center"/>
    </xf>
    <xf numFmtId="2" fontId="15122" fillId="8" borderId="1" xfId="0" applyNumberFormat="1" applyFont="1" applyFill="1" applyBorder="1" applyAlignment="1">
      <alignment horizontal="center" vertical="center"/>
    </xf>
    <xf numFmtId="2" fontId="15123" fillId="8" borderId="1" xfId="0" applyNumberFormat="1" applyFont="1" applyFill="1" applyBorder="1" applyAlignment="1">
      <alignment horizontal="center" vertical="center"/>
    </xf>
    <xf numFmtId="2" fontId="15124" fillId="8" borderId="1" xfId="0" applyNumberFormat="1" applyFont="1" applyFill="1" applyBorder="1" applyAlignment="1">
      <alignment horizontal="center" vertical="center"/>
    </xf>
    <xf numFmtId="2" fontId="15125" fillId="8" borderId="1" xfId="0" applyNumberFormat="1" applyFont="1" applyFill="1" applyBorder="1" applyAlignment="1">
      <alignment horizontal="center" vertical="center"/>
    </xf>
    <xf numFmtId="2" fontId="15126" fillId="8" borderId="1" xfId="0" applyNumberFormat="1" applyFont="1" applyFill="1" applyBorder="1" applyAlignment="1">
      <alignment horizontal="center" vertical="center"/>
    </xf>
    <xf numFmtId="2" fontId="15127" fillId="8" borderId="1" xfId="0" applyNumberFormat="1" applyFont="1" applyFill="1" applyBorder="1" applyAlignment="1">
      <alignment horizontal="center" vertical="center"/>
    </xf>
    <xf numFmtId="2" fontId="15128" fillId="8" borderId="1" xfId="0" applyNumberFormat="1" applyFont="1" applyFill="1" applyBorder="1" applyAlignment="1">
      <alignment horizontal="center" vertical="center"/>
    </xf>
    <xf numFmtId="2" fontId="15129" fillId="8" borderId="1" xfId="0" applyNumberFormat="1" applyFont="1" applyFill="1" applyBorder="1" applyAlignment="1">
      <alignment horizontal="center" vertical="center"/>
    </xf>
    <xf numFmtId="2" fontId="15130" fillId="8" borderId="1" xfId="0" applyNumberFormat="1" applyFont="1" applyFill="1" applyBorder="1" applyAlignment="1">
      <alignment horizontal="center" vertical="center"/>
    </xf>
    <xf numFmtId="2" fontId="15131" fillId="8" borderId="1" xfId="0" applyNumberFormat="1" applyFont="1" applyFill="1" applyBorder="1" applyAlignment="1">
      <alignment horizontal="center" vertical="center"/>
    </xf>
    <xf numFmtId="2" fontId="15132" fillId="8" borderId="1" xfId="0" applyNumberFormat="1" applyFont="1" applyFill="1" applyBorder="1" applyAlignment="1">
      <alignment horizontal="center" vertical="center"/>
    </xf>
    <xf numFmtId="0" fontId="15133" fillId="7" borderId="1" xfId="0" applyNumberFormat="1" applyFont="1" applyFill="1" applyBorder="1" applyAlignment="1">
      <alignment horizontal="left" vertical="center"/>
    </xf>
    <xf numFmtId="0" fontId="15134" fillId="8" borderId="1" xfId="0" applyNumberFormat="1" applyFont="1" applyFill="1" applyBorder="1" applyAlignment="1">
      <alignment horizontal="center" vertical="center"/>
    </xf>
    <xf numFmtId="164" fontId="15135" fillId="8" borderId="1" xfId="0" applyNumberFormat="1" applyFont="1" applyFill="1" applyBorder="1" applyAlignment="1">
      <alignment horizontal="center" vertical="center"/>
    </xf>
    <xf numFmtId="1" fontId="15136" fillId="8" borderId="1" xfId="0" applyNumberFormat="1" applyFont="1" applyFill="1" applyBorder="1" applyAlignment="1">
      <alignment horizontal="center" vertical="center"/>
    </xf>
    <xf numFmtId="1" fontId="15137" fillId="8" borderId="1" xfId="0" applyNumberFormat="1" applyFont="1" applyFill="1" applyBorder="1" applyAlignment="1">
      <alignment horizontal="center" vertical="center"/>
    </xf>
    <xf numFmtId="1" fontId="15138" fillId="8" borderId="1" xfId="0" applyNumberFormat="1" applyFont="1" applyFill="1" applyBorder="1" applyAlignment="1">
      <alignment horizontal="center" vertical="center"/>
    </xf>
    <xf numFmtId="1" fontId="15139" fillId="8" borderId="1" xfId="0" applyNumberFormat="1" applyFont="1" applyFill="1" applyBorder="1" applyAlignment="1">
      <alignment horizontal="center" vertical="center"/>
    </xf>
    <xf numFmtId="1" fontId="15140" fillId="8" borderId="1" xfId="0" applyNumberFormat="1" applyFont="1" applyFill="1" applyBorder="1" applyAlignment="1">
      <alignment horizontal="center" vertical="center"/>
    </xf>
    <xf numFmtId="1" fontId="15141" fillId="8" borderId="1" xfId="0" applyNumberFormat="1" applyFont="1" applyFill="1" applyBorder="1" applyAlignment="1">
      <alignment horizontal="center" vertical="center"/>
    </xf>
    <xf numFmtId="1" fontId="15142" fillId="8" borderId="1" xfId="0" applyNumberFormat="1" applyFont="1" applyFill="1" applyBorder="1" applyAlignment="1">
      <alignment horizontal="center" vertical="center"/>
    </xf>
    <xf numFmtId="0" fontId="15143" fillId="8" borderId="1" xfId="0" applyNumberFormat="1" applyFont="1" applyFill="1" applyBorder="1" applyAlignment="1">
      <alignment horizontal="center" vertical="center"/>
    </xf>
    <xf numFmtId="0" fontId="15144" fillId="8" borderId="1" xfId="0" applyNumberFormat="1" applyFont="1" applyFill="1" applyBorder="1" applyAlignment="1">
      <alignment horizontal="center" vertical="center"/>
    </xf>
    <xf numFmtId="1" fontId="15145" fillId="8" borderId="1" xfId="0" applyNumberFormat="1" applyFont="1" applyFill="1" applyBorder="1" applyAlignment="1">
      <alignment horizontal="center" vertical="center"/>
    </xf>
    <xf numFmtId="1" fontId="15146" fillId="8" borderId="1" xfId="0" applyNumberFormat="1" applyFont="1" applyFill="1" applyBorder="1" applyAlignment="1">
      <alignment horizontal="center" vertical="center"/>
    </xf>
    <xf numFmtId="1" fontId="15147" fillId="8" borderId="1" xfId="0" applyNumberFormat="1" applyFont="1" applyFill="1" applyBorder="1" applyAlignment="1">
      <alignment horizontal="center" vertical="center"/>
    </xf>
    <xf numFmtId="165" fontId="15148" fillId="8" borderId="1" xfId="0" applyNumberFormat="1" applyFont="1" applyFill="1" applyBorder="1" applyAlignment="1">
      <alignment horizontal="center" vertical="center"/>
    </xf>
    <xf numFmtId="1" fontId="15149" fillId="8" borderId="1" xfId="0" applyNumberFormat="1" applyFont="1" applyFill="1" applyBorder="1" applyAlignment="1">
      <alignment horizontal="center" vertical="center"/>
    </xf>
    <xf numFmtId="165" fontId="15150" fillId="8" borderId="1" xfId="0" applyNumberFormat="1" applyFont="1" applyFill="1" applyBorder="1" applyAlignment="1">
      <alignment horizontal="center" vertical="center"/>
    </xf>
    <xf numFmtId="1" fontId="15151" fillId="8" borderId="1" xfId="0" applyNumberFormat="1" applyFont="1" applyFill="1" applyBorder="1" applyAlignment="1">
      <alignment horizontal="center" vertical="center"/>
    </xf>
    <xf numFmtId="165" fontId="15152" fillId="8" borderId="1" xfId="0" applyNumberFormat="1" applyFont="1" applyFill="1" applyBorder="1" applyAlignment="1">
      <alignment horizontal="center" vertical="center"/>
    </xf>
    <xf numFmtId="1" fontId="15153" fillId="8" borderId="1" xfId="0" applyNumberFormat="1" applyFont="1" applyFill="1" applyBorder="1" applyAlignment="1">
      <alignment horizontal="center" vertical="center"/>
    </xf>
    <xf numFmtId="165" fontId="15154" fillId="8" borderId="1" xfId="0" applyNumberFormat="1" applyFont="1" applyFill="1" applyBorder="1" applyAlignment="1">
      <alignment horizontal="center" vertical="center"/>
    </xf>
    <xf numFmtId="165" fontId="15155" fillId="8" borderId="1" xfId="0" applyNumberFormat="1" applyFont="1" applyFill="1" applyBorder="1" applyAlignment="1">
      <alignment horizontal="center" vertical="center"/>
    </xf>
    <xf numFmtId="1" fontId="15156" fillId="8" borderId="1" xfId="0" applyNumberFormat="1" applyFont="1" applyFill="1" applyBorder="1" applyAlignment="1">
      <alignment horizontal="center" vertical="center"/>
    </xf>
    <xf numFmtId="1" fontId="15157" fillId="8" borderId="1" xfId="0" applyNumberFormat="1" applyFont="1" applyFill="1" applyBorder="1" applyAlignment="1">
      <alignment horizontal="center" vertical="center"/>
    </xf>
    <xf numFmtId="1" fontId="15158" fillId="8" borderId="1" xfId="0" applyNumberFormat="1" applyFont="1" applyFill="1" applyBorder="1" applyAlignment="1">
      <alignment horizontal="center" vertical="center"/>
    </xf>
    <xf numFmtId="165" fontId="15159" fillId="8" borderId="1" xfId="0" applyNumberFormat="1" applyFont="1" applyFill="1" applyBorder="1" applyAlignment="1">
      <alignment horizontal="center" vertical="center"/>
    </xf>
    <xf numFmtId="164" fontId="15160" fillId="8" borderId="1" xfId="0" applyNumberFormat="1" applyFont="1" applyFill="1" applyBorder="1" applyAlignment="1">
      <alignment horizontal="center" vertical="center"/>
    </xf>
    <xf numFmtId="164" fontId="15161" fillId="8" borderId="1" xfId="0" applyNumberFormat="1" applyFont="1" applyFill="1" applyBorder="1" applyAlignment="1">
      <alignment horizontal="center" vertical="center"/>
    </xf>
    <xf numFmtId="1" fontId="15162" fillId="8" borderId="1" xfId="0" applyNumberFormat="1" applyFont="1" applyFill="1" applyBorder="1" applyAlignment="1">
      <alignment horizontal="center" vertical="center"/>
    </xf>
    <xf numFmtId="1" fontId="15163" fillId="8" borderId="1" xfId="0" applyNumberFormat="1" applyFont="1" applyFill="1" applyBorder="1" applyAlignment="1">
      <alignment horizontal="center" vertical="center"/>
    </xf>
    <xf numFmtId="1" fontId="15164" fillId="8" borderId="1" xfId="0" applyNumberFormat="1" applyFont="1" applyFill="1" applyBorder="1" applyAlignment="1">
      <alignment horizontal="center" vertical="center"/>
    </xf>
    <xf numFmtId="165" fontId="15165" fillId="8" borderId="1" xfId="0" applyNumberFormat="1" applyFont="1" applyFill="1" applyBorder="1" applyAlignment="1">
      <alignment horizontal="center" vertical="center"/>
    </xf>
    <xf numFmtId="1" fontId="15166" fillId="8" borderId="1" xfId="0" applyNumberFormat="1" applyFont="1" applyFill="1" applyBorder="1" applyAlignment="1">
      <alignment horizontal="center" vertical="center"/>
    </xf>
    <xf numFmtId="165" fontId="15167" fillId="8" borderId="1" xfId="0" applyNumberFormat="1" applyFont="1" applyFill="1" applyBorder="1" applyAlignment="1">
      <alignment horizontal="center" vertical="center"/>
    </xf>
    <xf numFmtId="1" fontId="15168" fillId="8" borderId="1" xfId="0" applyNumberFormat="1" applyFont="1" applyFill="1" applyBorder="1" applyAlignment="1">
      <alignment horizontal="center" vertical="center"/>
    </xf>
    <xf numFmtId="1" fontId="15169" fillId="8" borderId="1" xfId="0" applyNumberFormat="1" applyFont="1" applyFill="1" applyBorder="1" applyAlignment="1">
      <alignment horizontal="center" vertical="center"/>
    </xf>
    <xf numFmtId="1" fontId="15170" fillId="8" borderId="1" xfId="0" applyNumberFormat="1" applyFont="1" applyFill="1" applyBorder="1" applyAlignment="1">
      <alignment horizontal="center" vertical="center"/>
    </xf>
    <xf numFmtId="1" fontId="15171" fillId="8" borderId="1" xfId="0" applyNumberFormat="1" applyFont="1" applyFill="1" applyBorder="1" applyAlignment="1">
      <alignment horizontal="center" vertical="center"/>
    </xf>
    <xf numFmtId="165" fontId="15172" fillId="8" borderId="1" xfId="0" applyNumberFormat="1" applyFont="1" applyFill="1" applyBorder="1" applyAlignment="1">
      <alignment horizontal="center" vertical="center"/>
    </xf>
    <xf numFmtId="1" fontId="15173" fillId="8" borderId="1" xfId="0" applyNumberFormat="1" applyFont="1" applyFill="1" applyBorder="1" applyAlignment="1">
      <alignment horizontal="center" vertical="center"/>
    </xf>
    <xf numFmtId="165" fontId="15174" fillId="8" borderId="1" xfId="0" applyNumberFormat="1" applyFont="1" applyFill="1" applyBorder="1" applyAlignment="1">
      <alignment horizontal="center" vertical="center"/>
    </xf>
    <xf numFmtId="1" fontId="15175" fillId="8" borderId="1" xfId="0" applyNumberFormat="1" applyFont="1" applyFill="1" applyBorder="1" applyAlignment="1">
      <alignment horizontal="center" vertical="center"/>
    </xf>
    <xf numFmtId="165" fontId="15176" fillId="8" borderId="1" xfId="0" applyNumberFormat="1" applyFont="1" applyFill="1" applyBorder="1" applyAlignment="1">
      <alignment horizontal="center" vertical="center"/>
    </xf>
    <xf numFmtId="2" fontId="15177" fillId="8" borderId="1" xfId="0" applyNumberFormat="1" applyFont="1" applyFill="1" applyBorder="1" applyAlignment="1">
      <alignment horizontal="center" vertical="center"/>
    </xf>
    <xf numFmtId="2" fontId="15178" fillId="8" borderId="1" xfId="0" applyNumberFormat="1" applyFont="1" applyFill="1" applyBorder="1" applyAlignment="1">
      <alignment horizontal="center" vertical="center"/>
    </xf>
    <xf numFmtId="2" fontId="15179" fillId="8" borderId="1" xfId="0" applyNumberFormat="1" applyFont="1" applyFill="1" applyBorder="1" applyAlignment="1">
      <alignment horizontal="center" vertical="center"/>
    </xf>
    <xf numFmtId="2" fontId="15180" fillId="8" borderId="1" xfId="0" applyNumberFormat="1" applyFont="1" applyFill="1" applyBorder="1" applyAlignment="1">
      <alignment horizontal="center" vertical="center"/>
    </xf>
    <xf numFmtId="2" fontId="15181" fillId="8" borderId="1" xfId="0" applyNumberFormat="1" applyFont="1" applyFill="1" applyBorder="1" applyAlignment="1">
      <alignment horizontal="center" vertical="center"/>
    </xf>
    <xf numFmtId="2" fontId="15182" fillId="8" borderId="1" xfId="0" applyNumberFormat="1" applyFont="1" applyFill="1" applyBorder="1" applyAlignment="1">
      <alignment horizontal="center" vertical="center"/>
    </xf>
    <xf numFmtId="2" fontId="15183" fillId="8" borderId="1" xfId="0" applyNumberFormat="1" applyFont="1" applyFill="1" applyBorder="1" applyAlignment="1">
      <alignment horizontal="center" vertical="center"/>
    </xf>
    <xf numFmtId="2" fontId="15184" fillId="8" borderId="1" xfId="0" applyNumberFormat="1" applyFont="1" applyFill="1" applyBorder="1" applyAlignment="1">
      <alignment horizontal="center" vertical="center"/>
    </xf>
    <xf numFmtId="2" fontId="15185" fillId="8" borderId="1" xfId="0" applyNumberFormat="1" applyFont="1" applyFill="1" applyBorder="1" applyAlignment="1">
      <alignment horizontal="center" vertical="center"/>
    </xf>
    <xf numFmtId="2" fontId="15186" fillId="8" borderId="1" xfId="0" applyNumberFormat="1" applyFont="1" applyFill="1" applyBorder="1" applyAlignment="1">
      <alignment horizontal="center" vertical="center"/>
    </xf>
    <xf numFmtId="2" fontId="15187" fillId="8" borderId="1" xfId="0" applyNumberFormat="1" applyFont="1" applyFill="1" applyBorder="1" applyAlignment="1">
      <alignment horizontal="center" vertical="center"/>
    </xf>
    <xf numFmtId="2" fontId="15188" fillId="8" borderId="1" xfId="0" applyNumberFormat="1" applyFont="1" applyFill="1" applyBorder="1" applyAlignment="1">
      <alignment horizontal="center" vertical="center"/>
    </xf>
    <xf numFmtId="2" fontId="15189" fillId="8" borderId="1" xfId="0" applyNumberFormat="1" applyFont="1" applyFill="1" applyBorder="1" applyAlignment="1">
      <alignment horizontal="center" vertical="center"/>
    </xf>
    <xf numFmtId="2" fontId="15190" fillId="8" borderId="1" xfId="0" applyNumberFormat="1" applyFont="1" applyFill="1" applyBorder="1" applyAlignment="1">
      <alignment horizontal="center" vertical="center"/>
    </xf>
    <xf numFmtId="2" fontId="15191" fillId="8" borderId="1" xfId="0" applyNumberFormat="1" applyFont="1" applyFill="1" applyBorder="1" applyAlignment="1">
      <alignment horizontal="center" vertical="center"/>
    </xf>
    <xf numFmtId="2" fontId="15192" fillId="8" borderId="1" xfId="0" applyNumberFormat="1" applyFont="1" applyFill="1" applyBorder="1" applyAlignment="1">
      <alignment horizontal="center" vertical="center"/>
    </xf>
    <xf numFmtId="2" fontId="15193" fillId="8" borderId="1" xfId="0" applyNumberFormat="1" applyFont="1" applyFill="1" applyBorder="1" applyAlignment="1">
      <alignment horizontal="center" vertical="center"/>
    </xf>
    <xf numFmtId="2" fontId="15194" fillId="8" borderId="1" xfId="0" applyNumberFormat="1" applyFont="1" applyFill="1" applyBorder="1" applyAlignment="1">
      <alignment horizontal="center" vertical="center"/>
    </xf>
    <xf numFmtId="2" fontId="15195" fillId="8" borderId="1" xfId="0" applyNumberFormat="1" applyFont="1" applyFill="1" applyBorder="1" applyAlignment="1">
      <alignment horizontal="center" vertical="center"/>
    </xf>
    <xf numFmtId="2" fontId="15196" fillId="8" borderId="1" xfId="0" applyNumberFormat="1" applyFont="1" applyFill="1" applyBorder="1" applyAlignment="1">
      <alignment horizontal="center" vertical="center"/>
    </xf>
    <xf numFmtId="2" fontId="15197" fillId="8" borderId="1" xfId="0" applyNumberFormat="1" applyFont="1" applyFill="1" applyBorder="1" applyAlignment="1">
      <alignment horizontal="center" vertical="center"/>
    </xf>
    <xf numFmtId="2" fontId="15198" fillId="8" borderId="1" xfId="0" applyNumberFormat="1" applyFont="1" applyFill="1" applyBorder="1" applyAlignment="1">
      <alignment horizontal="center" vertical="center"/>
    </xf>
    <xf numFmtId="2" fontId="15199" fillId="8" borderId="1" xfId="0" applyNumberFormat="1" applyFont="1" applyFill="1" applyBorder="1" applyAlignment="1">
      <alignment horizontal="center" vertical="center"/>
    </xf>
    <xf numFmtId="2" fontId="15200" fillId="8" borderId="1" xfId="0" applyNumberFormat="1" applyFont="1" applyFill="1" applyBorder="1" applyAlignment="1">
      <alignment horizontal="center" vertical="center"/>
    </xf>
    <xf numFmtId="2" fontId="15201" fillId="8" borderId="1" xfId="0" applyNumberFormat="1" applyFont="1" applyFill="1" applyBorder="1" applyAlignment="1">
      <alignment horizontal="center" vertical="center"/>
    </xf>
    <xf numFmtId="2" fontId="15202" fillId="8" borderId="1" xfId="0" applyNumberFormat="1" applyFont="1" applyFill="1" applyBorder="1" applyAlignment="1">
      <alignment horizontal="center" vertical="center"/>
    </xf>
    <xf numFmtId="2" fontId="15203" fillId="8" borderId="1" xfId="0" applyNumberFormat="1" applyFont="1" applyFill="1" applyBorder="1" applyAlignment="1">
      <alignment horizontal="center" vertical="center"/>
    </xf>
    <xf numFmtId="2" fontId="15204" fillId="8" borderId="1" xfId="0" applyNumberFormat="1" applyFont="1" applyFill="1" applyBorder="1" applyAlignment="1">
      <alignment horizontal="center" vertical="center"/>
    </xf>
    <xf numFmtId="2" fontId="15205" fillId="8" borderId="1" xfId="0" applyNumberFormat="1" applyFont="1" applyFill="1" applyBorder="1" applyAlignment="1">
      <alignment horizontal="center" vertical="center"/>
    </xf>
    <xf numFmtId="2" fontId="15206" fillId="8" borderId="1" xfId="0" applyNumberFormat="1" applyFont="1" applyFill="1" applyBorder="1" applyAlignment="1">
      <alignment horizontal="center" vertical="center"/>
    </xf>
    <xf numFmtId="2" fontId="15207" fillId="8" borderId="1" xfId="0" applyNumberFormat="1" applyFont="1" applyFill="1" applyBorder="1" applyAlignment="1">
      <alignment horizontal="center" vertical="center"/>
    </xf>
    <xf numFmtId="2" fontId="15208" fillId="8" borderId="1" xfId="0" applyNumberFormat="1" applyFont="1" applyFill="1" applyBorder="1" applyAlignment="1">
      <alignment horizontal="center" vertical="center"/>
    </xf>
    <xf numFmtId="2" fontId="15209" fillId="8" borderId="1" xfId="0" applyNumberFormat="1" applyFont="1" applyFill="1" applyBorder="1" applyAlignment="1">
      <alignment horizontal="center" vertical="center"/>
    </xf>
    <xf numFmtId="2" fontId="15210" fillId="8" borderId="1" xfId="0" applyNumberFormat="1" applyFont="1" applyFill="1" applyBorder="1" applyAlignment="1">
      <alignment horizontal="center" vertical="center"/>
    </xf>
    <xf numFmtId="0" fontId="15211" fillId="7" borderId="1" xfId="0" applyNumberFormat="1" applyFont="1" applyFill="1" applyBorder="1" applyAlignment="1">
      <alignment horizontal="left" vertical="center"/>
    </xf>
    <xf numFmtId="0" fontId="15212" fillId="8" borderId="1" xfId="0" applyNumberFormat="1" applyFont="1" applyFill="1" applyBorder="1" applyAlignment="1">
      <alignment horizontal="center" vertical="center"/>
    </xf>
    <xf numFmtId="164" fontId="15213" fillId="8" borderId="1" xfId="0" applyNumberFormat="1" applyFont="1" applyFill="1" applyBorder="1" applyAlignment="1">
      <alignment horizontal="center" vertical="center"/>
    </xf>
    <xf numFmtId="1" fontId="15214" fillId="8" borderId="1" xfId="0" applyNumberFormat="1" applyFont="1" applyFill="1" applyBorder="1" applyAlignment="1">
      <alignment horizontal="center" vertical="center"/>
    </xf>
    <xf numFmtId="1" fontId="15215" fillId="8" borderId="1" xfId="0" applyNumberFormat="1" applyFont="1" applyFill="1" applyBorder="1" applyAlignment="1">
      <alignment horizontal="center" vertical="center"/>
    </xf>
    <xf numFmtId="1" fontId="15216" fillId="8" borderId="1" xfId="0" applyNumberFormat="1" applyFont="1" applyFill="1" applyBorder="1" applyAlignment="1">
      <alignment horizontal="center" vertical="center"/>
    </xf>
    <xf numFmtId="1" fontId="15217" fillId="8" borderId="1" xfId="0" applyNumberFormat="1" applyFont="1" applyFill="1" applyBorder="1" applyAlignment="1">
      <alignment horizontal="center" vertical="center"/>
    </xf>
    <xf numFmtId="1" fontId="15218" fillId="8" borderId="1" xfId="0" applyNumberFormat="1" applyFont="1" applyFill="1" applyBorder="1" applyAlignment="1">
      <alignment horizontal="center" vertical="center"/>
    </xf>
    <xf numFmtId="1" fontId="15219" fillId="8" borderId="1" xfId="0" applyNumberFormat="1" applyFont="1" applyFill="1" applyBorder="1" applyAlignment="1">
      <alignment horizontal="center" vertical="center"/>
    </xf>
    <xf numFmtId="1" fontId="15220" fillId="8" borderId="1" xfId="0" applyNumberFormat="1" applyFont="1" applyFill="1" applyBorder="1" applyAlignment="1">
      <alignment horizontal="center" vertical="center"/>
    </xf>
    <xf numFmtId="0" fontId="15221" fillId="8" borderId="1" xfId="0" applyNumberFormat="1" applyFont="1" applyFill="1" applyBorder="1" applyAlignment="1">
      <alignment horizontal="center" vertical="center"/>
    </xf>
    <xf numFmtId="0" fontId="15222" fillId="8" borderId="1" xfId="0" applyNumberFormat="1" applyFont="1" applyFill="1" applyBorder="1" applyAlignment="1">
      <alignment horizontal="center" vertical="center"/>
    </xf>
    <xf numFmtId="1" fontId="15223" fillId="8" borderId="1" xfId="0" applyNumberFormat="1" applyFont="1" applyFill="1" applyBorder="1" applyAlignment="1">
      <alignment horizontal="center" vertical="center"/>
    </xf>
    <xf numFmtId="1" fontId="15224" fillId="8" borderId="1" xfId="0" applyNumberFormat="1" applyFont="1" applyFill="1" applyBorder="1" applyAlignment="1">
      <alignment horizontal="center" vertical="center"/>
    </xf>
    <xf numFmtId="1" fontId="15225" fillId="8" borderId="1" xfId="0" applyNumberFormat="1" applyFont="1" applyFill="1" applyBorder="1" applyAlignment="1">
      <alignment horizontal="center" vertical="center"/>
    </xf>
    <xf numFmtId="165" fontId="15226" fillId="8" borderId="1" xfId="0" applyNumberFormat="1" applyFont="1" applyFill="1" applyBorder="1" applyAlignment="1">
      <alignment horizontal="center" vertical="center"/>
    </xf>
    <xf numFmtId="1" fontId="15227" fillId="8" borderId="1" xfId="0" applyNumberFormat="1" applyFont="1" applyFill="1" applyBorder="1" applyAlignment="1">
      <alignment horizontal="center" vertical="center"/>
    </xf>
    <xf numFmtId="165" fontId="15228" fillId="8" borderId="1" xfId="0" applyNumberFormat="1" applyFont="1" applyFill="1" applyBorder="1" applyAlignment="1">
      <alignment horizontal="center" vertical="center"/>
    </xf>
    <xf numFmtId="1" fontId="15229" fillId="8" borderId="1" xfId="0" applyNumberFormat="1" applyFont="1" applyFill="1" applyBorder="1" applyAlignment="1">
      <alignment horizontal="center" vertical="center"/>
    </xf>
    <xf numFmtId="165" fontId="15230" fillId="8" borderId="1" xfId="0" applyNumberFormat="1" applyFont="1" applyFill="1" applyBorder="1" applyAlignment="1">
      <alignment horizontal="center" vertical="center"/>
    </xf>
    <xf numFmtId="1" fontId="15231" fillId="8" borderId="1" xfId="0" applyNumberFormat="1" applyFont="1" applyFill="1" applyBorder="1" applyAlignment="1">
      <alignment horizontal="center" vertical="center"/>
    </xf>
    <xf numFmtId="165" fontId="15232" fillId="8" borderId="1" xfId="0" applyNumberFormat="1" applyFont="1" applyFill="1" applyBorder="1" applyAlignment="1">
      <alignment horizontal="center" vertical="center"/>
    </xf>
    <xf numFmtId="165" fontId="15233" fillId="8" borderId="1" xfId="0" applyNumberFormat="1" applyFont="1" applyFill="1" applyBorder="1" applyAlignment="1">
      <alignment horizontal="center" vertical="center"/>
    </xf>
    <xf numFmtId="1" fontId="15234" fillId="8" borderId="1" xfId="0" applyNumberFormat="1" applyFont="1" applyFill="1" applyBorder="1" applyAlignment="1">
      <alignment horizontal="center" vertical="center"/>
    </xf>
    <xf numFmtId="1" fontId="15235" fillId="8" borderId="1" xfId="0" applyNumberFormat="1" applyFont="1" applyFill="1" applyBorder="1" applyAlignment="1">
      <alignment horizontal="center" vertical="center"/>
    </xf>
    <xf numFmtId="1" fontId="15236" fillId="8" borderId="1" xfId="0" applyNumberFormat="1" applyFont="1" applyFill="1" applyBorder="1" applyAlignment="1">
      <alignment horizontal="center" vertical="center"/>
    </xf>
    <xf numFmtId="165" fontId="15237" fillId="8" borderId="1" xfId="0" applyNumberFormat="1" applyFont="1" applyFill="1" applyBorder="1" applyAlignment="1">
      <alignment horizontal="center" vertical="center"/>
    </xf>
    <xf numFmtId="164" fontId="15238" fillId="8" borderId="1" xfId="0" applyNumberFormat="1" applyFont="1" applyFill="1" applyBorder="1" applyAlignment="1">
      <alignment horizontal="center" vertical="center"/>
    </xf>
    <xf numFmtId="164" fontId="15239" fillId="8" borderId="1" xfId="0" applyNumberFormat="1" applyFont="1" applyFill="1" applyBorder="1" applyAlignment="1">
      <alignment horizontal="center" vertical="center"/>
    </xf>
    <xf numFmtId="1" fontId="15240" fillId="8" borderId="1" xfId="0" applyNumberFormat="1" applyFont="1" applyFill="1" applyBorder="1" applyAlignment="1">
      <alignment horizontal="center" vertical="center"/>
    </xf>
    <xf numFmtId="1" fontId="15241" fillId="8" borderId="1" xfId="0" applyNumberFormat="1" applyFont="1" applyFill="1" applyBorder="1" applyAlignment="1">
      <alignment horizontal="center" vertical="center"/>
    </xf>
    <xf numFmtId="1" fontId="15242" fillId="8" borderId="1" xfId="0" applyNumberFormat="1" applyFont="1" applyFill="1" applyBorder="1" applyAlignment="1">
      <alignment horizontal="center" vertical="center"/>
    </xf>
    <xf numFmtId="165" fontId="15243" fillId="8" borderId="1" xfId="0" applyNumberFormat="1" applyFont="1" applyFill="1" applyBorder="1" applyAlignment="1">
      <alignment horizontal="center" vertical="center"/>
    </xf>
    <xf numFmtId="1" fontId="15244" fillId="8" borderId="1" xfId="0" applyNumberFormat="1" applyFont="1" applyFill="1" applyBorder="1" applyAlignment="1">
      <alignment horizontal="center" vertical="center"/>
    </xf>
    <xf numFmtId="165" fontId="15245" fillId="8" borderId="1" xfId="0" applyNumberFormat="1" applyFont="1" applyFill="1" applyBorder="1" applyAlignment="1">
      <alignment horizontal="center" vertical="center"/>
    </xf>
    <xf numFmtId="1" fontId="15246" fillId="8" borderId="1" xfId="0" applyNumberFormat="1" applyFont="1" applyFill="1" applyBorder="1" applyAlignment="1">
      <alignment horizontal="center" vertical="center"/>
    </xf>
    <xf numFmtId="1" fontId="15247" fillId="8" borderId="1" xfId="0" applyNumberFormat="1" applyFont="1" applyFill="1" applyBorder="1" applyAlignment="1">
      <alignment horizontal="center" vertical="center"/>
    </xf>
    <xf numFmtId="1" fontId="15248" fillId="8" borderId="1" xfId="0" applyNumberFormat="1" applyFont="1" applyFill="1" applyBorder="1" applyAlignment="1">
      <alignment horizontal="center" vertical="center"/>
    </xf>
    <xf numFmtId="1" fontId="15249" fillId="8" borderId="1" xfId="0" applyNumberFormat="1" applyFont="1" applyFill="1" applyBorder="1" applyAlignment="1">
      <alignment horizontal="center" vertical="center"/>
    </xf>
    <xf numFmtId="165" fontId="15250" fillId="8" borderId="1" xfId="0" applyNumberFormat="1" applyFont="1" applyFill="1" applyBorder="1" applyAlignment="1">
      <alignment horizontal="center" vertical="center"/>
    </xf>
    <xf numFmtId="1" fontId="15251" fillId="8" borderId="1" xfId="0" applyNumberFormat="1" applyFont="1" applyFill="1" applyBorder="1" applyAlignment="1">
      <alignment horizontal="center" vertical="center"/>
    </xf>
    <xf numFmtId="165" fontId="15252" fillId="8" borderId="1" xfId="0" applyNumberFormat="1" applyFont="1" applyFill="1" applyBorder="1" applyAlignment="1">
      <alignment horizontal="center" vertical="center"/>
    </xf>
    <xf numFmtId="1" fontId="15253" fillId="8" borderId="1" xfId="0" applyNumberFormat="1" applyFont="1" applyFill="1" applyBorder="1" applyAlignment="1">
      <alignment horizontal="center" vertical="center"/>
    </xf>
    <xf numFmtId="165" fontId="15254" fillId="8" borderId="1" xfId="0" applyNumberFormat="1" applyFont="1" applyFill="1" applyBorder="1" applyAlignment="1">
      <alignment horizontal="center" vertical="center"/>
    </xf>
    <xf numFmtId="2" fontId="15255" fillId="8" borderId="1" xfId="0" applyNumberFormat="1" applyFont="1" applyFill="1" applyBorder="1" applyAlignment="1">
      <alignment horizontal="center" vertical="center"/>
    </xf>
    <xf numFmtId="2" fontId="15256" fillId="8" borderId="1" xfId="0" applyNumberFormat="1" applyFont="1" applyFill="1" applyBorder="1" applyAlignment="1">
      <alignment horizontal="center" vertical="center"/>
    </xf>
    <xf numFmtId="2" fontId="15257" fillId="8" borderId="1" xfId="0" applyNumberFormat="1" applyFont="1" applyFill="1" applyBorder="1" applyAlignment="1">
      <alignment horizontal="center" vertical="center"/>
    </xf>
    <xf numFmtId="2" fontId="15258" fillId="8" borderId="1" xfId="0" applyNumberFormat="1" applyFont="1" applyFill="1" applyBorder="1" applyAlignment="1">
      <alignment horizontal="center" vertical="center"/>
    </xf>
    <xf numFmtId="2" fontId="15259" fillId="8" borderId="1" xfId="0" applyNumberFormat="1" applyFont="1" applyFill="1" applyBorder="1" applyAlignment="1">
      <alignment horizontal="center" vertical="center"/>
    </xf>
    <xf numFmtId="2" fontId="15260" fillId="8" borderId="1" xfId="0" applyNumberFormat="1" applyFont="1" applyFill="1" applyBorder="1" applyAlignment="1">
      <alignment horizontal="center" vertical="center"/>
    </xf>
    <xf numFmtId="2" fontId="15261" fillId="8" borderId="1" xfId="0" applyNumberFormat="1" applyFont="1" applyFill="1" applyBorder="1" applyAlignment="1">
      <alignment horizontal="center" vertical="center"/>
    </xf>
    <xf numFmtId="2" fontId="15262" fillId="8" borderId="1" xfId="0" applyNumberFormat="1" applyFont="1" applyFill="1" applyBorder="1" applyAlignment="1">
      <alignment horizontal="center" vertical="center"/>
    </xf>
    <xf numFmtId="2" fontId="15263" fillId="8" borderId="1" xfId="0" applyNumberFormat="1" applyFont="1" applyFill="1" applyBorder="1" applyAlignment="1">
      <alignment horizontal="center" vertical="center"/>
    </xf>
    <xf numFmtId="2" fontId="15264" fillId="8" borderId="1" xfId="0" applyNumberFormat="1" applyFont="1" applyFill="1" applyBorder="1" applyAlignment="1">
      <alignment horizontal="center" vertical="center"/>
    </xf>
    <xf numFmtId="2" fontId="15265" fillId="8" borderId="1" xfId="0" applyNumberFormat="1" applyFont="1" applyFill="1" applyBorder="1" applyAlignment="1">
      <alignment horizontal="center" vertical="center"/>
    </xf>
    <xf numFmtId="2" fontId="15266" fillId="8" borderId="1" xfId="0" applyNumberFormat="1" applyFont="1" applyFill="1" applyBorder="1" applyAlignment="1">
      <alignment horizontal="center" vertical="center"/>
    </xf>
    <xf numFmtId="2" fontId="15267" fillId="8" borderId="1" xfId="0" applyNumberFormat="1" applyFont="1" applyFill="1" applyBorder="1" applyAlignment="1">
      <alignment horizontal="center" vertical="center"/>
    </xf>
    <xf numFmtId="2" fontId="15268" fillId="8" borderId="1" xfId="0" applyNumberFormat="1" applyFont="1" applyFill="1" applyBorder="1" applyAlignment="1">
      <alignment horizontal="center" vertical="center"/>
    </xf>
    <xf numFmtId="2" fontId="15269" fillId="8" borderId="1" xfId="0" applyNumberFormat="1" applyFont="1" applyFill="1" applyBorder="1" applyAlignment="1">
      <alignment horizontal="center" vertical="center"/>
    </xf>
    <xf numFmtId="2" fontId="15270" fillId="8" borderId="1" xfId="0" applyNumberFormat="1" applyFont="1" applyFill="1" applyBorder="1" applyAlignment="1">
      <alignment horizontal="center" vertical="center"/>
    </xf>
    <xf numFmtId="2" fontId="15271" fillId="8" borderId="1" xfId="0" applyNumberFormat="1" applyFont="1" applyFill="1" applyBorder="1" applyAlignment="1">
      <alignment horizontal="center" vertical="center"/>
    </xf>
    <xf numFmtId="2" fontId="15272" fillId="8" borderId="1" xfId="0" applyNumberFormat="1" applyFont="1" applyFill="1" applyBorder="1" applyAlignment="1">
      <alignment horizontal="center" vertical="center"/>
    </xf>
    <xf numFmtId="2" fontId="15273" fillId="8" borderId="1" xfId="0" applyNumberFormat="1" applyFont="1" applyFill="1" applyBorder="1" applyAlignment="1">
      <alignment horizontal="center" vertical="center"/>
    </xf>
    <xf numFmtId="2" fontId="15274" fillId="8" borderId="1" xfId="0" applyNumberFormat="1" applyFont="1" applyFill="1" applyBorder="1" applyAlignment="1">
      <alignment horizontal="center" vertical="center"/>
    </xf>
    <xf numFmtId="2" fontId="15275" fillId="8" borderId="1" xfId="0" applyNumberFormat="1" applyFont="1" applyFill="1" applyBorder="1" applyAlignment="1">
      <alignment horizontal="center" vertical="center"/>
    </xf>
    <xf numFmtId="2" fontId="15276" fillId="8" borderId="1" xfId="0" applyNumberFormat="1" applyFont="1" applyFill="1" applyBorder="1" applyAlignment="1">
      <alignment horizontal="center" vertical="center"/>
    </xf>
    <xf numFmtId="2" fontId="15277" fillId="8" borderId="1" xfId="0" applyNumberFormat="1" applyFont="1" applyFill="1" applyBorder="1" applyAlignment="1">
      <alignment horizontal="center" vertical="center"/>
    </xf>
    <xf numFmtId="2" fontId="15278" fillId="8" borderId="1" xfId="0" applyNumberFormat="1" applyFont="1" applyFill="1" applyBorder="1" applyAlignment="1">
      <alignment horizontal="center" vertical="center"/>
    </xf>
    <xf numFmtId="2" fontId="15279" fillId="8" borderId="1" xfId="0" applyNumberFormat="1" applyFont="1" applyFill="1" applyBorder="1" applyAlignment="1">
      <alignment horizontal="center" vertical="center"/>
    </xf>
    <xf numFmtId="2" fontId="15280" fillId="8" borderId="1" xfId="0" applyNumberFormat="1" applyFont="1" applyFill="1" applyBorder="1" applyAlignment="1">
      <alignment horizontal="center" vertical="center"/>
    </xf>
    <xf numFmtId="2" fontId="15281" fillId="8" borderId="1" xfId="0" applyNumberFormat="1" applyFont="1" applyFill="1" applyBorder="1" applyAlignment="1">
      <alignment horizontal="center" vertical="center"/>
    </xf>
    <xf numFmtId="2" fontId="15282" fillId="8" borderId="1" xfId="0" applyNumberFormat="1" applyFont="1" applyFill="1" applyBorder="1" applyAlignment="1">
      <alignment horizontal="center" vertical="center"/>
    </xf>
    <xf numFmtId="2" fontId="15283" fillId="8" borderId="1" xfId="0" applyNumberFormat="1" applyFont="1" applyFill="1" applyBorder="1" applyAlignment="1">
      <alignment horizontal="center" vertical="center"/>
    </xf>
    <xf numFmtId="2" fontId="15284" fillId="8" borderId="1" xfId="0" applyNumberFormat="1" applyFont="1" applyFill="1" applyBorder="1" applyAlignment="1">
      <alignment horizontal="center" vertical="center"/>
    </xf>
    <xf numFmtId="2" fontId="15285" fillId="8" borderId="1" xfId="0" applyNumberFormat="1" applyFont="1" applyFill="1" applyBorder="1" applyAlignment="1">
      <alignment horizontal="center" vertical="center"/>
    </xf>
    <xf numFmtId="2" fontId="15286" fillId="8" borderId="1" xfId="0" applyNumberFormat="1" applyFont="1" applyFill="1" applyBorder="1" applyAlignment="1">
      <alignment horizontal="center" vertical="center"/>
    </xf>
    <xf numFmtId="2" fontId="15287" fillId="8" borderId="1" xfId="0" applyNumberFormat="1" applyFont="1" applyFill="1" applyBorder="1" applyAlignment="1">
      <alignment horizontal="center" vertical="center"/>
    </xf>
    <xf numFmtId="2" fontId="15288" fillId="8" borderId="1" xfId="0" applyNumberFormat="1" applyFont="1" applyFill="1" applyBorder="1" applyAlignment="1">
      <alignment horizontal="center" vertical="center"/>
    </xf>
    <xf numFmtId="0" fontId="15289" fillId="7" borderId="1" xfId="0" applyNumberFormat="1" applyFont="1" applyFill="1" applyBorder="1" applyAlignment="1">
      <alignment horizontal="left" vertical="center"/>
    </xf>
    <xf numFmtId="0" fontId="15290" fillId="8" borderId="1" xfId="0" applyNumberFormat="1" applyFont="1" applyFill="1" applyBorder="1" applyAlignment="1">
      <alignment horizontal="center" vertical="center"/>
    </xf>
    <xf numFmtId="164" fontId="15291" fillId="8" borderId="1" xfId="0" applyNumberFormat="1" applyFont="1" applyFill="1" applyBorder="1" applyAlignment="1">
      <alignment horizontal="center" vertical="center"/>
    </xf>
    <xf numFmtId="1" fontId="15292" fillId="8" borderId="1" xfId="0" applyNumberFormat="1" applyFont="1" applyFill="1" applyBorder="1" applyAlignment="1">
      <alignment horizontal="center" vertical="center"/>
    </xf>
    <xf numFmtId="1" fontId="15293" fillId="8" borderId="1" xfId="0" applyNumberFormat="1" applyFont="1" applyFill="1" applyBorder="1" applyAlignment="1">
      <alignment horizontal="center" vertical="center"/>
    </xf>
    <xf numFmtId="1" fontId="15294" fillId="8" borderId="1" xfId="0" applyNumberFormat="1" applyFont="1" applyFill="1" applyBorder="1" applyAlignment="1">
      <alignment horizontal="center" vertical="center"/>
    </xf>
    <xf numFmtId="1" fontId="15295" fillId="8" borderId="1" xfId="0" applyNumberFormat="1" applyFont="1" applyFill="1" applyBorder="1" applyAlignment="1">
      <alignment horizontal="center" vertical="center"/>
    </xf>
    <xf numFmtId="1" fontId="15296" fillId="8" borderId="1" xfId="0" applyNumberFormat="1" applyFont="1" applyFill="1" applyBorder="1" applyAlignment="1">
      <alignment horizontal="center" vertical="center"/>
    </xf>
    <xf numFmtId="1" fontId="15297" fillId="8" borderId="1" xfId="0" applyNumberFormat="1" applyFont="1" applyFill="1" applyBorder="1" applyAlignment="1">
      <alignment horizontal="center" vertical="center"/>
    </xf>
    <xf numFmtId="1" fontId="15298" fillId="8" borderId="1" xfId="0" applyNumberFormat="1" applyFont="1" applyFill="1" applyBorder="1" applyAlignment="1">
      <alignment horizontal="center" vertical="center"/>
    </xf>
    <xf numFmtId="0" fontId="15299" fillId="8" borderId="1" xfId="0" applyNumberFormat="1" applyFont="1" applyFill="1" applyBorder="1" applyAlignment="1">
      <alignment horizontal="center" vertical="center"/>
    </xf>
    <xf numFmtId="0" fontId="15300" fillId="8" borderId="1" xfId="0" applyNumberFormat="1" applyFont="1" applyFill="1" applyBorder="1" applyAlignment="1">
      <alignment horizontal="center" vertical="center"/>
    </xf>
    <xf numFmtId="1" fontId="15301" fillId="8" borderId="1" xfId="0" applyNumberFormat="1" applyFont="1" applyFill="1" applyBorder="1" applyAlignment="1">
      <alignment horizontal="center" vertical="center"/>
    </xf>
    <xf numFmtId="1" fontId="15302" fillId="8" borderId="1" xfId="0" applyNumberFormat="1" applyFont="1" applyFill="1" applyBorder="1" applyAlignment="1">
      <alignment horizontal="center" vertical="center"/>
    </xf>
    <xf numFmtId="1" fontId="15303" fillId="8" borderId="1" xfId="0" applyNumberFormat="1" applyFont="1" applyFill="1" applyBorder="1" applyAlignment="1">
      <alignment horizontal="center" vertical="center"/>
    </xf>
    <xf numFmtId="165" fontId="15304" fillId="8" borderId="1" xfId="0" applyNumberFormat="1" applyFont="1" applyFill="1" applyBorder="1" applyAlignment="1">
      <alignment horizontal="center" vertical="center"/>
    </xf>
    <xf numFmtId="1" fontId="15305" fillId="8" borderId="1" xfId="0" applyNumberFormat="1" applyFont="1" applyFill="1" applyBorder="1" applyAlignment="1">
      <alignment horizontal="center" vertical="center"/>
    </xf>
    <xf numFmtId="165" fontId="15306" fillId="8" borderId="1" xfId="0" applyNumberFormat="1" applyFont="1" applyFill="1" applyBorder="1" applyAlignment="1">
      <alignment horizontal="center" vertical="center"/>
    </xf>
    <xf numFmtId="1" fontId="15307" fillId="8" borderId="1" xfId="0" applyNumberFormat="1" applyFont="1" applyFill="1" applyBorder="1" applyAlignment="1">
      <alignment horizontal="center" vertical="center"/>
    </xf>
    <xf numFmtId="165" fontId="15308" fillId="8" borderId="1" xfId="0" applyNumberFormat="1" applyFont="1" applyFill="1" applyBorder="1" applyAlignment="1">
      <alignment horizontal="center" vertical="center"/>
    </xf>
    <xf numFmtId="1" fontId="15309" fillId="8" borderId="1" xfId="0" applyNumberFormat="1" applyFont="1" applyFill="1" applyBorder="1" applyAlignment="1">
      <alignment horizontal="center" vertical="center"/>
    </xf>
    <xf numFmtId="165" fontId="15310" fillId="8" borderId="1" xfId="0" applyNumberFormat="1" applyFont="1" applyFill="1" applyBorder="1" applyAlignment="1">
      <alignment horizontal="center" vertical="center"/>
    </xf>
    <xf numFmtId="165" fontId="15311" fillId="8" borderId="1" xfId="0" applyNumberFormat="1" applyFont="1" applyFill="1" applyBorder="1" applyAlignment="1">
      <alignment horizontal="center" vertical="center"/>
    </xf>
    <xf numFmtId="1" fontId="15312" fillId="8" borderId="1" xfId="0" applyNumberFormat="1" applyFont="1" applyFill="1" applyBorder="1" applyAlignment="1">
      <alignment horizontal="center" vertical="center"/>
    </xf>
    <xf numFmtId="1" fontId="15313" fillId="8" borderId="1" xfId="0" applyNumberFormat="1" applyFont="1" applyFill="1" applyBorder="1" applyAlignment="1">
      <alignment horizontal="center" vertical="center"/>
    </xf>
    <xf numFmtId="1" fontId="15314" fillId="8" borderId="1" xfId="0" applyNumberFormat="1" applyFont="1" applyFill="1" applyBorder="1" applyAlignment="1">
      <alignment horizontal="center" vertical="center"/>
    </xf>
    <xf numFmtId="165" fontId="15315" fillId="8" borderId="1" xfId="0" applyNumberFormat="1" applyFont="1" applyFill="1" applyBorder="1" applyAlignment="1">
      <alignment horizontal="center" vertical="center"/>
    </xf>
    <xf numFmtId="164" fontId="15316" fillId="8" borderId="1" xfId="0" applyNumberFormat="1" applyFont="1" applyFill="1" applyBorder="1" applyAlignment="1">
      <alignment horizontal="center" vertical="center"/>
    </xf>
    <xf numFmtId="164" fontId="15317" fillId="8" borderId="1" xfId="0" applyNumberFormat="1" applyFont="1" applyFill="1" applyBorder="1" applyAlignment="1">
      <alignment horizontal="center" vertical="center"/>
    </xf>
    <xf numFmtId="1" fontId="15318" fillId="8" borderId="1" xfId="0" applyNumberFormat="1" applyFont="1" applyFill="1" applyBorder="1" applyAlignment="1">
      <alignment horizontal="center" vertical="center"/>
    </xf>
    <xf numFmtId="1" fontId="15319" fillId="8" borderId="1" xfId="0" applyNumberFormat="1" applyFont="1" applyFill="1" applyBorder="1" applyAlignment="1">
      <alignment horizontal="center" vertical="center"/>
    </xf>
    <xf numFmtId="1" fontId="15320" fillId="8" borderId="1" xfId="0" applyNumberFormat="1" applyFont="1" applyFill="1" applyBorder="1" applyAlignment="1">
      <alignment horizontal="center" vertical="center"/>
    </xf>
    <xf numFmtId="165" fontId="15321" fillId="8" borderId="1" xfId="0" applyNumberFormat="1" applyFont="1" applyFill="1" applyBorder="1" applyAlignment="1">
      <alignment horizontal="center" vertical="center"/>
    </xf>
    <xf numFmtId="1" fontId="15322" fillId="8" borderId="1" xfId="0" applyNumberFormat="1" applyFont="1" applyFill="1" applyBorder="1" applyAlignment="1">
      <alignment horizontal="center" vertical="center"/>
    </xf>
    <xf numFmtId="165" fontId="15323" fillId="8" borderId="1" xfId="0" applyNumberFormat="1" applyFont="1" applyFill="1" applyBorder="1" applyAlignment="1">
      <alignment horizontal="center" vertical="center"/>
    </xf>
    <xf numFmtId="1" fontId="15324" fillId="8" borderId="1" xfId="0" applyNumberFormat="1" applyFont="1" applyFill="1" applyBorder="1" applyAlignment="1">
      <alignment horizontal="center" vertical="center"/>
    </xf>
    <xf numFmtId="1" fontId="15325" fillId="8" borderId="1" xfId="0" applyNumberFormat="1" applyFont="1" applyFill="1" applyBorder="1" applyAlignment="1">
      <alignment horizontal="center" vertical="center"/>
    </xf>
    <xf numFmtId="1" fontId="15326" fillId="8" borderId="1" xfId="0" applyNumberFormat="1" applyFont="1" applyFill="1" applyBorder="1" applyAlignment="1">
      <alignment horizontal="center" vertical="center"/>
    </xf>
    <xf numFmtId="1" fontId="15327" fillId="8" borderId="1" xfId="0" applyNumberFormat="1" applyFont="1" applyFill="1" applyBorder="1" applyAlignment="1">
      <alignment horizontal="center" vertical="center"/>
    </xf>
    <xf numFmtId="165" fontId="15328" fillId="8" borderId="1" xfId="0" applyNumberFormat="1" applyFont="1" applyFill="1" applyBorder="1" applyAlignment="1">
      <alignment horizontal="center" vertical="center"/>
    </xf>
    <xf numFmtId="1" fontId="15329" fillId="8" borderId="1" xfId="0" applyNumberFormat="1" applyFont="1" applyFill="1" applyBorder="1" applyAlignment="1">
      <alignment horizontal="center" vertical="center"/>
    </xf>
    <xf numFmtId="165" fontId="15330" fillId="8" borderId="1" xfId="0" applyNumberFormat="1" applyFont="1" applyFill="1" applyBorder="1" applyAlignment="1">
      <alignment horizontal="center" vertical="center"/>
    </xf>
    <xf numFmtId="1" fontId="15331" fillId="8" borderId="1" xfId="0" applyNumberFormat="1" applyFont="1" applyFill="1" applyBorder="1" applyAlignment="1">
      <alignment horizontal="center" vertical="center"/>
    </xf>
    <xf numFmtId="165" fontId="15332" fillId="8" borderId="1" xfId="0" applyNumberFormat="1" applyFont="1" applyFill="1" applyBorder="1" applyAlignment="1">
      <alignment horizontal="center" vertical="center"/>
    </xf>
    <xf numFmtId="2" fontId="15333" fillId="8" borderId="1" xfId="0" applyNumberFormat="1" applyFont="1" applyFill="1" applyBorder="1" applyAlignment="1">
      <alignment horizontal="center" vertical="center"/>
    </xf>
    <xf numFmtId="2" fontId="15334" fillId="8" borderId="1" xfId="0" applyNumberFormat="1" applyFont="1" applyFill="1" applyBorder="1" applyAlignment="1">
      <alignment horizontal="center" vertical="center"/>
    </xf>
    <xf numFmtId="2" fontId="15335" fillId="8" borderId="1" xfId="0" applyNumberFormat="1" applyFont="1" applyFill="1" applyBorder="1" applyAlignment="1">
      <alignment horizontal="center" vertical="center"/>
    </xf>
    <xf numFmtId="2" fontId="15336" fillId="8" borderId="1" xfId="0" applyNumberFormat="1" applyFont="1" applyFill="1" applyBorder="1" applyAlignment="1">
      <alignment horizontal="center" vertical="center"/>
    </xf>
    <xf numFmtId="2" fontId="15337" fillId="8" borderId="1" xfId="0" applyNumberFormat="1" applyFont="1" applyFill="1" applyBorder="1" applyAlignment="1">
      <alignment horizontal="center" vertical="center"/>
    </xf>
    <xf numFmtId="2" fontId="15338" fillId="8" borderId="1" xfId="0" applyNumberFormat="1" applyFont="1" applyFill="1" applyBorder="1" applyAlignment="1">
      <alignment horizontal="center" vertical="center"/>
    </xf>
    <xf numFmtId="2" fontId="15339" fillId="8" borderId="1" xfId="0" applyNumberFormat="1" applyFont="1" applyFill="1" applyBorder="1" applyAlignment="1">
      <alignment horizontal="center" vertical="center"/>
    </xf>
    <xf numFmtId="2" fontId="15340" fillId="8" borderId="1" xfId="0" applyNumberFormat="1" applyFont="1" applyFill="1" applyBorder="1" applyAlignment="1">
      <alignment horizontal="center" vertical="center"/>
    </xf>
    <xf numFmtId="2" fontId="15341" fillId="8" borderId="1" xfId="0" applyNumberFormat="1" applyFont="1" applyFill="1" applyBorder="1" applyAlignment="1">
      <alignment horizontal="center" vertical="center"/>
    </xf>
    <xf numFmtId="2" fontId="15342" fillId="8" borderId="1" xfId="0" applyNumberFormat="1" applyFont="1" applyFill="1" applyBorder="1" applyAlignment="1">
      <alignment horizontal="center" vertical="center"/>
    </xf>
    <xf numFmtId="2" fontId="15343" fillId="8" borderId="1" xfId="0" applyNumberFormat="1" applyFont="1" applyFill="1" applyBorder="1" applyAlignment="1">
      <alignment horizontal="center" vertical="center"/>
    </xf>
    <xf numFmtId="2" fontId="15344" fillId="8" borderId="1" xfId="0" applyNumberFormat="1" applyFont="1" applyFill="1" applyBorder="1" applyAlignment="1">
      <alignment horizontal="center" vertical="center"/>
    </xf>
    <xf numFmtId="2" fontId="15345" fillId="8" borderId="1" xfId="0" applyNumberFormat="1" applyFont="1" applyFill="1" applyBorder="1" applyAlignment="1">
      <alignment horizontal="center" vertical="center"/>
    </xf>
    <xf numFmtId="2" fontId="15346" fillId="8" borderId="1" xfId="0" applyNumberFormat="1" applyFont="1" applyFill="1" applyBorder="1" applyAlignment="1">
      <alignment horizontal="center" vertical="center"/>
    </xf>
    <xf numFmtId="2" fontId="15347" fillId="8" borderId="1" xfId="0" applyNumberFormat="1" applyFont="1" applyFill="1" applyBorder="1" applyAlignment="1">
      <alignment horizontal="center" vertical="center"/>
    </xf>
    <xf numFmtId="2" fontId="15348" fillId="8" borderId="1" xfId="0" applyNumberFormat="1" applyFont="1" applyFill="1" applyBorder="1" applyAlignment="1">
      <alignment horizontal="center" vertical="center"/>
    </xf>
    <xf numFmtId="2" fontId="15349" fillId="8" borderId="1" xfId="0" applyNumberFormat="1" applyFont="1" applyFill="1" applyBorder="1" applyAlignment="1">
      <alignment horizontal="center" vertical="center"/>
    </xf>
    <xf numFmtId="2" fontId="15350" fillId="8" borderId="1" xfId="0" applyNumberFormat="1" applyFont="1" applyFill="1" applyBorder="1" applyAlignment="1">
      <alignment horizontal="center" vertical="center"/>
    </xf>
    <xf numFmtId="2" fontId="15351" fillId="8" borderId="1" xfId="0" applyNumberFormat="1" applyFont="1" applyFill="1" applyBorder="1" applyAlignment="1">
      <alignment horizontal="center" vertical="center"/>
    </xf>
    <xf numFmtId="2" fontId="15352" fillId="8" borderId="1" xfId="0" applyNumberFormat="1" applyFont="1" applyFill="1" applyBorder="1" applyAlignment="1">
      <alignment horizontal="center" vertical="center"/>
    </xf>
    <xf numFmtId="2" fontId="15353" fillId="8" borderId="1" xfId="0" applyNumberFormat="1" applyFont="1" applyFill="1" applyBorder="1" applyAlignment="1">
      <alignment horizontal="center" vertical="center"/>
    </xf>
    <xf numFmtId="2" fontId="15354" fillId="8" borderId="1" xfId="0" applyNumberFormat="1" applyFont="1" applyFill="1" applyBorder="1" applyAlignment="1">
      <alignment horizontal="center" vertical="center"/>
    </xf>
    <xf numFmtId="2" fontId="15355" fillId="8" borderId="1" xfId="0" applyNumberFormat="1" applyFont="1" applyFill="1" applyBorder="1" applyAlignment="1">
      <alignment horizontal="center" vertical="center"/>
    </xf>
    <xf numFmtId="2" fontId="15356" fillId="8" borderId="1" xfId="0" applyNumberFormat="1" applyFont="1" applyFill="1" applyBorder="1" applyAlignment="1">
      <alignment horizontal="center" vertical="center"/>
    </xf>
    <xf numFmtId="2" fontId="15357" fillId="8" borderId="1" xfId="0" applyNumberFormat="1" applyFont="1" applyFill="1" applyBorder="1" applyAlignment="1">
      <alignment horizontal="center" vertical="center"/>
    </xf>
    <xf numFmtId="2" fontId="15358" fillId="8" borderId="1" xfId="0" applyNumberFormat="1" applyFont="1" applyFill="1" applyBorder="1" applyAlignment="1">
      <alignment horizontal="center" vertical="center"/>
    </xf>
    <xf numFmtId="2" fontId="15359" fillId="8" borderId="1" xfId="0" applyNumberFormat="1" applyFont="1" applyFill="1" applyBorder="1" applyAlignment="1">
      <alignment horizontal="center" vertical="center"/>
    </xf>
    <xf numFmtId="2" fontId="15360" fillId="8" borderId="1" xfId="0" applyNumberFormat="1" applyFont="1" applyFill="1" applyBorder="1" applyAlignment="1">
      <alignment horizontal="center" vertical="center"/>
    </xf>
    <xf numFmtId="2" fontId="15361" fillId="8" borderId="1" xfId="0" applyNumberFormat="1" applyFont="1" applyFill="1" applyBorder="1" applyAlignment="1">
      <alignment horizontal="center" vertical="center"/>
    </xf>
    <xf numFmtId="2" fontId="15362" fillId="8" borderId="1" xfId="0" applyNumberFormat="1" applyFont="1" applyFill="1" applyBorder="1" applyAlignment="1">
      <alignment horizontal="center" vertical="center"/>
    </xf>
    <xf numFmtId="2" fontId="15363" fillId="8" borderId="1" xfId="0" applyNumberFormat="1" applyFont="1" applyFill="1" applyBorder="1" applyAlignment="1">
      <alignment horizontal="center" vertical="center"/>
    </xf>
    <xf numFmtId="2" fontId="15364" fillId="8" borderId="1" xfId="0" applyNumberFormat="1" applyFont="1" applyFill="1" applyBorder="1" applyAlignment="1">
      <alignment horizontal="center" vertical="center"/>
    </xf>
    <xf numFmtId="2" fontId="15365" fillId="8" borderId="1" xfId="0" applyNumberFormat="1" applyFont="1" applyFill="1" applyBorder="1" applyAlignment="1">
      <alignment horizontal="center" vertical="center"/>
    </xf>
    <xf numFmtId="2" fontId="15366" fillId="8" borderId="1" xfId="0" applyNumberFormat="1" applyFont="1" applyFill="1" applyBorder="1" applyAlignment="1">
      <alignment horizontal="center" vertical="center"/>
    </xf>
    <xf numFmtId="0" fontId="15367" fillId="7" borderId="1" xfId="0" applyNumberFormat="1" applyFont="1" applyFill="1" applyBorder="1" applyAlignment="1">
      <alignment horizontal="left" vertical="center"/>
    </xf>
    <xf numFmtId="0" fontId="15368" fillId="8" borderId="1" xfId="0" applyNumberFormat="1" applyFont="1" applyFill="1" applyBorder="1" applyAlignment="1">
      <alignment horizontal="center" vertical="center"/>
    </xf>
    <xf numFmtId="164" fontId="15369" fillId="8" borderId="1" xfId="0" applyNumberFormat="1" applyFont="1" applyFill="1" applyBorder="1" applyAlignment="1">
      <alignment horizontal="center" vertical="center"/>
    </xf>
    <xf numFmtId="1" fontId="15370" fillId="8" borderId="1" xfId="0" applyNumberFormat="1" applyFont="1" applyFill="1" applyBorder="1" applyAlignment="1">
      <alignment horizontal="center" vertical="center"/>
    </xf>
    <xf numFmtId="1" fontId="15371" fillId="8" borderId="1" xfId="0" applyNumberFormat="1" applyFont="1" applyFill="1" applyBorder="1" applyAlignment="1">
      <alignment horizontal="center" vertical="center"/>
    </xf>
    <xf numFmtId="1" fontId="15372" fillId="8" borderId="1" xfId="0" applyNumberFormat="1" applyFont="1" applyFill="1" applyBorder="1" applyAlignment="1">
      <alignment horizontal="center" vertical="center"/>
    </xf>
    <xf numFmtId="1" fontId="15373" fillId="8" borderId="1" xfId="0" applyNumberFormat="1" applyFont="1" applyFill="1" applyBorder="1" applyAlignment="1">
      <alignment horizontal="center" vertical="center"/>
    </xf>
    <xf numFmtId="1" fontId="15374" fillId="8" borderId="1" xfId="0" applyNumberFormat="1" applyFont="1" applyFill="1" applyBorder="1" applyAlignment="1">
      <alignment horizontal="center" vertical="center"/>
    </xf>
    <xf numFmtId="1" fontId="15375" fillId="8" borderId="1" xfId="0" applyNumberFormat="1" applyFont="1" applyFill="1" applyBorder="1" applyAlignment="1">
      <alignment horizontal="center" vertical="center"/>
    </xf>
    <xf numFmtId="1" fontId="15376" fillId="8" borderId="1" xfId="0" applyNumberFormat="1" applyFont="1" applyFill="1" applyBorder="1" applyAlignment="1">
      <alignment horizontal="center" vertical="center"/>
    </xf>
    <xf numFmtId="0" fontId="15377" fillId="8" borderId="1" xfId="0" applyNumberFormat="1" applyFont="1" applyFill="1" applyBorder="1" applyAlignment="1">
      <alignment horizontal="center" vertical="center"/>
    </xf>
    <xf numFmtId="0" fontId="15378" fillId="8" borderId="1" xfId="0" applyNumberFormat="1" applyFont="1" applyFill="1" applyBorder="1" applyAlignment="1">
      <alignment horizontal="center" vertical="center"/>
    </xf>
    <xf numFmtId="1" fontId="15379" fillId="8" borderId="1" xfId="0" applyNumberFormat="1" applyFont="1" applyFill="1" applyBorder="1" applyAlignment="1">
      <alignment horizontal="center" vertical="center"/>
    </xf>
    <xf numFmtId="1" fontId="15380" fillId="8" borderId="1" xfId="0" applyNumberFormat="1" applyFont="1" applyFill="1" applyBorder="1" applyAlignment="1">
      <alignment horizontal="center" vertical="center"/>
    </xf>
    <xf numFmtId="1" fontId="15381" fillId="8" borderId="1" xfId="0" applyNumberFormat="1" applyFont="1" applyFill="1" applyBorder="1" applyAlignment="1">
      <alignment horizontal="center" vertical="center"/>
    </xf>
    <xf numFmtId="165" fontId="15382" fillId="8" borderId="1" xfId="0" applyNumberFormat="1" applyFont="1" applyFill="1" applyBorder="1" applyAlignment="1">
      <alignment horizontal="center" vertical="center"/>
    </xf>
    <xf numFmtId="1" fontId="15383" fillId="8" borderId="1" xfId="0" applyNumberFormat="1" applyFont="1" applyFill="1" applyBorder="1" applyAlignment="1">
      <alignment horizontal="center" vertical="center"/>
    </xf>
    <xf numFmtId="165" fontId="15384" fillId="8" borderId="1" xfId="0" applyNumberFormat="1" applyFont="1" applyFill="1" applyBorder="1" applyAlignment="1">
      <alignment horizontal="center" vertical="center"/>
    </xf>
    <xf numFmtId="1" fontId="15385" fillId="8" borderId="1" xfId="0" applyNumberFormat="1" applyFont="1" applyFill="1" applyBorder="1" applyAlignment="1">
      <alignment horizontal="center" vertical="center"/>
    </xf>
    <xf numFmtId="165" fontId="15386" fillId="8" borderId="1" xfId="0" applyNumberFormat="1" applyFont="1" applyFill="1" applyBorder="1" applyAlignment="1">
      <alignment horizontal="center" vertical="center"/>
    </xf>
    <xf numFmtId="1" fontId="15387" fillId="8" borderId="1" xfId="0" applyNumberFormat="1" applyFont="1" applyFill="1" applyBorder="1" applyAlignment="1">
      <alignment horizontal="center" vertical="center"/>
    </xf>
    <xf numFmtId="165" fontId="15388" fillId="8" borderId="1" xfId="0" applyNumberFormat="1" applyFont="1" applyFill="1" applyBorder="1" applyAlignment="1">
      <alignment horizontal="center" vertical="center"/>
    </xf>
    <xf numFmtId="165" fontId="15389" fillId="8" borderId="1" xfId="0" applyNumberFormat="1" applyFont="1" applyFill="1" applyBorder="1" applyAlignment="1">
      <alignment horizontal="center" vertical="center"/>
    </xf>
    <xf numFmtId="1" fontId="15390" fillId="8" borderId="1" xfId="0" applyNumberFormat="1" applyFont="1" applyFill="1" applyBorder="1" applyAlignment="1">
      <alignment horizontal="center" vertical="center"/>
    </xf>
    <xf numFmtId="1" fontId="15391" fillId="8" borderId="1" xfId="0" applyNumberFormat="1" applyFont="1" applyFill="1" applyBorder="1" applyAlignment="1">
      <alignment horizontal="center" vertical="center"/>
    </xf>
    <xf numFmtId="1" fontId="15392" fillId="8" borderId="1" xfId="0" applyNumberFormat="1" applyFont="1" applyFill="1" applyBorder="1" applyAlignment="1">
      <alignment horizontal="center" vertical="center"/>
    </xf>
    <xf numFmtId="165" fontId="15393" fillId="8" borderId="1" xfId="0" applyNumberFormat="1" applyFont="1" applyFill="1" applyBorder="1" applyAlignment="1">
      <alignment horizontal="center" vertical="center"/>
    </xf>
    <xf numFmtId="164" fontId="15394" fillId="8" borderId="1" xfId="0" applyNumberFormat="1" applyFont="1" applyFill="1" applyBorder="1" applyAlignment="1">
      <alignment horizontal="center" vertical="center"/>
    </xf>
    <xf numFmtId="164" fontId="15395" fillId="8" borderId="1" xfId="0" applyNumberFormat="1" applyFont="1" applyFill="1" applyBorder="1" applyAlignment="1">
      <alignment horizontal="center" vertical="center"/>
    </xf>
    <xf numFmtId="1" fontId="15396" fillId="8" borderId="1" xfId="0" applyNumberFormat="1" applyFont="1" applyFill="1" applyBorder="1" applyAlignment="1">
      <alignment horizontal="center" vertical="center"/>
    </xf>
    <xf numFmtId="1" fontId="15397" fillId="8" borderId="1" xfId="0" applyNumberFormat="1" applyFont="1" applyFill="1" applyBorder="1" applyAlignment="1">
      <alignment horizontal="center" vertical="center"/>
    </xf>
    <xf numFmtId="1" fontId="15398" fillId="8" borderId="1" xfId="0" applyNumberFormat="1" applyFont="1" applyFill="1" applyBorder="1" applyAlignment="1">
      <alignment horizontal="center" vertical="center"/>
    </xf>
    <xf numFmtId="165" fontId="15399" fillId="8" borderId="1" xfId="0" applyNumberFormat="1" applyFont="1" applyFill="1" applyBorder="1" applyAlignment="1">
      <alignment horizontal="center" vertical="center"/>
    </xf>
    <xf numFmtId="1" fontId="15400" fillId="8" borderId="1" xfId="0" applyNumberFormat="1" applyFont="1" applyFill="1" applyBorder="1" applyAlignment="1">
      <alignment horizontal="center" vertical="center"/>
    </xf>
    <xf numFmtId="165" fontId="15401" fillId="8" borderId="1" xfId="0" applyNumberFormat="1" applyFont="1" applyFill="1" applyBorder="1" applyAlignment="1">
      <alignment horizontal="center" vertical="center"/>
    </xf>
    <xf numFmtId="1" fontId="15402" fillId="8" borderId="1" xfId="0" applyNumberFormat="1" applyFont="1" applyFill="1" applyBorder="1" applyAlignment="1">
      <alignment horizontal="center" vertical="center"/>
    </xf>
    <xf numFmtId="1" fontId="15403" fillId="8" borderId="1" xfId="0" applyNumberFormat="1" applyFont="1" applyFill="1" applyBorder="1" applyAlignment="1">
      <alignment horizontal="center" vertical="center"/>
    </xf>
    <xf numFmtId="1" fontId="15404" fillId="8" borderId="1" xfId="0" applyNumberFormat="1" applyFont="1" applyFill="1" applyBorder="1" applyAlignment="1">
      <alignment horizontal="center" vertical="center"/>
    </xf>
    <xf numFmtId="1" fontId="15405" fillId="8" borderId="1" xfId="0" applyNumberFormat="1" applyFont="1" applyFill="1" applyBorder="1" applyAlignment="1">
      <alignment horizontal="center" vertical="center"/>
    </xf>
    <xf numFmtId="165" fontId="15406" fillId="8" borderId="1" xfId="0" applyNumberFormat="1" applyFont="1" applyFill="1" applyBorder="1" applyAlignment="1">
      <alignment horizontal="center" vertical="center"/>
    </xf>
    <xf numFmtId="1" fontId="15407" fillId="8" borderId="1" xfId="0" applyNumberFormat="1" applyFont="1" applyFill="1" applyBorder="1" applyAlignment="1">
      <alignment horizontal="center" vertical="center"/>
    </xf>
    <xf numFmtId="165" fontId="15408" fillId="8" borderId="1" xfId="0" applyNumberFormat="1" applyFont="1" applyFill="1" applyBorder="1" applyAlignment="1">
      <alignment horizontal="center" vertical="center"/>
    </xf>
    <xf numFmtId="1" fontId="15409" fillId="8" borderId="1" xfId="0" applyNumberFormat="1" applyFont="1" applyFill="1" applyBorder="1" applyAlignment="1">
      <alignment horizontal="center" vertical="center"/>
    </xf>
    <xf numFmtId="165" fontId="15410" fillId="8" borderId="1" xfId="0" applyNumberFormat="1" applyFont="1" applyFill="1" applyBorder="1" applyAlignment="1">
      <alignment horizontal="center" vertical="center"/>
    </xf>
    <xf numFmtId="2" fontId="15411" fillId="8" borderId="1" xfId="0" applyNumberFormat="1" applyFont="1" applyFill="1" applyBorder="1" applyAlignment="1">
      <alignment horizontal="center" vertical="center"/>
    </xf>
    <xf numFmtId="2" fontId="15412" fillId="8" borderId="1" xfId="0" applyNumberFormat="1" applyFont="1" applyFill="1" applyBorder="1" applyAlignment="1">
      <alignment horizontal="center" vertical="center"/>
    </xf>
    <xf numFmtId="2" fontId="15413" fillId="8" borderId="1" xfId="0" applyNumberFormat="1" applyFont="1" applyFill="1" applyBorder="1" applyAlignment="1">
      <alignment horizontal="center" vertical="center"/>
    </xf>
    <xf numFmtId="2" fontId="15414" fillId="8" borderId="1" xfId="0" applyNumberFormat="1" applyFont="1" applyFill="1" applyBorder="1" applyAlignment="1">
      <alignment horizontal="center" vertical="center"/>
    </xf>
    <xf numFmtId="2" fontId="15415" fillId="8" borderId="1" xfId="0" applyNumberFormat="1" applyFont="1" applyFill="1" applyBorder="1" applyAlignment="1">
      <alignment horizontal="center" vertical="center"/>
    </xf>
    <xf numFmtId="2" fontId="15416" fillId="8" borderId="1" xfId="0" applyNumberFormat="1" applyFont="1" applyFill="1" applyBorder="1" applyAlignment="1">
      <alignment horizontal="center" vertical="center"/>
    </xf>
    <xf numFmtId="2" fontId="15417" fillId="8" borderId="1" xfId="0" applyNumberFormat="1" applyFont="1" applyFill="1" applyBorder="1" applyAlignment="1">
      <alignment horizontal="center" vertical="center"/>
    </xf>
    <xf numFmtId="2" fontId="15418" fillId="8" borderId="1" xfId="0" applyNumberFormat="1" applyFont="1" applyFill="1" applyBorder="1" applyAlignment="1">
      <alignment horizontal="center" vertical="center"/>
    </xf>
    <xf numFmtId="2" fontId="15419" fillId="8" borderId="1" xfId="0" applyNumberFormat="1" applyFont="1" applyFill="1" applyBorder="1" applyAlignment="1">
      <alignment horizontal="center" vertical="center"/>
    </xf>
    <xf numFmtId="2" fontId="15420" fillId="8" borderId="1" xfId="0" applyNumberFormat="1" applyFont="1" applyFill="1" applyBorder="1" applyAlignment="1">
      <alignment horizontal="center" vertical="center"/>
    </xf>
    <xf numFmtId="2" fontId="15421" fillId="8" borderId="1" xfId="0" applyNumberFormat="1" applyFont="1" applyFill="1" applyBorder="1" applyAlignment="1">
      <alignment horizontal="center" vertical="center"/>
    </xf>
    <xf numFmtId="2" fontId="15422" fillId="8" borderId="1" xfId="0" applyNumberFormat="1" applyFont="1" applyFill="1" applyBorder="1" applyAlignment="1">
      <alignment horizontal="center" vertical="center"/>
    </xf>
    <xf numFmtId="2" fontId="15423" fillId="8" borderId="1" xfId="0" applyNumberFormat="1" applyFont="1" applyFill="1" applyBorder="1" applyAlignment="1">
      <alignment horizontal="center" vertical="center"/>
    </xf>
    <xf numFmtId="2" fontId="15424" fillId="8" borderId="1" xfId="0" applyNumberFormat="1" applyFont="1" applyFill="1" applyBorder="1" applyAlignment="1">
      <alignment horizontal="center" vertical="center"/>
    </xf>
    <xf numFmtId="2" fontId="15425" fillId="8" borderId="1" xfId="0" applyNumberFormat="1" applyFont="1" applyFill="1" applyBorder="1" applyAlignment="1">
      <alignment horizontal="center" vertical="center"/>
    </xf>
    <xf numFmtId="2" fontId="15426" fillId="8" borderId="1" xfId="0" applyNumberFormat="1" applyFont="1" applyFill="1" applyBorder="1" applyAlignment="1">
      <alignment horizontal="center" vertical="center"/>
    </xf>
    <xf numFmtId="2" fontId="15427" fillId="8" borderId="1" xfId="0" applyNumberFormat="1" applyFont="1" applyFill="1" applyBorder="1" applyAlignment="1">
      <alignment horizontal="center" vertical="center"/>
    </xf>
    <xf numFmtId="2" fontId="15428" fillId="8" borderId="1" xfId="0" applyNumberFormat="1" applyFont="1" applyFill="1" applyBorder="1" applyAlignment="1">
      <alignment horizontal="center" vertical="center"/>
    </xf>
    <xf numFmtId="2" fontId="15429" fillId="8" borderId="1" xfId="0" applyNumberFormat="1" applyFont="1" applyFill="1" applyBorder="1" applyAlignment="1">
      <alignment horizontal="center" vertical="center"/>
    </xf>
    <xf numFmtId="2" fontId="15430" fillId="8" borderId="1" xfId="0" applyNumberFormat="1" applyFont="1" applyFill="1" applyBorder="1" applyAlignment="1">
      <alignment horizontal="center" vertical="center"/>
    </xf>
    <xf numFmtId="2" fontId="15431" fillId="8" borderId="1" xfId="0" applyNumberFormat="1" applyFont="1" applyFill="1" applyBorder="1" applyAlignment="1">
      <alignment horizontal="center" vertical="center"/>
    </xf>
    <xf numFmtId="2" fontId="15432" fillId="8" borderId="1" xfId="0" applyNumberFormat="1" applyFont="1" applyFill="1" applyBorder="1" applyAlignment="1">
      <alignment horizontal="center" vertical="center"/>
    </xf>
    <xf numFmtId="2" fontId="15433" fillId="8" borderId="1" xfId="0" applyNumberFormat="1" applyFont="1" applyFill="1" applyBorder="1" applyAlignment="1">
      <alignment horizontal="center" vertical="center"/>
    </xf>
    <xf numFmtId="2" fontId="15434" fillId="8" borderId="1" xfId="0" applyNumberFormat="1" applyFont="1" applyFill="1" applyBorder="1" applyAlignment="1">
      <alignment horizontal="center" vertical="center"/>
    </xf>
    <xf numFmtId="2" fontId="15435" fillId="8" borderId="1" xfId="0" applyNumberFormat="1" applyFont="1" applyFill="1" applyBorder="1" applyAlignment="1">
      <alignment horizontal="center" vertical="center"/>
    </xf>
    <xf numFmtId="2" fontId="15436" fillId="8" borderId="1" xfId="0" applyNumberFormat="1" applyFont="1" applyFill="1" applyBorder="1" applyAlignment="1">
      <alignment horizontal="center" vertical="center"/>
    </xf>
    <xf numFmtId="2" fontId="15437" fillId="8" borderId="1" xfId="0" applyNumberFormat="1" applyFont="1" applyFill="1" applyBorder="1" applyAlignment="1">
      <alignment horizontal="center" vertical="center"/>
    </xf>
    <xf numFmtId="2" fontId="15438" fillId="8" borderId="1" xfId="0" applyNumberFormat="1" applyFont="1" applyFill="1" applyBorder="1" applyAlignment="1">
      <alignment horizontal="center" vertical="center"/>
    </xf>
    <xf numFmtId="2" fontId="15439" fillId="8" borderId="1" xfId="0" applyNumberFormat="1" applyFont="1" applyFill="1" applyBorder="1" applyAlignment="1">
      <alignment horizontal="center" vertical="center"/>
    </xf>
    <xf numFmtId="2" fontId="15440" fillId="8" borderId="1" xfId="0" applyNumberFormat="1" applyFont="1" applyFill="1" applyBorder="1" applyAlignment="1">
      <alignment horizontal="center" vertical="center"/>
    </xf>
    <xf numFmtId="2" fontId="15441" fillId="8" borderId="1" xfId="0" applyNumberFormat="1" applyFont="1" applyFill="1" applyBorder="1" applyAlignment="1">
      <alignment horizontal="center" vertical="center"/>
    </xf>
    <xf numFmtId="2" fontId="15442" fillId="8" borderId="1" xfId="0" applyNumberFormat="1" applyFont="1" applyFill="1" applyBorder="1" applyAlignment="1">
      <alignment horizontal="center" vertical="center"/>
    </xf>
    <xf numFmtId="2" fontId="15443" fillId="8" borderId="1" xfId="0" applyNumberFormat="1" applyFont="1" applyFill="1" applyBorder="1" applyAlignment="1">
      <alignment horizontal="center" vertical="center"/>
    </xf>
    <xf numFmtId="2" fontId="15444" fillId="8" borderId="1" xfId="0" applyNumberFormat="1" applyFont="1" applyFill="1" applyBorder="1" applyAlignment="1">
      <alignment horizontal="center" vertical="center"/>
    </xf>
    <xf numFmtId="0" fontId="15445" fillId="7" borderId="1" xfId="0" applyNumberFormat="1" applyFont="1" applyFill="1" applyBorder="1" applyAlignment="1">
      <alignment horizontal="left" vertical="center"/>
    </xf>
    <xf numFmtId="0" fontId="15446" fillId="8" borderId="1" xfId="0" applyNumberFormat="1" applyFont="1" applyFill="1" applyBorder="1" applyAlignment="1">
      <alignment horizontal="center" vertical="center"/>
    </xf>
    <xf numFmtId="164" fontId="15447" fillId="8" borderId="1" xfId="0" applyNumberFormat="1" applyFont="1" applyFill="1" applyBorder="1" applyAlignment="1">
      <alignment horizontal="center" vertical="center"/>
    </xf>
    <xf numFmtId="1" fontId="15448" fillId="8" borderId="1" xfId="0" applyNumberFormat="1" applyFont="1" applyFill="1" applyBorder="1" applyAlignment="1">
      <alignment horizontal="center" vertical="center"/>
    </xf>
    <xf numFmtId="1" fontId="15449" fillId="8" borderId="1" xfId="0" applyNumberFormat="1" applyFont="1" applyFill="1" applyBorder="1" applyAlignment="1">
      <alignment horizontal="center" vertical="center"/>
    </xf>
    <xf numFmtId="1" fontId="15450" fillId="8" borderId="1" xfId="0" applyNumberFormat="1" applyFont="1" applyFill="1" applyBorder="1" applyAlignment="1">
      <alignment horizontal="center" vertical="center"/>
    </xf>
    <xf numFmtId="1" fontId="15451" fillId="8" borderId="1" xfId="0" applyNumberFormat="1" applyFont="1" applyFill="1" applyBorder="1" applyAlignment="1">
      <alignment horizontal="center" vertical="center"/>
    </xf>
    <xf numFmtId="1" fontId="15452" fillId="8" borderId="1" xfId="0" applyNumberFormat="1" applyFont="1" applyFill="1" applyBorder="1" applyAlignment="1">
      <alignment horizontal="center" vertical="center"/>
    </xf>
    <xf numFmtId="1" fontId="15453" fillId="8" borderId="1" xfId="0" applyNumberFormat="1" applyFont="1" applyFill="1" applyBorder="1" applyAlignment="1">
      <alignment horizontal="center" vertical="center"/>
    </xf>
    <xf numFmtId="1" fontId="15454" fillId="8" borderId="1" xfId="0" applyNumberFormat="1" applyFont="1" applyFill="1" applyBorder="1" applyAlignment="1">
      <alignment horizontal="center" vertical="center"/>
    </xf>
    <xf numFmtId="0" fontId="15455" fillId="8" borderId="1" xfId="0" applyNumberFormat="1" applyFont="1" applyFill="1" applyBorder="1" applyAlignment="1">
      <alignment horizontal="center" vertical="center"/>
    </xf>
    <xf numFmtId="0" fontId="15456" fillId="8" borderId="1" xfId="0" applyNumberFormat="1" applyFont="1" applyFill="1" applyBorder="1" applyAlignment="1">
      <alignment horizontal="center" vertical="center"/>
    </xf>
    <xf numFmtId="1" fontId="15457" fillId="8" borderId="1" xfId="0" applyNumberFormat="1" applyFont="1" applyFill="1" applyBorder="1" applyAlignment="1">
      <alignment horizontal="center" vertical="center"/>
    </xf>
    <xf numFmtId="1" fontId="15458" fillId="8" borderId="1" xfId="0" applyNumberFormat="1" applyFont="1" applyFill="1" applyBorder="1" applyAlignment="1">
      <alignment horizontal="center" vertical="center"/>
    </xf>
    <xf numFmtId="1" fontId="15459" fillId="8" borderId="1" xfId="0" applyNumberFormat="1" applyFont="1" applyFill="1" applyBorder="1" applyAlignment="1">
      <alignment horizontal="center" vertical="center"/>
    </xf>
    <xf numFmtId="165" fontId="15460" fillId="8" borderId="1" xfId="0" applyNumberFormat="1" applyFont="1" applyFill="1" applyBorder="1" applyAlignment="1">
      <alignment horizontal="center" vertical="center"/>
    </xf>
    <xf numFmtId="1" fontId="15461" fillId="8" borderId="1" xfId="0" applyNumberFormat="1" applyFont="1" applyFill="1" applyBorder="1" applyAlignment="1">
      <alignment horizontal="center" vertical="center"/>
    </xf>
    <xf numFmtId="165" fontId="15462" fillId="8" borderId="1" xfId="0" applyNumberFormat="1" applyFont="1" applyFill="1" applyBorder="1" applyAlignment="1">
      <alignment horizontal="center" vertical="center"/>
    </xf>
    <xf numFmtId="1" fontId="15463" fillId="8" borderId="1" xfId="0" applyNumberFormat="1" applyFont="1" applyFill="1" applyBorder="1" applyAlignment="1">
      <alignment horizontal="center" vertical="center"/>
    </xf>
    <xf numFmtId="165" fontId="15464" fillId="8" borderId="1" xfId="0" applyNumberFormat="1" applyFont="1" applyFill="1" applyBorder="1" applyAlignment="1">
      <alignment horizontal="center" vertical="center"/>
    </xf>
    <xf numFmtId="1" fontId="15465" fillId="8" borderId="1" xfId="0" applyNumberFormat="1" applyFont="1" applyFill="1" applyBorder="1" applyAlignment="1">
      <alignment horizontal="center" vertical="center"/>
    </xf>
    <xf numFmtId="165" fontId="15466" fillId="8" borderId="1" xfId="0" applyNumberFormat="1" applyFont="1" applyFill="1" applyBorder="1" applyAlignment="1">
      <alignment horizontal="center" vertical="center"/>
    </xf>
    <xf numFmtId="165" fontId="15467" fillId="8" borderId="1" xfId="0" applyNumberFormat="1" applyFont="1" applyFill="1" applyBorder="1" applyAlignment="1">
      <alignment horizontal="center" vertical="center"/>
    </xf>
    <xf numFmtId="1" fontId="15468" fillId="8" borderId="1" xfId="0" applyNumberFormat="1" applyFont="1" applyFill="1" applyBorder="1" applyAlignment="1">
      <alignment horizontal="center" vertical="center"/>
    </xf>
    <xf numFmtId="1" fontId="15469" fillId="8" borderId="1" xfId="0" applyNumberFormat="1" applyFont="1" applyFill="1" applyBorder="1" applyAlignment="1">
      <alignment horizontal="center" vertical="center"/>
    </xf>
    <xf numFmtId="1" fontId="15470" fillId="8" borderId="1" xfId="0" applyNumberFormat="1" applyFont="1" applyFill="1" applyBorder="1" applyAlignment="1">
      <alignment horizontal="center" vertical="center"/>
    </xf>
    <xf numFmtId="165" fontId="15471" fillId="8" borderId="1" xfId="0" applyNumberFormat="1" applyFont="1" applyFill="1" applyBorder="1" applyAlignment="1">
      <alignment horizontal="center" vertical="center"/>
    </xf>
    <xf numFmtId="164" fontId="15472" fillId="8" borderId="1" xfId="0" applyNumberFormat="1" applyFont="1" applyFill="1" applyBorder="1" applyAlignment="1">
      <alignment horizontal="center" vertical="center"/>
    </xf>
    <xf numFmtId="164" fontId="15473" fillId="8" borderId="1" xfId="0" applyNumberFormat="1" applyFont="1" applyFill="1" applyBorder="1" applyAlignment="1">
      <alignment horizontal="center" vertical="center"/>
    </xf>
    <xf numFmtId="1" fontId="15474" fillId="8" borderId="1" xfId="0" applyNumberFormat="1" applyFont="1" applyFill="1" applyBorder="1" applyAlignment="1">
      <alignment horizontal="center" vertical="center"/>
    </xf>
    <xf numFmtId="1" fontId="15475" fillId="8" borderId="1" xfId="0" applyNumberFormat="1" applyFont="1" applyFill="1" applyBorder="1" applyAlignment="1">
      <alignment horizontal="center" vertical="center"/>
    </xf>
    <xf numFmtId="1" fontId="15476" fillId="8" borderId="1" xfId="0" applyNumberFormat="1" applyFont="1" applyFill="1" applyBorder="1" applyAlignment="1">
      <alignment horizontal="center" vertical="center"/>
    </xf>
    <xf numFmtId="165" fontId="15477" fillId="8" borderId="1" xfId="0" applyNumberFormat="1" applyFont="1" applyFill="1" applyBorder="1" applyAlignment="1">
      <alignment horizontal="center" vertical="center"/>
    </xf>
    <xf numFmtId="1" fontId="15478" fillId="8" borderId="1" xfId="0" applyNumberFormat="1" applyFont="1" applyFill="1" applyBorder="1" applyAlignment="1">
      <alignment horizontal="center" vertical="center"/>
    </xf>
    <xf numFmtId="165" fontId="15479" fillId="8" borderId="1" xfId="0" applyNumberFormat="1" applyFont="1" applyFill="1" applyBorder="1" applyAlignment="1">
      <alignment horizontal="center" vertical="center"/>
    </xf>
    <xf numFmtId="1" fontId="15480" fillId="8" borderId="1" xfId="0" applyNumberFormat="1" applyFont="1" applyFill="1" applyBorder="1" applyAlignment="1">
      <alignment horizontal="center" vertical="center"/>
    </xf>
    <xf numFmtId="1" fontId="15481" fillId="8" borderId="1" xfId="0" applyNumberFormat="1" applyFont="1" applyFill="1" applyBorder="1" applyAlignment="1">
      <alignment horizontal="center" vertical="center"/>
    </xf>
    <xf numFmtId="1" fontId="15482" fillId="8" borderId="1" xfId="0" applyNumberFormat="1" applyFont="1" applyFill="1" applyBorder="1" applyAlignment="1">
      <alignment horizontal="center" vertical="center"/>
    </xf>
    <xf numFmtId="1" fontId="15483" fillId="8" borderId="1" xfId="0" applyNumberFormat="1" applyFont="1" applyFill="1" applyBorder="1" applyAlignment="1">
      <alignment horizontal="center" vertical="center"/>
    </xf>
    <xf numFmtId="165" fontId="15484" fillId="8" borderId="1" xfId="0" applyNumberFormat="1" applyFont="1" applyFill="1" applyBorder="1" applyAlignment="1">
      <alignment horizontal="center" vertical="center"/>
    </xf>
    <xf numFmtId="1" fontId="15485" fillId="8" borderId="1" xfId="0" applyNumberFormat="1" applyFont="1" applyFill="1" applyBorder="1" applyAlignment="1">
      <alignment horizontal="center" vertical="center"/>
    </xf>
    <xf numFmtId="165" fontId="15486" fillId="8" borderId="1" xfId="0" applyNumberFormat="1" applyFont="1" applyFill="1" applyBorder="1" applyAlignment="1">
      <alignment horizontal="center" vertical="center"/>
    </xf>
    <xf numFmtId="1" fontId="15487" fillId="8" borderId="1" xfId="0" applyNumberFormat="1" applyFont="1" applyFill="1" applyBorder="1" applyAlignment="1">
      <alignment horizontal="center" vertical="center"/>
    </xf>
    <xf numFmtId="165" fontId="15488" fillId="8" borderId="1" xfId="0" applyNumberFormat="1" applyFont="1" applyFill="1" applyBorder="1" applyAlignment="1">
      <alignment horizontal="center" vertical="center"/>
    </xf>
    <xf numFmtId="2" fontId="15489" fillId="8" borderId="1" xfId="0" applyNumberFormat="1" applyFont="1" applyFill="1" applyBorder="1" applyAlignment="1">
      <alignment horizontal="center" vertical="center"/>
    </xf>
    <xf numFmtId="2" fontId="15490" fillId="8" borderId="1" xfId="0" applyNumberFormat="1" applyFont="1" applyFill="1" applyBorder="1" applyAlignment="1">
      <alignment horizontal="center" vertical="center"/>
    </xf>
    <xf numFmtId="2" fontId="15491" fillId="8" borderId="1" xfId="0" applyNumberFormat="1" applyFont="1" applyFill="1" applyBorder="1" applyAlignment="1">
      <alignment horizontal="center" vertical="center"/>
    </xf>
    <xf numFmtId="2" fontId="15492" fillId="8" borderId="1" xfId="0" applyNumberFormat="1" applyFont="1" applyFill="1" applyBorder="1" applyAlignment="1">
      <alignment horizontal="center" vertical="center"/>
    </xf>
    <xf numFmtId="2" fontId="15493" fillId="8" borderId="1" xfId="0" applyNumberFormat="1" applyFont="1" applyFill="1" applyBorder="1" applyAlignment="1">
      <alignment horizontal="center" vertical="center"/>
    </xf>
    <xf numFmtId="2" fontId="15494" fillId="8" borderId="1" xfId="0" applyNumberFormat="1" applyFont="1" applyFill="1" applyBorder="1" applyAlignment="1">
      <alignment horizontal="center" vertical="center"/>
    </xf>
    <xf numFmtId="2" fontId="15495" fillId="8" borderId="1" xfId="0" applyNumberFormat="1" applyFont="1" applyFill="1" applyBorder="1" applyAlignment="1">
      <alignment horizontal="center" vertical="center"/>
    </xf>
    <xf numFmtId="2" fontId="15496" fillId="8" borderId="1" xfId="0" applyNumberFormat="1" applyFont="1" applyFill="1" applyBorder="1" applyAlignment="1">
      <alignment horizontal="center" vertical="center"/>
    </xf>
    <xf numFmtId="2" fontId="15497" fillId="8" borderId="1" xfId="0" applyNumberFormat="1" applyFont="1" applyFill="1" applyBorder="1" applyAlignment="1">
      <alignment horizontal="center" vertical="center"/>
    </xf>
    <xf numFmtId="2" fontId="15498" fillId="8" borderId="1" xfId="0" applyNumberFormat="1" applyFont="1" applyFill="1" applyBorder="1" applyAlignment="1">
      <alignment horizontal="center" vertical="center"/>
    </xf>
    <xf numFmtId="2" fontId="15499" fillId="8" borderId="1" xfId="0" applyNumberFormat="1" applyFont="1" applyFill="1" applyBorder="1" applyAlignment="1">
      <alignment horizontal="center" vertical="center"/>
    </xf>
    <xf numFmtId="2" fontId="15500" fillId="8" borderId="1" xfId="0" applyNumberFormat="1" applyFont="1" applyFill="1" applyBorder="1" applyAlignment="1">
      <alignment horizontal="center" vertical="center"/>
    </xf>
    <xf numFmtId="2" fontId="15501" fillId="8" borderId="1" xfId="0" applyNumberFormat="1" applyFont="1" applyFill="1" applyBorder="1" applyAlignment="1">
      <alignment horizontal="center" vertical="center"/>
    </xf>
    <xf numFmtId="2" fontId="15502" fillId="8" borderId="1" xfId="0" applyNumberFormat="1" applyFont="1" applyFill="1" applyBorder="1" applyAlignment="1">
      <alignment horizontal="center" vertical="center"/>
    </xf>
    <xf numFmtId="2" fontId="15503" fillId="8" borderId="1" xfId="0" applyNumberFormat="1" applyFont="1" applyFill="1" applyBorder="1" applyAlignment="1">
      <alignment horizontal="center" vertical="center"/>
    </xf>
    <xf numFmtId="2" fontId="15504" fillId="8" borderId="1" xfId="0" applyNumberFormat="1" applyFont="1" applyFill="1" applyBorder="1" applyAlignment="1">
      <alignment horizontal="center" vertical="center"/>
    </xf>
    <xf numFmtId="2" fontId="15505" fillId="8" borderId="1" xfId="0" applyNumberFormat="1" applyFont="1" applyFill="1" applyBorder="1" applyAlignment="1">
      <alignment horizontal="center" vertical="center"/>
    </xf>
    <xf numFmtId="2" fontId="15506" fillId="8" borderId="1" xfId="0" applyNumberFormat="1" applyFont="1" applyFill="1" applyBorder="1" applyAlignment="1">
      <alignment horizontal="center" vertical="center"/>
    </xf>
    <xf numFmtId="2" fontId="15507" fillId="8" borderId="1" xfId="0" applyNumberFormat="1" applyFont="1" applyFill="1" applyBorder="1" applyAlignment="1">
      <alignment horizontal="center" vertical="center"/>
    </xf>
    <xf numFmtId="2" fontId="15508" fillId="8" borderId="1" xfId="0" applyNumberFormat="1" applyFont="1" applyFill="1" applyBorder="1" applyAlignment="1">
      <alignment horizontal="center" vertical="center"/>
    </xf>
    <xf numFmtId="2" fontId="15509" fillId="8" borderId="1" xfId="0" applyNumberFormat="1" applyFont="1" applyFill="1" applyBorder="1" applyAlignment="1">
      <alignment horizontal="center" vertical="center"/>
    </xf>
    <xf numFmtId="2" fontId="15510" fillId="8" borderId="1" xfId="0" applyNumberFormat="1" applyFont="1" applyFill="1" applyBorder="1" applyAlignment="1">
      <alignment horizontal="center" vertical="center"/>
    </xf>
    <xf numFmtId="2" fontId="15511" fillId="8" borderId="1" xfId="0" applyNumberFormat="1" applyFont="1" applyFill="1" applyBorder="1" applyAlignment="1">
      <alignment horizontal="center" vertical="center"/>
    </xf>
    <xf numFmtId="2" fontId="15512" fillId="8" borderId="1" xfId="0" applyNumberFormat="1" applyFont="1" applyFill="1" applyBorder="1" applyAlignment="1">
      <alignment horizontal="center" vertical="center"/>
    </xf>
    <xf numFmtId="2" fontId="15513" fillId="8" borderId="1" xfId="0" applyNumberFormat="1" applyFont="1" applyFill="1" applyBorder="1" applyAlignment="1">
      <alignment horizontal="center" vertical="center"/>
    </xf>
    <xf numFmtId="2" fontId="15514" fillId="8" borderId="1" xfId="0" applyNumberFormat="1" applyFont="1" applyFill="1" applyBorder="1" applyAlignment="1">
      <alignment horizontal="center" vertical="center"/>
    </xf>
    <xf numFmtId="2" fontId="15515" fillId="8" borderId="1" xfId="0" applyNumberFormat="1" applyFont="1" applyFill="1" applyBorder="1" applyAlignment="1">
      <alignment horizontal="center" vertical="center"/>
    </xf>
    <xf numFmtId="2" fontId="15516" fillId="8" borderId="1" xfId="0" applyNumberFormat="1" applyFont="1" applyFill="1" applyBorder="1" applyAlignment="1">
      <alignment horizontal="center" vertical="center"/>
    </xf>
    <xf numFmtId="2" fontId="15517" fillId="8" borderId="1" xfId="0" applyNumberFormat="1" applyFont="1" applyFill="1" applyBorder="1" applyAlignment="1">
      <alignment horizontal="center" vertical="center"/>
    </xf>
    <xf numFmtId="2" fontId="15518" fillId="8" borderId="1" xfId="0" applyNumberFormat="1" applyFont="1" applyFill="1" applyBorder="1" applyAlignment="1">
      <alignment horizontal="center" vertical="center"/>
    </xf>
    <xf numFmtId="2" fontId="15519" fillId="8" borderId="1" xfId="0" applyNumberFormat="1" applyFont="1" applyFill="1" applyBorder="1" applyAlignment="1">
      <alignment horizontal="center" vertical="center"/>
    </xf>
    <xf numFmtId="2" fontId="15520" fillId="8" borderId="1" xfId="0" applyNumberFormat="1" applyFont="1" applyFill="1" applyBorder="1" applyAlignment="1">
      <alignment horizontal="center" vertical="center"/>
    </xf>
    <xf numFmtId="2" fontId="15521" fillId="8" borderId="1" xfId="0" applyNumberFormat="1" applyFont="1" applyFill="1" applyBorder="1" applyAlignment="1">
      <alignment horizontal="center" vertical="center"/>
    </xf>
    <xf numFmtId="2" fontId="15522" fillId="8" borderId="1" xfId="0" applyNumberFormat="1" applyFont="1" applyFill="1" applyBorder="1" applyAlignment="1">
      <alignment horizontal="center" vertical="center"/>
    </xf>
    <xf numFmtId="0" fontId="15523" fillId="7" borderId="1" xfId="0" applyNumberFormat="1" applyFont="1" applyFill="1" applyBorder="1" applyAlignment="1">
      <alignment horizontal="left" vertical="center"/>
    </xf>
    <xf numFmtId="0" fontId="15524" fillId="8" borderId="1" xfId="0" applyNumberFormat="1" applyFont="1" applyFill="1" applyBorder="1" applyAlignment="1">
      <alignment horizontal="center" vertical="center"/>
    </xf>
    <xf numFmtId="164" fontId="15525" fillId="8" borderId="1" xfId="0" applyNumberFormat="1" applyFont="1" applyFill="1" applyBorder="1" applyAlignment="1">
      <alignment horizontal="center" vertical="center"/>
    </xf>
    <xf numFmtId="1" fontId="15526" fillId="8" borderId="1" xfId="0" applyNumberFormat="1" applyFont="1" applyFill="1" applyBorder="1" applyAlignment="1">
      <alignment horizontal="center" vertical="center"/>
    </xf>
    <xf numFmtId="1" fontId="15527" fillId="8" borderId="1" xfId="0" applyNumberFormat="1" applyFont="1" applyFill="1" applyBorder="1" applyAlignment="1">
      <alignment horizontal="center" vertical="center"/>
    </xf>
    <xf numFmtId="1" fontId="15528" fillId="8" borderId="1" xfId="0" applyNumberFormat="1" applyFont="1" applyFill="1" applyBorder="1" applyAlignment="1">
      <alignment horizontal="center" vertical="center"/>
    </xf>
    <xf numFmtId="1" fontId="15529" fillId="8" borderId="1" xfId="0" applyNumberFormat="1" applyFont="1" applyFill="1" applyBorder="1" applyAlignment="1">
      <alignment horizontal="center" vertical="center"/>
    </xf>
    <xf numFmtId="1" fontId="15530" fillId="8" borderId="1" xfId="0" applyNumberFormat="1" applyFont="1" applyFill="1" applyBorder="1" applyAlignment="1">
      <alignment horizontal="center" vertical="center"/>
    </xf>
    <xf numFmtId="1" fontId="15531" fillId="8" borderId="1" xfId="0" applyNumberFormat="1" applyFont="1" applyFill="1" applyBorder="1" applyAlignment="1">
      <alignment horizontal="center" vertical="center"/>
    </xf>
    <xf numFmtId="1" fontId="15532" fillId="8" borderId="1" xfId="0" applyNumberFormat="1" applyFont="1" applyFill="1" applyBorder="1" applyAlignment="1">
      <alignment horizontal="center" vertical="center"/>
    </xf>
    <xf numFmtId="0" fontId="15533" fillId="8" borderId="1" xfId="0" applyNumberFormat="1" applyFont="1" applyFill="1" applyBorder="1" applyAlignment="1">
      <alignment horizontal="center" vertical="center"/>
    </xf>
    <xf numFmtId="0" fontId="15534" fillId="8" borderId="1" xfId="0" applyNumberFormat="1" applyFont="1" applyFill="1" applyBorder="1" applyAlignment="1">
      <alignment horizontal="center" vertical="center"/>
    </xf>
    <xf numFmtId="1" fontId="15535" fillId="8" borderId="1" xfId="0" applyNumberFormat="1" applyFont="1" applyFill="1" applyBorder="1" applyAlignment="1">
      <alignment horizontal="center" vertical="center"/>
    </xf>
    <xf numFmtId="1" fontId="15536" fillId="8" borderId="1" xfId="0" applyNumberFormat="1" applyFont="1" applyFill="1" applyBorder="1" applyAlignment="1">
      <alignment horizontal="center" vertical="center"/>
    </xf>
    <xf numFmtId="1" fontId="15537" fillId="8" borderId="1" xfId="0" applyNumberFormat="1" applyFont="1" applyFill="1" applyBorder="1" applyAlignment="1">
      <alignment horizontal="center" vertical="center"/>
    </xf>
    <xf numFmtId="165" fontId="15538" fillId="8" borderId="1" xfId="0" applyNumberFormat="1" applyFont="1" applyFill="1" applyBorder="1" applyAlignment="1">
      <alignment horizontal="center" vertical="center"/>
    </xf>
    <xf numFmtId="1" fontId="15539" fillId="8" borderId="1" xfId="0" applyNumberFormat="1" applyFont="1" applyFill="1" applyBorder="1" applyAlignment="1">
      <alignment horizontal="center" vertical="center"/>
    </xf>
    <xf numFmtId="165" fontId="15540" fillId="8" borderId="1" xfId="0" applyNumberFormat="1" applyFont="1" applyFill="1" applyBorder="1" applyAlignment="1">
      <alignment horizontal="center" vertical="center"/>
    </xf>
    <xf numFmtId="1" fontId="15541" fillId="8" borderId="1" xfId="0" applyNumberFormat="1" applyFont="1" applyFill="1" applyBorder="1" applyAlignment="1">
      <alignment horizontal="center" vertical="center"/>
    </xf>
    <xf numFmtId="165" fontId="15542" fillId="8" borderId="1" xfId="0" applyNumberFormat="1" applyFont="1" applyFill="1" applyBorder="1" applyAlignment="1">
      <alignment horizontal="center" vertical="center"/>
    </xf>
    <xf numFmtId="1" fontId="15543" fillId="8" borderId="1" xfId="0" applyNumberFormat="1" applyFont="1" applyFill="1" applyBorder="1" applyAlignment="1">
      <alignment horizontal="center" vertical="center"/>
    </xf>
    <xf numFmtId="165" fontId="15544" fillId="8" borderId="1" xfId="0" applyNumberFormat="1" applyFont="1" applyFill="1" applyBorder="1" applyAlignment="1">
      <alignment horizontal="center" vertical="center"/>
    </xf>
    <xf numFmtId="165" fontId="15545" fillId="8" borderId="1" xfId="0" applyNumberFormat="1" applyFont="1" applyFill="1" applyBorder="1" applyAlignment="1">
      <alignment horizontal="center" vertical="center"/>
    </xf>
    <xf numFmtId="1" fontId="15546" fillId="8" borderId="1" xfId="0" applyNumberFormat="1" applyFont="1" applyFill="1" applyBorder="1" applyAlignment="1">
      <alignment horizontal="center" vertical="center"/>
    </xf>
    <xf numFmtId="1" fontId="15547" fillId="8" borderId="1" xfId="0" applyNumberFormat="1" applyFont="1" applyFill="1" applyBorder="1" applyAlignment="1">
      <alignment horizontal="center" vertical="center"/>
    </xf>
    <xf numFmtId="1" fontId="15548" fillId="8" borderId="1" xfId="0" applyNumberFormat="1" applyFont="1" applyFill="1" applyBorder="1" applyAlignment="1">
      <alignment horizontal="center" vertical="center"/>
    </xf>
    <xf numFmtId="165" fontId="15549" fillId="8" borderId="1" xfId="0" applyNumberFormat="1" applyFont="1" applyFill="1" applyBorder="1" applyAlignment="1">
      <alignment horizontal="center" vertical="center"/>
    </xf>
    <xf numFmtId="164" fontId="15550" fillId="8" borderId="1" xfId="0" applyNumberFormat="1" applyFont="1" applyFill="1" applyBorder="1" applyAlignment="1">
      <alignment horizontal="center" vertical="center"/>
    </xf>
    <xf numFmtId="164" fontId="15551" fillId="8" borderId="1" xfId="0" applyNumberFormat="1" applyFont="1" applyFill="1" applyBorder="1" applyAlignment="1">
      <alignment horizontal="center" vertical="center"/>
    </xf>
    <xf numFmtId="1" fontId="15552" fillId="8" borderId="1" xfId="0" applyNumberFormat="1" applyFont="1" applyFill="1" applyBorder="1" applyAlignment="1">
      <alignment horizontal="center" vertical="center"/>
    </xf>
    <xf numFmtId="1" fontId="15553" fillId="8" borderId="1" xfId="0" applyNumberFormat="1" applyFont="1" applyFill="1" applyBorder="1" applyAlignment="1">
      <alignment horizontal="center" vertical="center"/>
    </xf>
    <xf numFmtId="1" fontId="15554" fillId="8" borderId="1" xfId="0" applyNumberFormat="1" applyFont="1" applyFill="1" applyBorder="1" applyAlignment="1">
      <alignment horizontal="center" vertical="center"/>
    </xf>
    <xf numFmtId="165" fontId="15555" fillId="8" borderId="1" xfId="0" applyNumberFormat="1" applyFont="1" applyFill="1" applyBorder="1" applyAlignment="1">
      <alignment horizontal="center" vertical="center"/>
    </xf>
    <xf numFmtId="1" fontId="15556" fillId="8" borderId="1" xfId="0" applyNumberFormat="1" applyFont="1" applyFill="1" applyBorder="1" applyAlignment="1">
      <alignment horizontal="center" vertical="center"/>
    </xf>
    <xf numFmtId="165" fontId="15557" fillId="8" borderId="1" xfId="0" applyNumberFormat="1" applyFont="1" applyFill="1" applyBorder="1" applyAlignment="1">
      <alignment horizontal="center" vertical="center"/>
    </xf>
    <xf numFmtId="1" fontId="15558" fillId="8" borderId="1" xfId="0" applyNumberFormat="1" applyFont="1" applyFill="1" applyBorder="1" applyAlignment="1">
      <alignment horizontal="center" vertical="center"/>
    </xf>
    <xf numFmtId="1" fontId="15559" fillId="8" borderId="1" xfId="0" applyNumberFormat="1" applyFont="1" applyFill="1" applyBorder="1" applyAlignment="1">
      <alignment horizontal="center" vertical="center"/>
    </xf>
    <xf numFmtId="1" fontId="15560" fillId="8" borderId="1" xfId="0" applyNumberFormat="1" applyFont="1" applyFill="1" applyBorder="1" applyAlignment="1">
      <alignment horizontal="center" vertical="center"/>
    </xf>
    <xf numFmtId="1" fontId="15561" fillId="8" borderId="1" xfId="0" applyNumberFormat="1" applyFont="1" applyFill="1" applyBorder="1" applyAlignment="1">
      <alignment horizontal="center" vertical="center"/>
    </xf>
    <xf numFmtId="165" fontId="15562" fillId="8" borderId="1" xfId="0" applyNumberFormat="1" applyFont="1" applyFill="1" applyBorder="1" applyAlignment="1">
      <alignment horizontal="center" vertical="center"/>
    </xf>
    <xf numFmtId="1" fontId="15563" fillId="8" borderId="1" xfId="0" applyNumberFormat="1" applyFont="1" applyFill="1" applyBorder="1" applyAlignment="1">
      <alignment horizontal="center" vertical="center"/>
    </xf>
    <xf numFmtId="165" fontId="15564" fillId="8" borderId="1" xfId="0" applyNumberFormat="1" applyFont="1" applyFill="1" applyBorder="1" applyAlignment="1">
      <alignment horizontal="center" vertical="center"/>
    </xf>
    <xf numFmtId="1" fontId="15565" fillId="8" borderId="1" xfId="0" applyNumberFormat="1" applyFont="1" applyFill="1" applyBorder="1" applyAlignment="1">
      <alignment horizontal="center" vertical="center"/>
    </xf>
    <xf numFmtId="165" fontId="15566" fillId="8" borderId="1" xfId="0" applyNumberFormat="1" applyFont="1" applyFill="1" applyBorder="1" applyAlignment="1">
      <alignment horizontal="center" vertical="center"/>
    </xf>
    <xf numFmtId="2" fontId="15567" fillId="8" borderId="1" xfId="0" applyNumberFormat="1" applyFont="1" applyFill="1" applyBorder="1" applyAlignment="1">
      <alignment horizontal="center" vertical="center"/>
    </xf>
    <xf numFmtId="2" fontId="15568" fillId="8" borderId="1" xfId="0" applyNumberFormat="1" applyFont="1" applyFill="1" applyBorder="1" applyAlignment="1">
      <alignment horizontal="center" vertical="center"/>
    </xf>
    <xf numFmtId="2" fontId="15569" fillId="8" borderId="1" xfId="0" applyNumberFormat="1" applyFont="1" applyFill="1" applyBorder="1" applyAlignment="1">
      <alignment horizontal="center" vertical="center"/>
    </xf>
    <xf numFmtId="2" fontId="15570" fillId="8" borderId="1" xfId="0" applyNumberFormat="1" applyFont="1" applyFill="1" applyBorder="1" applyAlignment="1">
      <alignment horizontal="center" vertical="center"/>
    </xf>
    <xf numFmtId="2" fontId="15571" fillId="8" borderId="1" xfId="0" applyNumberFormat="1" applyFont="1" applyFill="1" applyBorder="1" applyAlignment="1">
      <alignment horizontal="center" vertical="center"/>
    </xf>
    <xf numFmtId="2" fontId="15572" fillId="8" borderId="1" xfId="0" applyNumberFormat="1" applyFont="1" applyFill="1" applyBorder="1" applyAlignment="1">
      <alignment horizontal="center" vertical="center"/>
    </xf>
    <xf numFmtId="2" fontId="15573" fillId="8" borderId="1" xfId="0" applyNumberFormat="1" applyFont="1" applyFill="1" applyBorder="1" applyAlignment="1">
      <alignment horizontal="center" vertical="center"/>
    </xf>
    <xf numFmtId="2" fontId="15574" fillId="8" borderId="1" xfId="0" applyNumberFormat="1" applyFont="1" applyFill="1" applyBorder="1" applyAlignment="1">
      <alignment horizontal="center" vertical="center"/>
    </xf>
    <xf numFmtId="2" fontId="15575" fillId="8" borderId="1" xfId="0" applyNumberFormat="1" applyFont="1" applyFill="1" applyBorder="1" applyAlignment="1">
      <alignment horizontal="center" vertical="center"/>
    </xf>
    <xf numFmtId="2" fontId="15576" fillId="8" borderId="1" xfId="0" applyNumberFormat="1" applyFont="1" applyFill="1" applyBorder="1" applyAlignment="1">
      <alignment horizontal="center" vertical="center"/>
    </xf>
    <xf numFmtId="2" fontId="15577" fillId="8" borderId="1" xfId="0" applyNumberFormat="1" applyFont="1" applyFill="1" applyBorder="1" applyAlignment="1">
      <alignment horizontal="center" vertical="center"/>
    </xf>
    <xf numFmtId="2" fontId="15578" fillId="8" borderId="1" xfId="0" applyNumberFormat="1" applyFont="1" applyFill="1" applyBorder="1" applyAlignment="1">
      <alignment horizontal="center" vertical="center"/>
    </xf>
    <xf numFmtId="2" fontId="15579" fillId="8" borderId="1" xfId="0" applyNumberFormat="1" applyFont="1" applyFill="1" applyBorder="1" applyAlignment="1">
      <alignment horizontal="center" vertical="center"/>
    </xf>
    <xf numFmtId="2" fontId="15580" fillId="8" borderId="1" xfId="0" applyNumberFormat="1" applyFont="1" applyFill="1" applyBorder="1" applyAlignment="1">
      <alignment horizontal="center" vertical="center"/>
    </xf>
    <xf numFmtId="2" fontId="15581" fillId="8" borderId="1" xfId="0" applyNumberFormat="1" applyFont="1" applyFill="1" applyBorder="1" applyAlignment="1">
      <alignment horizontal="center" vertical="center"/>
    </xf>
    <xf numFmtId="2" fontId="15582" fillId="8" borderId="1" xfId="0" applyNumberFormat="1" applyFont="1" applyFill="1" applyBorder="1" applyAlignment="1">
      <alignment horizontal="center" vertical="center"/>
    </xf>
    <xf numFmtId="2" fontId="15583" fillId="8" borderId="1" xfId="0" applyNumberFormat="1" applyFont="1" applyFill="1" applyBorder="1" applyAlignment="1">
      <alignment horizontal="center" vertical="center"/>
    </xf>
    <xf numFmtId="2" fontId="15584" fillId="8" borderId="1" xfId="0" applyNumberFormat="1" applyFont="1" applyFill="1" applyBorder="1" applyAlignment="1">
      <alignment horizontal="center" vertical="center"/>
    </xf>
    <xf numFmtId="2" fontId="15585" fillId="8" borderId="1" xfId="0" applyNumberFormat="1" applyFont="1" applyFill="1" applyBorder="1" applyAlignment="1">
      <alignment horizontal="center" vertical="center"/>
    </xf>
    <xf numFmtId="2" fontId="15586" fillId="8" borderId="1" xfId="0" applyNumberFormat="1" applyFont="1" applyFill="1" applyBorder="1" applyAlignment="1">
      <alignment horizontal="center" vertical="center"/>
    </xf>
    <xf numFmtId="2" fontId="15587" fillId="8" borderId="1" xfId="0" applyNumberFormat="1" applyFont="1" applyFill="1" applyBorder="1" applyAlignment="1">
      <alignment horizontal="center" vertical="center"/>
    </xf>
    <xf numFmtId="2" fontId="15588" fillId="8" borderId="1" xfId="0" applyNumberFormat="1" applyFont="1" applyFill="1" applyBorder="1" applyAlignment="1">
      <alignment horizontal="center" vertical="center"/>
    </xf>
    <xf numFmtId="2" fontId="15589" fillId="8" borderId="1" xfId="0" applyNumberFormat="1" applyFont="1" applyFill="1" applyBorder="1" applyAlignment="1">
      <alignment horizontal="center" vertical="center"/>
    </xf>
    <xf numFmtId="2" fontId="15590" fillId="8" borderId="1" xfId="0" applyNumberFormat="1" applyFont="1" applyFill="1" applyBorder="1" applyAlignment="1">
      <alignment horizontal="center" vertical="center"/>
    </xf>
    <xf numFmtId="2" fontId="15591" fillId="8" borderId="1" xfId="0" applyNumberFormat="1" applyFont="1" applyFill="1" applyBorder="1" applyAlignment="1">
      <alignment horizontal="center" vertical="center"/>
    </xf>
    <xf numFmtId="2" fontId="15592" fillId="8" borderId="1" xfId="0" applyNumberFormat="1" applyFont="1" applyFill="1" applyBorder="1" applyAlignment="1">
      <alignment horizontal="center" vertical="center"/>
    </xf>
    <xf numFmtId="2" fontId="15593" fillId="8" borderId="1" xfId="0" applyNumberFormat="1" applyFont="1" applyFill="1" applyBorder="1" applyAlignment="1">
      <alignment horizontal="center" vertical="center"/>
    </xf>
    <xf numFmtId="2" fontId="15594" fillId="8" borderId="1" xfId="0" applyNumberFormat="1" applyFont="1" applyFill="1" applyBorder="1" applyAlignment="1">
      <alignment horizontal="center" vertical="center"/>
    </xf>
    <xf numFmtId="2" fontId="15595" fillId="8" borderId="1" xfId="0" applyNumberFormat="1" applyFont="1" applyFill="1" applyBorder="1" applyAlignment="1">
      <alignment horizontal="center" vertical="center"/>
    </xf>
    <xf numFmtId="2" fontId="15596" fillId="8" borderId="1" xfId="0" applyNumberFormat="1" applyFont="1" applyFill="1" applyBorder="1" applyAlignment="1">
      <alignment horizontal="center" vertical="center"/>
    </xf>
    <xf numFmtId="2" fontId="15597" fillId="8" borderId="1" xfId="0" applyNumberFormat="1" applyFont="1" applyFill="1" applyBorder="1" applyAlignment="1">
      <alignment horizontal="center" vertical="center"/>
    </xf>
    <xf numFmtId="2" fontId="15598" fillId="8" borderId="1" xfId="0" applyNumberFormat="1" applyFont="1" applyFill="1" applyBorder="1" applyAlignment="1">
      <alignment horizontal="center" vertical="center"/>
    </xf>
    <xf numFmtId="2" fontId="15599" fillId="8" borderId="1" xfId="0" applyNumberFormat="1" applyFont="1" applyFill="1" applyBorder="1" applyAlignment="1">
      <alignment horizontal="center" vertical="center"/>
    </xf>
    <xf numFmtId="2" fontId="15600" fillId="8" borderId="1" xfId="0" applyNumberFormat="1" applyFont="1" applyFill="1" applyBorder="1" applyAlignment="1">
      <alignment horizontal="center" vertical="center"/>
    </xf>
    <xf numFmtId="0" fontId="15601" fillId="7" borderId="1" xfId="0" applyNumberFormat="1" applyFont="1" applyFill="1" applyBorder="1" applyAlignment="1">
      <alignment horizontal="left" vertical="center"/>
    </xf>
    <xf numFmtId="0" fontId="15602" fillId="8" borderId="1" xfId="0" applyNumberFormat="1" applyFont="1" applyFill="1" applyBorder="1" applyAlignment="1">
      <alignment horizontal="center" vertical="center"/>
    </xf>
    <xf numFmtId="164" fontId="15603" fillId="8" borderId="1" xfId="0" applyNumberFormat="1" applyFont="1" applyFill="1" applyBorder="1" applyAlignment="1">
      <alignment horizontal="center" vertical="center"/>
    </xf>
    <xf numFmtId="1" fontId="15604" fillId="8" borderId="1" xfId="0" applyNumberFormat="1" applyFont="1" applyFill="1" applyBorder="1" applyAlignment="1">
      <alignment horizontal="center" vertical="center"/>
    </xf>
    <xf numFmtId="1" fontId="15605" fillId="8" borderId="1" xfId="0" applyNumberFormat="1" applyFont="1" applyFill="1" applyBorder="1" applyAlignment="1">
      <alignment horizontal="center" vertical="center"/>
    </xf>
    <xf numFmtId="1" fontId="15606" fillId="8" borderId="1" xfId="0" applyNumberFormat="1" applyFont="1" applyFill="1" applyBorder="1" applyAlignment="1">
      <alignment horizontal="center" vertical="center"/>
    </xf>
    <xf numFmtId="1" fontId="15607" fillId="8" borderId="1" xfId="0" applyNumberFormat="1" applyFont="1" applyFill="1" applyBorder="1" applyAlignment="1">
      <alignment horizontal="center" vertical="center"/>
    </xf>
    <xf numFmtId="1" fontId="15608" fillId="8" borderId="1" xfId="0" applyNumberFormat="1" applyFont="1" applyFill="1" applyBorder="1" applyAlignment="1">
      <alignment horizontal="center" vertical="center"/>
    </xf>
    <xf numFmtId="1" fontId="15609" fillId="8" borderId="1" xfId="0" applyNumberFormat="1" applyFont="1" applyFill="1" applyBorder="1" applyAlignment="1">
      <alignment horizontal="center" vertical="center"/>
    </xf>
    <xf numFmtId="1" fontId="15610" fillId="8" borderId="1" xfId="0" applyNumberFormat="1" applyFont="1" applyFill="1" applyBorder="1" applyAlignment="1">
      <alignment horizontal="center" vertical="center"/>
    </xf>
    <xf numFmtId="0" fontId="15611" fillId="8" borderId="1" xfId="0" applyNumberFormat="1" applyFont="1" applyFill="1" applyBorder="1" applyAlignment="1">
      <alignment horizontal="center" vertical="center"/>
    </xf>
    <xf numFmtId="0" fontId="15612" fillId="8" borderId="1" xfId="0" applyNumberFormat="1" applyFont="1" applyFill="1" applyBorder="1" applyAlignment="1">
      <alignment horizontal="center" vertical="center"/>
    </xf>
    <xf numFmtId="1" fontId="15613" fillId="8" borderId="1" xfId="0" applyNumberFormat="1" applyFont="1" applyFill="1" applyBorder="1" applyAlignment="1">
      <alignment horizontal="center" vertical="center"/>
    </xf>
    <xf numFmtId="1" fontId="15614" fillId="8" borderId="1" xfId="0" applyNumberFormat="1" applyFont="1" applyFill="1" applyBorder="1" applyAlignment="1">
      <alignment horizontal="center" vertical="center"/>
    </xf>
    <xf numFmtId="1" fontId="15615" fillId="8" borderId="1" xfId="0" applyNumberFormat="1" applyFont="1" applyFill="1" applyBorder="1" applyAlignment="1">
      <alignment horizontal="center" vertical="center"/>
    </xf>
    <xf numFmtId="165" fontId="15616" fillId="8" borderId="1" xfId="0" applyNumberFormat="1" applyFont="1" applyFill="1" applyBorder="1" applyAlignment="1">
      <alignment horizontal="center" vertical="center"/>
    </xf>
    <xf numFmtId="1" fontId="15617" fillId="8" borderId="1" xfId="0" applyNumberFormat="1" applyFont="1" applyFill="1" applyBorder="1" applyAlignment="1">
      <alignment horizontal="center" vertical="center"/>
    </xf>
    <xf numFmtId="165" fontId="15618" fillId="8" borderId="1" xfId="0" applyNumberFormat="1" applyFont="1" applyFill="1" applyBorder="1" applyAlignment="1">
      <alignment horizontal="center" vertical="center"/>
    </xf>
    <xf numFmtId="1" fontId="15619" fillId="8" borderId="1" xfId="0" applyNumberFormat="1" applyFont="1" applyFill="1" applyBorder="1" applyAlignment="1">
      <alignment horizontal="center" vertical="center"/>
    </xf>
    <xf numFmtId="165" fontId="15620" fillId="8" borderId="1" xfId="0" applyNumberFormat="1" applyFont="1" applyFill="1" applyBorder="1" applyAlignment="1">
      <alignment horizontal="center" vertical="center"/>
    </xf>
    <xf numFmtId="1" fontId="15621" fillId="8" borderId="1" xfId="0" applyNumberFormat="1" applyFont="1" applyFill="1" applyBorder="1" applyAlignment="1">
      <alignment horizontal="center" vertical="center"/>
    </xf>
    <xf numFmtId="165" fontId="15622" fillId="8" borderId="1" xfId="0" applyNumberFormat="1" applyFont="1" applyFill="1" applyBorder="1" applyAlignment="1">
      <alignment horizontal="center" vertical="center"/>
    </xf>
    <xf numFmtId="165" fontId="15623" fillId="8" borderId="1" xfId="0" applyNumberFormat="1" applyFont="1" applyFill="1" applyBorder="1" applyAlignment="1">
      <alignment horizontal="center" vertical="center"/>
    </xf>
    <xf numFmtId="1" fontId="15624" fillId="8" borderId="1" xfId="0" applyNumberFormat="1" applyFont="1" applyFill="1" applyBorder="1" applyAlignment="1">
      <alignment horizontal="center" vertical="center"/>
    </xf>
    <xf numFmtId="1" fontId="15625" fillId="8" borderId="1" xfId="0" applyNumberFormat="1" applyFont="1" applyFill="1" applyBorder="1" applyAlignment="1">
      <alignment horizontal="center" vertical="center"/>
    </xf>
    <xf numFmtId="1" fontId="15626" fillId="8" borderId="1" xfId="0" applyNumberFormat="1" applyFont="1" applyFill="1" applyBorder="1" applyAlignment="1">
      <alignment horizontal="center" vertical="center"/>
    </xf>
    <xf numFmtId="165" fontId="15627" fillId="8" borderId="1" xfId="0" applyNumberFormat="1" applyFont="1" applyFill="1" applyBorder="1" applyAlignment="1">
      <alignment horizontal="center" vertical="center"/>
    </xf>
    <xf numFmtId="164" fontId="15628" fillId="8" borderId="1" xfId="0" applyNumberFormat="1" applyFont="1" applyFill="1" applyBorder="1" applyAlignment="1">
      <alignment horizontal="center" vertical="center"/>
    </xf>
    <xf numFmtId="164" fontId="15629" fillId="8" borderId="1" xfId="0" applyNumberFormat="1" applyFont="1" applyFill="1" applyBorder="1" applyAlignment="1">
      <alignment horizontal="center" vertical="center"/>
    </xf>
    <xf numFmtId="1" fontId="15630" fillId="8" borderId="1" xfId="0" applyNumberFormat="1" applyFont="1" applyFill="1" applyBorder="1" applyAlignment="1">
      <alignment horizontal="center" vertical="center"/>
    </xf>
    <xf numFmtId="1" fontId="15631" fillId="8" borderId="1" xfId="0" applyNumberFormat="1" applyFont="1" applyFill="1" applyBorder="1" applyAlignment="1">
      <alignment horizontal="center" vertical="center"/>
    </xf>
    <xf numFmtId="1" fontId="15632" fillId="8" borderId="1" xfId="0" applyNumberFormat="1" applyFont="1" applyFill="1" applyBorder="1" applyAlignment="1">
      <alignment horizontal="center" vertical="center"/>
    </xf>
    <xf numFmtId="165" fontId="15633" fillId="8" borderId="1" xfId="0" applyNumberFormat="1" applyFont="1" applyFill="1" applyBorder="1" applyAlignment="1">
      <alignment horizontal="center" vertical="center"/>
    </xf>
    <xf numFmtId="1" fontId="15634" fillId="8" borderId="1" xfId="0" applyNumberFormat="1" applyFont="1" applyFill="1" applyBorder="1" applyAlignment="1">
      <alignment horizontal="center" vertical="center"/>
    </xf>
    <xf numFmtId="165" fontId="15635" fillId="8" borderId="1" xfId="0" applyNumberFormat="1" applyFont="1" applyFill="1" applyBorder="1" applyAlignment="1">
      <alignment horizontal="center" vertical="center"/>
    </xf>
    <xf numFmtId="1" fontId="15636" fillId="8" borderId="1" xfId="0" applyNumberFormat="1" applyFont="1" applyFill="1" applyBorder="1" applyAlignment="1">
      <alignment horizontal="center" vertical="center"/>
    </xf>
    <xf numFmtId="1" fontId="15637" fillId="8" borderId="1" xfId="0" applyNumberFormat="1" applyFont="1" applyFill="1" applyBorder="1" applyAlignment="1">
      <alignment horizontal="center" vertical="center"/>
    </xf>
    <xf numFmtId="1" fontId="15638" fillId="8" borderId="1" xfId="0" applyNumberFormat="1" applyFont="1" applyFill="1" applyBorder="1" applyAlignment="1">
      <alignment horizontal="center" vertical="center"/>
    </xf>
    <xf numFmtId="1" fontId="15639" fillId="8" borderId="1" xfId="0" applyNumberFormat="1" applyFont="1" applyFill="1" applyBorder="1" applyAlignment="1">
      <alignment horizontal="center" vertical="center"/>
    </xf>
    <xf numFmtId="165" fontId="15640" fillId="8" borderId="1" xfId="0" applyNumberFormat="1" applyFont="1" applyFill="1" applyBorder="1" applyAlignment="1">
      <alignment horizontal="center" vertical="center"/>
    </xf>
    <xf numFmtId="1" fontId="15641" fillId="8" borderId="1" xfId="0" applyNumberFormat="1" applyFont="1" applyFill="1" applyBorder="1" applyAlignment="1">
      <alignment horizontal="center" vertical="center"/>
    </xf>
    <xf numFmtId="165" fontId="15642" fillId="8" borderId="1" xfId="0" applyNumberFormat="1" applyFont="1" applyFill="1" applyBorder="1" applyAlignment="1">
      <alignment horizontal="center" vertical="center"/>
    </xf>
    <xf numFmtId="1" fontId="15643" fillId="8" borderId="1" xfId="0" applyNumberFormat="1" applyFont="1" applyFill="1" applyBorder="1" applyAlignment="1">
      <alignment horizontal="center" vertical="center"/>
    </xf>
    <xf numFmtId="165" fontId="15644" fillId="8" borderId="1" xfId="0" applyNumberFormat="1" applyFont="1" applyFill="1" applyBorder="1" applyAlignment="1">
      <alignment horizontal="center" vertical="center"/>
    </xf>
    <xf numFmtId="2" fontId="15645" fillId="8" borderId="1" xfId="0" applyNumberFormat="1" applyFont="1" applyFill="1" applyBorder="1" applyAlignment="1">
      <alignment horizontal="center" vertical="center"/>
    </xf>
    <xf numFmtId="2" fontId="15646" fillId="8" borderId="1" xfId="0" applyNumberFormat="1" applyFont="1" applyFill="1" applyBorder="1" applyAlignment="1">
      <alignment horizontal="center" vertical="center"/>
    </xf>
    <xf numFmtId="2" fontId="15647" fillId="8" borderId="1" xfId="0" applyNumberFormat="1" applyFont="1" applyFill="1" applyBorder="1" applyAlignment="1">
      <alignment horizontal="center" vertical="center"/>
    </xf>
    <xf numFmtId="2" fontId="15648" fillId="8" borderId="1" xfId="0" applyNumberFormat="1" applyFont="1" applyFill="1" applyBorder="1" applyAlignment="1">
      <alignment horizontal="center" vertical="center"/>
    </xf>
    <xf numFmtId="2" fontId="15649" fillId="8" borderId="1" xfId="0" applyNumberFormat="1" applyFont="1" applyFill="1" applyBorder="1" applyAlignment="1">
      <alignment horizontal="center" vertical="center"/>
    </xf>
    <xf numFmtId="2" fontId="15650" fillId="8" borderId="1" xfId="0" applyNumberFormat="1" applyFont="1" applyFill="1" applyBorder="1" applyAlignment="1">
      <alignment horizontal="center" vertical="center"/>
    </xf>
    <xf numFmtId="2" fontId="15651" fillId="8" borderId="1" xfId="0" applyNumberFormat="1" applyFont="1" applyFill="1" applyBorder="1" applyAlignment="1">
      <alignment horizontal="center" vertical="center"/>
    </xf>
    <xf numFmtId="2" fontId="15652" fillId="8" borderId="1" xfId="0" applyNumberFormat="1" applyFont="1" applyFill="1" applyBorder="1" applyAlignment="1">
      <alignment horizontal="center" vertical="center"/>
    </xf>
    <xf numFmtId="2" fontId="15653" fillId="8" borderId="1" xfId="0" applyNumberFormat="1" applyFont="1" applyFill="1" applyBorder="1" applyAlignment="1">
      <alignment horizontal="center" vertical="center"/>
    </xf>
    <xf numFmtId="2" fontId="15654" fillId="8" borderId="1" xfId="0" applyNumberFormat="1" applyFont="1" applyFill="1" applyBorder="1" applyAlignment="1">
      <alignment horizontal="center" vertical="center"/>
    </xf>
    <xf numFmtId="2" fontId="15655" fillId="8" borderId="1" xfId="0" applyNumberFormat="1" applyFont="1" applyFill="1" applyBorder="1" applyAlignment="1">
      <alignment horizontal="center" vertical="center"/>
    </xf>
    <xf numFmtId="2" fontId="15656" fillId="8" borderId="1" xfId="0" applyNumberFormat="1" applyFont="1" applyFill="1" applyBorder="1" applyAlignment="1">
      <alignment horizontal="center" vertical="center"/>
    </xf>
    <xf numFmtId="2" fontId="15657" fillId="8" borderId="1" xfId="0" applyNumberFormat="1" applyFont="1" applyFill="1" applyBorder="1" applyAlignment="1">
      <alignment horizontal="center" vertical="center"/>
    </xf>
    <xf numFmtId="2" fontId="15658" fillId="8" borderId="1" xfId="0" applyNumberFormat="1" applyFont="1" applyFill="1" applyBorder="1" applyAlignment="1">
      <alignment horizontal="center" vertical="center"/>
    </xf>
    <xf numFmtId="2" fontId="15659" fillId="8" borderId="1" xfId="0" applyNumberFormat="1" applyFont="1" applyFill="1" applyBorder="1" applyAlignment="1">
      <alignment horizontal="center" vertical="center"/>
    </xf>
    <xf numFmtId="2" fontId="15660" fillId="8" borderId="1" xfId="0" applyNumberFormat="1" applyFont="1" applyFill="1" applyBorder="1" applyAlignment="1">
      <alignment horizontal="center" vertical="center"/>
    </xf>
    <xf numFmtId="2" fontId="15661" fillId="8" borderId="1" xfId="0" applyNumberFormat="1" applyFont="1" applyFill="1" applyBorder="1" applyAlignment="1">
      <alignment horizontal="center" vertical="center"/>
    </xf>
    <xf numFmtId="2" fontId="15662" fillId="8" borderId="1" xfId="0" applyNumberFormat="1" applyFont="1" applyFill="1" applyBorder="1" applyAlignment="1">
      <alignment horizontal="center" vertical="center"/>
    </xf>
    <xf numFmtId="2" fontId="15663" fillId="8" borderId="1" xfId="0" applyNumberFormat="1" applyFont="1" applyFill="1" applyBorder="1" applyAlignment="1">
      <alignment horizontal="center" vertical="center"/>
    </xf>
    <xf numFmtId="2" fontId="15664" fillId="8" borderId="1" xfId="0" applyNumberFormat="1" applyFont="1" applyFill="1" applyBorder="1" applyAlignment="1">
      <alignment horizontal="center" vertical="center"/>
    </xf>
    <xf numFmtId="2" fontId="15665" fillId="8" borderId="1" xfId="0" applyNumberFormat="1" applyFont="1" applyFill="1" applyBorder="1" applyAlignment="1">
      <alignment horizontal="center" vertical="center"/>
    </xf>
    <xf numFmtId="2" fontId="15666" fillId="8" borderId="1" xfId="0" applyNumberFormat="1" applyFont="1" applyFill="1" applyBorder="1" applyAlignment="1">
      <alignment horizontal="center" vertical="center"/>
    </xf>
    <xf numFmtId="2" fontId="15667" fillId="8" borderId="1" xfId="0" applyNumberFormat="1" applyFont="1" applyFill="1" applyBorder="1" applyAlignment="1">
      <alignment horizontal="center" vertical="center"/>
    </xf>
    <xf numFmtId="2" fontId="15668" fillId="8" borderId="1" xfId="0" applyNumberFormat="1" applyFont="1" applyFill="1" applyBorder="1" applyAlignment="1">
      <alignment horizontal="center" vertical="center"/>
    </xf>
    <xf numFmtId="2" fontId="15669" fillId="8" borderId="1" xfId="0" applyNumberFormat="1" applyFont="1" applyFill="1" applyBorder="1" applyAlignment="1">
      <alignment horizontal="center" vertical="center"/>
    </xf>
    <xf numFmtId="2" fontId="15670" fillId="8" borderId="1" xfId="0" applyNumberFormat="1" applyFont="1" applyFill="1" applyBorder="1" applyAlignment="1">
      <alignment horizontal="center" vertical="center"/>
    </xf>
    <xf numFmtId="2" fontId="15671" fillId="8" borderId="1" xfId="0" applyNumberFormat="1" applyFont="1" applyFill="1" applyBorder="1" applyAlignment="1">
      <alignment horizontal="center" vertical="center"/>
    </xf>
    <xf numFmtId="2" fontId="15672" fillId="8" borderId="1" xfId="0" applyNumberFormat="1" applyFont="1" applyFill="1" applyBorder="1" applyAlignment="1">
      <alignment horizontal="center" vertical="center"/>
    </xf>
    <xf numFmtId="2" fontId="15673" fillId="8" borderId="1" xfId="0" applyNumberFormat="1" applyFont="1" applyFill="1" applyBorder="1" applyAlignment="1">
      <alignment horizontal="center" vertical="center"/>
    </xf>
    <xf numFmtId="2" fontId="15674" fillId="8" borderId="1" xfId="0" applyNumberFormat="1" applyFont="1" applyFill="1" applyBorder="1" applyAlignment="1">
      <alignment horizontal="center" vertical="center"/>
    </xf>
    <xf numFmtId="2" fontId="15675" fillId="8" borderId="1" xfId="0" applyNumberFormat="1" applyFont="1" applyFill="1" applyBorder="1" applyAlignment="1">
      <alignment horizontal="center" vertical="center"/>
    </xf>
    <xf numFmtId="2" fontId="15676" fillId="8" borderId="1" xfId="0" applyNumberFormat="1" applyFont="1" applyFill="1" applyBorder="1" applyAlignment="1">
      <alignment horizontal="center" vertical="center"/>
    </xf>
    <xf numFmtId="2" fontId="15677" fillId="8" borderId="1" xfId="0" applyNumberFormat="1" applyFont="1" applyFill="1" applyBorder="1" applyAlignment="1">
      <alignment horizontal="center" vertical="center"/>
    </xf>
    <xf numFmtId="2" fontId="15678" fillId="8" borderId="1" xfId="0" applyNumberFormat="1" applyFont="1" applyFill="1" applyBorder="1" applyAlignment="1">
      <alignment horizontal="center" vertical="center"/>
    </xf>
    <xf numFmtId="0" fontId="15679" fillId="7" borderId="1" xfId="0" applyNumberFormat="1" applyFont="1" applyFill="1" applyBorder="1" applyAlignment="1">
      <alignment horizontal="left" vertical="center"/>
    </xf>
    <xf numFmtId="0" fontId="15680" fillId="8" borderId="1" xfId="0" applyNumberFormat="1" applyFont="1" applyFill="1" applyBorder="1" applyAlignment="1">
      <alignment horizontal="center" vertical="center"/>
    </xf>
    <xf numFmtId="164" fontId="15681" fillId="8" borderId="1" xfId="0" applyNumberFormat="1" applyFont="1" applyFill="1" applyBorder="1" applyAlignment="1">
      <alignment horizontal="center" vertical="center"/>
    </xf>
    <xf numFmtId="1" fontId="15682" fillId="8" borderId="1" xfId="0" applyNumberFormat="1" applyFont="1" applyFill="1" applyBorder="1" applyAlignment="1">
      <alignment horizontal="center" vertical="center"/>
    </xf>
    <xf numFmtId="1" fontId="15683" fillId="8" borderId="1" xfId="0" applyNumberFormat="1" applyFont="1" applyFill="1" applyBorder="1" applyAlignment="1">
      <alignment horizontal="center" vertical="center"/>
    </xf>
    <xf numFmtId="1" fontId="15684" fillId="8" borderId="1" xfId="0" applyNumberFormat="1" applyFont="1" applyFill="1" applyBorder="1" applyAlignment="1">
      <alignment horizontal="center" vertical="center"/>
    </xf>
    <xf numFmtId="1" fontId="15685" fillId="8" borderId="1" xfId="0" applyNumberFormat="1" applyFont="1" applyFill="1" applyBorder="1" applyAlignment="1">
      <alignment horizontal="center" vertical="center"/>
    </xf>
    <xf numFmtId="1" fontId="15686" fillId="8" borderId="1" xfId="0" applyNumberFormat="1" applyFont="1" applyFill="1" applyBorder="1" applyAlignment="1">
      <alignment horizontal="center" vertical="center"/>
    </xf>
    <xf numFmtId="1" fontId="15687" fillId="8" borderId="1" xfId="0" applyNumberFormat="1" applyFont="1" applyFill="1" applyBorder="1" applyAlignment="1">
      <alignment horizontal="center" vertical="center"/>
    </xf>
    <xf numFmtId="1" fontId="15688" fillId="8" borderId="1" xfId="0" applyNumberFormat="1" applyFont="1" applyFill="1" applyBorder="1" applyAlignment="1">
      <alignment horizontal="center" vertical="center"/>
    </xf>
    <xf numFmtId="0" fontId="15689" fillId="8" borderId="1" xfId="0" applyNumberFormat="1" applyFont="1" applyFill="1" applyBorder="1" applyAlignment="1">
      <alignment horizontal="center" vertical="center"/>
    </xf>
    <xf numFmtId="0" fontId="15690" fillId="8" borderId="1" xfId="0" applyNumberFormat="1" applyFont="1" applyFill="1" applyBorder="1" applyAlignment="1">
      <alignment horizontal="center" vertical="center"/>
    </xf>
    <xf numFmtId="1" fontId="15691" fillId="8" borderId="1" xfId="0" applyNumberFormat="1" applyFont="1" applyFill="1" applyBorder="1" applyAlignment="1">
      <alignment horizontal="center" vertical="center"/>
    </xf>
    <xf numFmtId="1" fontId="15692" fillId="8" borderId="1" xfId="0" applyNumberFormat="1" applyFont="1" applyFill="1" applyBorder="1" applyAlignment="1">
      <alignment horizontal="center" vertical="center"/>
    </xf>
    <xf numFmtId="1" fontId="15693" fillId="8" borderId="1" xfId="0" applyNumberFormat="1" applyFont="1" applyFill="1" applyBorder="1" applyAlignment="1">
      <alignment horizontal="center" vertical="center"/>
    </xf>
    <xf numFmtId="165" fontId="15694" fillId="8" borderId="1" xfId="0" applyNumberFormat="1" applyFont="1" applyFill="1" applyBorder="1" applyAlignment="1">
      <alignment horizontal="center" vertical="center"/>
    </xf>
    <xf numFmtId="1" fontId="15695" fillId="8" borderId="1" xfId="0" applyNumberFormat="1" applyFont="1" applyFill="1" applyBorder="1" applyAlignment="1">
      <alignment horizontal="center" vertical="center"/>
    </xf>
    <xf numFmtId="165" fontId="15696" fillId="8" borderId="1" xfId="0" applyNumberFormat="1" applyFont="1" applyFill="1" applyBorder="1" applyAlignment="1">
      <alignment horizontal="center" vertical="center"/>
    </xf>
    <xf numFmtId="1" fontId="15697" fillId="8" borderId="1" xfId="0" applyNumberFormat="1" applyFont="1" applyFill="1" applyBorder="1" applyAlignment="1">
      <alignment horizontal="center" vertical="center"/>
    </xf>
    <xf numFmtId="165" fontId="15698" fillId="8" borderId="1" xfId="0" applyNumberFormat="1" applyFont="1" applyFill="1" applyBorder="1" applyAlignment="1">
      <alignment horizontal="center" vertical="center"/>
    </xf>
    <xf numFmtId="1" fontId="15699" fillId="8" borderId="1" xfId="0" applyNumberFormat="1" applyFont="1" applyFill="1" applyBorder="1" applyAlignment="1">
      <alignment horizontal="center" vertical="center"/>
    </xf>
    <xf numFmtId="165" fontId="15700" fillId="8" borderId="1" xfId="0" applyNumberFormat="1" applyFont="1" applyFill="1" applyBorder="1" applyAlignment="1">
      <alignment horizontal="center" vertical="center"/>
    </xf>
    <xf numFmtId="165" fontId="15701" fillId="8" borderId="1" xfId="0" applyNumberFormat="1" applyFont="1" applyFill="1" applyBorder="1" applyAlignment="1">
      <alignment horizontal="center" vertical="center"/>
    </xf>
    <xf numFmtId="1" fontId="15702" fillId="8" borderId="1" xfId="0" applyNumberFormat="1" applyFont="1" applyFill="1" applyBorder="1" applyAlignment="1">
      <alignment horizontal="center" vertical="center"/>
    </xf>
    <xf numFmtId="1" fontId="15703" fillId="8" borderId="1" xfId="0" applyNumberFormat="1" applyFont="1" applyFill="1" applyBorder="1" applyAlignment="1">
      <alignment horizontal="center" vertical="center"/>
    </xf>
    <xf numFmtId="1" fontId="15704" fillId="8" borderId="1" xfId="0" applyNumberFormat="1" applyFont="1" applyFill="1" applyBorder="1" applyAlignment="1">
      <alignment horizontal="center" vertical="center"/>
    </xf>
    <xf numFmtId="165" fontId="15705" fillId="8" borderId="1" xfId="0" applyNumberFormat="1" applyFont="1" applyFill="1" applyBorder="1" applyAlignment="1">
      <alignment horizontal="center" vertical="center"/>
    </xf>
    <xf numFmtId="164" fontId="15706" fillId="8" borderId="1" xfId="0" applyNumberFormat="1" applyFont="1" applyFill="1" applyBorder="1" applyAlignment="1">
      <alignment horizontal="center" vertical="center"/>
    </xf>
    <xf numFmtId="164" fontId="15707" fillId="8" borderId="1" xfId="0" applyNumberFormat="1" applyFont="1" applyFill="1" applyBorder="1" applyAlignment="1">
      <alignment horizontal="center" vertical="center"/>
    </xf>
    <xf numFmtId="1" fontId="15708" fillId="8" borderId="1" xfId="0" applyNumberFormat="1" applyFont="1" applyFill="1" applyBorder="1" applyAlignment="1">
      <alignment horizontal="center" vertical="center"/>
    </xf>
    <xf numFmtId="1" fontId="15709" fillId="8" borderId="1" xfId="0" applyNumberFormat="1" applyFont="1" applyFill="1" applyBorder="1" applyAlignment="1">
      <alignment horizontal="center" vertical="center"/>
    </xf>
    <xf numFmtId="1" fontId="15710" fillId="8" borderId="1" xfId="0" applyNumberFormat="1" applyFont="1" applyFill="1" applyBorder="1" applyAlignment="1">
      <alignment horizontal="center" vertical="center"/>
    </xf>
    <xf numFmtId="165" fontId="15711" fillId="8" borderId="1" xfId="0" applyNumberFormat="1" applyFont="1" applyFill="1" applyBorder="1" applyAlignment="1">
      <alignment horizontal="center" vertical="center"/>
    </xf>
    <xf numFmtId="1" fontId="15712" fillId="8" borderId="1" xfId="0" applyNumberFormat="1" applyFont="1" applyFill="1" applyBorder="1" applyAlignment="1">
      <alignment horizontal="center" vertical="center"/>
    </xf>
    <xf numFmtId="165" fontId="15713" fillId="8" borderId="1" xfId="0" applyNumberFormat="1" applyFont="1" applyFill="1" applyBorder="1" applyAlignment="1">
      <alignment horizontal="center" vertical="center"/>
    </xf>
    <xf numFmtId="1" fontId="15714" fillId="8" borderId="1" xfId="0" applyNumberFormat="1" applyFont="1" applyFill="1" applyBorder="1" applyAlignment="1">
      <alignment horizontal="center" vertical="center"/>
    </xf>
    <xf numFmtId="1" fontId="15715" fillId="8" borderId="1" xfId="0" applyNumberFormat="1" applyFont="1" applyFill="1" applyBorder="1" applyAlignment="1">
      <alignment horizontal="center" vertical="center"/>
    </xf>
    <xf numFmtId="1" fontId="15716" fillId="8" borderId="1" xfId="0" applyNumberFormat="1" applyFont="1" applyFill="1" applyBorder="1" applyAlignment="1">
      <alignment horizontal="center" vertical="center"/>
    </xf>
    <xf numFmtId="1" fontId="15717" fillId="8" borderId="1" xfId="0" applyNumberFormat="1" applyFont="1" applyFill="1" applyBorder="1" applyAlignment="1">
      <alignment horizontal="center" vertical="center"/>
    </xf>
    <xf numFmtId="165" fontId="15718" fillId="8" borderId="1" xfId="0" applyNumberFormat="1" applyFont="1" applyFill="1" applyBorder="1" applyAlignment="1">
      <alignment horizontal="center" vertical="center"/>
    </xf>
    <xf numFmtId="1" fontId="15719" fillId="8" borderId="1" xfId="0" applyNumberFormat="1" applyFont="1" applyFill="1" applyBorder="1" applyAlignment="1">
      <alignment horizontal="center" vertical="center"/>
    </xf>
    <xf numFmtId="165" fontId="15720" fillId="8" borderId="1" xfId="0" applyNumberFormat="1" applyFont="1" applyFill="1" applyBorder="1" applyAlignment="1">
      <alignment horizontal="center" vertical="center"/>
    </xf>
    <xf numFmtId="1" fontId="15721" fillId="8" borderId="1" xfId="0" applyNumberFormat="1" applyFont="1" applyFill="1" applyBorder="1" applyAlignment="1">
      <alignment horizontal="center" vertical="center"/>
    </xf>
    <xf numFmtId="165" fontId="15722" fillId="8" borderId="1" xfId="0" applyNumberFormat="1" applyFont="1" applyFill="1" applyBorder="1" applyAlignment="1">
      <alignment horizontal="center" vertical="center"/>
    </xf>
    <xf numFmtId="2" fontId="15723" fillId="8" borderId="1" xfId="0" applyNumberFormat="1" applyFont="1" applyFill="1" applyBorder="1" applyAlignment="1">
      <alignment horizontal="center" vertical="center"/>
    </xf>
    <xf numFmtId="2" fontId="15724" fillId="8" borderId="1" xfId="0" applyNumberFormat="1" applyFont="1" applyFill="1" applyBorder="1" applyAlignment="1">
      <alignment horizontal="center" vertical="center"/>
    </xf>
    <xf numFmtId="2" fontId="15725" fillId="8" borderId="1" xfId="0" applyNumberFormat="1" applyFont="1" applyFill="1" applyBorder="1" applyAlignment="1">
      <alignment horizontal="center" vertical="center"/>
    </xf>
    <xf numFmtId="2" fontId="15726" fillId="8" borderId="1" xfId="0" applyNumberFormat="1" applyFont="1" applyFill="1" applyBorder="1" applyAlignment="1">
      <alignment horizontal="center" vertical="center"/>
    </xf>
    <xf numFmtId="2" fontId="15727" fillId="8" borderId="1" xfId="0" applyNumberFormat="1" applyFont="1" applyFill="1" applyBorder="1" applyAlignment="1">
      <alignment horizontal="center" vertical="center"/>
    </xf>
    <xf numFmtId="2" fontId="15728" fillId="8" borderId="1" xfId="0" applyNumberFormat="1" applyFont="1" applyFill="1" applyBorder="1" applyAlignment="1">
      <alignment horizontal="center" vertical="center"/>
    </xf>
    <xf numFmtId="2" fontId="15729" fillId="8" borderId="1" xfId="0" applyNumberFormat="1" applyFont="1" applyFill="1" applyBorder="1" applyAlignment="1">
      <alignment horizontal="center" vertical="center"/>
    </xf>
    <xf numFmtId="2" fontId="15730" fillId="8" borderId="1" xfId="0" applyNumberFormat="1" applyFont="1" applyFill="1" applyBorder="1" applyAlignment="1">
      <alignment horizontal="center" vertical="center"/>
    </xf>
    <xf numFmtId="2" fontId="15731" fillId="8" borderId="1" xfId="0" applyNumberFormat="1" applyFont="1" applyFill="1" applyBorder="1" applyAlignment="1">
      <alignment horizontal="center" vertical="center"/>
    </xf>
    <xf numFmtId="2" fontId="15732" fillId="8" borderId="1" xfId="0" applyNumberFormat="1" applyFont="1" applyFill="1" applyBorder="1" applyAlignment="1">
      <alignment horizontal="center" vertical="center"/>
    </xf>
    <xf numFmtId="2" fontId="15733" fillId="8" borderId="1" xfId="0" applyNumberFormat="1" applyFont="1" applyFill="1" applyBorder="1" applyAlignment="1">
      <alignment horizontal="center" vertical="center"/>
    </xf>
    <xf numFmtId="2" fontId="15734" fillId="8" borderId="1" xfId="0" applyNumberFormat="1" applyFont="1" applyFill="1" applyBorder="1" applyAlignment="1">
      <alignment horizontal="center" vertical="center"/>
    </xf>
    <xf numFmtId="2" fontId="15735" fillId="8" borderId="1" xfId="0" applyNumberFormat="1" applyFont="1" applyFill="1" applyBorder="1" applyAlignment="1">
      <alignment horizontal="center" vertical="center"/>
    </xf>
    <xf numFmtId="2" fontId="15736" fillId="8" borderId="1" xfId="0" applyNumberFormat="1" applyFont="1" applyFill="1" applyBorder="1" applyAlignment="1">
      <alignment horizontal="center" vertical="center"/>
    </xf>
    <xf numFmtId="2" fontId="15737" fillId="8" borderId="1" xfId="0" applyNumberFormat="1" applyFont="1" applyFill="1" applyBorder="1" applyAlignment="1">
      <alignment horizontal="center" vertical="center"/>
    </xf>
    <xf numFmtId="2" fontId="15738" fillId="8" borderId="1" xfId="0" applyNumberFormat="1" applyFont="1" applyFill="1" applyBorder="1" applyAlignment="1">
      <alignment horizontal="center" vertical="center"/>
    </xf>
    <xf numFmtId="2" fontId="15739" fillId="8" borderId="1" xfId="0" applyNumberFormat="1" applyFont="1" applyFill="1" applyBorder="1" applyAlignment="1">
      <alignment horizontal="center" vertical="center"/>
    </xf>
    <xf numFmtId="2" fontId="15740" fillId="8" borderId="1" xfId="0" applyNumberFormat="1" applyFont="1" applyFill="1" applyBorder="1" applyAlignment="1">
      <alignment horizontal="center" vertical="center"/>
    </xf>
    <xf numFmtId="2" fontId="15741" fillId="8" borderId="1" xfId="0" applyNumberFormat="1" applyFont="1" applyFill="1" applyBorder="1" applyAlignment="1">
      <alignment horizontal="center" vertical="center"/>
    </xf>
    <xf numFmtId="2" fontId="15742" fillId="8" borderId="1" xfId="0" applyNumberFormat="1" applyFont="1" applyFill="1" applyBorder="1" applyAlignment="1">
      <alignment horizontal="center" vertical="center"/>
    </xf>
    <xf numFmtId="2" fontId="15743" fillId="8" borderId="1" xfId="0" applyNumberFormat="1" applyFont="1" applyFill="1" applyBorder="1" applyAlignment="1">
      <alignment horizontal="center" vertical="center"/>
    </xf>
    <xf numFmtId="2" fontId="15744" fillId="8" borderId="1" xfId="0" applyNumberFormat="1" applyFont="1" applyFill="1" applyBorder="1" applyAlignment="1">
      <alignment horizontal="center" vertical="center"/>
    </xf>
    <xf numFmtId="2" fontId="15745" fillId="8" borderId="1" xfId="0" applyNumberFormat="1" applyFont="1" applyFill="1" applyBorder="1" applyAlignment="1">
      <alignment horizontal="center" vertical="center"/>
    </xf>
    <xf numFmtId="2" fontId="15746" fillId="8" borderId="1" xfId="0" applyNumberFormat="1" applyFont="1" applyFill="1" applyBorder="1" applyAlignment="1">
      <alignment horizontal="center" vertical="center"/>
    </xf>
    <xf numFmtId="2" fontId="15747" fillId="8" borderId="1" xfId="0" applyNumberFormat="1" applyFont="1" applyFill="1" applyBorder="1" applyAlignment="1">
      <alignment horizontal="center" vertical="center"/>
    </xf>
    <xf numFmtId="2" fontId="15748" fillId="8" borderId="1" xfId="0" applyNumberFormat="1" applyFont="1" applyFill="1" applyBorder="1" applyAlignment="1">
      <alignment horizontal="center" vertical="center"/>
    </xf>
    <xf numFmtId="2" fontId="15749" fillId="8" borderId="1" xfId="0" applyNumberFormat="1" applyFont="1" applyFill="1" applyBorder="1" applyAlignment="1">
      <alignment horizontal="center" vertical="center"/>
    </xf>
    <xf numFmtId="2" fontId="15750" fillId="8" borderId="1" xfId="0" applyNumberFormat="1" applyFont="1" applyFill="1" applyBorder="1" applyAlignment="1">
      <alignment horizontal="center" vertical="center"/>
    </xf>
    <xf numFmtId="2" fontId="15751" fillId="8" borderId="1" xfId="0" applyNumberFormat="1" applyFont="1" applyFill="1" applyBorder="1" applyAlignment="1">
      <alignment horizontal="center" vertical="center"/>
    </xf>
    <xf numFmtId="2" fontId="15752" fillId="8" borderId="1" xfId="0" applyNumberFormat="1" applyFont="1" applyFill="1" applyBorder="1" applyAlignment="1">
      <alignment horizontal="center" vertical="center"/>
    </xf>
    <xf numFmtId="2" fontId="15753" fillId="8" borderId="1" xfId="0" applyNumberFormat="1" applyFont="1" applyFill="1" applyBorder="1" applyAlignment="1">
      <alignment horizontal="center" vertical="center"/>
    </xf>
    <xf numFmtId="2" fontId="15754" fillId="8" borderId="1" xfId="0" applyNumberFormat="1" applyFont="1" applyFill="1" applyBorder="1" applyAlignment="1">
      <alignment horizontal="center" vertical="center"/>
    </xf>
    <xf numFmtId="2" fontId="15755" fillId="8" borderId="1" xfId="0" applyNumberFormat="1" applyFont="1" applyFill="1" applyBorder="1" applyAlignment="1">
      <alignment horizontal="center" vertical="center"/>
    </xf>
    <xf numFmtId="2" fontId="15756" fillId="8" borderId="1" xfId="0" applyNumberFormat="1" applyFont="1" applyFill="1" applyBorder="1" applyAlignment="1">
      <alignment horizontal="center" vertical="center"/>
    </xf>
    <xf numFmtId="0" fontId="15757" fillId="7" borderId="1" xfId="0" applyNumberFormat="1" applyFont="1" applyFill="1" applyBorder="1" applyAlignment="1">
      <alignment horizontal="left" vertical="center"/>
    </xf>
    <xf numFmtId="0" fontId="15758" fillId="8" borderId="1" xfId="0" applyNumberFormat="1" applyFont="1" applyFill="1" applyBorder="1" applyAlignment="1">
      <alignment horizontal="center" vertical="center"/>
    </xf>
    <xf numFmtId="164" fontId="15759" fillId="8" borderId="1" xfId="0" applyNumberFormat="1" applyFont="1" applyFill="1" applyBorder="1" applyAlignment="1">
      <alignment horizontal="center" vertical="center"/>
    </xf>
    <xf numFmtId="1" fontId="15760" fillId="8" borderId="1" xfId="0" applyNumberFormat="1" applyFont="1" applyFill="1" applyBorder="1" applyAlignment="1">
      <alignment horizontal="center" vertical="center"/>
    </xf>
    <xf numFmtId="1" fontId="15761" fillId="8" borderId="1" xfId="0" applyNumberFormat="1" applyFont="1" applyFill="1" applyBorder="1" applyAlignment="1">
      <alignment horizontal="center" vertical="center"/>
    </xf>
    <xf numFmtId="1" fontId="15762" fillId="8" borderId="1" xfId="0" applyNumberFormat="1" applyFont="1" applyFill="1" applyBorder="1" applyAlignment="1">
      <alignment horizontal="center" vertical="center"/>
    </xf>
    <xf numFmtId="1" fontId="15763" fillId="8" borderId="1" xfId="0" applyNumberFormat="1" applyFont="1" applyFill="1" applyBorder="1" applyAlignment="1">
      <alignment horizontal="center" vertical="center"/>
    </xf>
    <xf numFmtId="1" fontId="15764" fillId="8" borderId="1" xfId="0" applyNumberFormat="1" applyFont="1" applyFill="1" applyBorder="1" applyAlignment="1">
      <alignment horizontal="center" vertical="center"/>
    </xf>
    <xf numFmtId="1" fontId="15765" fillId="8" borderId="1" xfId="0" applyNumberFormat="1" applyFont="1" applyFill="1" applyBorder="1" applyAlignment="1">
      <alignment horizontal="center" vertical="center"/>
    </xf>
    <xf numFmtId="1" fontId="15766" fillId="8" borderId="1" xfId="0" applyNumberFormat="1" applyFont="1" applyFill="1" applyBorder="1" applyAlignment="1">
      <alignment horizontal="center" vertical="center"/>
    </xf>
    <xf numFmtId="0" fontId="15767" fillId="8" borderId="1" xfId="0" applyNumberFormat="1" applyFont="1" applyFill="1" applyBorder="1" applyAlignment="1">
      <alignment horizontal="center" vertical="center"/>
    </xf>
    <xf numFmtId="0" fontId="15768" fillId="8" borderId="1" xfId="0" applyNumberFormat="1" applyFont="1" applyFill="1" applyBorder="1" applyAlignment="1">
      <alignment horizontal="center" vertical="center"/>
    </xf>
    <xf numFmtId="1" fontId="15769" fillId="8" borderId="1" xfId="0" applyNumberFormat="1" applyFont="1" applyFill="1" applyBorder="1" applyAlignment="1">
      <alignment horizontal="center" vertical="center"/>
    </xf>
    <xf numFmtId="1" fontId="15770" fillId="8" borderId="1" xfId="0" applyNumberFormat="1" applyFont="1" applyFill="1" applyBorder="1" applyAlignment="1">
      <alignment horizontal="center" vertical="center"/>
    </xf>
    <xf numFmtId="1" fontId="15771" fillId="8" borderId="1" xfId="0" applyNumberFormat="1" applyFont="1" applyFill="1" applyBorder="1" applyAlignment="1">
      <alignment horizontal="center" vertical="center"/>
    </xf>
    <xf numFmtId="165" fontId="15772" fillId="8" borderId="1" xfId="0" applyNumberFormat="1" applyFont="1" applyFill="1" applyBorder="1" applyAlignment="1">
      <alignment horizontal="center" vertical="center"/>
    </xf>
    <xf numFmtId="1" fontId="15773" fillId="8" borderId="1" xfId="0" applyNumberFormat="1" applyFont="1" applyFill="1" applyBorder="1" applyAlignment="1">
      <alignment horizontal="center" vertical="center"/>
    </xf>
    <xf numFmtId="165" fontId="15774" fillId="8" borderId="1" xfId="0" applyNumberFormat="1" applyFont="1" applyFill="1" applyBorder="1" applyAlignment="1">
      <alignment horizontal="center" vertical="center"/>
    </xf>
    <xf numFmtId="1" fontId="15775" fillId="8" borderId="1" xfId="0" applyNumberFormat="1" applyFont="1" applyFill="1" applyBorder="1" applyAlignment="1">
      <alignment horizontal="center" vertical="center"/>
    </xf>
    <xf numFmtId="165" fontId="15776" fillId="8" borderId="1" xfId="0" applyNumberFormat="1" applyFont="1" applyFill="1" applyBorder="1" applyAlignment="1">
      <alignment horizontal="center" vertical="center"/>
    </xf>
    <xf numFmtId="1" fontId="15777" fillId="8" borderId="1" xfId="0" applyNumberFormat="1" applyFont="1" applyFill="1" applyBorder="1" applyAlignment="1">
      <alignment horizontal="center" vertical="center"/>
    </xf>
    <xf numFmtId="165" fontId="15778" fillId="8" borderId="1" xfId="0" applyNumberFormat="1" applyFont="1" applyFill="1" applyBorder="1" applyAlignment="1">
      <alignment horizontal="center" vertical="center"/>
    </xf>
    <xf numFmtId="165" fontId="15779" fillId="8" borderId="1" xfId="0" applyNumberFormat="1" applyFont="1" applyFill="1" applyBorder="1" applyAlignment="1">
      <alignment horizontal="center" vertical="center"/>
    </xf>
    <xf numFmtId="1" fontId="15780" fillId="8" borderId="1" xfId="0" applyNumberFormat="1" applyFont="1" applyFill="1" applyBorder="1" applyAlignment="1">
      <alignment horizontal="center" vertical="center"/>
    </xf>
    <xf numFmtId="1" fontId="15781" fillId="8" borderId="1" xfId="0" applyNumberFormat="1" applyFont="1" applyFill="1" applyBorder="1" applyAlignment="1">
      <alignment horizontal="center" vertical="center"/>
    </xf>
    <xf numFmtId="1" fontId="15782" fillId="8" borderId="1" xfId="0" applyNumberFormat="1" applyFont="1" applyFill="1" applyBorder="1" applyAlignment="1">
      <alignment horizontal="center" vertical="center"/>
    </xf>
    <xf numFmtId="165" fontId="15783" fillId="8" borderId="1" xfId="0" applyNumberFormat="1" applyFont="1" applyFill="1" applyBorder="1" applyAlignment="1">
      <alignment horizontal="center" vertical="center"/>
    </xf>
    <xf numFmtId="164" fontId="15784" fillId="8" borderId="1" xfId="0" applyNumberFormat="1" applyFont="1" applyFill="1" applyBorder="1" applyAlignment="1">
      <alignment horizontal="center" vertical="center"/>
    </xf>
    <xf numFmtId="164" fontId="15785" fillId="8" borderId="1" xfId="0" applyNumberFormat="1" applyFont="1" applyFill="1" applyBorder="1" applyAlignment="1">
      <alignment horizontal="center" vertical="center"/>
    </xf>
    <xf numFmtId="1" fontId="15786" fillId="8" borderId="1" xfId="0" applyNumberFormat="1" applyFont="1" applyFill="1" applyBorder="1" applyAlignment="1">
      <alignment horizontal="center" vertical="center"/>
    </xf>
    <xf numFmtId="1" fontId="15787" fillId="8" borderId="1" xfId="0" applyNumberFormat="1" applyFont="1" applyFill="1" applyBorder="1" applyAlignment="1">
      <alignment horizontal="center" vertical="center"/>
    </xf>
    <xf numFmtId="1" fontId="15788" fillId="8" borderId="1" xfId="0" applyNumberFormat="1" applyFont="1" applyFill="1" applyBorder="1" applyAlignment="1">
      <alignment horizontal="center" vertical="center"/>
    </xf>
    <xf numFmtId="165" fontId="15789" fillId="8" borderId="1" xfId="0" applyNumberFormat="1" applyFont="1" applyFill="1" applyBorder="1" applyAlignment="1">
      <alignment horizontal="center" vertical="center"/>
    </xf>
    <xf numFmtId="1" fontId="15790" fillId="8" borderId="1" xfId="0" applyNumberFormat="1" applyFont="1" applyFill="1" applyBorder="1" applyAlignment="1">
      <alignment horizontal="center" vertical="center"/>
    </xf>
    <xf numFmtId="165" fontId="15791" fillId="8" borderId="1" xfId="0" applyNumberFormat="1" applyFont="1" applyFill="1" applyBorder="1" applyAlignment="1">
      <alignment horizontal="center" vertical="center"/>
    </xf>
    <xf numFmtId="1" fontId="15792" fillId="8" borderId="1" xfId="0" applyNumberFormat="1" applyFont="1" applyFill="1" applyBorder="1" applyAlignment="1">
      <alignment horizontal="center" vertical="center"/>
    </xf>
    <xf numFmtId="1" fontId="15793" fillId="8" borderId="1" xfId="0" applyNumberFormat="1" applyFont="1" applyFill="1" applyBorder="1" applyAlignment="1">
      <alignment horizontal="center" vertical="center"/>
    </xf>
    <xf numFmtId="1" fontId="15794" fillId="8" borderId="1" xfId="0" applyNumberFormat="1" applyFont="1" applyFill="1" applyBorder="1" applyAlignment="1">
      <alignment horizontal="center" vertical="center"/>
    </xf>
    <xf numFmtId="1" fontId="15795" fillId="8" borderId="1" xfId="0" applyNumberFormat="1" applyFont="1" applyFill="1" applyBorder="1" applyAlignment="1">
      <alignment horizontal="center" vertical="center"/>
    </xf>
    <xf numFmtId="165" fontId="15796" fillId="8" borderId="1" xfId="0" applyNumberFormat="1" applyFont="1" applyFill="1" applyBorder="1" applyAlignment="1">
      <alignment horizontal="center" vertical="center"/>
    </xf>
    <xf numFmtId="1" fontId="15797" fillId="8" borderId="1" xfId="0" applyNumberFormat="1" applyFont="1" applyFill="1" applyBorder="1" applyAlignment="1">
      <alignment horizontal="center" vertical="center"/>
    </xf>
    <xf numFmtId="165" fontId="15798" fillId="8" borderId="1" xfId="0" applyNumberFormat="1" applyFont="1" applyFill="1" applyBorder="1" applyAlignment="1">
      <alignment horizontal="center" vertical="center"/>
    </xf>
    <xf numFmtId="1" fontId="15799" fillId="8" borderId="1" xfId="0" applyNumberFormat="1" applyFont="1" applyFill="1" applyBorder="1" applyAlignment="1">
      <alignment horizontal="center" vertical="center"/>
    </xf>
    <xf numFmtId="165" fontId="15800" fillId="8" borderId="1" xfId="0" applyNumberFormat="1" applyFont="1" applyFill="1" applyBorder="1" applyAlignment="1">
      <alignment horizontal="center" vertical="center"/>
    </xf>
    <xf numFmtId="2" fontId="15801" fillId="8" borderId="1" xfId="0" applyNumberFormat="1" applyFont="1" applyFill="1" applyBorder="1" applyAlignment="1">
      <alignment horizontal="center" vertical="center"/>
    </xf>
    <xf numFmtId="2" fontId="15802" fillId="8" borderId="1" xfId="0" applyNumberFormat="1" applyFont="1" applyFill="1" applyBorder="1" applyAlignment="1">
      <alignment horizontal="center" vertical="center"/>
    </xf>
    <xf numFmtId="2" fontId="15803" fillId="8" borderId="1" xfId="0" applyNumberFormat="1" applyFont="1" applyFill="1" applyBorder="1" applyAlignment="1">
      <alignment horizontal="center" vertical="center"/>
    </xf>
    <xf numFmtId="2" fontId="15804" fillId="8" borderId="1" xfId="0" applyNumberFormat="1" applyFont="1" applyFill="1" applyBorder="1" applyAlignment="1">
      <alignment horizontal="center" vertical="center"/>
    </xf>
    <xf numFmtId="2" fontId="15805" fillId="8" borderId="1" xfId="0" applyNumberFormat="1" applyFont="1" applyFill="1" applyBorder="1" applyAlignment="1">
      <alignment horizontal="center" vertical="center"/>
    </xf>
    <xf numFmtId="2" fontId="15806" fillId="8" borderId="1" xfId="0" applyNumberFormat="1" applyFont="1" applyFill="1" applyBorder="1" applyAlignment="1">
      <alignment horizontal="center" vertical="center"/>
    </xf>
    <xf numFmtId="2" fontId="15807" fillId="8" borderId="1" xfId="0" applyNumberFormat="1" applyFont="1" applyFill="1" applyBorder="1" applyAlignment="1">
      <alignment horizontal="center" vertical="center"/>
    </xf>
    <xf numFmtId="2" fontId="15808" fillId="8" borderId="1" xfId="0" applyNumberFormat="1" applyFont="1" applyFill="1" applyBorder="1" applyAlignment="1">
      <alignment horizontal="center" vertical="center"/>
    </xf>
    <xf numFmtId="2" fontId="15809" fillId="8" borderId="1" xfId="0" applyNumberFormat="1" applyFont="1" applyFill="1" applyBorder="1" applyAlignment="1">
      <alignment horizontal="center" vertical="center"/>
    </xf>
    <xf numFmtId="2" fontId="15810" fillId="8" borderId="1" xfId="0" applyNumberFormat="1" applyFont="1" applyFill="1" applyBorder="1" applyAlignment="1">
      <alignment horizontal="center" vertical="center"/>
    </xf>
    <xf numFmtId="2" fontId="15811" fillId="8" borderId="1" xfId="0" applyNumberFormat="1" applyFont="1" applyFill="1" applyBorder="1" applyAlignment="1">
      <alignment horizontal="center" vertical="center"/>
    </xf>
    <xf numFmtId="2" fontId="15812" fillId="8" borderId="1" xfId="0" applyNumberFormat="1" applyFont="1" applyFill="1" applyBorder="1" applyAlignment="1">
      <alignment horizontal="center" vertical="center"/>
    </xf>
    <xf numFmtId="2" fontId="15813" fillId="8" borderId="1" xfId="0" applyNumberFormat="1" applyFont="1" applyFill="1" applyBorder="1" applyAlignment="1">
      <alignment horizontal="center" vertical="center"/>
    </xf>
    <xf numFmtId="2" fontId="15814" fillId="8" borderId="1" xfId="0" applyNumberFormat="1" applyFont="1" applyFill="1" applyBorder="1" applyAlignment="1">
      <alignment horizontal="center" vertical="center"/>
    </xf>
    <xf numFmtId="2" fontId="15815" fillId="8" borderId="1" xfId="0" applyNumberFormat="1" applyFont="1" applyFill="1" applyBorder="1" applyAlignment="1">
      <alignment horizontal="center" vertical="center"/>
    </xf>
    <xf numFmtId="2" fontId="15816" fillId="8" borderId="1" xfId="0" applyNumberFormat="1" applyFont="1" applyFill="1" applyBorder="1" applyAlignment="1">
      <alignment horizontal="center" vertical="center"/>
    </xf>
    <xf numFmtId="2" fontId="15817" fillId="8" borderId="1" xfId="0" applyNumberFormat="1" applyFont="1" applyFill="1" applyBorder="1" applyAlignment="1">
      <alignment horizontal="center" vertical="center"/>
    </xf>
    <xf numFmtId="2" fontId="15818" fillId="8" borderId="1" xfId="0" applyNumberFormat="1" applyFont="1" applyFill="1" applyBorder="1" applyAlignment="1">
      <alignment horizontal="center" vertical="center"/>
    </xf>
    <xf numFmtId="2" fontId="15819" fillId="8" borderId="1" xfId="0" applyNumberFormat="1" applyFont="1" applyFill="1" applyBorder="1" applyAlignment="1">
      <alignment horizontal="center" vertical="center"/>
    </xf>
    <xf numFmtId="2" fontId="15820" fillId="8" borderId="1" xfId="0" applyNumberFormat="1" applyFont="1" applyFill="1" applyBorder="1" applyAlignment="1">
      <alignment horizontal="center" vertical="center"/>
    </xf>
    <xf numFmtId="2" fontId="15821" fillId="8" borderId="1" xfId="0" applyNumberFormat="1" applyFont="1" applyFill="1" applyBorder="1" applyAlignment="1">
      <alignment horizontal="center" vertical="center"/>
    </xf>
    <xf numFmtId="2" fontId="15822" fillId="8" borderId="1" xfId="0" applyNumberFormat="1" applyFont="1" applyFill="1" applyBorder="1" applyAlignment="1">
      <alignment horizontal="center" vertical="center"/>
    </xf>
    <xf numFmtId="2" fontId="15823" fillId="8" borderId="1" xfId="0" applyNumberFormat="1" applyFont="1" applyFill="1" applyBorder="1" applyAlignment="1">
      <alignment horizontal="center" vertical="center"/>
    </xf>
    <xf numFmtId="2" fontId="15824" fillId="8" borderId="1" xfId="0" applyNumberFormat="1" applyFont="1" applyFill="1" applyBorder="1" applyAlignment="1">
      <alignment horizontal="center" vertical="center"/>
    </xf>
    <xf numFmtId="2" fontId="15825" fillId="8" borderId="1" xfId="0" applyNumberFormat="1" applyFont="1" applyFill="1" applyBorder="1" applyAlignment="1">
      <alignment horizontal="center" vertical="center"/>
    </xf>
    <xf numFmtId="2" fontId="15826" fillId="8" borderId="1" xfId="0" applyNumberFormat="1" applyFont="1" applyFill="1" applyBorder="1" applyAlignment="1">
      <alignment horizontal="center" vertical="center"/>
    </xf>
    <xf numFmtId="2" fontId="15827" fillId="8" borderId="1" xfId="0" applyNumberFormat="1" applyFont="1" applyFill="1" applyBorder="1" applyAlignment="1">
      <alignment horizontal="center" vertical="center"/>
    </xf>
    <xf numFmtId="2" fontId="15828" fillId="8" borderId="1" xfId="0" applyNumberFormat="1" applyFont="1" applyFill="1" applyBorder="1" applyAlignment="1">
      <alignment horizontal="center" vertical="center"/>
    </xf>
    <xf numFmtId="2" fontId="15829" fillId="8" borderId="1" xfId="0" applyNumberFormat="1" applyFont="1" applyFill="1" applyBorder="1" applyAlignment="1">
      <alignment horizontal="center" vertical="center"/>
    </xf>
    <xf numFmtId="2" fontId="15830" fillId="8" borderId="1" xfId="0" applyNumberFormat="1" applyFont="1" applyFill="1" applyBorder="1" applyAlignment="1">
      <alignment horizontal="center" vertical="center"/>
    </xf>
    <xf numFmtId="2" fontId="15831" fillId="8" borderId="1" xfId="0" applyNumberFormat="1" applyFont="1" applyFill="1" applyBorder="1" applyAlignment="1">
      <alignment horizontal="center" vertical="center"/>
    </xf>
    <xf numFmtId="2" fontId="15832" fillId="8" borderId="1" xfId="0" applyNumberFormat="1" applyFont="1" applyFill="1" applyBorder="1" applyAlignment="1">
      <alignment horizontal="center" vertical="center"/>
    </xf>
    <xf numFmtId="2" fontId="15833" fillId="8" borderId="1" xfId="0" applyNumberFormat="1" applyFont="1" applyFill="1" applyBorder="1" applyAlignment="1">
      <alignment horizontal="center" vertical="center"/>
    </xf>
    <xf numFmtId="2" fontId="15834" fillId="8" borderId="1" xfId="0" applyNumberFormat="1" applyFont="1" applyFill="1" applyBorder="1" applyAlignment="1">
      <alignment horizontal="center" vertical="center"/>
    </xf>
    <xf numFmtId="0" fontId="15835" fillId="7" borderId="1" xfId="0" applyNumberFormat="1" applyFont="1" applyFill="1" applyBorder="1" applyAlignment="1">
      <alignment horizontal="left" vertical="center"/>
    </xf>
    <xf numFmtId="0" fontId="15836" fillId="8" borderId="1" xfId="0" applyNumberFormat="1" applyFont="1" applyFill="1" applyBorder="1" applyAlignment="1">
      <alignment horizontal="center" vertical="center"/>
    </xf>
    <xf numFmtId="164" fontId="15837" fillId="8" borderId="1" xfId="0" applyNumberFormat="1" applyFont="1" applyFill="1" applyBorder="1" applyAlignment="1">
      <alignment horizontal="center" vertical="center"/>
    </xf>
    <xf numFmtId="1" fontId="15838" fillId="8" borderId="1" xfId="0" applyNumberFormat="1" applyFont="1" applyFill="1" applyBorder="1" applyAlignment="1">
      <alignment horizontal="center" vertical="center"/>
    </xf>
    <xf numFmtId="1" fontId="15839" fillId="8" borderId="1" xfId="0" applyNumberFormat="1" applyFont="1" applyFill="1" applyBorder="1" applyAlignment="1">
      <alignment horizontal="center" vertical="center"/>
    </xf>
    <xf numFmtId="1" fontId="15840" fillId="8" borderId="1" xfId="0" applyNumberFormat="1" applyFont="1" applyFill="1" applyBorder="1" applyAlignment="1">
      <alignment horizontal="center" vertical="center"/>
    </xf>
    <xf numFmtId="1" fontId="15841" fillId="8" borderId="1" xfId="0" applyNumberFormat="1" applyFont="1" applyFill="1" applyBorder="1" applyAlignment="1">
      <alignment horizontal="center" vertical="center"/>
    </xf>
    <xf numFmtId="1" fontId="15842" fillId="8" borderId="1" xfId="0" applyNumberFormat="1" applyFont="1" applyFill="1" applyBorder="1" applyAlignment="1">
      <alignment horizontal="center" vertical="center"/>
    </xf>
    <xf numFmtId="1" fontId="15843" fillId="8" borderId="1" xfId="0" applyNumberFormat="1" applyFont="1" applyFill="1" applyBorder="1" applyAlignment="1">
      <alignment horizontal="center" vertical="center"/>
    </xf>
    <xf numFmtId="1" fontId="15844" fillId="8" borderId="1" xfId="0" applyNumberFormat="1" applyFont="1" applyFill="1" applyBorder="1" applyAlignment="1">
      <alignment horizontal="center" vertical="center"/>
    </xf>
    <xf numFmtId="0" fontId="15845" fillId="8" borderId="1" xfId="0" applyNumberFormat="1" applyFont="1" applyFill="1" applyBorder="1" applyAlignment="1">
      <alignment horizontal="center" vertical="center"/>
    </xf>
    <xf numFmtId="0" fontId="15846" fillId="8" borderId="1" xfId="0" applyNumberFormat="1" applyFont="1" applyFill="1" applyBorder="1" applyAlignment="1">
      <alignment horizontal="center" vertical="center"/>
    </xf>
    <xf numFmtId="1" fontId="15847" fillId="8" borderId="1" xfId="0" applyNumberFormat="1" applyFont="1" applyFill="1" applyBorder="1" applyAlignment="1">
      <alignment horizontal="center" vertical="center"/>
    </xf>
    <xf numFmtId="1" fontId="15848" fillId="8" borderId="1" xfId="0" applyNumberFormat="1" applyFont="1" applyFill="1" applyBorder="1" applyAlignment="1">
      <alignment horizontal="center" vertical="center"/>
    </xf>
    <xf numFmtId="1" fontId="15849" fillId="8" borderId="1" xfId="0" applyNumberFormat="1" applyFont="1" applyFill="1" applyBorder="1" applyAlignment="1">
      <alignment horizontal="center" vertical="center"/>
    </xf>
    <xf numFmtId="165" fontId="15850" fillId="8" borderId="1" xfId="0" applyNumberFormat="1" applyFont="1" applyFill="1" applyBorder="1" applyAlignment="1">
      <alignment horizontal="center" vertical="center"/>
    </xf>
    <xf numFmtId="1" fontId="15851" fillId="8" borderId="1" xfId="0" applyNumberFormat="1" applyFont="1" applyFill="1" applyBorder="1" applyAlignment="1">
      <alignment horizontal="center" vertical="center"/>
    </xf>
    <xf numFmtId="165" fontId="15852" fillId="8" borderId="1" xfId="0" applyNumberFormat="1" applyFont="1" applyFill="1" applyBorder="1" applyAlignment="1">
      <alignment horizontal="center" vertical="center"/>
    </xf>
    <xf numFmtId="1" fontId="15853" fillId="8" borderId="1" xfId="0" applyNumberFormat="1" applyFont="1" applyFill="1" applyBorder="1" applyAlignment="1">
      <alignment horizontal="center" vertical="center"/>
    </xf>
    <xf numFmtId="165" fontId="15854" fillId="8" borderId="1" xfId="0" applyNumberFormat="1" applyFont="1" applyFill="1" applyBorder="1" applyAlignment="1">
      <alignment horizontal="center" vertical="center"/>
    </xf>
    <xf numFmtId="1" fontId="15855" fillId="8" borderId="1" xfId="0" applyNumberFormat="1" applyFont="1" applyFill="1" applyBorder="1" applyAlignment="1">
      <alignment horizontal="center" vertical="center"/>
    </xf>
    <xf numFmtId="165" fontId="15856" fillId="8" borderId="1" xfId="0" applyNumberFormat="1" applyFont="1" applyFill="1" applyBorder="1" applyAlignment="1">
      <alignment horizontal="center" vertical="center"/>
    </xf>
    <xf numFmtId="165" fontId="15857" fillId="8" borderId="1" xfId="0" applyNumberFormat="1" applyFont="1" applyFill="1" applyBorder="1" applyAlignment="1">
      <alignment horizontal="center" vertical="center"/>
    </xf>
    <xf numFmtId="1" fontId="15858" fillId="8" borderId="1" xfId="0" applyNumberFormat="1" applyFont="1" applyFill="1" applyBorder="1" applyAlignment="1">
      <alignment horizontal="center" vertical="center"/>
    </xf>
    <xf numFmtId="1" fontId="15859" fillId="8" borderId="1" xfId="0" applyNumberFormat="1" applyFont="1" applyFill="1" applyBorder="1" applyAlignment="1">
      <alignment horizontal="center" vertical="center"/>
    </xf>
    <xf numFmtId="1" fontId="15860" fillId="8" borderId="1" xfId="0" applyNumberFormat="1" applyFont="1" applyFill="1" applyBorder="1" applyAlignment="1">
      <alignment horizontal="center" vertical="center"/>
    </xf>
    <xf numFmtId="165" fontId="15861" fillId="8" borderId="1" xfId="0" applyNumberFormat="1" applyFont="1" applyFill="1" applyBorder="1" applyAlignment="1">
      <alignment horizontal="center" vertical="center"/>
    </xf>
    <xf numFmtId="164" fontId="15862" fillId="8" borderId="1" xfId="0" applyNumberFormat="1" applyFont="1" applyFill="1" applyBorder="1" applyAlignment="1">
      <alignment horizontal="center" vertical="center"/>
    </xf>
    <xf numFmtId="164" fontId="15863" fillId="8" borderId="1" xfId="0" applyNumberFormat="1" applyFont="1" applyFill="1" applyBorder="1" applyAlignment="1">
      <alignment horizontal="center" vertical="center"/>
    </xf>
    <xf numFmtId="1" fontId="15864" fillId="8" borderId="1" xfId="0" applyNumberFormat="1" applyFont="1" applyFill="1" applyBorder="1" applyAlignment="1">
      <alignment horizontal="center" vertical="center"/>
    </xf>
    <xf numFmtId="1" fontId="15865" fillId="8" borderId="1" xfId="0" applyNumberFormat="1" applyFont="1" applyFill="1" applyBorder="1" applyAlignment="1">
      <alignment horizontal="center" vertical="center"/>
    </xf>
    <xf numFmtId="1" fontId="15866" fillId="8" borderId="1" xfId="0" applyNumberFormat="1" applyFont="1" applyFill="1" applyBorder="1" applyAlignment="1">
      <alignment horizontal="center" vertical="center"/>
    </xf>
    <xf numFmtId="165" fontId="15867" fillId="8" borderId="1" xfId="0" applyNumberFormat="1" applyFont="1" applyFill="1" applyBorder="1" applyAlignment="1">
      <alignment horizontal="center" vertical="center"/>
    </xf>
    <xf numFmtId="1" fontId="15868" fillId="8" borderId="1" xfId="0" applyNumberFormat="1" applyFont="1" applyFill="1" applyBorder="1" applyAlignment="1">
      <alignment horizontal="center" vertical="center"/>
    </xf>
    <xf numFmtId="165" fontId="15869" fillId="8" borderId="1" xfId="0" applyNumberFormat="1" applyFont="1" applyFill="1" applyBorder="1" applyAlignment="1">
      <alignment horizontal="center" vertical="center"/>
    </xf>
    <xf numFmtId="1" fontId="15870" fillId="8" borderId="1" xfId="0" applyNumberFormat="1" applyFont="1" applyFill="1" applyBorder="1" applyAlignment="1">
      <alignment horizontal="center" vertical="center"/>
    </xf>
    <xf numFmtId="1" fontId="15871" fillId="8" borderId="1" xfId="0" applyNumberFormat="1" applyFont="1" applyFill="1" applyBorder="1" applyAlignment="1">
      <alignment horizontal="center" vertical="center"/>
    </xf>
    <xf numFmtId="1" fontId="15872" fillId="8" borderId="1" xfId="0" applyNumberFormat="1" applyFont="1" applyFill="1" applyBorder="1" applyAlignment="1">
      <alignment horizontal="center" vertical="center"/>
    </xf>
    <xf numFmtId="1" fontId="15873" fillId="8" borderId="1" xfId="0" applyNumberFormat="1" applyFont="1" applyFill="1" applyBorder="1" applyAlignment="1">
      <alignment horizontal="center" vertical="center"/>
    </xf>
    <xf numFmtId="165" fontId="15874" fillId="8" borderId="1" xfId="0" applyNumberFormat="1" applyFont="1" applyFill="1" applyBorder="1" applyAlignment="1">
      <alignment horizontal="center" vertical="center"/>
    </xf>
    <xf numFmtId="1" fontId="15875" fillId="8" borderId="1" xfId="0" applyNumberFormat="1" applyFont="1" applyFill="1" applyBorder="1" applyAlignment="1">
      <alignment horizontal="center" vertical="center"/>
    </xf>
    <xf numFmtId="165" fontId="15876" fillId="8" borderId="1" xfId="0" applyNumberFormat="1" applyFont="1" applyFill="1" applyBorder="1" applyAlignment="1">
      <alignment horizontal="center" vertical="center"/>
    </xf>
    <xf numFmtId="1" fontId="15877" fillId="8" borderId="1" xfId="0" applyNumberFormat="1" applyFont="1" applyFill="1" applyBorder="1" applyAlignment="1">
      <alignment horizontal="center" vertical="center"/>
    </xf>
    <xf numFmtId="165" fontId="15878" fillId="8" borderId="1" xfId="0" applyNumberFormat="1" applyFont="1" applyFill="1" applyBorder="1" applyAlignment="1">
      <alignment horizontal="center" vertical="center"/>
    </xf>
    <xf numFmtId="2" fontId="15879" fillId="8" borderId="1" xfId="0" applyNumberFormat="1" applyFont="1" applyFill="1" applyBorder="1" applyAlignment="1">
      <alignment horizontal="center" vertical="center"/>
    </xf>
    <xf numFmtId="2" fontId="15880" fillId="8" borderId="1" xfId="0" applyNumberFormat="1" applyFont="1" applyFill="1" applyBorder="1" applyAlignment="1">
      <alignment horizontal="center" vertical="center"/>
    </xf>
    <xf numFmtId="2" fontId="15881" fillId="8" borderId="1" xfId="0" applyNumberFormat="1" applyFont="1" applyFill="1" applyBorder="1" applyAlignment="1">
      <alignment horizontal="center" vertical="center"/>
    </xf>
    <xf numFmtId="2" fontId="15882" fillId="8" borderId="1" xfId="0" applyNumberFormat="1" applyFont="1" applyFill="1" applyBorder="1" applyAlignment="1">
      <alignment horizontal="center" vertical="center"/>
    </xf>
    <xf numFmtId="2" fontId="15883" fillId="8" borderId="1" xfId="0" applyNumberFormat="1" applyFont="1" applyFill="1" applyBorder="1" applyAlignment="1">
      <alignment horizontal="center" vertical="center"/>
    </xf>
    <xf numFmtId="2" fontId="15884" fillId="8" borderId="1" xfId="0" applyNumberFormat="1" applyFont="1" applyFill="1" applyBorder="1" applyAlignment="1">
      <alignment horizontal="center" vertical="center"/>
    </xf>
    <xf numFmtId="2" fontId="15885" fillId="8" borderId="1" xfId="0" applyNumberFormat="1" applyFont="1" applyFill="1" applyBorder="1" applyAlignment="1">
      <alignment horizontal="center" vertical="center"/>
    </xf>
    <xf numFmtId="2" fontId="15886" fillId="8" borderId="1" xfId="0" applyNumberFormat="1" applyFont="1" applyFill="1" applyBorder="1" applyAlignment="1">
      <alignment horizontal="center" vertical="center"/>
    </xf>
    <xf numFmtId="2" fontId="15887" fillId="8" borderId="1" xfId="0" applyNumberFormat="1" applyFont="1" applyFill="1" applyBorder="1" applyAlignment="1">
      <alignment horizontal="center" vertical="center"/>
    </xf>
    <xf numFmtId="2" fontId="15888" fillId="8" borderId="1" xfId="0" applyNumberFormat="1" applyFont="1" applyFill="1" applyBorder="1" applyAlignment="1">
      <alignment horizontal="center" vertical="center"/>
    </xf>
    <xf numFmtId="2" fontId="15889" fillId="8" borderId="1" xfId="0" applyNumberFormat="1" applyFont="1" applyFill="1" applyBorder="1" applyAlignment="1">
      <alignment horizontal="center" vertical="center"/>
    </xf>
    <xf numFmtId="2" fontId="15890" fillId="8" borderId="1" xfId="0" applyNumberFormat="1" applyFont="1" applyFill="1" applyBorder="1" applyAlignment="1">
      <alignment horizontal="center" vertical="center"/>
    </xf>
    <xf numFmtId="2" fontId="15891" fillId="8" borderId="1" xfId="0" applyNumberFormat="1" applyFont="1" applyFill="1" applyBorder="1" applyAlignment="1">
      <alignment horizontal="center" vertical="center"/>
    </xf>
    <xf numFmtId="2" fontId="15892" fillId="8" borderId="1" xfId="0" applyNumberFormat="1" applyFont="1" applyFill="1" applyBorder="1" applyAlignment="1">
      <alignment horizontal="center" vertical="center"/>
    </xf>
    <xf numFmtId="2" fontId="15893" fillId="8" borderId="1" xfId="0" applyNumberFormat="1" applyFont="1" applyFill="1" applyBorder="1" applyAlignment="1">
      <alignment horizontal="center" vertical="center"/>
    </xf>
    <xf numFmtId="2" fontId="15894" fillId="8" borderId="1" xfId="0" applyNumberFormat="1" applyFont="1" applyFill="1" applyBorder="1" applyAlignment="1">
      <alignment horizontal="center" vertical="center"/>
    </xf>
    <xf numFmtId="2" fontId="15895" fillId="8" borderId="1" xfId="0" applyNumberFormat="1" applyFont="1" applyFill="1" applyBorder="1" applyAlignment="1">
      <alignment horizontal="center" vertical="center"/>
    </xf>
    <xf numFmtId="2" fontId="15896" fillId="8" borderId="1" xfId="0" applyNumberFormat="1" applyFont="1" applyFill="1" applyBorder="1" applyAlignment="1">
      <alignment horizontal="center" vertical="center"/>
    </xf>
    <xf numFmtId="2" fontId="15897" fillId="8" borderId="1" xfId="0" applyNumberFormat="1" applyFont="1" applyFill="1" applyBorder="1" applyAlignment="1">
      <alignment horizontal="center" vertical="center"/>
    </xf>
    <xf numFmtId="2" fontId="15898" fillId="8" borderId="1" xfId="0" applyNumberFormat="1" applyFont="1" applyFill="1" applyBorder="1" applyAlignment="1">
      <alignment horizontal="center" vertical="center"/>
    </xf>
    <xf numFmtId="2" fontId="15899" fillId="8" borderId="1" xfId="0" applyNumberFormat="1" applyFont="1" applyFill="1" applyBorder="1" applyAlignment="1">
      <alignment horizontal="center" vertical="center"/>
    </xf>
    <xf numFmtId="2" fontId="15900" fillId="8" borderId="1" xfId="0" applyNumberFormat="1" applyFont="1" applyFill="1" applyBorder="1" applyAlignment="1">
      <alignment horizontal="center" vertical="center"/>
    </xf>
    <xf numFmtId="2" fontId="15901" fillId="8" borderId="1" xfId="0" applyNumberFormat="1" applyFont="1" applyFill="1" applyBorder="1" applyAlignment="1">
      <alignment horizontal="center" vertical="center"/>
    </xf>
    <xf numFmtId="2" fontId="15902" fillId="8" borderId="1" xfId="0" applyNumberFormat="1" applyFont="1" applyFill="1" applyBorder="1" applyAlignment="1">
      <alignment horizontal="center" vertical="center"/>
    </xf>
    <xf numFmtId="2" fontId="15903" fillId="8" borderId="1" xfId="0" applyNumberFormat="1" applyFont="1" applyFill="1" applyBorder="1" applyAlignment="1">
      <alignment horizontal="center" vertical="center"/>
    </xf>
    <xf numFmtId="2" fontId="15904" fillId="8" borderId="1" xfId="0" applyNumberFormat="1" applyFont="1" applyFill="1" applyBorder="1" applyAlignment="1">
      <alignment horizontal="center" vertical="center"/>
    </xf>
    <xf numFmtId="2" fontId="15905" fillId="8" borderId="1" xfId="0" applyNumberFormat="1" applyFont="1" applyFill="1" applyBorder="1" applyAlignment="1">
      <alignment horizontal="center" vertical="center"/>
    </xf>
    <xf numFmtId="2" fontId="15906" fillId="8" borderId="1" xfId="0" applyNumberFormat="1" applyFont="1" applyFill="1" applyBorder="1" applyAlignment="1">
      <alignment horizontal="center" vertical="center"/>
    </xf>
    <xf numFmtId="2" fontId="15907" fillId="8" borderId="1" xfId="0" applyNumberFormat="1" applyFont="1" applyFill="1" applyBorder="1" applyAlignment="1">
      <alignment horizontal="center" vertical="center"/>
    </xf>
    <xf numFmtId="2" fontId="15908" fillId="8" borderId="1" xfId="0" applyNumberFormat="1" applyFont="1" applyFill="1" applyBorder="1" applyAlignment="1">
      <alignment horizontal="center" vertical="center"/>
    </xf>
    <xf numFmtId="2" fontId="15909" fillId="8" borderId="1" xfId="0" applyNumberFormat="1" applyFont="1" applyFill="1" applyBorder="1" applyAlignment="1">
      <alignment horizontal="center" vertical="center"/>
    </xf>
    <xf numFmtId="2" fontId="15910" fillId="8" borderId="1" xfId="0" applyNumberFormat="1" applyFont="1" applyFill="1" applyBorder="1" applyAlignment="1">
      <alignment horizontal="center" vertical="center"/>
    </xf>
    <xf numFmtId="2" fontId="15911" fillId="8" borderId="1" xfId="0" applyNumberFormat="1" applyFont="1" applyFill="1" applyBorder="1" applyAlignment="1">
      <alignment horizontal="center" vertical="center"/>
    </xf>
    <xf numFmtId="2" fontId="15912" fillId="8" borderId="1" xfId="0" applyNumberFormat="1" applyFont="1" applyFill="1" applyBorder="1" applyAlignment="1">
      <alignment horizontal="center" vertical="center"/>
    </xf>
    <xf numFmtId="0" fontId="15913" fillId="7" borderId="1" xfId="0" applyNumberFormat="1" applyFont="1" applyFill="1" applyBorder="1" applyAlignment="1">
      <alignment horizontal="left" vertical="center"/>
    </xf>
    <xf numFmtId="0" fontId="15914" fillId="8" borderId="1" xfId="0" applyNumberFormat="1" applyFont="1" applyFill="1" applyBorder="1" applyAlignment="1">
      <alignment horizontal="center" vertical="center"/>
    </xf>
    <xf numFmtId="164" fontId="15915" fillId="8" borderId="1" xfId="0" applyNumberFormat="1" applyFont="1" applyFill="1" applyBorder="1" applyAlignment="1">
      <alignment horizontal="center" vertical="center"/>
    </xf>
    <xf numFmtId="1" fontId="15916" fillId="8" borderId="1" xfId="0" applyNumberFormat="1" applyFont="1" applyFill="1" applyBorder="1" applyAlignment="1">
      <alignment horizontal="center" vertical="center"/>
    </xf>
    <xf numFmtId="1" fontId="15917" fillId="8" borderId="1" xfId="0" applyNumberFormat="1" applyFont="1" applyFill="1" applyBorder="1" applyAlignment="1">
      <alignment horizontal="center" vertical="center"/>
    </xf>
    <xf numFmtId="1" fontId="15918" fillId="8" borderId="1" xfId="0" applyNumberFormat="1" applyFont="1" applyFill="1" applyBorder="1" applyAlignment="1">
      <alignment horizontal="center" vertical="center"/>
    </xf>
    <xf numFmtId="1" fontId="15919" fillId="8" borderId="1" xfId="0" applyNumberFormat="1" applyFont="1" applyFill="1" applyBorder="1" applyAlignment="1">
      <alignment horizontal="center" vertical="center"/>
    </xf>
    <xf numFmtId="1" fontId="15920" fillId="8" borderId="1" xfId="0" applyNumberFormat="1" applyFont="1" applyFill="1" applyBorder="1" applyAlignment="1">
      <alignment horizontal="center" vertical="center"/>
    </xf>
    <xf numFmtId="1" fontId="15921" fillId="8" borderId="1" xfId="0" applyNumberFormat="1" applyFont="1" applyFill="1" applyBorder="1" applyAlignment="1">
      <alignment horizontal="center" vertical="center"/>
    </xf>
    <xf numFmtId="1" fontId="15922" fillId="8" borderId="1" xfId="0" applyNumberFormat="1" applyFont="1" applyFill="1" applyBorder="1" applyAlignment="1">
      <alignment horizontal="center" vertical="center"/>
    </xf>
    <xf numFmtId="0" fontId="15923" fillId="8" borderId="1" xfId="0" applyNumberFormat="1" applyFont="1" applyFill="1" applyBorder="1" applyAlignment="1">
      <alignment horizontal="center" vertical="center"/>
    </xf>
    <xf numFmtId="0" fontId="15924" fillId="8" borderId="1" xfId="0" applyNumberFormat="1" applyFont="1" applyFill="1" applyBorder="1" applyAlignment="1">
      <alignment horizontal="center" vertical="center"/>
    </xf>
    <xf numFmtId="1" fontId="15925" fillId="8" borderId="1" xfId="0" applyNumberFormat="1" applyFont="1" applyFill="1" applyBorder="1" applyAlignment="1">
      <alignment horizontal="center" vertical="center"/>
    </xf>
    <xf numFmtId="1" fontId="15926" fillId="8" borderId="1" xfId="0" applyNumberFormat="1" applyFont="1" applyFill="1" applyBorder="1" applyAlignment="1">
      <alignment horizontal="center" vertical="center"/>
    </xf>
    <xf numFmtId="1" fontId="15927" fillId="8" borderId="1" xfId="0" applyNumberFormat="1" applyFont="1" applyFill="1" applyBorder="1" applyAlignment="1">
      <alignment horizontal="center" vertical="center"/>
    </xf>
    <xf numFmtId="165" fontId="15928" fillId="8" borderId="1" xfId="0" applyNumberFormat="1" applyFont="1" applyFill="1" applyBorder="1" applyAlignment="1">
      <alignment horizontal="center" vertical="center"/>
    </xf>
    <xf numFmtId="1" fontId="15929" fillId="8" borderId="1" xfId="0" applyNumberFormat="1" applyFont="1" applyFill="1" applyBorder="1" applyAlignment="1">
      <alignment horizontal="center" vertical="center"/>
    </xf>
    <xf numFmtId="165" fontId="15930" fillId="8" borderId="1" xfId="0" applyNumberFormat="1" applyFont="1" applyFill="1" applyBorder="1" applyAlignment="1">
      <alignment horizontal="center" vertical="center"/>
    </xf>
    <xf numFmtId="1" fontId="15931" fillId="8" borderId="1" xfId="0" applyNumberFormat="1" applyFont="1" applyFill="1" applyBorder="1" applyAlignment="1">
      <alignment horizontal="center" vertical="center"/>
    </xf>
    <xf numFmtId="165" fontId="15932" fillId="8" borderId="1" xfId="0" applyNumberFormat="1" applyFont="1" applyFill="1" applyBorder="1" applyAlignment="1">
      <alignment horizontal="center" vertical="center"/>
    </xf>
    <xf numFmtId="1" fontId="15933" fillId="8" borderId="1" xfId="0" applyNumberFormat="1" applyFont="1" applyFill="1" applyBorder="1" applyAlignment="1">
      <alignment horizontal="center" vertical="center"/>
    </xf>
    <xf numFmtId="165" fontId="15934" fillId="8" borderId="1" xfId="0" applyNumberFormat="1" applyFont="1" applyFill="1" applyBorder="1" applyAlignment="1">
      <alignment horizontal="center" vertical="center"/>
    </xf>
    <xf numFmtId="165" fontId="15935" fillId="8" borderId="1" xfId="0" applyNumberFormat="1" applyFont="1" applyFill="1" applyBorder="1" applyAlignment="1">
      <alignment horizontal="center" vertical="center"/>
    </xf>
    <xf numFmtId="1" fontId="15936" fillId="8" borderId="1" xfId="0" applyNumberFormat="1" applyFont="1" applyFill="1" applyBorder="1" applyAlignment="1">
      <alignment horizontal="center" vertical="center"/>
    </xf>
    <xf numFmtId="1" fontId="15937" fillId="8" borderId="1" xfId="0" applyNumberFormat="1" applyFont="1" applyFill="1" applyBorder="1" applyAlignment="1">
      <alignment horizontal="center" vertical="center"/>
    </xf>
    <xf numFmtId="1" fontId="15938" fillId="8" borderId="1" xfId="0" applyNumberFormat="1" applyFont="1" applyFill="1" applyBorder="1" applyAlignment="1">
      <alignment horizontal="center" vertical="center"/>
    </xf>
    <xf numFmtId="165" fontId="15939" fillId="8" borderId="1" xfId="0" applyNumberFormat="1" applyFont="1" applyFill="1" applyBorder="1" applyAlignment="1">
      <alignment horizontal="center" vertical="center"/>
    </xf>
    <xf numFmtId="164" fontId="15940" fillId="8" borderId="1" xfId="0" applyNumberFormat="1" applyFont="1" applyFill="1" applyBorder="1" applyAlignment="1">
      <alignment horizontal="center" vertical="center"/>
    </xf>
    <xf numFmtId="164" fontId="15941" fillId="8" borderId="1" xfId="0" applyNumberFormat="1" applyFont="1" applyFill="1" applyBorder="1" applyAlignment="1">
      <alignment horizontal="center" vertical="center"/>
    </xf>
    <xf numFmtId="1" fontId="15942" fillId="8" borderId="1" xfId="0" applyNumberFormat="1" applyFont="1" applyFill="1" applyBorder="1" applyAlignment="1">
      <alignment horizontal="center" vertical="center"/>
    </xf>
    <xf numFmtId="1" fontId="15943" fillId="8" borderId="1" xfId="0" applyNumberFormat="1" applyFont="1" applyFill="1" applyBorder="1" applyAlignment="1">
      <alignment horizontal="center" vertical="center"/>
    </xf>
    <xf numFmtId="1" fontId="15944" fillId="8" borderId="1" xfId="0" applyNumberFormat="1" applyFont="1" applyFill="1" applyBorder="1" applyAlignment="1">
      <alignment horizontal="center" vertical="center"/>
    </xf>
    <xf numFmtId="165" fontId="15945" fillId="8" borderId="1" xfId="0" applyNumberFormat="1" applyFont="1" applyFill="1" applyBorder="1" applyAlignment="1">
      <alignment horizontal="center" vertical="center"/>
    </xf>
    <xf numFmtId="1" fontId="15946" fillId="8" borderId="1" xfId="0" applyNumberFormat="1" applyFont="1" applyFill="1" applyBorder="1" applyAlignment="1">
      <alignment horizontal="center" vertical="center"/>
    </xf>
    <xf numFmtId="165" fontId="15947" fillId="8" borderId="1" xfId="0" applyNumberFormat="1" applyFont="1" applyFill="1" applyBorder="1" applyAlignment="1">
      <alignment horizontal="center" vertical="center"/>
    </xf>
    <xf numFmtId="1" fontId="15948" fillId="8" borderId="1" xfId="0" applyNumberFormat="1" applyFont="1" applyFill="1" applyBorder="1" applyAlignment="1">
      <alignment horizontal="center" vertical="center"/>
    </xf>
    <xf numFmtId="1" fontId="15949" fillId="8" borderId="1" xfId="0" applyNumberFormat="1" applyFont="1" applyFill="1" applyBorder="1" applyAlignment="1">
      <alignment horizontal="center" vertical="center"/>
    </xf>
    <xf numFmtId="1" fontId="15950" fillId="8" borderId="1" xfId="0" applyNumberFormat="1" applyFont="1" applyFill="1" applyBorder="1" applyAlignment="1">
      <alignment horizontal="center" vertical="center"/>
    </xf>
    <xf numFmtId="1" fontId="15951" fillId="8" borderId="1" xfId="0" applyNumberFormat="1" applyFont="1" applyFill="1" applyBorder="1" applyAlignment="1">
      <alignment horizontal="center" vertical="center"/>
    </xf>
    <xf numFmtId="165" fontId="15952" fillId="8" borderId="1" xfId="0" applyNumberFormat="1" applyFont="1" applyFill="1" applyBorder="1" applyAlignment="1">
      <alignment horizontal="center" vertical="center"/>
    </xf>
    <xf numFmtId="1" fontId="15953" fillId="8" borderId="1" xfId="0" applyNumberFormat="1" applyFont="1" applyFill="1" applyBorder="1" applyAlignment="1">
      <alignment horizontal="center" vertical="center"/>
    </xf>
    <xf numFmtId="165" fontId="15954" fillId="8" borderId="1" xfId="0" applyNumberFormat="1" applyFont="1" applyFill="1" applyBorder="1" applyAlignment="1">
      <alignment horizontal="center" vertical="center"/>
    </xf>
    <xf numFmtId="1" fontId="15955" fillId="8" borderId="1" xfId="0" applyNumberFormat="1" applyFont="1" applyFill="1" applyBorder="1" applyAlignment="1">
      <alignment horizontal="center" vertical="center"/>
    </xf>
    <xf numFmtId="165" fontId="15956" fillId="8" borderId="1" xfId="0" applyNumberFormat="1" applyFont="1" applyFill="1" applyBorder="1" applyAlignment="1">
      <alignment horizontal="center" vertical="center"/>
    </xf>
    <xf numFmtId="2" fontId="15957" fillId="8" borderId="1" xfId="0" applyNumberFormat="1" applyFont="1" applyFill="1" applyBorder="1" applyAlignment="1">
      <alignment horizontal="center" vertical="center"/>
    </xf>
    <xf numFmtId="2" fontId="15958" fillId="8" borderId="1" xfId="0" applyNumberFormat="1" applyFont="1" applyFill="1" applyBorder="1" applyAlignment="1">
      <alignment horizontal="center" vertical="center"/>
    </xf>
    <xf numFmtId="2" fontId="15959" fillId="8" borderId="1" xfId="0" applyNumberFormat="1" applyFont="1" applyFill="1" applyBorder="1" applyAlignment="1">
      <alignment horizontal="center" vertical="center"/>
    </xf>
    <xf numFmtId="2" fontId="15960" fillId="8" borderId="1" xfId="0" applyNumberFormat="1" applyFont="1" applyFill="1" applyBorder="1" applyAlignment="1">
      <alignment horizontal="center" vertical="center"/>
    </xf>
    <xf numFmtId="2" fontId="15961" fillId="8" borderId="1" xfId="0" applyNumberFormat="1" applyFont="1" applyFill="1" applyBorder="1" applyAlignment="1">
      <alignment horizontal="center" vertical="center"/>
    </xf>
    <xf numFmtId="2" fontId="15962" fillId="8" borderId="1" xfId="0" applyNumberFormat="1" applyFont="1" applyFill="1" applyBorder="1" applyAlignment="1">
      <alignment horizontal="center" vertical="center"/>
    </xf>
    <xf numFmtId="2" fontId="15963" fillId="8" borderId="1" xfId="0" applyNumberFormat="1" applyFont="1" applyFill="1" applyBorder="1" applyAlignment="1">
      <alignment horizontal="center" vertical="center"/>
    </xf>
    <xf numFmtId="2" fontId="15964" fillId="8" borderId="1" xfId="0" applyNumberFormat="1" applyFont="1" applyFill="1" applyBorder="1" applyAlignment="1">
      <alignment horizontal="center" vertical="center"/>
    </xf>
    <xf numFmtId="2" fontId="15965" fillId="8" borderId="1" xfId="0" applyNumberFormat="1" applyFont="1" applyFill="1" applyBorder="1" applyAlignment="1">
      <alignment horizontal="center" vertical="center"/>
    </xf>
    <xf numFmtId="2" fontId="15966" fillId="8" borderId="1" xfId="0" applyNumberFormat="1" applyFont="1" applyFill="1" applyBorder="1" applyAlignment="1">
      <alignment horizontal="center" vertical="center"/>
    </xf>
    <xf numFmtId="2" fontId="15967" fillId="8" borderId="1" xfId="0" applyNumberFormat="1" applyFont="1" applyFill="1" applyBorder="1" applyAlignment="1">
      <alignment horizontal="center" vertical="center"/>
    </xf>
    <xf numFmtId="2" fontId="15968" fillId="8" borderId="1" xfId="0" applyNumberFormat="1" applyFont="1" applyFill="1" applyBorder="1" applyAlignment="1">
      <alignment horizontal="center" vertical="center"/>
    </xf>
    <xf numFmtId="2" fontId="15969" fillId="8" borderId="1" xfId="0" applyNumberFormat="1" applyFont="1" applyFill="1" applyBorder="1" applyAlignment="1">
      <alignment horizontal="center" vertical="center"/>
    </xf>
    <xf numFmtId="2" fontId="15970" fillId="8" borderId="1" xfId="0" applyNumberFormat="1" applyFont="1" applyFill="1" applyBorder="1" applyAlignment="1">
      <alignment horizontal="center" vertical="center"/>
    </xf>
    <xf numFmtId="2" fontId="15971" fillId="8" borderId="1" xfId="0" applyNumberFormat="1" applyFont="1" applyFill="1" applyBorder="1" applyAlignment="1">
      <alignment horizontal="center" vertical="center"/>
    </xf>
    <xf numFmtId="2" fontId="15972" fillId="8" borderId="1" xfId="0" applyNumberFormat="1" applyFont="1" applyFill="1" applyBorder="1" applyAlignment="1">
      <alignment horizontal="center" vertical="center"/>
    </xf>
    <xf numFmtId="2" fontId="15973" fillId="8" borderId="1" xfId="0" applyNumberFormat="1" applyFont="1" applyFill="1" applyBorder="1" applyAlignment="1">
      <alignment horizontal="center" vertical="center"/>
    </xf>
    <xf numFmtId="2" fontId="15974" fillId="8" borderId="1" xfId="0" applyNumberFormat="1" applyFont="1" applyFill="1" applyBorder="1" applyAlignment="1">
      <alignment horizontal="center" vertical="center"/>
    </xf>
    <xf numFmtId="2" fontId="15975" fillId="8" borderId="1" xfId="0" applyNumberFormat="1" applyFont="1" applyFill="1" applyBorder="1" applyAlignment="1">
      <alignment horizontal="center" vertical="center"/>
    </xf>
    <xf numFmtId="2" fontId="15976" fillId="8" borderId="1" xfId="0" applyNumberFormat="1" applyFont="1" applyFill="1" applyBorder="1" applyAlignment="1">
      <alignment horizontal="center" vertical="center"/>
    </xf>
    <xf numFmtId="2" fontId="15977" fillId="8" borderId="1" xfId="0" applyNumberFormat="1" applyFont="1" applyFill="1" applyBorder="1" applyAlignment="1">
      <alignment horizontal="center" vertical="center"/>
    </xf>
    <xf numFmtId="2" fontId="15978" fillId="8" borderId="1" xfId="0" applyNumberFormat="1" applyFont="1" applyFill="1" applyBorder="1" applyAlignment="1">
      <alignment horizontal="center" vertical="center"/>
    </xf>
    <xf numFmtId="2" fontId="15979" fillId="8" borderId="1" xfId="0" applyNumberFormat="1" applyFont="1" applyFill="1" applyBorder="1" applyAlignment="1">
      <alignment horizontal="center" vertical="center"/>
    </xf>
    <xf numFmtId="2" fontId="15980" fillId="8" borderId="1" xfId="0" applyNumberFormat="1" applyFont="1" applyFill="1" applyBorder="1" applyAlignment="1">
      <alignment horizontal="center" vertical="center"/>
    </xf>
    <xf numFmtId="2" fontId="15981" fillId="8" borderId="1" xfId="0" applyNumberFormat="1" applyFont="1" applyFill="1" applyBorder="1" applyAlignment="1">
      <alignment horizontal="center" vertical="center"/>
    </xf>
    <xf numFmtId="2" fontId="15982" fillId="8" borderId="1" xfId="0" applyNumberFormat="1" applyFont="1" applyFill="1" applyBorder="1" applyAlignment="1">
      <alignment horizontal="center" vertical="center"/>
    </xf>
    <xf numFmtId="2" fontId="15983" fillId="8" borderId="1" xfId="0" applyNumberFormat="1" applyFont="1" applyFill="1" applyBorder="1" applyAlignment="1">
      <alignment horizontal="center" vertical="center"/>
    </xf>
    <xf numFmtId="2" fontId="15984" fillId="8" borderId="1" xfId="0" applyNumberFormat="1" applyFont="1" applyFill="1" applyBorder="1" applyAlignment="1">
      <alignment horizontal="center" vertical="center"/>
    </xf>
    <xf numFmtId="2" fontId="15985" fillId="8" borderId="1" xfId="0" applyNumberFormat="1" applyFont="1" applyFill="1" applyBorder="1" applyAlignment="1">
      <alignment horizontal="center" vertical="center"/>
    </xf>
    <xf numFmtId="2" fontId="15986" fillId="8" borderId="1" xfId="0" applyNumberFormat="1" applyFont="1" applyFill="1" applyBorder="1" applyAlignment="1">
      <alignment horizontal="center" vertical="center"/>
    </xf>
    <xf numFmtId="2" fontId="15987" fillId="8" borderId="1" xfId="0" applyNumberFormat="1" applyFont="1" applyFill="1" applyBorder="1" applyAlignment="1">
      <alignment horizontal="center" vertical="center"/>
    </xf>
    <xf numFmtId="2" fontId="15988" fillId="8" borderId="1" xfId="0" applyNumberFormat="1" applyFont="1" applyFill="1" applyBorder="1" applyAlignment="1">
      <alignment horizontal="center" vertical="center"/>
    </xf>
    <xf numFmtId="2" fontId="15989" fillId="8" borderId="1" xfId="0" applyNumberFormat="1" applyFont="1" applyFill="1" applyBorder="1" applyAlignment="1">
      <alignment horizontal="center" vertical="center"/>
    </xf>
    <xf numFmtId="2" fontId="15990" fillId="8" borderId="1" xfId="0" applyNumberFormat="1" applyFont="1" applyFill="1" applyBorder="1" applyAlignment="1">
      <alignment horizontal="center" vertical="center"/>
    </xf>
    <xf numFmtId="0" fontId="15991" fillId="7" borderId="1" xfId="0" applyNumberFormat="1" applyFont="1" applyFill="1" applyBorder="1" applyAlignment="1">
      <alignment horizontal="left" vertical="center"/>
    </xf>
    <xf numFmtId="0" fontId="15992" fillId="8" borderId="1" xfId="0" applyNumberFormat="1" applyFont="1" applyFill="1" applyBorder="1" applyAlignment="1">
      <alignment horizontal="center" vertical="center"/>
    </xf>
    <xf numFmtId="164" fontId="15993" fillId="8" borderId="1" xfId="0" applyNumberFormat="1" applyFont="1" applyFill="1" applyBorder="1" applyAlignment="1">
      <alignment horizontal="center" vertical="center"/>
    </xf>
    <xf numFmtId="1" fontId="15994" fillId="8" borderId="1" xfId="0" applyNumberFormat="1" applyFont="1" applyFill="1" applyBorder="1" applyAlignment="1">
      <alignment horizontal="center" vertical="center"/>
    </xf>
    <xf numFmtId="1" fontId="15995" fillId="8" borderId="1" xfId="0" applyNumberFormat="1" applyFont="1" applyFill="1" applyBorder="1" applyAlignment="1">
      <alignment horizontal="center" vertical="center"/>
    </xf>
    <xf numFmtId="1" fontId="15996" fillId="8" borderId="1" xfId="0" applyNumberFormat="1" applyFont="1" applyFill="1" applyBorder="1" applyAlignment="1">
      <alignment horizontal="center" vertical="center"/>
    </xf>
    <xf numFmtId="1" fontId="15997" fillId="8" borderId="1" xfId="0" applyNumberFormat="1" applyFont="1" applyFill="1" applyBorder="1" applyAlignment="1">
      <alignment horizontal="center" vertical="center"/>
    </xf>
    <xf numFmtId="1" fontId="15998" fillId="8" borderId="1" xfId="0" applyNumberFormat="1" applyFont="1" applyFill="1" applyBorder="1" applyAlignment="1">
      <alignment horizontal="center" vertical="center"/>
    </xf>
    <xf numFmtId="1" fontId="15999" fillId="8" borderId="1" xfId="0" applyNumberFormat="1" applyFont="1" applyFill="1" applyBorder="1" applyAlignment="1">
      <alignment horizontal="center" vertical="center"/>
    </xf>
    <xf numFmtId="1" fontId="16000" fillId="8" borderId="1" xfId="0" applyNumberFormat="1" applyFont="1" applyFill="1" applyBorder="1" applyAlignment="1">
      <alignment horizontal="center" vertical="center"/>
    </xf>
    <xf numFmtId="0" fontId="16001" fillId="8" borderId="1" xfId="0" applyNumberFormat="1" applyFont="1" applyFill="1" applyBorder="1" applyAlignment="1">
      <alignment horizontal="center" vertical="center"/>
    </xf>
    <xf numFmtId="0" fontId="16002" fillId="8" borderId="1" xfId="0" applyNumberFormat="1" applyFont="1" applyFill="1" applyBorder="1" applyAlignment="1">
      <alignment horizontal="center" vertical="center"/>
    </xf>
    <xf numFmtId="1" fontId="16003" fillId="8" borderId="1" xfId="0" applyNumberFormat="1" applyFont="1" applyFill="1" applyBorder="1" applyAlignment="1">
      <alignment horizontal="center" vertical="center"/>
    </xf>
    <xf numFmtId="1" fontId="16004" fillId="8" borderId="1" xfId="0" applyNumberFormat="1" applyFont="1" applyFill="1" applyBorder="1" applyAlignment="1">
      <alignment horizontal="center" vertical="center"/>
    </xf>
    <xf numFmtId="1" fontId="16005" fillId="8" borderId="1" xfId="0" applyNumberFormat="1" applyFont="1" applyFill="1" applyBorder="1" applyAlignment="1">
      <alignment horizontal="center" vertical="center"/>
    </xf>
    <xf numFmtId="165" fontId="16006" fillId="8" borderId="1" xfId="0" applyNumberFormat="1" applyFont="1" applyFill="1" applyBorder="1" applyAlignment="1">
      <alignment horizontal="center" vertical="center"/>
    </xf>
    <xf numFmtId="1" fontId="16007" fillId="8" borderId="1" xfId="0" applyNumberFormat="1" applyFont="1" applyFill="1" applyBorder="1" applyAlignment="1">
      <alignment horizontal="center" vertical="center"/>
    </xf>
    <xf numFmtId="165" fontId="16008" fillId="8" borderId="1" xfId="0" applyNumberFormat="1" applyFont="1" applyFill="1" applyBorder="1" applyAlignment="1">
      <alignment horizontal="center" vertical="center"/>
    </xf>
    <xf numFmtId="1" fontId="16009" fillId="8" borderId="1" xfId="0" applyNumberFormat="1" applyFont="1" applyFill="1" applyBorder="1" applyAlignment="1">
      <alignment horizontal="center" vertical="center"/>
    </xf>
    <xf numFmtId="165" fontId="16010" fillId="8" borderId="1" xfId="0" applyNumberFormat="1" applyFont="1" applyFill="1" applyBorder="1" applyAlignment="1">
      <alignment horizontal="center" vertical="center"/>
    </xf>
    <xf numFmtId="1" fontId="16011" fillId="8" borderId="1" xfId="0" applyNumberFormat="1" applyFont="1" applyFill="1" applyBorder="1" applyAlignment="1">
      <alignment horizontal="center" vertical="center"/>
    </xf>
    <xf numFmtId="165" fontId="16012" fillId="8" borderId="1" xfId="0" applyNumberFormat="1" applyFont="1" applyFill="1" applyBorder="1" applyAlignment="1">
      <alignment horizontal="center" vertical="center"/>
    </xf>
    <xf numFmtId="165" fontId="16013" fillId="8" borderId="1" xfId="0" applyNumberFormat="1" applyFont="1" applyFill="1" applyBorder="1" applyAlignment="1">
      <alignment horizontal="center" vertical="center"/>
    </xf>
    <xf numFmtId="1" fontId="16014" fillId="8" borderId="1" xfId="0" applyNumberFormat="1" applyFont="1" applyFill="1" applyBorder="1" applyAlignment="1">
      <alignment horizontal="center" vertical="center"/>
    </xf>
    <xf numFmtId="1" fontId="16015" fillId="8" borderId="1" xfId="0" applyNumberFormat="1" applyFont="1" applyFill="1" applyBorder="1" applyAlignment="1">
      <alignment horizontal="center" vertical="center"/>
    </xf>
    <xf numFmtId="1" fontId="16016" fillId="8" borderId="1" xfId="0" applyNumberFormat="1" applyFont="1" applyFill="1" applyBorder="1" applyAlignment="1">
      <alignment horizontal="center" vertical="center"/>
    </xf>
    <xf numFmtId="165" fontId="16017" fillId="8" borderId="1" xfId="0" applyNumberFormat="1" applyFont="1" applyFill="1" applyBorder="1" applyAlignment="1">
      <alignment horizontal="center" vertical="center"/>
    </xf>
    <xf numFmtId="164" fontId="16018" fillId="8" borderId="1" xfId="0" applyNumberFormat="1" applyFont="1" applyFill="1" applyBorder="1" applyAlignment="1">
      <alignment horizontal="center" vertical="center"/>
    </xf>
    <xf numFmtId="164" fontId="16019" fillId="8" borderId="1" xfId="0" applyNumberFormat="1" applyFont="1" applyFill="1" applyBorder="1" applyAlignment="1">
      <alignment horizontal="center" vertical="center"/>
    </xf>
    <xf numFmtId="1" fontId="16020" fillId="8" borderId="1" xfId="0" applyNumberFormat="1" applyFont="1" applyFill="1" applyBorder="1" applyAlignment="1">
      <alignment horizontal="center" vertical="center"/>
    </xf>
    <xf numFmtId="1" fontId="16021" fillId="8" borderId="1" xfId="0" applyNumberFormat="1" applyFont="1" applyFill="1" applyBorder="1" applyAlignment="1">
      <alignment horizontal="center" vertical="center"/>
    </xf>
    <xf numFmtId="1" fontId="16022" fillId="8" borderId="1" xfId="0" applyNumberFormat="1" applyFont="1" applyFill="1" applyBorder="1" applyAlignment="1">
      <alignment horizontal="center" vertical="center"/>
    </xf>
    <xf numFmtId="165" fontId="16023" fillId="8" borderId="1" xfId="0" applyNumberFormat="1" applyFont="1" applyFill="1" applyBorder="1" applyAlignment="1">
      <alignment horizontal="center" vertical="center"/>
    </xf>
    <xf numFmtId="1" fontId="16024" fillId="8" borderId="1" xfId="0" applyNumberFormat="1" applyFont="1" applyFill="1" applyBorder="1" applyAlignment="1">
      <alignment horizontal="center" vertical="center"/>
    </xf>
    <xf numFmtId="165" fontId="16025" fillId="8" borderId="1" xfId="0" applyNumberFormat="1" applyFont="1" applyFill="1" applyBorder="1" applyAlignment="1">
      <alignment horizontal="center" vertical="center"/>
    </xf>
    <xf numFmtId="1" fontId="16026" fillId="8" borderId="1" xfId="0" applyNumberFormat="1" applyFont="1" applyFill="1" applyBorder="1" applyAlignment="1">
      <alignment horizontal="center" vertical="center"/>
    </xf>
    <xf numFmtId="1" fontId="16027" fillId="8" borderId="1" xfId="0" applyNumberFormat="1" applyFont="1" applyFill="1" applyBorder="1" applyAlignment="1">
      <alignment horizontal="center" vertical="center"/>
    </xf>
    <xf numFmtId="1" fontId="16028" fillId="8" borderId="1" xfId="0" applyNumberFormat="1" applyFont="1" applyFill="1" applyBorder="1" applyAlignment="1">
      <alignment horizontal="center" vertical="center"/>
    </xf>
    <xf numFmtId="1" fontId="16029" fillId="8" borderId="1" xfId="0" applyNumberFormat="1" applyFont="1" applyFill="1" applyBorder="1" applyAlignment="1">
      <alignment horizontal="center" vertical="center"/>
    </xf>
    <xf numFmtId="165" fontId="16030" fillId="8" borderId="1" xfId="0" applyNumberFormat="1" applyFont="1" applyFill="1" applyBorder="1" applyAlignment="1">
      <alignment horizontal="center" vertical="center"/>
    </xf>
    <xf numFmtId="1" fontId="16031" fillId="8" borderId="1" xfId="0" applyNumberFormat="1" applyFont="1" applyFill="1" applyBorder="1" applyAlignment="1">
      <alignment horizontal="center" vertical="center"/>
    </xf>
    <xf numFmtId="165" fontId="16032" fillId="8" borderId="1" xfId="0" applyNumberFormat="1" applyFont="1" applyFill="1" applyBorder="1" applyAlignment="1">
      <alignment horizontal="center" vertical="center"/>
    </xf>
    <xf numFmtId="1" fontId="16033" fillId="8" borderId="1" xfId="0" applyNumberFormat="1" applyFont="1" applyFill="1" applyBorder="1" applyAlignment="1">
      <alignment horizontal="center" vertical="center"/>
    </xf>
    <xf numFmtId="165" fontId="16034" fillId="8" borderId="1" xfId="0" applyNumberFormat="1" applyFont="1" applyFill="1" applyBorder="1" applyAlignment="1">
      <alignment horizontal="center" vertical="center"/>
    </xf>
    <xf numFmtId="2" fontId="16035" fillId="8" borderId="1" xfId="0" applyNumberFormat="1" applyFont="1" applyFill="1" applyBorder="1" applyAlignment="1">
      <alignment horizontal="center" vertical="center"/>
    </xf>
    <xf numFmtId="2" fontId="16036" fillId="8" borderId="1" xfId="0" applyNumberFormat="1" applyFont="1" applyFill="1" applyBorder="1" applyAlignment="1">
      <alignment horizontal="center" vertical="center"/>
    </xf>
    <xf numFmtId="2" fontId="16037" fillId="8" borderId="1" xfId="0" applyNumberFormat="1" applyFont="1" applyFill="1" applyBorder="1" applyAlignment="1">
      <alignment horizontal="center" vertical="center"/>
    </xf>
    <xf numFmtId="2" fontId="16038" fillId="8" borderId="1" xfId="0" applyNumberFormat="1" applyFont="1" applyFill="1" applyBorder="1" applyAlignment="1">
      <alignment horizontal="center" vertical="center"/>
    </xf>
    <xf numFmtId="2" fontId="16039" fillId="8" borderId="1" xfId="0" applyNumberFormat="1" applyFont="1" applyFill="1" applyBorder="1" applyAlignment="1">
      <alignment horizontal="center" vertical="center"/>
    </xf>
    <xf numFmtId="2" fontId="16040" fillId="8" borderId="1" xfId="0" applyNumberFormat="1" applyFont="1" applyFill="1" applyBorder="1" applyAlignment="1">
      <alignment horizontal="center" vertical="center"/>
    </xf>
    <xf numFmtId="2" fontId="16041" fillId="8" borderId="1" xfId="0" applyNumberFormat="1" applyFont="1" applyFill="1" applyBorder="1" applyAlignment="1">
      <alignment horizontal="center" vertical="center"/>
    </xf>
    <xf numFmtId="2" fontId="16042" fillId="8" borderId="1" xfId="0" applyNumberFormat="1" applyFont="1" applyFill="1" applyBorder="1" applyAlignment="1">
      <alignment horizontal="center" vertical="center"/>
    </xf>
    <xf numFmtId="2" fontId="16043" fillId="8" borderId="1" xfId="0" applyNumberFormat="1" applyFont="1" applyFill="1" applyBorder="1" applyAlignment="1">
      <alignment horizontal="center" vertical="center"/>
    </xf>
    <xf numFmtId="2" fontId="16044" fillId="8" borderId="1" xfId="0" applyNumberFormat="1" applyFont="1" applyFill="1" applyBorder="1" applyAlignment="1">
      <alignment horizontal="center" vertical="center"/>
    </xf>
    <xf numFmtId="2" fontId="16045" fillId="8" borderId="1" xfId="0" applyNumberFormat="1" applyFont="1" applyFill="1" applyBorder="1" applyAlignment="1">
      <alignment horizontal="center" vertical="center"/>
    </xf>
    <xf numFmtId="2" fontId="16046" fillId="8" borderId="1" xfId="0" applyNumberFormat="1" applyFont="1" applyFill="1" applyBorder="1" applyAlignment="1">
      <alignment horizontal="center" vertical="center"/>
    </xf>
    <xf numFmtId="2" fontId="16047" fillId="8" borderId="1" xfId="0" applyNumberFormat="1" applyFont="1" applyFill="1" applyBorder="1" applyAlignment="1">
      <alignment horizontal="center" vertical="center"/>
    </xf>
    <xf numFmtId="2" fontId="16048" fillId="8" borderId="1" xfId="0" applyNumberFormat="1" applyFont="1" applyFill="1" applyBorder="1" applyAlignment="1">
      <alignment horizontal="center" vertical="center"/>
    </xf>
    <xf numFmtId="2" fontId="16049" fillId="8" borderId="1" xfId="0" applyNumberFormat="1" applyFont="1" applyFill="1" applyBorder="1" applyAlignment="1">
      <alignment horizontal="center" vertical="center"/>
    </xf>
    <xf numFmtId="2" fontId="16050" fillId="8" borderId="1" xfId="0" applyNumberFormat="1" applyFont="1" applyFill="1" applyBorder="1" applyAlignment="1">
      <alignment horizontal="center" vertical="center"/>
    </xf>
    <xf numFmtId="2" fontId="16051" fillId="8" borderId="1" xfId="0" applyNumberFormat="1" applyFont="1" applyFill="1" applyBorder="1" applyAlignment="1">
      <alignment horizontal="center" vertical="center"/>
    </xf>
    <xf numFmtId="2" fontId="16052" fillId="8" borderId="1" xfId="0" applyNumberFormat="1" applyFont="1" applyFill="1" applyBorder="1" applyAlignment="1">
      <alignment horizontal="center" vertical="center"/>
    </xf>
    <xf numFmtId="2" fontId="16053" fillId="8" borderId="1" xfId="0" applyNumberFormat="1" applyFont="1" applyFill="1" applyBorder="1" applyAlignment="1">
      <alignment horizontal="center" vertical="center"/>
    </xf>
    <xf numFmtId="2" fontId="16054" fillId="8" borderId="1" xfId="0" applyNumberFormat="1" applyFont="1" applyFill="1" applyBorder="1" applyAlignment="1">
      <alignment horizontal="center" vertical="center"/>
    </xf>
    <xf numFmtId="2" fontId="16055" fillId="8" borderId="1" xfId="0" applyNumberFormat="1" applyFont="1" applyFill="1" applyBorder="1" applyAlignment="1">
      <alignment horizontal="center" vertical="center"/>
    </xf>
    <xf numFmtId="2" fontId="16056" fillId="8" borderId="1" xfId="0" applyNumberFormat="1" applyFont="1" applyFill="1" applyBorder="1" applyAlignment="1">
      <alignment horizontal="center" vertical="center"/>
    </xf>
    <xf numFmtId="2" fontId="16057" fillId="8" borderId="1" xfId="0" applyNumberFormat="1" applyFont="1" applyFill="1" applyBorder="1" applyAlignment="1">
      <alignment horizontal="center" vertical="center"/>
    </xf>
    <xf numFmtId="2" fontId="16058" fillId="8" borderId="1" xfId="0" applyNumberFormat="1" applyFont="1" applyFill="1" applyBorder="1" applyAlignment="1">
      <alignment horizontal="center" vertical="center"/>
    </xf>
    <xf numFmtId="2" fontId="16059" fillId="8" borderId="1" xfId="0" applyNumberFormat="1" applyFont="1" applyFill="1" applyBorder="1" applyAlignment="1">
      <alignment horizontal="center" vertical="center"/>
    </xf>
    <xf numFmtId="2" fontId="16060" fillId="8" borderId="1" xfId="0" applyNumberFormat="1" applyFont="1" applyFill="1" applyBorder="1" applyAlignment="1">
      <alignment horizontal="center" vertical="center"/>
    </xf>
    <xf numFmtId="2" fontId="16061" fillId="8" borderId="1" xfId="0" applyNumberFormat="1" applyFont="1" applyFill="1" applyBorder="1" applyAlignment="1">
      <alignment horizontal="center" vertical="center"/>
    </xf>
    <xf numFmtId="2" fontId="16062" fillId="8" borderId="1" xfId="0" applyNumberFormat="1" applyFont="1" applyFill="1" applyBorder="1" applyAlignment="1">
      <alignment horizontal="center" vertical="center"/>
    </xf>
    <xf numFmtId="2" fontId="16063" fillId="8" borderId="1" xfId="0" applyNumberFormat="1" applyFont="1" applyFill="1" applyBorder="1" applyAlignment="1">
      <alignment horizontal="center" vertical="center"/>
    </xf>
    <xf numFmtId="2" fontId="16064" fillId="8" borderId="1" xfId="0" applyNumberFormat="1" applyFont="1" applyFill="1" applyBorder="1" applyAlignment="1">
      <alignment horizontal="center" vertical="center"/>
    </xf>
    <xf numFmtId="2" fontId="16065" fillId="8" borderId="1" xfId="0" applyNumberFormat="1" applyFont="1" applyFill="1" applyBorder="1" applyAlignment="1">
      <alignment horizontal="center" vertical="center"/>
    </xf>
    <xf numFmtId="2" fontId="16066" fillId="8" borderId="1" xfId="0" applyNumberFormat="1" applyFont="1" applyFill="1" applyBorder="1" applyAlignment="1">
      <alignment horizontal="center" vertical="center"/>
    </xf>
    <xf numFmtId="2" fontId="16067" fillId="8" borderId="1" xfId="0" applyNumberFormat="1" applyFont="1" applyFill="1" applyBorder="1" applyAlignment="1">
      <alignment horizontal="center" vertical="center"/>
    </xf>
    <xf numFmtId="2" fontId="16068" fillId="8" borderId="1" xfId="0" applyNumberFormat="1" applyFont="1" applyFill="1" applyBorder="1" applyAlignment="1">
      <alignment horizontal="center" vertical="center"/>
    </xf>
    <xf numFmtId="0" fontId="16069" fillId="7" borderId="1" xfId="0" applyNumberFormat="1" applyFont="1" applyFill="1" applyBorder="1" applyAlignment="1">
      <alignment horizontal="left" vertical="center"/>
    </xf>
    <xf numFmtId="0" fontId="16070" fillId="8" borderId="1" xfId="0" applyNumberFormat="1" applyFont="1" applyFill="1" applyBorder="1" applyAlignment="1">
      <alignment horizontal="center" vertical="center"/>
    </xf>
    <xf numFmtId="164" fontId="16071" fillId="8" borderId="1" xfId="0" applyNumberFormat="1" applyFont="1" applyFill="1" applyBorder="1" applyAlignment="1">
      <alignment horizontal="center" vertical="center"/>
    </xf>
    <xf numFmtId="1" fontId="16072" fillId="8" borderId="1" xfId="0" applyNumberFormat="1" applyFont="1" applyFill="1" applyBorder="1" applyAlignment="1">
      <alignment horizontal="center" vertical="center"/>
    </xf>
    <xf numFmtId="1" fontId="16073" fillId="8" borderId="1" xfId="0" applyNumberFormat="1" applyFont="1" applyFill="1" applyBorder="1" applyAlignment="1">
      <alignment horizontal="center" vertical="center"/>
    </xf>
    <xf numFmtId="1" fontId="16074" fillId="8" borderId="1" xfId="0" applyNumberFormat="1" applyFont="1" applyFill="1" applyBorder="1" applyAlignment="1">
      <alignment horizontal="center" vertical="center"/>
    </xf>
    <xf numFmtId="1" fontId="16075" fillId="8" borderId="1" xfId="0" applyNumberFormat="1" applyFont="1" applyFill="1" applyBorder="1" applyAlignment="1">
      <alignment horizontal="center" vertical="center"/>
    </xf>
    <xf numFmtId="1" fontId="16076" fillId="8" borderId="1" xfId="0" applyNumberFormat="1" applyFont="1" applyFill="1" applyBorder="1" applyAlignment="1">
      <alignment horizontal="center" vertical="center"/>
    </xf>
    <xf numFmtId="1" fontId="16077" fillId="8" borderId="1" xfId="0" applyNumberFormat="1" applyFont="1" applyFill="1" applyBorder="1" applyAlignment="1">
      <alignment horizontal="center" vertical="center"/>
    </xf>
    <xf numFmtId="1" fontId="16078" fillId="8" borderId="1" xfId="0" applyNumberFormat="1" applyFont="1" applyFill="1" applyBorder="1" applyAlignment="1">
      <alignment horizontal="center" vertical="center"/>
    </xf>
    <xf numFmtId="0" fontId="16079" fillId="8" borderId="1" xfId="0" applyNumberFormat="1" applyFont="1" applyFill="1" applyBorder="1" applyAlignment="1">
      <alignment horizontal="center" vertical="center"/>
    </xf>
    <xf numFmtId="0" fontId="16080" fillId="8" borderId="1" xfId="0" applyNumberFormat="1" applyFont="1" applyFill="1" applyBorder="1" applyAlignment="1">
      <alignment horizontal="center" vertical="center"/>
    </xf>
    <xf numFmtId="1" fontId="16081" fillId="8" borderId="1" xfId="0" applyNumberFormat="1" applyFont="1" applyFill="1" applyBorder="1" applyAlignment="1">
      <alignment horizontal="center" vertical="center"/>
    </xf>
    <xf numFmtId="1" fontId="16082" fillId="8" borderId="1" xfId="0" applyNumberFormat="1" applyFont="1" applyFill="1" applyBorder="1" applyAlignment="1">
      <alignment horizontal="center" vertical="center"/>
    </xf>
    <xf numFmtId="1" fontId="16083" fillId="8" borderId="1" xfId="0" applyNumberFormat="1" applyFont="1" applyFill="1" applyBorder="1" applyAlignment="1">
      <alignment horizontal="center" vertical="center"/>
    </xf>
    <xf numFmtId="165" fontId="16084" fillId="8" borderId="1" xfId="0" applyNumberFormat="1" applyFont="1" applyFill="1" applyBorder="1" applyAlignment="1">
      <alignment horizontal="center" vertical="center"/>
    </xf>
    <xf numFmtId="1" fontId="16085" fillId="8" borderId="1" xfId="0" applyNumberFormat="1" applyFont="1" applyFill="1" applyBorder="1" applyAlignment="1">
      <alignment horizontal="center" vertical="center"/>
    </xf>
    <xf numFmtId="165" fontId="16086" fillId="8" borderId="1" xfId="0" applyNumberFormat="1" applyFont="1" applyFill="1" applyBorder="1" applyAlignment="1">
      <alignment horizontal="center" vertical="center"/>
    </xf>
    <xf numFmtId="1" fontId="16087" fillId="8" borderId="1" xfId="0" applyNumberFormat="1" applyFont="1" applyFill="1" applyBorder="1" applyAlignment="1">
      <alignment horizontal="center" vertical="center"/>
    </xf>
    <xf numFmtId="165" fontId="16088" fillId="8" borderId="1" xfId="0" applyNumberFormat="1" applyFont="1" applyFill="1" applyBorder="1" applyAlignment="1">
      <alignment horizontal="center" vertical="center"/>
    </xf>
    <xf numFmtId="1" fontId="16089" fillId="8" borderId="1" xfId="0" applyNumberFormat="1" applyFont="1" applyFill="1" applyBorder="1" applyAlignment="1">
      <alignment horizontal="center" vertical="center"/>
    </xf>
    <xf numFmtId="165" fontId="16090" fillId="8" borderId="1" xfId="0" applyNumberFormat="1" applyFont="1" applyFill="1" applyBorder="1" applyAlignment="1">
      <alignment horizontal="center" vertical="center"/>
    </xf>
    <xf numFmtId="165" fontId="16091" fillId="8" borderId="1" xfId="0" applyNumberFormat="1" applyFont="1" applyFill="1" applyBorder="1" applyAlignment="1">
      <alignment horizontal="center" vertical="center"/>
    </xf>
    <xf numFmtId="1" fontId="16092" fillId="8" borderId="1" xfId="0" applyNumberFormat="1" applyFont="1" applyFill="1" applyBorder="1" applyAlignment="1">
      <alignment horizontal="center" vertical="center"/>
    </xf>
    <xf numFmtId="1" fontId="16093" fillId="8" borderId="1" xfId="0" applyNumberFormat="1" applyFont="1" applyFill="1" applyBorder="1" applyAlignment="1">
      <alignment horizontal="center" vertical="center"/>
    </xf>
    <xf numFmtId="1" fontId="16094" fillId="8" borderId="1" xfId="0" applyNumberFormat="1" applyFont="1" applyFill="1" applyBorder="1" applyAlignment="1">
      <alignment horizontal="center" vertical="center"/>
    </xf>
    <xf numFmtId="165" fontId="16095" fillId="8" borderId="1" xfId="0" applyNumberFormat="1" applyFont="1" applyFill="1" applyBorder="1" applyAlignment="1">
      <alignment horizontal="center" vertical="center"/>
    </xf>
    <xf numFmtId="164" fontId="16096" fillId="8" borderId="1" xfId="0" applyNumberFormat="1" applyFont="1" applyFill="1" applyBorder="1" applyAlignment="1">
      <alignment horizontal="center" vertical="center"/>
    </xf>
    <xf numFmtId="164" fontId="16097" fillId="8" borderId="1" xfId="0" applyNumberFormat="1" applyFont="1" applyFill="1" applyBorder="1" applyAlignment="1">
      <alignment horizontal="center" vertical="center"/>
    </xf>
    <xf numFmtId="1" fontId="16098" fillId="8" borderId="1" xfId="0" applyNumberFormat="1" applyFont="1" applyFill="1" applyBorder="1" applyAlignment="1">
      <alignment horizontal="center" vertical="center"/>
    </xf>
    <xf numFmtId="1" fontId="16099" fillId="8" borderId="1" xfId="0" applyNumberFormat="1" applyFont="1" applyFill="1" applyBorder="1" applyAlignment="1">
      <alignment horizontal="center" vertical="center"/>
    </xf>
    <xf numFmtId="1" fontId="16100" fillId="8" borderId="1" xfId="0" applyNumberFormat="1" applyFont="1" applyFill="1" applyBorder="1" applyAlignment="1">
      <alignment horizontal="center" vertical="center"/>
    </xf>
    <xf numFmtId="165" fontId="16101" fillId="8" borderId="1" xfId="0" applyNumberFormat="1" applyFont="1" applyFill="1" applyBorder="1" applyAlignment="1">
      <alignment horizontal="center" vertical="center"/>
    </xf>
    <xf numFmtId="1" fontId="16102" fillId="8" borderId="1" xfId="0" applyNumberFormat="1" applyFont="1" applyFill="1" applyBorder="1" applyAlignment="1">
      <alignment horizontal="center" vertical="center"/>
    </xf>
    <xf numFmtId="165" fontId="16103" fillId="8" borderId="1" xfId="0" applyNumberFormat="1" applyFont="1" applyFill="1" applyBorder="1" applyAlignment="1">
      <alignment horizontal="center" vertical="center"/>
    </xf>
    <xf numFmtId="1" fontId="16104" fillId="8" borderId="1" xfId="0" applyNumberFormat="1" applyFont="1" applyFill="1" applyBorder="1" applyAlignment="1">
      <alignment horizontal="center" vertical="center"/>
    </xf>
    <xf numFmtId="1" fontId="16105" fillId="8" borderId="1" xfId="0" applyNumberFormat="1" applyFont="1" applyFill="1" applyBorder="1" applyAlignment="1">
      <alignment horizontal="center" vertical="center"/>
    </xf>
    <xf numFmtId="1" fontId="16106" fillId="8" borderId="1" xfId="0" applyNumberFormat="1" applyFont="1" applyFill="1" applyBorder="1" applyAlignment="1">
      <alignment horizontal="center" vertical="center"/>
    </xf>
    <xf numFmtId="1" fontId="16107" fillId="8" borderId="1" xfId="0" applyNumberFormat="1" applyFont="1" applyFill="1" applyBorder="1" applyAlignment="1">
      <alignment horizontal="center" vertical="center"/>
    </xf>
    <xf numFmtId="165" fontId="16108" fillId="8" borderId="1" xfId="0" applyNumberFormat="1" applyFont="1" applyFill="1" applyBorder="1" applyAlignment="1">
      <alignment horizontal="center" vertical="center"/>
    </xf>
    <xf numFmtId="1" fontId="16109" fillId="8" borderId="1" xfId="0" applyNumberFormat="1" applyFont="1" applyFill="1" applyBorder="1" applyAlignment="1">
      <alignment horizontal="center" vertical="center"/>
    </xf>
    <xf numFmtId="165" fontId="16110" fillId="8" borderId="1" xfId="0" applyNumberFormat="1" applyFont="1" applyFill="1" applyBorder="1" applyAlignment="1">
      <alignment horizontal="center" vertical="center"/>
    </xf>
    <xf numFmtId="1" fontId="16111" fillId="8" borderId="1" xfId="0" applyNumberFormat="1" applyFont="1" applyFill="1" applyBorder="1" applyAlignment="1">
      <alignment horizontal="center" vertical="center"/>
    </xf>
    <xf numFmtId="165" fontId="16112" fillId="8" borderId="1" xfId="0" applyNumberFormat="1" applyFont="1" applyFill="1" applyBorder="1" applyAlignment="1">
      <alignment horizontal="center" vertical="center"/>
    </xf>
    <xf numFmtId="2" fontId="16113" fillId="8" borderId="1" xfId="0" applyNumberFormat="1" applyFont="1" applyFill="1" applyBorder="1" applyAlignment="1">
      <alignment horizontal="center" vertical="center"/>
    </xf>
    <xf numFmtId="2" fontId="16114" fillId="8" borderId="1" xfId="0" applyNumberFormat="1" applyFont="1" applyFill="1" applyBorder="1" applyAlignment="1">
      <alignment horizontal="center" vertical="center"/>
    </xf>
    <xf numFmtId="2" fontId="16115" fillId="8" borderId="1" xfId="0" applyNumberFormat="1" applyFont="1" applyFill="1" applyBorder="1" applyAlignment="1">
      <alignment horizontal="center" vertical="center"/>
    </xf>
    <xf numFmtId="2" fontId="16116" fillId="8" borderId="1" xfId="0" applyNumberFormat="1" applyFont="1" applyFill="1" applyBorder="1" applyAlignment="1">
      <alignment horizontal="center" vertical="center"/>
    </xf>
    <xf numFmtId="2" fontId="16117" fillId="8" borderId="1" xfId="0" applyNumberFormat="1" applyFont="1" applyFill="1" applyBorder="1" applyAlignment="1">
      <alignment horizontal="center" vertical="center"/>
    </xf>
    <xf numFmtId="2" fontId="16118" fillId="8" borderId="1" xfId="0" applyNumberFormat="1" applyFont="1" applyFill="1" applyBorder="1" applyAlignment="1">
      <alignment horizontal="center" vertical="center"/>
    </xf>
    <xf numFmtId="2" fontId="16119" fillId="8" borderId="1" xfId="0" applyNumberFormat="1" applyFont="1" applyFill="1" applyBorder="1" applyAlignment="1">
      <alignment horizontal="center" vertical="center"/>
    </xf>
    <xf numFmtId="2" fontId="16120" fillId="8" borderId="1" xfId="0" applyNumberFormat="1" applyFont="1" applyFill="1" applyBorder="1" applyAlignment="1">
      <alignment horizontal="center" vertical="center"/>
    </xf>
    <xf numFmtId="2" fontId="16121" fillId="8" borderId="1" xfId="0" applyNumberFormat="1" applyFont="1" applyFill="1" applyBorder="1" applyAlignment="1">
      <alignment horizontal="center" vertical="center"/>
    </xf>
    <xf numFmtId="2" fontId="16122" fillId="8" borderId="1" xfId="0" applyNumberFormat="1" applyFont="1" applyFill="1" applyBorder="1" applyAlignment="1">
      <alignment horizontal="center" vertical="center"/>
    </xf>
    <xf numFmtId="2" fontId="16123" fillId="8" borderId="1" xfId="0" applyNumberFormat="1" applyFont="1" applyFill="1" applyBorder="1" applyAlignment="1">
      <alignment horizontal="center" vertical="center"/>
    </xf>
    <xf numFmtId="2" fontId="16124" fillId="8" borderId="1" xfId="0" applyNumberFormat="1" applyFont="1" applyFill="1" applyBorder="1" applyAlignment="1">
      <alignment horizontal="center" vertical="center"/>
    </xf>
    <xf numFmtId="2" fontId="16125" fillId="8" borderId="1" xfId="0" applyNumberFormat="1" applyFont="1" applyFill="1" applyBorder="1" applyAlignment="1">
      <alignment horizontal="center" vertical="center"/>
    </xf>
    <xf numFmtId="2" fontId="16126" fillId="8" borderId="1" xfId="0" applyNumberFormat="1" applyFont="1" applyFill="1" applyBorder="1" applyAlignment="1">
      <alignment horizontal="center" vertical="center"/>
    </xf>
    <xf numFmtId="2" fontId="16127" fillId="8" borderId="1" xfId="0" applyNumberFormat="1" applyFont="1" applyFill="1" applyBorder="1" applyAlignment="1">
      <alignment horizontal="center" vertical="center"/>
    </xf>
    <xf numFmtId="2" fontId="16128" fillId="8" borderId="1" xfId="0" applyNumberFormat="1" applyFont="1" applyFill="1" applyBorder="1" applyAlignment="1">
      <alignment horizontal="center" vertical="center"/>
    </xf>
    <xf numFmtId="2" fontId="16129" fillId="8" borderId="1" xfId="0" applyNumberFormat="1" applyFont="1" applyFill="1" applyBorder="1" applyAlignment="1">
      <alignment horizontal="center" vertical="center"/>
    </xf>
    <xf numFmtId="2" fontId="16130" fillId="8" borderId="1" xfId="0" applyNumberFormat="1" applyFont="1" applyFill="1" applyBorder="1" applyAlignment="1">
      <alignment horizontal="center" vertical="center"/>
    </xf>
    <xf numFmtId="2" fontId="16131" fillId="8" borderId="1" xfId="0" applyNumberFormat="1" applyFont="1" applyFill="1" applyBorder="1" applyAlignment="1">
      <alignment horizontal="center" vertical="center"/>
    </xf>
    <xf numFmtId="2" fontId="16132" fillId="8" borderId="1" xfId="0" applyNumberFormat="1" applyFont="1" applyFill="1" applyBorder="1" applyAlignment="1">
      <alignment horizontal="center" vertical="center"/>
    </xf>
    <xf numFmtId="2" fontId="16133" fillId="8" borderId="1" xfId="0" applyNumberFormat="1" applyFont="1" applyFill="1" applyBorder="1" applyAlignment="1">
      <alignment horizontal="center" vertical="center"/>
    </xf>
    <xf numFmtId="2" fontId="16134" fillId="8" borderId="1" xfId="0" applyNumberFormat="1" applyFont="1" applyFill="1" applyBorder="1" applyAlignment="1">
      <alignment horizontal="center" vertical="center"/>
    </xf>
    <xf numFmtId="2" fontId="16135" fillId="8" borderId="1" xfId="0" applyNumberFormat="1" applyFont="1" applyFill="1" applyBorder="1" applyAlignment="1">
      <alignment horizontal="center" vertical="center"/>
    </xf>
    <xf numFmtId="2" fontId="16136" fillId="8" borderId="1" xfId="0" applyNumberFormat="1" applyFont="1" applyFill="1" applyBorder="1" applyAlignment="1">
      <alignment horizontal="center" vertical="center"/>
    </xf>
    <xf numFmtId="2" fontId="16137" fillId="8" borderId="1" xfId="0" applyNumberFormat="1" applyFont="1" applyFill="1" applyBorder="1" applyAlignment="1">
      <alignment horizontal="center" vertical="center"/>
    </xf>
    <xf numFmtId="2" fontId="16138" fillId="8" borderId="1" xfId="0" applyNumberFormat="1" applyFont="1" applyFill="1" applyBorder="1" applyAlignment="1">
      <alignment horizontal="center" vertical="center"/>
    </xf>
    <xf numFmtId="2" fontId="16139" fillId="8" borderId="1" xfId="0" applyNumberFormat="1" applyFont="1" applyFill="1" applyBorder="1" applyAlignment="1">
      <alignment horizontal="center" vertical="center"/>
    </xf>
    <xf numFmtId="2" fontId="16140" fillId="8" borderId="1" xfId="0" applyNumberFormat="1" applyFont="1" applyFill="1" applyBorder="1" applyAlignment="1">
      <alignment horizontal="center" vertical="center"/>
    </xf>
    <xf numFmtId="2" fontId="16141" fillId="8" borderId="1" xfId="0" applyNumberFormat="1" applyFont="1" applyFill="1" applyBorder="1" applyAlignment="1">
      <alignment horizontal="center" vertical="center"/>
    </xf>
    <xf numFmtId="2" fontId="16142" fillId="8" borderId="1" xfId="0" applyNumberFormat="1" applyFont="1" applyFill="1" applyBorder="1" applyAlignment="1">
      <alignment horizontal="center" vertical="center"/>
    </xf>
    <xf numFmtId="2" fontId="16143" fillId="8" borderId="1" xfId="0" applyNumberFormat="1" applyFont="1" applyFill="1" applyBorder="1" applyAlignment="1">
      <alignment horizontal="center" vertical="center"/>
    </xf>
    <xf numFmtId="2" fontId="16144" fillId="8" borderId="1" xfId="0" applyNumberFormat="1" applyFont="1" applyFill="1" applyBorder="1" applyAlignment="1">
      <alignment horizontal="center" vertical="center"/>
    </xf>
    <xf numFmtId="2" fontId="16145" fillId="8" borderId="1" xfId="0" applyNumberFormat="1" applyFont="1" applyFill="1" applyBorder="1" applyAlignment="1">
      <alignment horizontal="center" vertical="center"/>
    </xf>
    <xf numFmtId="2" fontId="16146" fillId="8" borderId="1" xfId="0" applyNumberFormat="1" applyFont="1" applyFill="1" applyBorder="1" applyAlignment="1">
      <alignment horizontal="center" vertical="center"/>
    </xf>
    <xf numFmtId="0" fontId="16147" fillId="7" borderId="1" xfId="0" applyNumberFormat="1" applyFont="1" applyFill="1" applyBorder="1" applyAlignment="1">
      <alignment horizontal="left" vertical="center"/>
    </xf>
    <xf numFmtId="0" fontId="16148" fillId="8" borderId="1" xfId="0" applyNumberFormat="1" applyFont="1" applyFill="1" applyBorder="1" applyAlignment="1">
      <alignment horizontal="center" vertical="center"/>
    </xf>
    <xf numFmtId="164" fontId="16149" fillId="8" borderId="1" xfId="0" applyNumberFormat="1" applyFont="1" applyFill="1" applyBorder="1" applyAlignment="1">
      <alignment horizontal="center" vertical="center"/>
    </xf>
    <xf numFmtId="1" fontId="16150" fillId="8" borderId="1" xfId="0" applyNumberFormat="1" applyFont="1" applyFill="1" applyBorder="1" applyAlignment="1">
      <alignment horizontal="center" vertical="center"/>
    </xf>
    <xf numFmtId="1" fontId="16151" fillId="8" borderId="1" xfId="0" applyNumberFormat="1" applyFont="1" applyFill="1" applyBorder="1" applyAlignment="1">
      <alignment horizontal="center" vertical="center"/>
    </xf>
    <xf numFmtId="1" fontId="16152" fillId="8" borderId="1" xfId="0" applyNumberFormat="1" applyFont="1" applyFill="1" applyBorder="1" applyAlignment="1">
      <alignment horizontal="center" vertical="center"/>
    </xf>
    <xf numFmtId="1" fontId="16153" fillId="8" borderId="1" xfId="0" applyNumberFormat="1" applyFont="1" applyFill="1" applyBorder="1" applyAlignment="1">
      <alignment horizontal="center" vertical="center"/>
    </xf>
    <xf numFmtId="1" fontId="16154" fillId="8" borderId="1" xfId="0" applyNumberFormat="1" applyFont="1" applyFill="1" applyBorder="1" applyAlignment="1">
      <alignment horizontal="center" vertical="center"/>
    </xf>
    <xf numFmtId="1" fontId="16155" fillId="8" borderId="1" xfId="0" applyNumberFormat="1" applyFont="1" applyFill="1" applyBorder="1" applyAlignment="1">
      <alignment horizontal="center" vertical="center"/>
    </xf>
    <xf numFmtId="1" fontId="16156" fillId="8" borderId="1" xfId="0" applyNumberFormat="1" applyFont="1" applyFill="1" applyBorder="1" applyAlignment="1">
      <alignment horizontal="center" vertical="center"/>
    </xf>
    <xf numFmtId="0" fontId="16157" fillId="8" borderId="1" xfId="0" applyNumberFormat="1" applyFont="1" applyFill="1" applyBorder="1" applyAlignment="1">
      <alignment horizontal="center" vertical="center"/>
    </xf>
    <xf numFmtId="0" fontId="16158" fillId="8" borderId="1" xfId="0" applyNumberFormat="1" applyFont="1" applyFill="1" applyBorder="1" applyAlignment="1">
      <alignment horizontal="center" vertical="center"/>
    </xf>
    <xf numFmtId="1" fontId="16159" fillId="8" borderId="1" xfId="0" applyNumberFormat="1" applyFont="1" applyFill="1" applyBorder="1" applyAlignment="1">
      <alignment horizontal="center" vertical="center"/>
    </xf>
    <xf numFmtId="1" fontId="16160" fillId="8" borderId="1" xfId="0" applyNumberFormat="1" applyFont="1" applyFill="1" applyBorder="1" applyAlignment="1">
      <alignment horizontal="center" vertical="center"/>
    </xf>
    <xf numFmtId="1" fontId="16161" fillId="8" borderId="1" xfId="0" applyNumberFormat="1" applyFont="1" applyFill="1" applyBorder="1" applyAlignment="1">
      <alignment horizontal="center" vertical="center"/>
    </xf>
    <xf numFmtId="165" fontId="16162" fillId="8" borderId="1" xfId="0" applyNumberFormat="1" applyFont="1" applyFill="1" applyBorder="1" applyAlignment="1">
      <alignment horizontal="center" vertical="center"/>
    </xf>
    <xf numFmtId="1" fontId="16163" fillId="8" borderId="1" xfId="0" applyNumberFormat="1" applyFont="1" applyFill="1" applyBorder="1" applyAlignment="1">
      <alignment horizontal="center" vertical="center"/>
    </xf>
    <xf numFmtId="165" fontId="16164" fillId="8" borderId="1" xfId="0" applyNumberFormat="1" applyFont="1" applyFill="1" applyBorder="1" applyAlignment="1">
      <alignment horizontal="center" vertical="center"/>
    </xf>
    <xf numFmtId="1" fontId="16165" fillId="8" borderId="1" xfId="0" applyNumberFormat="1" applyFont="1" applyFill="1" applyBorder="1" applyAlignment="1">
      <alignment horizontal="center" vertical="center"/>
    </xf>
    <xf numFmtId="165" fontId="16166" fillId="8" borderId="1" xfId="0" applyNumberFormat="1" applyFont="1" applyFill="1" applyBorder="1" applyAlignment="1">
      <alignment horizontal="center" vertical="center"/>
    </xf>
    <xf numFmtId="1" fontId="16167" fillId="8" borderId="1" xfId="0" applyNumberFormat="1" applyFont="1" applyFill="1" applyBorder="1" applyAlignment="1">
      <alignment horizontal="center" vertical="center"/>
    </xf>
    <xf numFmtId="165" fontId="16168" fillId="8" borderId="1" xfId="0" applyNumberFormat="1" applyFont="1" applyFill="1" applyBorder="1" applyAlignment="1">
      <alignment horizontal="center" vertical="center"/>
    </xf>
    <xf numFmtId="165" fontId="16169" fillId="8" borderId="1" xfId="0" applyNumberFormat="1" applyFont="1" applyFill="1" applyBorder="1" applyAlignment="1">
      <alignment horizontal="center" vertical="center"/>
    </xf>
    <xf numFmtId="1" fontId="16170" fillId="8" borderId="1" xfId="0" applyNumberFormat="1" applyFont="1" applyFill="1" applyBorder="1" applyAlignment="1">
      <alignment horizontal="center" vertical="center"/>
    </xf>
    <xf numFmtId="1" fontId="16171" fillId="8" borderId="1" xfId="0" applyNumberFormat="1" applyFont="1" applyFill="1" applyBorder="1" applyAlignment="1">
      <alignment horizontal="center" vertical="center"/>
    </xf>
    <xf numFmtId="1" fontId="16172" fillId="8" borderId="1" xfId="0" applyNumberFormat="1" applyFont="1" applyFill="1" applyBorder="1" applyAlignment="1">
      <alignment horizontal="center" vertical="center"/>
    </xf>
    <xf numFmtId="165" fontId="16173" fillId="8" borderId="1" xfId="0" applyNumberFormat="1" applyFont="1" applyFill="1" applyBorder="1" applyAlignment="1">
      <alignment horizontal="center" vertical="center"/>
    </xf>
    <xf numFmtId="164" fontId="16174" fillId="8" borderId="1" xfId="0" applyNumberFormat="1" applyFont="1" applyFill="1" applyBorder="1" applyAlignment="1">
      <alignment horizontal="center" vertical="center"/>
    </xf>
    <xf numFmtId="164" fontId="16175" fillId="8" borderId="1" xfId="0" applyNumberFormat="1" applyFont="1" applyFill="1" applyBorder="1" applyAlignment="1">
      <alignment horizontal="center" vertical="center"/>
    </xf>
    <xf numFmtId="1" fontId="16176" fillId="8" borderId="1" xfId="0" applyNumberFormat="1" applyFont="1" applyFill="1" applyBorder="1" applyAlignment="1">
      <alignment horizontal="center" vertical="center"/>
    </xf>
    <xf numFmtId="1" fontId="16177" fillId="8" borderId="1" xfId="0" applyNumberFormat="1" applyFont="1" applyFill="1" applyBorder="1" applyAlignment="1">
      <alignment horizontal="center" vertical="center"/>
    </xf>
    <xf numFmtId="1" fontId="16178" fillId="8" borderId="1" xfId="0" applyNumberFormat="1" applyFont="1" applyFill="1" applyBorder="1" applyAlignment="1">
      <alignment horizontal="center" vertical="center"/>
    </xf>
    <xf numFmtId="165" fontId="16179" fillId="8" borderId="1" xfId="0" applyNumberFormat="1" applyFont="1" applyFill="1" applyBorder="1" applyAlignment="1">
      <alignment horizontal="center" vertical="center"/>
    </xf>
    <xf numFmtId="1" fontId="16180" fillId="8" borderId="1" xfId="0" applyNumberFormat="1" applyFont="1" applyFill="1" applyBorder="1" applyAlignment="1">
      <alignment horizontal="center" vertical="center"/>
    </xf>
    <xf numFmtId="165" fontId="16181" fillId="8" borderId="1" xfId="0" applyNumberFormat="1" applyFont="1" applyFill="1" applyBorder="1" applyAlignment="1">
      <alignment horizontal="center" vertical="center"/>
    </xf>
    <xf numFmtId="1" fontId="16182" fillId="8" borderId="1" xfId="0" applyNumberFormat="1" applyFont="1" applyFill="1" applyBorder="1" applyAlignment="1">
      <alignment horizontal="center" vertical="center"/>
    </xf>
    <xf numFmtId="1" fontId="16183" fillId="8" borderId="1" xfId="0" applyNumberFormat="1" applyFont="1" applyFill="1" applyBorder="1" applyAlignment="1">
      <alignment horizontal="center" vertical="center"/>
    </xf>
    <xf numFmtId="1" fontId="16184" fillId="8" borderId="1" xfId="0" applyNumberFormat="1" applyFont="1" applyFill="1" applyBorder="1" applyAlignment="1">
      <alignment horizontal="center" vertical="center"/>
    </xf>
    <xf numFmtId="1" fontId="16185" fillId="8" borderId="1" xfId="0" applyNumberFormat="1" applyFont="1" applyFill="1" applyBorder="1" applyAlignment="1">
      <alignment horizontal="center" vertical="center"/>
    </xf>
    <xf numFmtId="165" fontId="16186" fillId="8" borderId="1" xfId="0" applyNumberFormat="1" applyFont="1" applyFill="1" applyBorder="1" applyAlignment="1">
      <alignment horizontal="center" vertical="center"/>
    </xf>
    <xf numFmtId="1" fontId="16187" fillId="8" borderId="1" xfId="0" applyNumberFormat="1" applyFont="1" applyFill="1" applyBorder="1" applyAlignment="1">
      <alignment horizontal="center" vertical="center"/>
    </xf>
    <xf numFmtId="165" fontId="16188" fillId="8" borderId="1" xfId="0" applyNumberFormat="1" applyFont="1" applyFill="1" applyBorder="1" applyAlignment="1">
      <alignment horizontal="center" vertical="center"/>
    </xf>
    <xf numFmtId="1" fontId="16189" fillId="8" borderId="1" xfId="0" applyNumberFormat="1" applyFont="1" applyFill="1" applyBorder="1" applyAlignment="1">
      <alignment horizontal="center" vertical="center"/>
    </xf>
    <xf numFmtId="165" fontId="16190" fillId="8" borderId="1" xfId="0" applyNumberFormat="1" applyFont="1" applyFill="1" applyBorder="1" applyAlignment="1">
      <alignment horizontal="center" vertical="center"/>
    </xf>
    <xf numFmtId="2" fontId="16191" fillId="8" borderId="1" xfId="0" applyNumberFormat="1" applyFont="1" applyFill="1" applyBorder="1" applyAlignment="1">
      <alignment horizontal="center" vertical="center"/>
    </xf>
    <xf numFmtId="2" fontId="16192" fillId="8" borderId="1" xfId="0" applyNumberFormat="1" applyFont="1" applyFill="1" applyBorder="1" applyAlignment="1">
      <alignment horizontal="center" vertical="center"/>
    </xf>
    <xf numFmtId="2" fontId="16193" fillId="8" borderId="1" xfId="0" applyNumberFormat="1" applyFont="1" applyFill="1" applyBorder="1" applyAlignment="1">
      <alignment horizontal="center" vertical="center"/>
    </xf>
    <xf numFmtId="2" fontId="16194" fillId="8" borderId="1" xfId="0" applyNumberFormat="1" applyFont="1" applyFill="1" applyBorder="1" applyAlignment="1">
      <alignment horizontal="center" vertical="center"/>
    </xf>
    <xf numFmtId="2" fontId="16195" fillId="8" borderId="1" xfId="0" applyNumberFormat="1" applyFont="1" applyFill="1" applyBorder="1" applyAlignment="1">
      <alignment horizontal="center" vertical="center"/>
    </xf>
    <xf numFmtId="2" fontId="16196" fillId="8" borderId="1" xfId="0" applyNumberFormat="1" applyFont="1" applyFill="1" applyBorder="1" applyAlignment="1">
      <alignment horizontal="center" vertical="center"/>
    </xf>
    <xf numFmtId="2" fontId="16197" fillId="8" borderId="1" xfId="0" applyNumberFormat="1" applyFont="1" applyFill="1" applyBorder="1" applyAlignment="1">
      <alignment horizontal="center" vertical="center"/>
    </xf>
    <xf numFmtId="2" fontId="16198" fillId="8" borderId="1" xfId="0" applyNumberFormat="1" applyFont="1" applyFill="1" applyBorder="1" applyAlignment="1">
      <alignment horizontal="center" vertical="center"/>
    </xf>
    <xf numFmtId="2" fontId="16199" fillId="8" borderId="1" xfId="0" applyNumberFormat="1" applyFont="1" applyFill="1" applyBorder="1" applyAlignment="1">
      <alignment horizontal="center" vertical="center"/>
    </xf>
    <xf numFmtId="2" fontId="16200" fillId="8" borderId="1" xfId="0" applyNumberFormat="1" applyFont="1" applyFill="1" applyBorder="1" applyAlignment="1">
      <alignment horizontal="center" vertical="center"/>
    </xf>
    <xf numFmtId="2" fontId="16201" fillId="8" borderId="1" xfId="0" applyNumberFormat="1" applyFont="1" applyFill="1" applyBorder="1" applyAlignment="1">
      <alignment horizontal="center" vertical="center"/>
    </xf>
    <xf numFmtId="2" fontId="16202" fillId="8" borderId="1" xfId="0" applyNumberFormat="1" applyFont="1" applyFill="1" applyBorder="1" applyAlignment="1">
      <alignment horizontal="center" vertical="center"/>
    </xf>
    <xf numFmtId="2" fontId="16203" fillId="8" borderId="1" xfId="0" applyNumberFormat="1" applyFont="1" applyFill="1" applyBorder="1" applyAlignment="1">
      <alignment horizontal="center" vertical="center"/>
    </xf>
    <xf numFmtId="2" fontId="16204" fillId="8" borderId="1" xfId="0" applyNumberFormat="1" applyFont="1" applyFill="1" applyBorder="1" applyAlignment="1">
      <alignment horizontal="center" vertical="center"/>
    </xf>
    <xf numFmtId="2" fontId="16205" fillId="8" borderId="1" xfId="0" applyNumberFormat="1" applyFont="1" applyFill="1" applyBorder="1" applyAlignment="1">
      <alignment horizontal="center" vertical="center"/>
    </xf>
    <xf numFmtId="2" fontId="16206" fillId="8" borderId="1" xfId="0" applyNumberFormat="1" applyFont="1" applyFill="1" applyBorder="1" applyAlignment="1">
      <alignment horizontal="center" vertical="center"/>
    </xf>
    <xf numFmtId="2" fontId="16207" fillId="8" borderId="1" xfId="0" applyNumberFormat="1" applyFont="1" applyFill="1" applyBorder="1" applyAlignment="1">
      <alignment horizontal="center" vertical="center"/>
    </xf>
    <xf numFmtId="2" fontId="16208" fillId="8" borderId="1" xfId="0" applyNumberFormat="1" applyFont="1" applyFill="1" applyBorder="1" applyAlignment="1">
      <alignment horizontal="center" vertical="center"/>
    </xf>
    <xf numFmtId="2" fontId="16209" fillId="8" borderId="1" xfId="0" applyNumberFormat="1" applyFont="1" applyFill="1" applyBorder="1" applyAlignment="1">
      <alignment horizontal="center" vertical="center"/>
    </xf>
    <xf numFmtId="2" fontId="16210" fillId="8" borderId="1" xfId="0" applyNumberFormat="1" applyFont="1" applyFill="1" applyBorder="1" applyAlignment="1">
      <alignment horizontal="center" vertical="center"/>
    </xf>
    <xf numFmtId="2" fontId="16211" fillId="8" borderId="1" xfId="0" applyNumberFormat="1" applyFont="1" applyFill="1" applyBorder="1" applyAlignment="1">
      <alignment horizontal="center" vertical="center"/>
    </xf>
    <xf numFmtId="2" fontId="16212" fillId="8" borderId="1" xfId="0" applyNumberFormat="1" applyFont="1" applyFill="1" applyBorder="1" applyAlignment="1">
      <alignment horizontal="center" vertical="center"/>
    </xf>
    <xf numFmtId="2" fontId="16213" fillId="8" borderId="1" xfId="0" applyNumberFormat="1" applyFont="1" applyFill="1" applyBorder="1" applyAlignment="1">
      <alignment horizontal="center" vertical="center"/>
    </xf>
    <xf numFmtId="2" fontId="16214" fillId="8" borderId="1" xfId="0" applyNumberFormat="1" applyFont="1" applyFill="1" applyBorder="1" applyAlignment="1">
      <alignment horizontal="center" vertical="center"/>
    </xf>
    <xf numFmtId="2" fontId="16215" fillId="8" borderId="1" xfId="0" applyNumberFormat="1" applyFont="1" applyFill="1" applyBorder="1" applyAlignment="1">
      <alignment horizontal="center" vertical="center"/>
    </xf>
    <xf numFmtId="2" fontId="16216" fillId="8" borderId="1" xfId="0" applyNumberFormat="1" applyFont="1" applyFill="1" applyBorder="1" applyAlignment="1">
      <alignment horizontal="center" vertical="center"/>
    </xf>
    <xf numFmtId="2" fontId="16217" fillId="8" borderId="1" xfId="0" applyNumberFormat="1" applyFont="1" applyFill="1" applyBorder="1" applyAlignment="1">
      <alignment horizontal="center" vertical="center"/>
    </xf>
    <xf numFmtId="2" fontId="16218" fillId="8" borderId="1" xfId="0" applyNumberFormat="1" applyFont="1" applyFill="1" applyBorder="1" applyAlignment="1">
      <alignment horizontal="center" vertical="center"/>
    </xf>
    <xf numFmtId="2" fontId="16219" fillId="8" borderId="1" xfId="0" applyNumberFormat="1" applyFont="1" applyFill="1" applyBorder="1" applyAlignment="1">
      <alignment horizontal="center" vertical="center"/>
    </xf>
    <xf numFmtId="2" fontId="16220" fillId="8" borderId="1" xfId="0" applyNumberFormat="1" applyFont="1" applyFill="1" applyBorder="1" applyAlignment="1">
      <alignment horizontal="center" vertical="center"/>
    </xf>
    <xf numFmtId="2" fontId="16221" fillId="8" borderId="1" xfId="0" applyNumberFormat="1" applyFont="1" applyFill="1" applyBorder="1" applyAlignment="1">
      <alignment horizontal="center" vertical="center"/>
    </xf>
    <xf numFmtId="2" fontId="16222" fillId="8" borderId="1" xfId="0" applyNumberFormat="1" applyFont="1" applyFill="1" applyBorder="1" applyAlignment="1">
      <alignment horizontal="center" vertical="center"/>
    </xf>
    <xf numFmtId="2" fontId="16223" fillId="8" borderId="1" xfId="0" applyNumberFormat="1" applyFont="1" applyFill="1" applyBorder="1" applyAlignment="1">
      <alignment horizontal="center" vertical="center"/>
    </xf>
    <xf numFmtId="2" fontId="16224" fillId="8" borderId="1" xfId="0" applyNumberFormat="1" applyFont="1" applyFill="1" applyBorder="1" applyAlignment="1">
      <alignment horizontal="center" vertical="center"/>
    </xf>
    <xf numFmtId="0" fontId="16225" fillId="7" borderId="1" xfId="0" applyNumberFormat="1" applyFont="1" applyFill="1" applyBorder="1" applyAlignment="1">
      <alignment horizontal="left" vertical="center"/>
    </xf>
    <xf numFmtId="0" fontId="16226" fillId="8" borderId="1" xfId="0" applyNumberFormat="1" applyFont="1" applyFill="1" applyBorder="1" applyAlignment="1">
      <alignment horizontal="center" vertical="center"/>
    </xf>
    <xf numFmtId="164" fontId="16227" fillId="8" borderId="1" xfId="0" applyNumberFormat="1" applyFont="1" applyFill="1" applyBorder="1" applyAlignment="1">
      <alignment horizontal="center" vertical="center"/>
    </xf>
    <xf numFmtId="1" fontId="16228" fillId="8" borderId="1" xfId="0" applyNumberFormat="1" applyFont="1" applyFill="1" applyBorder="1" applyAlignment="1">
      <alignment horizontal="center" vertical="center"/>
    </xf>
    <xf numFmtId="1" fontId="16229" fillId="8" borderId="1" xfId="0" applyNumberFormat="1" applyFont="1" applyFill="1" applyBorder="1" applyAlignment="1">
      <alignment horizontal="center" vertical="center"/>
    </xf>
    <xf numFmtId="1" fontId="16230" fillId="8" borderId="1" xfId="0" applyNumberFormat="1" applyFont="1" applyFill="1" applyBorder="1" applyAlignment="1">
      <alignment horizontal="center" vertical="center"/>
    </xf>
    <xf numFmtId="1" fontId="16231" fillId="8" borderId="1" xfId="0" applyNumberFormat="1" applyFont="1" applyFill="1" applyBorder="1" applyAlignment="1">
      <alignment horizontal="center" vertical="center"/>
    </xf>
    <xf numFmtId="1" fontId="16232" fillId="8" borderId="1" xfId="0" applyNumberFormat="1" applyFont="1" applyFill="1" applyBorder="1" applyAlignment="1">
      <alignment horizontal="center" vertical="center"/>
    </xf>
    <xf numFmtId="1" fontId="16233" fillId="8" borderId="1" xfId="0" applyNumberFormat="1" applyFont="1" applyFill="1" applyBorder="1" applyAlignment="1">
      <alignment horizontal="center" vertical="center"/>
    </xf>
    <xf numFmtId="1" fontId="16234" fillId="8" borderId="1" xfId="0" applyNumberFormat="1" applyFont="1" applyFill="1" applyBorder="1" applyAlignment="1">
      <alignment horizontal="center" vertical="center"/>
    </xf>
    <xf numFmtId="0" fontId="16235" fillId="8" borderId="1" xfId="0" applyNumberFormat="1" applyFont="1" applyFill="1" applyBorder="1" applyAlignment="1">
      <alignment horizontal="center" vertical="center"/>
    </xf>
    <xf numFmtId="0" fontId="16236" fillId="8" borderId="1" xfId="0" applyNumberFormat="1" applyFont="1" applyFill="1" applyBorder="1" applyAlignment="1">
      <alignment horizontal="center" vertical="center"/>
    </xf>
    <xf numFmtId="1" fontId="16237" fillId="8" borderId="1" xfId="0" applyNumberFormat="1" applyFont="1" applyFill="1" applyBorder="1" applyAlignment="1">
      <alignment horizontal="center" vertical="center"/>
    </xf>
    <xf numFmtId="1" fontId="16238" fillId="8" borderId="1" xfId="0" applyNumberFormat="1" applyFont="1" applyFill="1" applyBorder="1" applyAlignment="1">
      <alignment horizontal="center" vertical="center"/>
    </xf>
    <xf numFmtId="1" fontId="16239" fillId="8" borderId="1" xfId="0" applyNumberFormat="1" applyFont="1" applyFill="1" applyBorder="1" applyAlignment="1">
      <alignment horizontal="center" vertical="center"/>
    </xf>
    <xf numFmtId="165" fontId="16240" fillId="8" borderId="1" xfId="0" applyNumberFormat="1" applyFont="1" applyFill="1" applyBorder="1" applyAlignment="1">
      <alignment horizontal="center" vertical="center"/>
    </xf>
    <xf numFmtId="1" fontId="16241" fillId="8" borderId="1" xfId="0" applyNumberFormat="1" applyFont="1" applyFill="1" applyBorder="1" applyAlignment="1">
      <alignment horizontal="center" vertical="center"/>
    </xf>
    <xf numFmtId="165" fontId="16242" fillId="8" borderId="1" xfId="0" applyNumberFormat="1" applyFont="1" applyFill="1" applyBorder="1" applyAlignment="1">
      <alignment horizontal="center" vertical="center"/>
    </xf>
    <xf numFmtId="1" fontId="16243" fillId="8" borderId="1" xfId="0" applyNumberFormat="1" applyFont="1" applyFill="1" applyBorder="1" applyAlignment="1">
      <alignment horizontal="center" vertical="center"/>
    </xf>
    <xf numFmtId="165" fontId="16244" fillId="8" borderId="1" xfId="0" applyNumberFormat="1" applyFont="1" applyFill="1" applyBorder="1" applyAlignment="1">
      <alignment horizontal="center" vertical="center"/>
    </xf>
    <xf numFmtId="1" fontId="16245" fillId="8" borderId="1" xfId="0" applyNumberFormat="1" applyFont="1" applyFill="1" applyBorder="1" applyAlignment="1">
      <alignment horizontal="center" vertical="center"/>
    </xf>
    <xf numFmtId="165" fontId="16246" fillId="8" borderId="1" xfId="0" applyNumberFormat="1" applyFont="1" applyFill="1" applyBorder="1" applyAlignment="1">
      <alignment horizontal="center" vertical="center"/>
    </xf>
    <xf numFmtId="165" fontId="16247" fillId="8" borderId="1" xfId="0" applyNumberFormat="1" applyFont="1" applyFill="1" applyBorder="1" applyAlignment="1">
      <alignment horizontal="center" vertical="center"/>
    </xf>
    <xf numFmtId="1" fontId="16248" fillId="8" borderId="1" xfId="0" applyNumberFormat="1" applyFont="1" applyFill="1" applyBorder="1" applyAlignment="1">
      <alignment horizontal="center" vertical="center"/>
    </xf>
    <xf numFmtId="1" fontId="16249" fillId="8" borderId="1" xfId="0" applyNumberFormat="1" applyFont="1" applyFill="1" applyBorder="1" applyAlignment="1">
      <alignment horizontal="center" vertical="center"/>
    </xf>
    <xf numFmtId="1" fontId="16250" fillId="8" borderId="1" xfId="0" applyNumberFormat="1" applyFont="1" applyFill="1" applyBorder="1" applyAlignment="1">
      <alignment horizontal="center" vertical="center"/>
    </xf>
    <xf numFmtId="165" fontId="16251" fillId="8" borderId="1" xfId="0" applyNumberFormat="1" applyFont="1" applyFill="1" applyBorder="1" applyAlignment="1">
      <alignment horizontal="center" vertical="center"/>
    </xf>
    <xf numFmtId="164" fontId="16252" fillId="8" borderId="1" xfId="0" applyNumberFormat="1" applyFont="1" applyFill="1" applyBorder="1" applyAlignment="1">
      <alignment horizontal="center" vertical="center"/>
    </xf>
    <xf numFmtId="164" fontId="16253" fillId="8" borderId="1" xfId="0" applyNumberFormat="1" applyFont="1" applyFill="1" applyBorder="1" applyAlignment="1">
      <alignment horizontal="center" vertical="center"/>
    </xf>
    <xf numFmtId="1" fontId="16254" fillId="8" borderId="1" xfId="0" applyNumberFormat="1" applyFont="1" applyFill="1" applyBorder="1" applyAlignment="1">
      <alignment horizontal="center" vertical="center"/>
    </xf>
    <xf numFmtId="1" fontId="16255" fillId="8" borderId="1" xfId="0" applyNumberFormat="1" applyFont="1" applyFill="1" applyBorder="1" applyAlignment="1">
      <alignment horizontal="center" vertical="center"/>
    </xf>
    <xf numFmtId="1" fontId="16256" fillId="8" borderId="1" xfId="0" applyNumberFormat="1" applyFont="1" applyFill="1" applyBorder="1" applyAlignment="1">
      <alignment horizontal="center" vertical="center"/>
    </xf>
    <xf numFmtId="165" fontId="16257" fillId="8" borderId="1" xfId="0" applyNumberFormat="1" applyFont="1" applyFill="1" applyBorder="1" applyAlignment="1">
      <alignment horizontal="center" vertical="center"/>
    </xf>
    <xf numFmtId="1" fontId="16258" fillId="8" borderId="1" xfId="0" applyNumberFormat="1" applyFont="1" applyFill="1" applyBorder="1" applyAlignment="1">
      <alignment horizontal="center" vertical="center"/>
    </xf>
    <xf numFmtId="165" fontId="16259" fillId="8" borderId="1" xfId="0" applyNumberFormat="1" applyFont="1" applyFill="1" applyBorder="1" applyAlignment="1">
      <alignment horizontal="center" vertical="center"/>
    </xf>
    <xf numFmtId="1" fontId="16260" fillId="8" borderId="1" xfId="0" applyNumberFormat="1" applyFont="1" applyFill="1" applyBorder="1" applyAlignment="1">
      <alignment horizontal="center" vertical="center"/>
    </xf>
    <xf numFmtId="1" fontId="16261" fillId="8" borderId="1" xfId="0" applyNumberFormat="1" applyFont="1" applyFill="1" applyBorder="1" applyAlignment="1">
      <alignment horizontal="center" vertical="center"/>
    </xf>
    <xf numFmtId="1" fontId="16262" fillId="8" borderId="1" xfId="0" applyNumberFormat="1" applyFont="1" applyFill="1" applyBorder="1" applyAlignment="1">
      <alignment horizontal="center" vertical="center"/>
    </xf>
    <xf numFmtId="1" fontId="16263" fillId="8" borderId="1" xfId="0" applyNumberFormat="1" applyFont="1" applyFill="1" applyBorder="1" applyAlignment="1">
      <alignment horizontal="center" vertical="center"/>
    </xf>
    <xf numFmtId="165" fontId="16264" fillId="8" borderId="1" xfId="0" applyNumberFormat="1" applyFont="1" applyFill="1" applyBorder="1" applyAlignment="1">
      <alignment horizontal="center" vertical="center"/>
    </xf>
    <xf numFmtId="1" fontId="16265" fillId="8" borderId="1" xfId="0" applyNumberFormat="1" applyFont="1" applyFill="1" applyBorder="1" applyAlignment="1">
      <alignment horizontal="center" vertical="center"/>
    </xf>
    <xf numFmtId="165" fontId="16266" fillId="8" borderId="1" xfId="0" applyNumberFormat="1" applyFont="1" applyFill="1" applyBorder="1" applyAlignment="1">
      <alignment horizontal="center" vertical="center"/>
    </xf>
    <xf numFmtId="1" fontId="16267" fillId="8" borderId="1" xfId="0" applyNumberFormat="1" applyFont="1" applyFill="1" applyBorder="1" applyAlignment="1">
      <alignment horizontal="center" vertical="center"/>
    </xf>
    <xf numFmtId="165" fontId="16268" fillId="8" borderId="1" xfId="0" applyNumberFormat="1" applyFont="1" applyFill="1" applyBorder="1" applyAlignment="1">
      <alignment horizontal="center" vertical="center"/>
    </xf>
    <xf numFmtId="2" fontId="16269" fillId="8" borderId="1" xfId="0" applyNumberFormat="1" applyFont="1" applyFill="1" applyBorder="1" applyAlignment="1">
      <alignment horizontal="center" vertical="center"/>
    </xf>
    <xf numFmtId="2" fontId="16270" fillId="8" borderId="1" xfId="0" applyNumberFormat="1" applyFont="1" applyFill="1" applyBorder="1" applyAlignment="1">
      <alignment horizontal="center" vertical="center"/>
    </xf>
    <xf numFmtId="2" fontId="16271" fillId="8" borderId="1" xfId="0" applyNumberFormat="1" applyFont="1" applyFill="1" applyBorder="1" applyAlignment="1">
      <alignment horizontal="center" vertical="center"/>
    </xf>
    <xf numFmtId="2" fontId="16272" fillId="8" borderId="1" xfId="0" applyNumberFormat="1" applyFont="1" applyFill="1" applyBorder="1" applyAlignment="1">
      <alignment horizontal="center" vertical="center"/>
    </xf>
    <xf numFmtId="2" fontId="16273" fillId="8" borderId="1" xfId="0" applyNumberFormat="1" applyFont="1" applyFill="1" applyBorder="1" applyAlignment="1">
      <alignment horizontal="center" vertical="center"/>
    </xf>
    <xf numFmtId="2" fontId="16274" fillId="8" borderId="1" xfId="0" applyNumberFormat="1" applyFont="1" applyFill="1" applyBorder="1" applyAlignment="1">
      <alignment horizontal="center" vertical="center"/>
    </xf>
    <xf numFmtId="2" fontId="16275" fillId="8" borderId="1" xfId="0" applyNumberFormat="1" applyFont="1" applyFill="1" applyBorder="1" applyAlignment="1">
      <alignment horizontal="center" vertical="center"/>
    </xf>
    <xf numFmtId="2" fontId="16276" fillId="8" borderId="1" xfId="0" applyNumberFormat="1" applyFont="1" applyFill="1" applyBorder="1" applyAlignment="1">
      <alignment horizontal="center" vertical="center"/>
    </xf>
    <xf numFmtId="2" fontId="16277" fillId="8" borderId="1" xfId="0" applyNumberFormat="1" applyFont="1" applyFill="1" applyBorder="1" applyAlignment="1">
      <alignment horizontal="center" vertical="center"/>
    </xf>
    <xf numFmtId="2" fontId="16278" fillId="8" borderId="1" xfId="0" applyNumberFormat="1" applyFont="1" applyFill="1" applyBorder="1" applyAlignment="1">
      <alignment horizontal="center" vertical="center"/>
    </xf>
    <xf numFmtId="2" fontId="16279" fillId="8" borderId="1" xfId="0" applyNumberFormat="1" applyFont="1" applyFill="1" applyBorder="1" applyAlignment="1">
      <alignment horizontal="center" vertical="center"/>
    </xf>
    <xf numFmtId="2" fontId="16280" fillId="8" borderId="1" xfId="0" applyNumberFormat="1" applyFont="1" applyFill="1" applyBorder="1" applyAlignment="1">
      <alignment horizontal="center" vertical="center"/>
    </xf>
    <xf numFmtId="2" fontId="16281" fillId="8" borderId="1" xfId="0" applyNumberFormat="1" applyFont="1" applyFill="1" applyBorder="1" applyAlignment="1">
      <alignment horizontal="center" vertical="center"/>
    </xf>
    <xf numFmtId="2" fontId="16282" fillId="8" borderId="1" xfId="0" applyNumberFormat="1" applyFont="1" applyFill="1" applyBorder="1" applyAlignment="1">
      <alignment horizontal="center" vertical="center"/>
    </xf>
    <xf numFmtId="2" fontId="16283" fillId="8" borderId="1" xfId="0" applyNumberFormat="1" applyFont="1" applyFill="1" applyBorder="1" applyAlignment="1">
      <alignment horizontal="center" vertical="center"/>
    </xf>
    <xf numFmtId="2" fontId="16284" fillId="8" borderId="1" xfId="0" applyNumberFormat="1" applyFont="1" applyFill="1" applyBorder="1" applyAlignment="1">
      <alignment horizontal="center" vertical="center"/>
    </xf>
    <xf numFmtId="2" fontId="16285" fillId="8" borderId="1" xfId="0" applyNumberFormat="1" applyFont="1" applyFill="1" applyBorder="1" applyAlignment="1">
      <alignment horizontal="center" vertical="center"/>
    </xf>
    <xf numFmtId="2" fontId="16286" fillId="8" borderId="1" xfId="0" applyNumberFormat="1" applyFont="1" applyFill="1" applyBorder="1" applyAlignment="1">
      <alignment horizontal="center" vertical="center"/>
    </xf>
    <xf numFmtId="2" fontId="16287" fillId="8" borderId="1" xfId="0" applyNumberFormat="1" applyFont="1" applyFill="1" applyBorder="1" applyAlignment="1">
      <alignment horizontal="center" vertical="center"/>
    </xf>
    <xf numFmtId="2" fontId="16288" fillId="8" borderId="1" xfId="0" applyNumberFormat="1" applyFont="1" applyFill="1" applyBorder="1" applyAlignment="1">
      <alignment horizontal="center" vertical="center"/>
    </xf>
    <xf numFmtId="2" fontId="16289" fillId="8" borderId="1" xfId="0" applyNumberFormat="1" applyFont="1" applyFill="1" applyBorder="1" applyAlignment="1">
      <alignment horizontal="center" vertical="center"/>
    </xf>
    <xf numFmtId="2" fontId="16290" fillId="8" borderId="1" xfId="0" applyNumberFormat="1" applyFont="1" applyFill="1" applyBorder="1" applyAlignment="1">
      <alignment horizontal="center" vertical="center"/>
    </xf>
    <xf numFmtId="2" fontId="16291" fillId="8" borderId="1" xfId="0" applyNumberFormat="1" applyFont="1" applyFill="1" applyBorder="1" applyAlignment="1">
      <alignment horizontal="center" vertical="center"/>
    </xf>
    <xf numFmtId="2" fontId="16292" fillId="8" borderId="1" xfId="0" applyNumberFormat="1" applyFont="1" applyFill="1" applyBorder="1" applyAlignment="1">
      <alignment horizontal="center" vertical="center"/>
    </xf>
    <xf numFmtId="2" fontId="16293" fillId="8" borderId="1" xfId="0" applyNumberFormat="1" applyFont="1" applyFill="1" applyBorder="1" applyAlignment="1">
      <alignment horizontal="center" vertical="center"/>
    </xf>
    <xf numFmtId="2" fontId="16294" fillId="8" borderId="1" xfId="0" applyNumberFormat="1" applyFont="1" applyFill="1" applyBorder="1" applyAlignment="1">
      <alignment horizontal="center" vertical="center"/>
    </xf>
    <xf numFmtId="2" fontId="16295" fillId="8" borderId="1" xfId="0" applyNumberFormat="1" applyFont="1" applyFill="1" applyBorder="1" applyAlignment="1">
      <alignment horizontal="center" vertical="center"/>
    </xf>
    <xf numFmtId="2" fontId="16296" fillId="8" borderId="1" xfId="0" applyNumberFormat="1" applyFont="1" applyFill="1" applyBorder="1" applyAlignment="1">
      <alignment horizontal="center" vertical="center"/>
    </xf>
    <xf numFmtId="2" fontId="16297" fillId="8" borderId="1" xfId="0" applyNumberFormat="1" applyFont="1" applyFill="1" applyBorder="1" applyAlignment="1">
      <alignment horizontal="center" vertical="center"/>
    </xf>
    <xf numFmtId="2" fontId="16298" fillId="8" borderId="1" xfId="0" applyNumberFormat="1" applyFont="1" applyFill="1" applyBorder="1" applyAlignment="1">
      <alignment horizontal="center" vertical="center"/>
    </xf>
    <xf numFmtId="2" fontId="16299" fillId="8" borderId="1" xfId="0" applyNumberFormat="1" applyFont="1" applyFill="1" applyBorder="1" applyAlignment="1">
      <alignment horizontal="center" vertical="center"/>
    </xf>
    <xf numFmtId="2" fontId="16300" fillId="8" borderId="1" xfId="0" applyNumberFormat="1" applyFont="1" applyFill="1" applyBorder="1" applyAlignment="1">
      <alignment horizontal="center" vertical="center"/>
    </xf>
    <xf numFmtId="2" fontId="16301" fillId="8" borderId="1" xfId="0" applyNumberFormat="1" applyFont="1" applyFill="1" applyBorder="1" applyAlignment="1">
      <alignment horizontal="center" vertical="center"/>
    </xf>
    <xf numFmtId="2" fontId="16302" fillId="8" borderId="1" xfId="0" applyNumberFormat="1" applyFont="1" applyFill="1" applyBorder="1" applyAlignment="1">
      <alignment horizontal="center" vertical="center"/>
    </xf>
    <xf numFmtId="0" fontId="16303" fillId="7" borderId="1" xfId="0" applyNumberFormat="1" applyFont="1" applyFill="1" applyBorder="1" applyAlignment="1">
      <alignment horizontal="left" vertical="center"/>
    </xf>
    <xf numFmtId="0" fontId="16304" fillId="8" borderId="1" xfId="0" applyNumberFormat="1" applyFont="1" applyFill="1" applyBorder="1" applyAlignment="1">
      <alignment horizontal="center" vertical="center"/>
    </xf>
    <xf numFmtId="164" fontId="16305" fillId="8" borderId="1" xfId="0" applyNumberFormat="1" applyFont="1" applyFill="1" applyBorder="1" applyAlignment="1">
      <alignment horizontal="center" vertical="center"/>
    </xf>
    <xf numFmtId="1" fontId="16306" fillId="8" borderId="1" xfId="0" applyNumberFormat="1" applyFont="1" applyFill="1" applyBorder="1" applyAlignment="1">
      <alignment horizontal="center" vertical="center"/>
    </xf>
    <xf numFmtId="1" fontId="16307" fillId="8" borderId="1" xfId="0" applyNumberFormat="1" applyFont="1" applyFill="1" applyBorder="1" applyAlignment="1">
      <alignment horizontal="center" vertical="center"/>
    </xf>
    <xf numFmtId="1" fontId="16308" fillId="8" borderId="1" xfId="0" applyNumberFormat="1" applyFont="1" applyFill="1" applyBorder="1" applyAlignment="1">
      <alignment horizontal="center" vertical="center"/>
    </xf>
    <xf numFmtId="1" fontId="16309" fillId="8" borderId="1" xfId="0" applyNumberFormat="1" applyFont="1" applyFill="1" applyBorder="1" applyAlignment="1">
      <alignment horizontal="center" vertical="center"/>
    </xf>
    <xf numFmtId="1" fontId="16310" fillId="8" borderId="1" xfId="0" applyNumberFormat="1" applyFont="1" applyFill="1" applyBorder="1" applyAlignment="1">
      <alignment horizontal="center" vertical="center"/>
    </xf>
    <xf numFmtId="1" fontId="16311" fillId="8" borderId="1" xfId="0" applyNumberFormat="1" applyFont="1" applyFill="1" applyBorder="1" applyAlignment="1">
      <alignment horizontal="center" vertical="center"/>
    </xf>
    <xf numFmtId="1" fontId="16312" fillId="8" borderId="1" xfId="0" applyNumberFormat="1" applyFont="1" applyFill="1" applyBorder="1" applyAlignment="1">
      <alignment horizontal="center" vertical="center"/>
    </xf>
    <xf numFmtId="0" fontId="16313" fillId="8" borderId="1" xfId="0" applyNumberFormat="1" applyFont="1" applyFill="1" applyBorder="1" applyAlignment="1">
      <alignment horizontal="center" vertical="center"/>
    </xf>
    <xf numFmtId="0" fontId="16314" fillId="8" borderId="1" xfId="0" applyNumberFormat="1" applyFont="1" applyFill="1" applyBorder="1" applyAlignment="1">
      <alignment horizontal="center" vertical="center"/>
    </xf>
    <xf numFmtId="1" fontId="16315" fillId="8" borderId="1" xfId="0" applyNumberFormat="1" applyFont="1" applyFill="1" applyBorder="1" applyAlignment="1">
      <alignment horizontal="center" vertical="center"/>
    </xf>
    <xf numFmtId="1" fontId="16316" fillId="8" borderId="1" xfId="0" applyNumberFormat="1" applyFont="1" applyFill="1" applyBorder="1" applyAlignment="1">
      <alignment horizontal="center" vertical="center"/>
    </xf>
    <xf numFmtId="1" fontId="16317" fillId="8" borderId="1" xfId="0" applyNumberFormat="1" applyFont="1" applyFill="1" applyBorder="1" applyAlignment="1">
      <alignment horizontal="center" vertical="center"/>
    </xf>
    <xf numFmtId="165" fontId="16318" fillId="8" borderId="1" xfId="0" applyNumberFormat="1" applyFont="1" applyFill="1" applyBorder="1" applyAlignment="1">
      <alignment horizontal="center" vertical="center"/>
    </xf>
    <xf numFmtId="1" fontId="16319" fillId="8" borderId="1" xfId="0" applyNumberFormat="1" applyFont="1" applyFill="1" applyBorder="1" applyAlignment="1">
      <alignment horizontal="center" vertical="center"/>
    </xf>
    <xf numFmtId="165" fontId="16320" fillId="8" borderId="1" xfId="0" applyNumberFormat="1" applyFont="1" applyFill="1" applyBorder="1" applyAlignment="1">
      <alignment horizontal="center" vertical="center"/>
    </xf>
    <xf numFmtId="1" fontId="16321" fillId="8" borderId="1" xfId="0" applyNumberFormat="1" applyFont="1" applyFill="1" applyBorder="1" applyAlignment="1">
      <alignment horizontal="center" vertical="center"/>
    </xf>
    <xf numFmtId="165" fontId="16322" fillId="8" borderId="1" xfId="0" applyNumberFormat="1" applyFont="1" applyFill="1" applyBorder="1" applyAlignment="1">
      <alignment horizontal="center" vertical="center"/>
    </xf>
    <xf numFmtId="1" fontId="16323" fillId="8" borderId="1" xfId="0" applyNumberFormat="1" applyFont="1" applyFill="1" applyBorder="1" applyAlignment="1">
      <alignment horizontal="center" vertical="center"/>
    </xf>
    <xf numFmtId="165" fontId="16324" fillId="8" borderId="1" xfId="0" applyNumberFormat="1" applyFont="1" applyFill="1" applyBorder="1" applyAlignment="1">
      <alignment horizontal="center" vertical="center"/>
    </xf>
    <xf numFmtId="165" fontId="16325" fillId="8" borderId="1" xfId="0" applyNumberFormat="1" applyFont="1" applyFill="1" applyBorder="1" applyAlignment="1">
      <alignment horizontal="center" vertical="center"/>
    </xf>
    <xf numFmtId="1" fontId="16326" fillId="8" borderId="1" xfId="0" applyNumberFormat="1" applyFont="1" applyFill="1" applyBorder="1" applyAlignment="1">
      <alignment horizontal="center" vertical="center"/>
    </xf>
    <xf numFmtId="1" fontId="16327" fillId="8" borderId="1" xfId="0" applyNumberFormat="1" applyFont="1" applyFill="1" applyBorder="1" applyAlignment="1">
      <alignment horizontal="center" vertical="center"/>
    </xf>
    <xf numFmtId="1" fontId="16328" fillId="8" borderId="1" xfId="0" applyNumberFormat="1" applyFont="1" applyFill="1" applyBorder="1" applyAlignment="1">
      <alignment horizontal="center" vertical="center"/>
    </xf>
    <xf numFmtId="165" fontId="16329" fillId="8" borderId="1" xfId="0" applyNumberFormat="1" applyFont="1" applyFill="1" applyBorder="1" applyAlignment="1">
      <alignment horizontal="center" vertical="center"/>
    </xf>
    <xf numFmtId="164" fontId="16330" fillId="8" borderId="1" xfId="0" applyNumberFormat="1" applyFont="1" applyFill="1" applyBorder="1" applyAlignment="1">
      <alignment horizontal="center" vertical="center"/>
    </xf>
    <xf numFmtId="164" fontId="16331" fillId="8" borderId="1" xfId="0" applyNumberFormat="1" applyFont="1" applyFill="1" applyBorder="1" applyAlignment="1">
      <alignment horizontal="center" vertical="center"/>
    </xf>
    <xf numFmtId="1" fontId="16332" fillId="8" borderId="1" xfId="0" applyNumberFormat="1" applyFont="1" applyFill="1" applyBorder="1" applyAlignment="1">
      <alignment horizontal="center" vertical="center"/>
    </xf>
    <xf numFmtId="1" fontId="16333" fillId="8" borderId="1" xfId="0" applyNumberFormat="1" applyFont="1" applyFill="1" applyBorder="1" applyAlignment="1">
      <alignment horizontal="center" vertical="center"/>
    </xf>
    <xf numFmtId="1" fontId="16334" fillId="8" borderId="1" xfId="0" applyNumberFormat="1" applyFont="1" applyFill="1" applyBorder="1" applyAlignment="1">
      <alignment horizontal="center" vertical="center"/>
    </xf>
    <xf numFmtId="165" fontId="16335" fillId="8" borderId="1" xfId="0" applyNumberFormat="1" applyFont="1" applyFill="1" applyBorder="1" applyAlignment="1">
      <alignment horizontal="center" vertical="center"/>
    </xf>
    <xf numFmtId="1" fontId="16336" fillId="8" borderId="1" xfId="0" applyNumberFormat="1" applyFont="1" applyFill="1" applyBorder="1" applyAlignment="1">
      <alignment horizontal="center" vertical="center"/>
    </xf>
    <xf numFmtId="165" fontId="16337" fillId="8" borderId="1" xfId="0" applyNumberFormat="1" applyFont="1" applyFill="1" applyBorder="1" applyAlignment="1">
      <alignment horizontal="center" vertical="center"/>
    </xf>
    <xf numFmtId="1" fontId="16338" fillId="8" borderId="1" xfId="0" applyNumberFormat="1" applyFont="1" applyFill="1" applyBorder="1" applyAlignment="1">
      <alignment horizontal="center" vertical="center"/>
    </xf>
    <xf numFmtId="1" fontId="16339" fillId="8" borderId="1" xfId="0" applyNumberFormat="1" applyFont="1" applyFill="1" applyBorder="1" applyAlignment="1">
      <alignment horizontal="center" vertical="center"/>
    </xf>
    <xf numFmtId="1" fontId="16340" fillId="8" borderId="1" xfId="0" applyNumberFormat="1" applyFont="1" applyFill="1" applyBorder="1" applyAlignment="1">
      <alignment horizontal="center" vertical="center"/>
    </xf>
    <xf numFmtId="1" fontId="16341" fillId="8" borderId="1" xfId="0" applyNumberFormat="1" applyFont="1" applyFill="1" applyBorder="1" applyAlignment="1">
      <alignment horizontal="center" vertical="center"/>
    </xf>
    <xf numFmtId="165" fontId="16342" fillId="8" borderId="1" xfId="0" applyNumberFormat="1" applyFont="1" applyFill="1" applyBorder="1" applyAlignment="1">
      <alignment horizontal="center" vertical="center"/>
    </xf>
    <xf numFmtId="1" fontId="16343" fillId="8" borderId="1" xfId="0" applyNumberFormat="1" applyFont="1" applyFill="1" applyBorder="1" applyAlignment="1">
      <alignment horizontal="center" vertical="center"/>
    </xf>
    <xf numFmtId="165" fontId="16344" fillId="8" borderId="1" xfId="0" applyNumberFormat="1" applyFont="1" applyFill="1" applyBorder="1" applyAlignment="1">
      <alignment horizontal="center" vertical="center"/>
    </xf>
    <xf numFmtId="1" fontId="16345" fillId="8" borderId="1" xfId="0" applyNumberFormat="1" applyFont="1" applyFill="1" applyBorder="1" applyAlignment="1">
      <alignment horizontal="center" vertical="center"/>
    </xf>
    <xf numFmtId="165" fontId="16346" fillId="8" borderId="1" xfId="0" applyNumberFormat="1" applyFont="1" applyFill="1" applyBorder="1" applyAlignment="1">
      <alignment horizontal="center" vertical="center"/>
    </xf>
    <xf numFmtId="2" fontId="16347" fillId="8" borderId="1" xfId="0" applyNumberFormat="1" applyFont="1" applyFill="1" applyBorder="1" applyAlignment="1">
      <alignment horizontal="center" vertical="center"/>
    </xf>
    <xf numFmtId="2" fontId="16348" fillId="8" borderId="1" xfId="0" applyNumberFormat="1" applyFont="1" applyFill="1" applyBorder="1" applyAlignment="1">
      <alignment horizontal="center" vertical="center"/>
    </xf>
    <xf numFmtId="2" fontId="16349" fillId="8" borderId="1" xfId="0" applyNumberFormat="1" applyFont="1" applyFill="1" applyBorder="1" applyAlignment="1">
      <alignment horizontal="center" vertical="center"/>
    </xf>
    <xf numFmtId="2" fontId="16350" fillId="8" borderId="1" xfId="0" applyNumberFormat="1" applyFont="1" applyFill="1" applyBorder="1" applyAlignment="1">
      <alignment horizontal="center" vertical="center"/>
    </xf>
    <xf numFmtId="2" fontId="16351" fillId="8" borderId="1" xfId="0" applyNumberFormat="1" applyFont="1" applyFill="1" applyBorder="1" applyAlignment="1">
      <alignment horizontal="center" vertical="center"/>
    </xf>
    <xf numFmtId="2" fontId="16352" fillId="8" borderId="1" xfId="0" applyNumberFormat="1" applyFont="1" applyFill="1" applyBorder="1" applyAlignment="1">
      <alignment horizontal="center" vertical="center"/>
    </xf>
    <xf numFmtId="2" fontId="16353" fillId="8" borderId="1" xfId="0" applyNumberFormat="1" applyFont="1" applyFill="1" applyBorder="1" applyAlignment="1">
      <alignment horizontal="center" vertical="center"/>
    </xf>
    <xf numFmtId="2" fontId="16354" fillId="8" borderId="1" xfId="0" applyNumberFormat="1" applyFont="1" applyFill="1" applyBorder="1" applyAlignment="1">
      <alignment horizontal="center" vertical="center"/>
    </xf>
    <xf numFmtId="2" fontId="16355" fillId="8" borderId="1" xfId="0" applyNumberFormat="1" applyFont="1" applyFill="1" applyBorder="1" applyAlignment="1">
      <alignment horizontal="center" vertical="center"/>
    </xf>
    <xf numFmtId="2" fontId="16356" fillId="8" borderId="1" xfId="0" applyNumberFormat="1" applyFont="1" applyFill="1" applyBorder="1" applyAlignment="1">
      <alignment horizontal="center" vertical="center"/>
    </xf>
    <xf numFmtId="2" fontId="16357" fillId="8" borderId="1" xfId="0" applyNumberFormat="1" applyFont="1" applyFill="1" applyBorder="1" applyAlignment="1">
      <alignment horizontal="center" vertical="center"/>
    </xf>
    <xf numFmtId="2" fontId="16358" fillId="8" borderId="1" xfId="0" applyNumberFormat="1" applyFont="1" applyFill="1" applyBorder="1" applyAlignment="1">
      <alignment horizontal="center" vertical="center"/>
    </xf>
    <xf numFmtId="2" fontId="16359" fillId="8" borderId="1" xfId="0" applyNumberFormat="1" applyFont="1" applyFill="1" applyBorder="1" applyAlignment="1">
      <alignment horizontal="center" vertical="center"/>
    </xf>
    <xf numFmtId="2" fontId="16360" fillId="8" borderId="1" xfId="0" applyNumberFormat="1" applyFont="1" applyFill="1" applyBorder="1" applyAlignment="1">
      <alignment horizontal="center" vertical="center"/>
    </xf>
    <xf numFmtId="2" fontId="16361" fillId="8" borderId="1" xfId="0" applyNumberFormat="1" applyFont="1" applyFill="1" applyBorder="1" applyAlignment="1">
      <alignment horizontal="center" vertical="center"/>
    </xf>
    <xf numFmtId="2" fontId="16362" fillId="8" borderId="1" xfId="0" applyNumberFormat="1" applyFont="1" applyFill="1" applyBorder="1" applyAlignment="1">
      <alignment horizontal="center" vertical="center"/>
    </xf>
    <xf numFmtId="2" fontId="16363" fillId="8" borderId="1" xfId="0" applyNumberFormat="1" applyFont="1" applyFill="1" applyBorder="1" applyAlignment="1">
      <alignment horizontal="center" vertical="center"/>
    </xf>
    <xf numFmtId="2" fontId="16364" fillId="8" borderId="1" xfId="0" applyNumberFormat="1" applyFont="1" applyFill="1" applyBorder="1" applyAlignment="1">
      <alignment horizontal="center" vertical="center"/>
    </xf>
    <xf numFmtId="2" fontId="16365" fillId="8" borderId="1" xfId="0" applyNumberFormat="1" applyFont="1" applyFill="1" applyBorder="1" applyAlignment="1">
      <alignment horizontal="center" vertical="center"/>
    </xf>
    <xf numFmtId="2" fontId="16366" fillId="8" borderId="1" xfId="0" applyNumberFormat="1" applyFont="1" applyFill="1" applyBorder="1" applyAlignment="1">
      <alignment horizontal="center" vertical="center"/>
    </xf>
    <xf numFmtId="2" fontId="16367" fillId="8" borderId="1" xfId="0" applyNumberFormat="1" applyFont="1" applyFill="1" applyBorder="1" applyAlignment="1">
      <alignment horizontal="center" vertical="center"/>
    </xf>
    <xf numFmtId="2" fontId="16368" fillId="8" borderId="1" xfId="0" applyNumberFormat="1" applyFont="1" applyFill="1" applyBorder="1" applyAlignment="1">
      <alignment horizontal="center" vertical="center"/>
    </xf>
    <xf numFmtId="2" fontId="16369" fillId="8" borderId="1" xfId="0" applyNumberFormat="1" applyFont="1" applyFill="1" applyBorder="1" applyAlignment="1">
      <alignment horizontal="center" vertical="center"/>
    </xf>
    <xf numFmtId="2" fontId="16370" fillId="8" borderId="1" xfId="0" applyNumberFormat="1" applyFont="1" applyFill="1" applyBorder="1" applyAlignment="1">
      <alignment horizontal="center" vertical="center"/>
    </xf>
    <xf numFmtId="2" fontId="16371" fillId="8" borderId="1" xfId="0" applyNumberFormat="1" applyFont="1" applyFill="1" applyBorder="1" applyAlignment="1">
      <alignment horizontal="center" vertical="center"/>
    </xf>
    <xf numFmtId="2" fontId="16372" fillId="8" borderId="1" xfId="0" applyNumberFormat="1" applyFont="1" applyFill="1" applyBorder="1" applyAlignment="1">
      <alignment horizontal="center" vertical="center"/>
    </xf>
    <xf numFmtId="2" fontId="16373" fillId="8" borderId="1" xfId="0" applyNumberFormat="1" applyFont="1" applyFill="1" applyBorder="1" applyAlignment="1">
      <alignment horizontal="center" vertical="center"/>
    </xf>
    <xf numFmtId="2" fontId="16374" fillId="8" borderId="1" xfId="0" applyNumberFormat="1" applyFont="1" applyFill="1" applyBorder="1" applyAlignment="1">
      <alignment horizontal="center" vertical="center"/>
    </xf>
    <xf numFmtId="2" fontId="16375" fillId="8" borderId="1" xfId="0" applyNumberFormat="1" applyFont="1" applyFill="1" applyBorder="1" applyAlignment="1">
      <alignment horizontal="center" vertical="center"/>
    </xf>
    <xf numFmtId="2" fontId="16376" fillId="8" borderId="1" xfId="0" applyNumberFormat="1" applyFont="1" applyFill="1" applyBorder="1" applyAlignment="1">
      <alignment horizontal="center" vertical="center"/>
    </xf>
    <xf numFmtId="2" fontId="16377" fillId="8" borderId="1" xfId="0" applyNumberFormat="1" applyFont="1" applyFill="1" applyBorder="1" applyAlignment="1">
      <alignment horizontal="center" vertical="center"/>
    </xf>
    <xf numFmtId="2" fontId="16378" fillId="8" borderId="1" xfId="0" applyNumberFormat="1" applyFont="1" applyFill="1" applyBorder="1" applyAlignment="1">
      <alignment horizontal="center" vertical="center"/>
    </xf>
    <xf numFmtId="2" fontId="16379" fillId="8" borderId="1" xfId="0" applyNumberFormat="1" applyFont="1" applyFill="1" applyBorder="1" applyAlignment="1">
      <alignment horizontal="center" vertical="center"/>
    </xf>
    <xf numFmtId="2" fontId="16380" fillId="8" borderId="1" xfId="0" applyNumberFormat="1" applyFont="1" applyFill="1" applyBorder="1" applyAlignment="1">
      <alignment horizontal="center" vertical="center"/>
    </xf>
    <xf numFmtId="0" fontId="16381" fillId="7" borderId="1" xfId="0" applyNumberFormat="1" applyFont="1" applyFill="1" applyBorder="1" applyAlignment="1">
      <alignment horizontal="left" vertical="center"/>
    </xf>
    <xf numFmtId="0" fontId="16382" fillId="8" borderId="1" xfId="0" applyNumberFormat="1" applyFont="1" applyFill="1" applyBorder="1" applyAlignment="1">
      <alignment horizontal="center" vertical="center"/>
    </xf>
    <xf numFmtId="164" fontId="16383" fillId="8" borderId="1" xfId="0" applyNumberFormat="1" applyFont="1" applyFill="1" applyBorder="1" applyAlignment="1">
      <alignment horizontal="center" vertical="center"/>
    </xf>
    <xf numFmtId="1" fontId="16384" fillId="8" borderId="1" xfId="0" applyNumberFormat="1" applyFont="1" applyFill="1" applyBorder="1" applyAlignment="1">
      <alignment horizontal="center" vertical="center"/>
    </xf>
    <xf numFmtId="1" fontId="16385" fillId="8" borderId="1" xfId="0" applyNumberFormat="1" applyFont="1" applyFill="1" applyBorder="1" applyAlignment="1">
      <alignment horizontal="center" vertical="center"/>
    </xf>
    <xf numFmtId="1" fontId="16386" fillId="8" borderId="1" xfId="0" applyNumberFormat="1" applyFont="1" applyFill="1" applyBorder="1" applyAlignment="1">
      <alignment horizontal="center" vertical="center"/>
    </xf>
    <xf numFmtId="1" fontId="16387" fillId="8" borderId="1" xfId="0" applyNumberFormat="1" applyFont="1" applyFill="1" applyBorder="1" applyAlignment="1">
      <alignment horizontal="center" vertical="center"/>
    </xf>
    <xf numFmtId="1" fontId="16388" fillId="8" borderId="1" xfId="0" applyNumberFormat="1" applyFont="1" applyFill="1" applyBorder="1" applyAlignment="1">
      <alignment horizontal="center" vertical="center"/>
    </xf>
    <xf numFmtId="1" fontId="16389" fillId="8" borderId="1" xfId="0" applyNumberFormat="1" applyFont="1" applyFill="1" applyBorder="1" applyAlignment="1">
      <alignment horizontal="center" vertical="center"/>
    </xf>
    <xf numFmtId="1" fontId="16390" fillId="8" borderId="1" xfId="0" applyNumberFormat="1" applyFont="1" applyFill="1" applyBorder="1" applyAlignment="1">
      <alignment horizontal="center" vertical="center"/>
    </xf>
    <xf numFmtId="0" fontId="16391" fillId="8" borderId="1" xfId="0" applyNumberFormat="1" applyFont="1" applyFill="1" applyBorder="1" applyAlignment="1">
      <alignment horizontal="center" vertical="center"/>
    </xf>
    <xf numFmtId="0" fontId="16392" fillId="8" borderId="1" xfId="0" applyNumberFormat="1" applyFont="1" applyFill="1" applyBorder="1" applyAlignment="1">
      <alignment horizontal="center" vertical="center"/>
    </xf>
    <xf numFmtId="1" fontId="16393" fillId="8" borderId="1" xfId="0" applyNumberFormat="1" applyFont="1" applyFill="1" applyBorder="1" applyAlignment="1">
      <alignment horizontal="center" vertical="center"/>
    </xf>
    <xf numFmtId="1" fontId="16394" fillId="8" borderId="1" xfId="0" applyNumberFormat="1" applyFont="1" applyFill="1" applyBorder="1" applyAlignment="1">
      <alignment horizontal="center" vertical="center"/>
    </xf>
    <xf numFmtId="1" fontId="16395" fillId="8" borderId="1" xfId="0" applyNumberFormat="1" applyFont="1" applyFill="1" applyBorder="1" applyAlignment="1">
      <alignment horizontal="center" vertical="center"/>
    </xf>
    <xf numFmtId="165" fontId="16396" fillId="8" borderId="1" xfId="0" applyNumberFormat="1" applyFont="1" applyFill="1" applyBorder="1" applyAlignment="1">
      <alignment horizontal="center" vertical="center"/>
    </xf>
    <xf numFmtId="1" fontId="16397" fillId="8" borderId="1" xfId="0" applyNumberFormat="1" applyFont="1" applyFill="1" applyBorder="1" applyAlignment="1">
      <alignment horizontal="center" vertical="center"/>
    </xf>
    <xf numFmtId="165" fontId="16398" fillId="8" borderId="1" xfId="0" applyNumberFormat="1" applyFont="1" applyFill="1" applyBorder="1" applyAlignment="1">
      <alignment horizontal="center" vertical="center"/>
    </xf>
    <xf numFmtId="1" fontId="16399" fillId="8" borderId="1" xfId="0" applyNumberFormat="1" applyFont="1" applyFill="1" applyBorder="1" applyAlignment="1">
      <alignment horizontal="center" vertical="center"/>
    </xf>
    <xf numFmtId="165" fontId="16400" fillId="8" borderId="1" xfId="0" applyNumberFormat="1" applyFont="1" applyFill="1" applyBorder="1" applyAlignment="1">
      <alignment horizontal="center" vertical="center"/>
    </xf>
    <xf numFmtId="1" fontId="16401" fillId="8" borderId="1" xfId="0" applyNumberFormat="1" applyFont="1" applyFill="1" applyBorder="1" applyAlignment="1">
      <alignment horizontal="center" vertical="center"/>
    </xf>
    <xf numFmtId="165" fontId="16402" fillId="8" borderId="1" xfId="0" applyNumberFormat="1" applyFont="1" applyFill="1" applyBorder="1" applyAlignment="1">
      <alignment horizontal="center" vertical="center"/>
    </xf>
    <xf numFmtId="165" fontId="16403" fillId="8" borderId="1" xfId="0" applyNumberFormat="1" applyFont="1" applyFill="1" applyBorder="1" applyAlignment="1">
      <alignment horizontal="center" vertical="center"/>
    </xf>
    <xf numFmtId="1" fontId="16404" fillId="8" borderId="1" xfId="0" applyNumberFormat="1" applyFont="1" applyFill="1" applyBorder="1" applyAlignment="1">
      <alignment horizontal="center" vertical="center"/>
    </xf>
    <xf numFmtId="1" fontId="16405" fillId="8" borderId="1" xfId="0" applyNumberFormat="1" applyFont="1" applyFill="1" applyBorder="1" applyAlignment="1">
      <alignment horizontal="center" vertical="center"/>
    </xf>
    <xf numFmtId="1" fontId="16406" fillId="8" borderId="1" xfId="0" applyNumberFormat="1" applyFont="1" applyFill="1" applyBorder="1" applyAlignment="1">
      <alignment horizontal="center" vertical="center"/>
    </xf>
    <xf numFmtId="165" fontId="16407" fillId="8" borderId="1" xfId="0" applyNumberFormat="1" applyFont="1" applyFill="1" applyBorder="1" applyAlignment="1">
      <alignment horizontal="center" vertical="center"/>
    </xf>
    <xf numFmtId="164" fontId="16408" fillId="8" borderId="1" xfId="0" applyNumberFormat="1" applyFont="1" applyFill="1" applyBorder="1" applyAlignment="1">
      <alignment horizontal="center" vertical="center"/>
    </xf>
    <xf numFmtId="164" fontId="16409" fillId="8" borderId="1" xfId="0" applyNumberFormat="1" applyFont="1" applyFill="1" applyBorder="1" applyAlignment="1">
      <alignment horizontal="center" vertical="center"/>
    </xf>
    <xf numFmtId="1" fontId="16410" fillId="8" borderId="1" xfId="0" applyNumberFormat="1" applyFont="1" applyFill="1" applyBorder="1" applyAlignment="1">
      <alignment horizontal="center" vertical="center"/>
    </xf>
    <xf numFmtId="1" fontId="16411" fillId="8" borderId="1" xfId="0" applyNumberFormat="1" applyFont="1" applyFill="1" applyBorder="1" applyAlignment="1">
      <alignment horizontal="center" vertical="center"/>
    </xf>
    <xf numFmtId="1" fontId="16412" fillId="8" borderId="1" xfId="0" applyNumberFormat="1" applyFont="1" applyFill="1" applyBorder="1" applyAlignment="1">
      <alignment horizontal="center" vertical="center"/>
    </xf>
    <xf numFmtId="165" fontId="16413" fillId="8" borderId="1" xfId="0" applyNumberFormat="1" applyFont="1" applyFill="1" applyBorder="1" applyAlignment="1">
      <alignment horizontal="center" vertical="center"/>
    </xf>
    <xf numFmtId="1" fontId="16414" fillId="8" borderId="1" xfId="0" applyNumberFormat="1" applyFont="1" applyFill="1" applyBorder="1" applyAlignment="1">
      <alignment horizontal="center" vertical="center"/>
    </xf>
    <xf numFmtId="165" fontId="16415" fillId="8" borderId="1" xfId="0" applyNumberFormat="1" applyFont="1" applyFill="1" applyBorder="1" applyAlignment="1">
      <alignment horizontal="center" vertical="center"/>
    </xf>
    <xf numFmtId="1" fontId="16416" fillId="8" borderId="1" xfId="0" applyNumberFormat="1" applyFont="1" applyFill="1" applyBorder="1" applyAlignment="1">
      <alignment horizontal="center" vertical="center"/>
    </xf>
    <xf numFmtId="1" fontId="16417" fillId="8" borderId="1" xfId="0" applyNumberFormat="1" applyFont="1" applyFill="1" applyBorder="1" applyAlignment="1">
      <alignment horizontal="center" vertical="center"/>
    </xf>
    <xf numFmtId="1" fontId="16418" fillId="8" borderId="1" xfId="0" applyNumberFormat="1" applyFont="1" applyFill="1" applyBorder="1" applyAlignment="1">
      <alignment horizontal="center" vertical="center"/>
    </xf>
    <xf numFmtId="1" fontId="16419" fillId="8" borderId="1" xfId="0" applyNumberFormat="1" applyFont="1" applyFill="1" applyBorder="1" applyAlignment="1">
      <alignment horizontal="center" vertical="center"/>
    </xf>
    <xf numFmtId="165" fontId="16420" fillId="8" borderId="1" xfId="0" applyNumberFormat="1" applyFont="1" applyFill="1" applyBorder="1" applyAlignment="1">
      <alignment horizontal="center" vertical="center"/>
    </xf>
    <xf numFmtId="1" fontId="16421" fillId="8" borderId="1" xfId="0" applyNumberFormat="1" applyFont="1" applyFill="1" applyBorder="1" applyAlignment="1">
      <alignment horizontal="center" vertical="center"/>
    </xf>
    <xf numFmtId="165" fontId="16422" fillId="8" borderId="1" xfId="0" applyNumberFormat="1" applyFont="1" applyFill="1" applyBorder="1" applyAlignment="1">
      <alignment horizontal="center" vertical="center"/>
    </xf>
    <xf numFmtId="1" fontId="16423" fillId="8" borderId="1" xfId="0" applyNumberFormat="1" applyFont="1" applyFill="1" applyBorder="1" applyAlignment="1">
      <alignment horizontal="center" vertical="center"/>
    </xf>
    <xf numFmtId="165" fontId="16424" fillId="8" borderId="1" xfId="0" applyNumberFormat="1" applyFont="1" applyFill="1" applyBorder="1" applyAlignment="1">
      <alignment horizontal="center" vertical="center"/>
    </xf>
    <xf numFmtId="2" fontId="16425" fillId="8" borderId="1" xfId="0" applyNumberFormat="1" applyFont="1" applyFill="1" applyBorder="1" applyAlignment="1">
      <alignment horizontal="center" vertical="center"/>
    </xf>
    <xf numFmtId="2" fontId="16426" fillId="8" borderId="1" xfId="0" applyNumberFormat="1" applyFont="1" applyFill="1" applyBorder="1" applyAlignment="1">
      <alignment horizontal="center" vertical="center"/>
    </xf>
    <xf numFmtId="2" fontId="16427" fillId="8" borderId="1" xfId="0" applyNumberFormat="1" applyFont="1" applyFill="1" applyBorder="1" applyAlignment="1">
      <alignment horizontal="center" vertical="center"/>
    </xf>
    <xf numFmtId="2" fontId="16428" fillId="8" borderId="1" xfId="0" applyNumberFormat="1" applyFont="1" applyFill="1" applyBorder="1" applyAlignment="1">
      <alignment horizontal="center" vertical="center"/>
    </xf>
    <xf numFmtId="2" fontId="16429" fillId="8" borderId="1" xfId="0" applyNumberFormat="1" applyFont="1" applyFill="1" applyBorder="1" applyAlignment="1">
      <alignment horizontal="center" vertical="center"/>
    </xf>
    <xf numFmtId="2" fontId="16430" fillId="8" borderId="1" xfId="0" applyNumberFormat="1" applyFont="1" applyFill="1" applyBorder="1" applyAlignment="1">
      <alignment horizontal="center" vertical="center"/>
    </xf>
    <xf numFmtId="2" fontId="16431" fillId="8" borderId="1" xfId="0" applyNumberFormat="1" applyFont="1" applyFill="1" applyBorder="1" applyAlignment="1">
      <alignment horizontal="center" vertical="center"/>
    </xf>
    <xf numFmtId="2" fontId="16432" fillId="8" borderId="1" xfId="0" applyNumberFormat="1" applyFont="1" applyFill="1" applyBorder="1" applyAlignment="1">
      <alignment horizontal="center" vertical="center"/>
    </xf>
    <xf numFmtId="2" fontId="16433" fillId="8" borderId="1" xfId="0" applyNumberFormat="1" applyFont="1" applyFill="1" applyBorder="1" applyAlignment="1">
      <alignment horizontal="center" vertical="center"/>
    </xf>
    <xf numFmtId="2" fontId="16434" fillId="8" borderId="1" xfId="0" applyNumberFormat="1" applyFont="1" applyFill="1" applyBorder="1" applyAlignment="1">
      <alignment horizontal="center" vertical="center"/>
    </xf>
    <xf numFmtId="2" fontId="16435" fillId="8" borderId="1" xfId="0" applyNumberFormat="1" applyFont="1" applyFill="1" applyBorder="1" applyAlignment="1">
      <alignment horizontal="center" vertical="center"/>
    </xf>
    <xf numFmtId="2" fontId="16436" fillId="8" borderId="1" xfId="0" applyNumberFormat="1" applyFont="1" applyFill="1" applyBorder="1" applyAlignment="1">
      <alignment horizontal="center" vertical="center"/>
    </xf>
    <xf numFmtId="2" fontId="16437" fillId="8" borderId="1" xfId="0" applyNumberFormat="1" applyFont="1" applyFill="1" applyBorder="1" applyAlignment="1">
      <alignment horizontal="center" vertical="center"/>
    </xf>
    <xf numFmtId="2" fontId="16438" fillId="8" borderId="1" xfId="0" applyNumberFormat="1" applyFont="1" applyFill="1" applyBorder="1" applyAlignment="1">
      <alignment horizontal="center" vertical="center"/>
    </xf>
    <xf numFmtId="2" fontId="16439" fillId="8" borderId="1" xfId="0" applyNumberFormat="1" applyFont="1" applyFill="1" applyBorder="1" applyAlignment="1">
      <alignment horizontal="center" vertical="center"/>
    </xf>
    <xf numFmtId="2" fontId="16440" fillId="8" borderId="1" xfId="0" applyNumberFormat="1" applyFont="1" applyFill="1" applyBorder="1" applyAlignment="1">
      <alignment horizontal="center" vertical="center"/>
    </xf>
    <xf numFmtId="2" fontId="16441" fillId="8" borderId="1" xfId="0" applyNumberFormat="1" applyFont="1" applyFill="1" applyBorder="1" applyAlignment="1">
      <alignment horizontal="center" vertical="center"/>
    </xf>
    <xf numFmtId="2" fontId="16442" fillId="8" borderId="1" xfId="0" applyNumberFormat="1" applyFont="1" applyFill="1" applyBorder="1" applyAlignment="1">
      <alignment horizontal="center" vertical="center"/>
    </xf>
    <xf numFmtId="2" fontId="16443" fillId="8" borderId="1" xfId="0" applyNumberFormat="1" applyFont="1" applyFill="1" applyBorder="1" applyAlignment="1">
      <alignment horizontal="center" vertical="center"/>
    </xf>
    <xf numFmtId="2" fontId="16444" fillId="8" borderId="1" xfId="0" applyNumberFormat="1" applyFont="1" applyFill="1" applyBorder="1" applyAlignment="1">
      <alignment horizontal="center" vertical="center"/>
    </xf>
    <xf numFmtId="2" fontId="16445" fillId="8" borderId="1" xfId="0" applyNumberFormat="1" applyFont="1" applyFill="1" applyBorder="1" applyAlignment="1">
      <alignment horizontal="center" vertical="center"/>
    </xf>
    <xf numFmtId="2" fontId="16446" fillId="8" borderId="1" xfId="0" applyNumberFormat="1" applyFont="1" applyFill="1" applyBorder="1" applyAlignment="1">
      <alignment horizontal="center" vertical="center"/>
    </xf>
    <xf numFmtId="2" fontId="16447" fillId="8" borderId="1" xfId="0" applyNumberFormat="1" applyFont="1" applyFill="1" applyBorder="1" applyAlignment="1">
      <alignment horizontal="center" vertical="center"/>
    </xf>
    <xf numFmtId="2" fontId="16448" fillId="8" borderId="1" xfId="0" applyNumberFormat="1" applyFont="1" applyFill="1" applyBorder="1" applyAlignment="1">
      <alignment horizontal="center" vertical="center"/>
    </xf>
    <xf numFmtId="2" fontId="16449" fillId="8" borderId="1" xfId="0" applyNumberFormat="1" applyFont="1" applyFill="1" applyBorder="1" applyAlignment="1">
      <alignment horizontal="center" vertical="center"/>
    </xf>
    <xf numFmtId="2" fontId="16450" fillId="8" borderId="1" xfId="0" applyNumberFormat="1" applyFont="1" applyFill="1" applyBorder="1" applyAlignment="1">
      <alignment horizontal="center" vertical="center"/>
    </xf>
    <xf numFmtId="2" fontId="16451" fillId="8" borderId="1" xfId="0" applyNumberFormat="1" applyFont="1" applyFill="1" applyBorder="1" applyAlignment="1">
      <alignment horizontal="center" vertical="center"/>
    </xf>
    <xf numFmtId="2" fontId="16452" fillId="8" borderId="1" xfId="0" applyNumberFormat="1" applyFont="1" applyFill="1" applyBorder="1" applyAlignment="1">
      <alignment horizontal="center" vertical="center"/>
    </xf>
    <xf numFmtId="2" fontId="16453" fillId="8" borderId="1" xfId="0" applyNumberFormat="1" applyFont="1" applyFill="1" applyBorder="1" applyAlignment="1">
      <alignment horizontal="center" vertical="center"/>
    </xf>
    <xf numFmtId="2" fontId="16454" fillId="8" borderId="1" xfId="0" applyNumberFormat="1" applyFont="1" applyFill="1" applyBorder="1" applyAlignment="1">
      <alignment horizontal="center" vertical="center"/>
    </xf>
    <xf numFmtId="2" fontId="16455" fillId="8" borderId="1" xfId="0" applyNumberFormat="1" applyFont="1" applyFill="1" applyBorder="1" applyAlignment="1">
      <alignment horizontal="center" vertical="center"/>
    </xf>
    <xf numFmtId="2" fontId="16456" fillId="8" borderId="1" xfId="0" applyNumberFormat="1" applyFont="1" applyFill="1" applyBorder="1" applyAlignment="1">
      <alignment horizontal="center" vertical="center"/>
    </xf>
    <xf numFmtId="2" fontId="16457" fillId="8" borderId="1" xfId="0" applyNumberFormat="1" applyFont="1" applyFill="1" applyBorder="1" applyAlignment="1">
      <alignment horizontal="center" vertical="center"/>
    </xf>
    <xf numFmtId="2" fontId="16458" fillId="8" borderId="1" xfId="0" applyNumberFormat="1" applyFont="1" applyFill="1" applyBorder="1" applyAlignment="1">
      <alignment horizontal="center" vertical="center"/>
    </xf>
    <xf numFmtId="0" fontId="16459" fillId="7" borderId="1" xfId="0" applyNumberFormat="1" applyFont="1" applyFill="1" applyBorder="1" applyAlignment="1">
      <alignment horizontal="left" vertical="center"/>
    </xf>
    <xf numFmtId="0" fontId="16460" fillId="8" borderId="1" xfId="0" applyNumberFormat="1" applyFont="1" applyFill="1" applyBorder="1" applyAlignment="1">
      <alignment horizontal="center" vertical="center"/>
    </xf>
    <xf numFmtId="164" fontId="16461" fillId="8" borderId="1" xfId="0" applyNumberFormat="1" applyFont="1" applyFill="1" applyBorder="1" applyAlignment="1">
      <alignment horizontal="center" vertical="center"/>
    </xf>
    <xf numFmtId="1" fontId="16462" fillId="8" borderId="1" xfId="0" applyNumberFormat="1" applyFont="1" applyFill="1" applyBorder="1" applyAlignment="1">
      <alignment horizontal="center" vertical="center"/>
    </xf>
    <xf numFmtId="1" fontId="16463" fillId="8" borderId="1" xfId="0" applyNumberFormat="1" applyFont="1" applyFill="1" applyBorder="1" applyAlignment="1">
      <alignment horizontal="center" vertical="center"/>
    </xf>
    <xf numFmtId="1" fontId="16464" fillId="8" borderId="1" xfId="0" applyNumberFormat="1" applyFont="1" applyFill="1" applyBorder="1" applyAlignment="1">
      <alignment horizontal="center" vertical="center"/>
    </xf>
    <xf numFmtId="1" fontId="16465" fillId="8" borderId="1" xfId="0" applyNumberFormat="1" applyFont="1" applyFill="1" applyBorder="1" applyAlignment="1">
      <alignment horizontal="center" vertical="center"/>
    </xf>
    <xf numFmtId="1" fontId="16466" fillId="8" borderId="1" xfId="0" applyNumberFormat="1" applyFont="1" applyFill="1" applyBorder="1" applyAlignment="1">
      <alignment horizontal="center" vertical="center"/>
    </xf>
    <xf numFmtId="1" fontId="16467" fillId="8" borderId="1" xfId="0" applyNumberFormat="1" applyFont="1" applyFill="1" applyBorder="1" applyAlignment="1">
      <alignment horizontal="center" vertical="center"/>
    </xf>
    <xf numFmtId="1" fontId="16468" fillId="8" borderId="1" xfId="0" applyNumberFormat="1" applyFont="1" applyFill="1" applyBorder="1" applyAlignment="1">
      <alignment horizontal="center" vertical="center"/>
    </xf>
    <xf numFmtId="0" fontId="16469" fillId="8" borderId="1" xfId="0" applyNumberFormat="1" applyFont="1" applyFill="1" applyBorder="1" applyAlignment="1">
      <alignment horizontal="center" vertical="center"/>
    </xf>
    <xf numFmtId="0" fontId="16470" fillId="8" borderId="1" xfId="0" applyNumberFormat="1" applyFont="1" applyFill="1" applyBorder="1" applyAlignment="1">
      <alignment horizontal="center" vertical="center"/>
    </xf>
    <xf numFmtId="1" fontId="16471" fillId="8" borderId="1" xfId="0" applyNumberFormat="1" applyFont="1" applyFill="1" applyBorder="1" applyAlignment="1">
      <alignment horizontal="center" vertical="center"/>
    </xf>
    <xf numFmtId="1" fontId="16472" fillId="8" borderId="1" xfId="0" applyNumberFormat="1" applyFont="1" applyFill="1" applyBorder="1" applyAlignment="1">
      <alignment horizontal="center" vertical="center"/>
    </xf>
    <xf numFmtId="1" fontId="16473" fillId="8" borderId="1" xfId="0" applyNumberFormat="1" applyFont="1" applyFill="1" applyBorder="1" applyAlignment="1">
      <alignment horizontal="center" vertical="center"/>
    </xf>
    <xf numFmtId="165" fontId="16474" fillId="8" borderId="1" xfId="0" applyNumberFormat="1" applyFont="1" applyFill="1" applyBorder="1" applyAlignment="1">
      <alignment horizontal="center" vertical="center"/>
    </xf>
    <xf numFmtId="1" fontId="16475" fillId="8" borderId="1" xfId="0" applyNumberFormat="1" applyFont="1" applyFill="1" applyBorder="1" applyAlignment="1">
      <alignment horizontal="center" vertical="center"/>
    </xf>
    <xf numFmtId="165" fontId="16476" fillId="8" borderId="1" xfId="0" applyNumberFormat="1" applyFont="1" applyFill="1" applyBorder="1" applyAlignment="1">
      <alignment horizontal="center" vertical="center"/>
    </xf>
    <xf numFmtId="1" fontId="16477" fillId="8" borderId="1" xfId="0" applyNumberFormat="1" applyFont="1" applyFill="1" applyBorder="1" applyAlignment="1">
      <alignment horizontal="center" vertical="center"/>
    </xf>
    <xf numFmtId="165" fontId="16478" fillId="8" borderId="1" xfId="0" applyNumberFormat="1" applyFont="1" applyFill="1" applyBorder="1" applyAlignment="1">
      <alignment horizontal="center" vertical="center"/>
    </xf>
    <xf numFmtId="1" fontId="16479" fillId="8" borderId="1" xfId="0" applyNumberFormat="1" applyFont="1" applyFill="1" applyBorder="1" applyAlignment="1">
      <alignment horizontal="center" vertical="center"/>
    </xf>
    <xf numFmtId="165" fontId="16480" fillId="8" borderId="1" xfId="0" applyNumberFormat="1" applyFont="1" applyFill="1" applyBorder="1" applyAlignment="1">
      <alignment horizontal="center" vertical="center"/>
    </xf>
    <xf numFmtId="165" fontId="16481" fillId="8" borderId="1" xfId="0" applyNumberFormat="1" applyFont="1" applyFill="1" applyBorder="1" applyAlignment="1">
      <alignment horizontal="center" vertical="center"/>
    </xf>
    <xf numFmtId="1" fontId="16482" fillId="8" borderId="1" xfId="0" applyNumberFormat="1" applyFont="1" applyFill="1" applyBorder="1" applyAlignment="1">
      <alignment horizontal="center" vertical="center"/>
    </xf>
    <xf numFmtId="1" fontId="16483" fillId="8" borderId="1" xfId="0" applyNumberFormat="1" applyFont="1" applyFill="1" applyBorder="1" applyAlignment="1">
      <alignment horizontal="center" vertical="center"/>
    </xf>
    <xf numFmtId="1" fontId="16484" fillId="8" borderId="1" xfId="0" applyNumberFormat="1" applyFont="1" applyFill="1" applyBorder="1" applyAlignment="1">
      <alignment horizontal="center" vertical="center"/>
    </xf>
    <xf numFmtId="165" fontId="16485" fillId="8" borderId="1" xfId="0" applyNumberFormat="1" applyFont="1" applyFill="1" applyBorder="1" applyAlignment="1">
      <alignment horizontal="center" vertical="center"/>
    </xf>
    <xf numFmtId="164" fontId="16486" fillId="8" borderId="1" xfId="0" applyNumberFormat="1" applyFont="1" applyFill="1" applyBorder="1" applyAlignment="1">
      <alignment horizontal="center" vertical="center"/>
    </xf>
    <xf numFmtId="164" fontId="16487" fillId="8" borderId="1" xfId="0" applyNumberFormat="1" applyFont="1" applyFill="1" applyBorder="1" applyAlignment="1">
      <alignment horizontal="center" vertical="center"/>
    </xf>
    <xf numFmtId="1" fontId="16488" fillId="8" borderId="1" xfId="0" applyNumberFormat="1" applyFont="1" applyFill="1" applyBorder="1" applyAlignment="1">
      <alignment horizontal="center" vertical="center"/>
    </xf>
    <xf numFmtId="1" fontId="16489" fillId="8" borderId="1" xfId="0" applyNumberFormat="1" applyFont="1" applyFill="1" applyBorder="1" applyAlignment="1">
      <alignment horizontal="center" vertical="center"/>
    </xf>
    <xf numFmtId="1" fontId="16490" fillId="8" borderId="1" xfId="0" applyNumberFormat="1" applyFont="1" applyFill="1" applyBorder="1" applyAlignment="1">
      <alignment horizontal="center" vertical="center"/>
    </xf>
    <xf numFmtId="165" fontId="16491" fillId="8" borderId="1" xfId="0" applyNumberFormat="1" applyFont="1" applyFill="1" applyBorder="1" applyAlignment="1">
      <alignment horizontal="center" vertical="center"/>
    </xf>
    <xf numFmtId="1" fontId="16492" fillId="8" borderId="1" xfId="0" applyNumberFormat="1" applyFont="1" applyFill="1" applyBorder="1" applyAlignment="1">
      <alignment horizontal="center" vertical="center"/>
    </xf>
    <xf numFmtId="165" fontId="16493" fillId="8" borderId="1" xfId="0" applyNumberFormat="1" applyFont="1" applyFill="1" applyBorder="1" applyAlignment="1">
      <alignment horizontal="center" vertical="center"/>
    </xf>
    <xf numFmtId="1" fontId="16494" fillId="8" borderId="1" xfId="0" applyNumberFormat="1" applyFont="1" applyFill="1" applyBorder="1" applyAlignment="1">
      <alignment horizontal="center" vertical="center"/>
    </xf>
    <xf numFmtId="1" fontId="16495" fillId="8" borderId="1" xfId="0" applyNumberFormat="1" applyFont="1" applyFill="1" applyBorder="1" applyAlignment="1">
      <alignment horizontal="center" vertical="center"/>
    </xf>
    <xf numFmtId="1" fontId="16496" fillId="8" borderId="1" xfId="0" applyNumberFormat="1" applyFont="1" applyFill="1" applyBorder="1" applyAlignment="1">
      <alignment horizontal="center" vertical="center"/>
    </xf>
    <xf numFmtId="1" fontId="16497" fillId="8" borderId="1" xfId="0" applyNumberFormat="1" applyFont="1" applyFill="1" applyBorder="1" applyAlignment="1">
      <alignment horizontal="center" vertical="center"/>
    </xf>
    <xf numFmtId="165" fontId="16498" fillId="8" borderId="1" xfId="0" applyNumberFormat="1" applyFont="1" applyFill="1" applyBorder="1" applyAlignment="1">
      <alignment horizontal="center" vertical="center"/>
    </xf>
    <xf numFmtId="1" fontId="16499" fillId="8" borderId="1" xfId="0" applyNumberFormat="1" applyFont="1" applyFill="1" applyBorder="1" applyAlignment="1">
      <alignment horizontal="center" vertical="center"/>
    </xf>
    <xf numFmtId="165" fontId="16500" fillId="8" borderId="1" xfId="0" applyNumberFormat="1" applyFont="1" applyFill="1" applyBorder="1" applyAlignment="1">
      <alignment horizontal="center" vertical="center"/>
    </xf>
    <xf numFmtId="1" fontId="16501" fillId="8" borderId="1" xfId="0" applyNumberFormat="1" applyFont="1" applyFill="1" applyBorder="1" applyAlignment="1">
      <alignment horizontal="center" vertical="center"/>
    </xf>
    <xf numFmtId="165" fontId="16502" fillId="8" borderId="1" xfId="0" applyNumberFormat="1" applyFont="1" applyFill="1" applyBorder="1" applyAlignment="1">
      <alignment horizontal="center" vertical="center"/>
    </xf>
    <xf numFmtId="2" fontId="16503" fillId="8" borderId="1" xfId="0" applyNumberFormat="1" applyFont="1" applyFill="1" applyBorder="1" applyAlignment="1">
      <alignment horizontal="center" vertical="center"/>
    </xf>
    <xf numFmtId="2" fontId="16504" fillId="8" borderId="1" xfId="0" applyNumberFormat="1" applyFont="1" applyFill="1" applyBorder="1" applyAlignment="1">
      <alignment horizontal="center" vertical="center"/>
    </xf>
    <xf numFmtId="2" fontId="16505" fillId="8" borderId="1" xfId="0" applyNumberFormat="1" applyFont="1" applyFill="1" applyBorder="1" applyAlignment="1">
      <alignment horizontal="center" vertical="center"/>
    </xf>
    <xf numFmtId="2" fontId="16506" fillId="8" borderId="1" xfId="0" applyNumberFormat="1" applyFont="1" applyFill="1" applyBorder="1" applyAlignment="1">
      <alignment horizontal="center" vertical="center"/>
    </xf>
    <xf numFmtId="2" fontId="16507" fillId="8" borderId="1" xfId="0" applyNumberFormat="1" applyFont="1" applyFill="1" applyBorder="1" applyAlignment="1">
      <alignment horizontal="center" vertical="center"/>
    </xf>
    <xf numFmtId="2" fontId="16508" fillId="8" borderId="1" xfId="0" applyNumberFormat="1" applyFont="1" applyFill="1" applyBorder="1" applyAlignment="1">
      <alignment horizontal="center" vertical="center"/>
    </xf>
    <xf numFmtId="2" fontId="16509" fillId="8" borderId="1" xfId="0" applyNumberFormat="1" applyFont="1" applyFill="1" applyBorder="1" applyAlignment="1">
      <alignment horizontal="center" vertical="center"/>
    </xf>
    <xf numFmtId="2" fontId="16510" fillId="8" borderId="1" xfId="0" applyNumberFormat="1" applyFont="1" applyFill="1" applyBorder="1" applyAlignment="1">
      <alignment horizontal="center" vertical="center"/>
    </xf>
    <xf numFmtId="2" fontId="16511" fillId="8" borderId="1" xfId="0" applyNumberFormat="1" applyFont="1" applyFill="1" applyBorder="1" applyAlignment="1">
      <alignment horizontal="center" vertical="center"/>
    </xf>
    <xf numFmtId="2" fontId="16512" fillId="8" borderId="1" xfId="0" applyNumberFormat="1" applyFont="1" applyFill="1" applyBorder="1" applyAlignment="1">
      <alignment horizontal="center" vertical="center"/>
    </xf>
    <xf numFmtId="2" fontId="16513" fillId="8" borderId="1" xfId="0" applyNumberFormat="1" applyFont="1" applyFill="1" applyBorder="1" applyAlignment="1">
      <alignment horizontal="center" vertical="center"/>
    </xf>
    <xf numFmtId="2" fontId="16514" fillId="8" borderId="1" xfId="0" applyNumberFormat="1" applyFont="1" applyFill="1" applyBorder="1" applyAlignment="1">
      <alignment horizontal="center" vertical="center"/>
    </xf>
    <xf numFmtId="2" fontId="16515" fillId="8" borderId="1" xfId="0" applyNumberFormat="1" applyFont="1" applyFill="1" applyBorder="1" applyAlignment="1">
      <alignment horizontal="center" vertical="center"/>
    </xf>
    <xf numFmtId="2" fontId="16516" fillId="8" borderId="1" xfId="0" applyNumberFormat="1" applyFont="1" applyFill="1" applyBorder="1" applyAlignment="1">
      <alignment horizontal="center" vertical="center"/>
    </xf>
    <xf numFmtId="2" fontId="16517" fillId="8" borderId="1" xfId="0" applyNumberFormat="1" applyFont="1" applyFill="1" applyBorder="1" applyAlignment="1">
      <alignment horizontal="center" vertical="center"/>
    </xf>
    <xf numFmtId="2" fontId="16518" fillId="8" borderId="1" xfId="0" applyNumberFormat="1" applyFont="1" applyFill="1" applyBorder="1" applyAlignment="1">
      <alignment horizontal="center" vertical="center"/>
    </xf>
    <xf numFmtId="2" fontId="16519" fillId="8" borderId="1" xfId="0" applyNumberFormat="1" applyFont="1" applyFill="1" applyBorder="1" applyAlignment="1">
      <alignment horizontal="center" vertical="center"/>
    </xf>
    <xf numFmtId="2" fontId="16520" fillId="8" borderId="1" xfId="0" applyNumberFormat="1" applyFont="1" applyFill="1" applyBorder="1" applyAlignment="1">
      <alignment horizontal="center" vertical="center"/>
    </xf>
    <xf numFmtId="2" fontId="16521" fillId="8" borderId="1" xfId="0" applyNumberFormat="1" applyFont="1" applyFill="1" applyBorder="1" applyAlignment="1">
      <alignment horizontal="center" vertical="center"/>
    </xf>
    <xf numFmtId="2" fontId="16522" fillId="8" borderId="1" xfId="0" applyNumberFormat="1" applyFont="1" applyFill="1" applyBorder="1" applyAlignment="1">
      <alignment horizontal="center" vertical="center"/>
    </xf>
    <xf numFmtId="2" fontId="16523" fillId="8" borderId="1" xfId="0" applyNumberFormat="1" applyFont="1" applyFill="1" applyBorder="1" applyAlignment="1">
      <alignment horizontal="center" vertical="center"/>
    </xf>
    <xf numFmtId="2" fontId="16524" fillId="8" borderId="1" xfId="0" applyNumberFormat="1" applyFont="1" applyFill="1" applyBorder="1" applyAlignment="1">
      <alignment horizontal="center" vertical="center"/>
    </xf>
    <xf numFmtId="2" fontId="16525" fillId="8" borderId="1" xfId="0" applyNumberFormat="1" applyFont="1" applyFill="1" applyBorder="1" applyAlignment="1">
      <alignment horizontal="center" vertical="center"/>
    </xf>
    <xf numFmtId="2" fontId="16526" fillId="8" borderId="1" xfId="0" applyNumberFormat="1" applyFont="1" applyFill="1" applyBorder="1" applyAlignment="1">
      <alignment horizontal="center" vertical="center"/>
    </xf>
    <xf numFmtId="2" fontId="16527" fillId="8" borderId="1" xfId="0" applyNumberFormat="1" applyFont="1" applyFill="1" applyBorder="1" applyAlignment="1">
      <alignment horizontal="center" vertical="center"/>
    </xf>
    <xf numFmtId="2" fontId="16528" fillId="8" borderId="1" xfId="0" applyNumberFormat="1" applyFont="1" applyFill="1" applyBorder="1" applyAlignment="1">
      <alignment horizontal="center" vertical="center"/>
    </xf>
    <xf numFmtId="2" fontId="16529" fillId="8" borderId="1" xfId="0" applyNumberFormat="1" applyFont="1" applyFill="1" applyBorder="1" applyAlignment="1">
      <alignment horizontal="center" vertical="center"/>
    </xf>
    <xf numFmtId="2" fontId="16530" fillId="8" borderId="1" xfId="0" applyNumberFormat="1" applyFont="1" applyFill="1" applyBorder="1" applyAlignment="1">
      <alignment horizontal="center" vertical="center"/>
    </xf>
    <xf numFmtId="2" fontId="16531" fillId="8" borderId="1" xfId="0" applyNumberFormat="1" applyFont="1" applyFill="1" applyBorder="1" applyAlignment="1">
      <alignment horizontal="center" vertical="center"/>
    </xf>
    <xf numFmtId="2" fontId="16532" fillId="8" borderId="1" xfId="0" applyNumberFormat="1" applyFont="1" applyFill="1" applyBorder="1" applyAlignment="1">
      <alignment horizontal="center" vertical="center"/>
    </xf>
    <xf numFmtId="2" fontId="16533" fillId="8" borderId="1" xfId="0" applyNumberFormat="1" applyFont="1" applyFill="1" applyBorder="1" applyAlignment="1">
      <alignment horizontal="center" vertical="center"/>
    </xf>
    <xf numFmtId="2" fontId="16534" fillId="8" borderId="1" xfId="0" applyNumberFormat="1" applyFont="1" applyFill="1" applyBorder="1" applyAlignment="1">
      <alignment horizontal="center" vertical="center"/>
    </xf>
    <xf numFmtId="2" fontId="16535" fillId="8" borderId="1" xfId="0" applyNumberFormat="1" applyFont="1" applyFill="1" applyBorder="1" applyAlignment="1">
      <alignment horizontal="center" vertical="center"/>
    </xf>
    <xf numFmtId="2" fontId="16536" fillId="8" borderId="1" xfId="0" applyNumberFormat="1" applyFont="1" applyFill="1" applyBorder="1" applyAlignment="1">
      <alignment horizontal="center" vertical="center"/>
    </xf>
    <xf numFmtId="0" fontId="16537" fillId="7" borderId="1" xfId="0" applyNumberFormat="1" applyFont="1" applyFill="1" applyBorder="1" applyAlignment="1">
      <alignment horizontal="left" vertical="center"/>
    </xf>
    <xf numFmtId="0" fontId="16538" fillId="8" borderId="1" xfId="0" applyNumberFormat="1" applyFont="1" applyFill="1" applyBorder="1" applyAlignment="1">
      <alignment horizontal="center" vertical="center"/>
    </xf>
    <xf numFmtId="164" fontId="16539" fillId="8" borderId="1" xfId="0" applyNumberFormat="1" applyFont="1" applyFill="1" applyBorder="1" applyAlignment="1">
      <alignment horizontal="center" vertical="center"/>
    </xf>
    <xf numFmtId="1" fontId="16540" fillId="8" borderId="1" xfId="0" applyNumberFormat="1" applyFont="1" applyFill="1" applyBorder="1" applyAlignment="1">
      <alignment horizontal="center" vertical="center"/>
    </xf>
    <xf numFmtId="1" fontId="16541" fillId="8" borderId="1" xfId="0" applyNumberFormat="1" applyFont="1" applyFill="1" applyBorder="1" applyAlignment="1">
      <alignment horizontal="center" vertical="center"/>
    </xf>
    <xf numFmtId="1" fontId="16542" fillId="8" borderId="1" xfId="0" applyNumberFormat="1" applyFont="1" applyFill="1" applyBorder="1" applyAlignment="1">
      <alignment horizontal="center" vertical="center"/>
    </xf>
    <xf numFmtId="1" fontId="16543" fillId="8" borderId="1" xfId="0" applyNumberFormat="1" applyFont="1" applyFill="1" applyBorder="1" applyAlignment="1">
      <alignment horizontal="center" vertical="center"/>
    </xf>
    <xf numFmtId="1" fontId="16544" fillId="8" borderId="1" xfId="0" applyNumberFormat="1" applyFont="1" applyFill="1" applyBorder="1" applyAlignment="1">
      <alignment horizontal="center" vertical="center"/>
    </xf>
    <xf numFmtId="1" fontId="16545" fillId="8" borderId="1" xfId="0" applyNumberFormat="1" applyFont="1" applyFill="1" applyBorder="1" applyAlignment="1">
      <alignment horizontal="center" vertical="center"/>
    </xf>
    <xf numFmtId="1" fontId="16546" fillId="8" borderId="1" xfId="0" applyNumberFormat="1" applyFont="1" applyFill="1" applyBorder="1" applyAlignment="1">
      <alignment horizontal="center" vertical="center"/>
    </xf>
    <xf numFmtId="0" fontId="16547" fillId="8" borderId="1" xfId="0" applyNumberFormat="1" applyFont="1" applyFill="1" applyBorder="1" applyAlignment="1">
      <alignment horizontal="center" vertical="center"/>
    </xf>
    <xf numFmtId="0" fontId="16548" fillId="8" borderId="1" xfId="0" applyNumberFormat="1" applyFont="1" applyFill="1" applyBorder="1" applyAlignment="1">
      <alignment horizontal="center" vertical="center"/>
    </xf>
    <xf numFmtId="1" fontId="16549" fillId="8" borderId="1" xfId="0" applyNumberFormat="1" applyFont="1" applyFill="1" applyBorder="1" applyAlignment="1">
      <alignment horizontal="center" vertical="center"/>
    </xf>
    <xf numFmtId="1" fontId="16550" fillId="8" borderId="1" xfId="0" applyNumberFormat="1" applyFont="1" applyFill="1" applyBorder="1" applyAlignment="1">
      <alignment horizontal="center" vertical="center"/>
    </xf>
    <xf numFmtId="1" fontId="16551" fillId="8" borderId="1" xfId="0" applyNumberFormat="1" applyFont="1" applyFill="1" applyBorder="1" applyAlignment="1">
      <alignment horizontal="center" vertical="center"/>
    </xf>
    <xf numFmtId="165" fontId="16552" fillId="8" borderId="1" xfId="0" applyNumberFormat="1" applyFont="1" applyFill="1" applyBorder="1" applyAlignment="1">
      <alignment horizontal="center" vertical="center"/>
    </xf>
    <xf numFmtId="1" fontId="16553" fillId="8" borderId="1" xfId="0" applyNumberFormat="1" applyFont="1" applyFill="1" applyBorder="1" applyAlignment="1">
      <alignment horizontal="center" vertical="center"/>
    </xf>
    <xf numFmtId="165" fontId="16554" fillId="8" borderId="1" xfId="0" applyNumberFormat="1" applyFont="1" applyFill="1" applyBorder="1" applyAlignment="1">
      <alignment horizontal="center" vertical="center"/>
    </xf>
    <xf numFmtId="1" fontId="16555" fillId="8" borderId="1" xfId="0" applyNumberFormat="1" applyFont="1" applyFill="1" applyBorder="1" applyAlignment="1">
      <alignment horizontal="center" vertical="center"/>
    </xf>
    <xf numFmtId="165" fontId="16556" fillId="8" borderId="1" xfId="0" applyNumberFormat="1" applyFont="1" applyFill="1" applyBorder="1" applyAlignment="1">
      <alignment horizontal="center" vertical="center"/>
    </xf>
    <xf numFmtId="1" fontId="16557" fillId="8" borderId="1" xfId="0" applyNumberFormat="1" applyFont="1" applyFill="1" applyBorder="1" applyAlignment="1">
      <alignment horizontal="center" vertical="center"/>
    </xf>
    <xf numFmtId="165" fontId="16558" fillId="8" borderId="1" xfId="0" applyNumberFormat="1" applyFont="1" applyFill="1" applyBorder="1" applyAlignment="1">
      <alignment horizontal="center" vertical="center"/>
    </xf>
    <xf numFmtId="165" fontId="16559" fillId="8" borderId="1" xfId="0" applyNumberFormat="1" applyFont="1" applyFill="1" applyBorder="1" applyAlignment="1">
      <alignment horizontal="center" vertical="center"/>
    </xf>
    <xf numFmtId="1" fontId="16560" fillId="8" borderId="1" xfId="0" applyNumberFormat="1" applyFont="1" applyFill="1" applyBorder="1" applyAlignment="1">
      <alignment horizontal="center" vertical="center"/>
    </xf>
    <xf numFmtId="1" fontId="16561" fillId="8" borderId="1" xfId="0" applyNumberFormat="1" applyFont="1" applyFill="1" applyBorder="1" applyAlignment="1">
      <alignment horizontal="center" vertical="center"/>
    </xf>
    <xf numFmtId="1" fontId="16562" fillId="8" borderId="1" xfId="0" applyNumberFormat="1" applyFont="1" applyFill="1" applyBorder="1" applyAlignment="1">
      <alignment horizontal="center" vertical="center"/>
    </xf>
    <xf numFmtId="165" fontId="16563" fillId="8" borderId="1" xfId="0" applyNumberFormat="1" applyFont="1" applyFill="1" applyBorder="1" applyAlignment="1">
      <alignment horizontal="center" vertical="center"/>
    </xf>
    <xf numFmtId="164" fontId="16564" fillId="8" borderId="1" xfId="0" applyNumberFormat="1" applyFont="1" applyFill="1" applyBorder="1" applyAlignment="1">
      <alignment horizontal="center" vertical="center"/>
    </xf>
    <xf numFmtId="164" fontId="16565" fillId="8" borderId="1" xfId="0" applyNumberFormat="1" applyFont="1" applyFill="1" applyBorder="1" applyAlignment="1">
      <alignment horizontal="center" vertical="center"/>
    </xf>
    <xf numFmtId="1" fontId="16566" fillId="8" borderId="1" xfId="0" applyNumberFormat="1" applyFont="1" applyFill="1" applyBorder="1" applyAlignment="1">
      <alignment horizontal="center" vertical="center"/>
    </xf>
    <xf numFmtId="1" fontId="16567" fillId="8" borderId="1" xfId="0" applyNumberFormat="1" applyFont="1" applyFill="1" applyBorder="1" applyAlignment="1">
      <alignment horizontal="center" vertical="center"/>
    </xf>
    <xf numFmtId="1" fontId="16568" fillId="8" borderId="1" xfId="0" applyNumberFormat="1" applyFont="1" applyFill="1" applyBorder="1" applyAlignment="1">
      <alignment horizontal="center" vertical="center"/>
    </xf>
    <xf numFmtId="165" fontId="16569" fillId="8" borderId="1" xfId="0" applyNumberFormat="1" applyFont="1" applyFill="1" applyBorder="1" applyAlignment="1">
      <alignment horizontal="center" vertical="center"/>
    </xf>
    <xf numFmtId="1" fontId="16570" fillId="8" borderId="1" xfId="0" applyNumberFormat="1" applyFont="1" applyFill="1" applyBorder="1" applyAlignment="1">
      <alignment horizontal="center" vertical="center"/>
    </xf>
    <xf numFmtId="165" fontId="16571" fillId="8" borderId="1" xfId="0" applyNumberFormat="1" applyFont="1" applyFill="1" applyBorder="1" applyAlignment="1">
      <alignment horizontal="center" vertical="center"/>
    </xf>
    <xf numFmtId="1" fontId="16572" fillId="8" borderId="1" xfId="0" applyNumberFormat="1" applyFont="1" applyFill="1" applyBorder="1" applyAlignment="1">
      <alignment horizontal="center" vertical="center"/>
    </xf>
    <xf numFmtId="1" fontId="16573" fillId="8" borderId="1" xfId="0" applyNumberFormat="1" applyFont="1" applyFill="1" applyBorder="1" applyAlignment="1">
      <alignment horizontal="center" vertical="center"/>
    </xf>
    <xf numFmtId="1" fontId="16574" fillId="8" borderId="1" xfId="0" applyNumberFormat="1" applyFont="1" applyFill="1" applyBorder="1" applyAlignment="1">
      <alignment horizontal="center" vertical="center"/>
    </xf>
    <xf numFmtId="1" fontId="16575" fillId="8" borderId="1" xfId="0" applyNumberFormat="1" applyFont="1" applyFill="1" applyBorder="1" applyAlignment="1">
      <alignment horizontal="center" vertical="center"/>
    </xf>
    <xf numFmtId="165" fontId="16576" fillId="8" borderId="1" xfId="0" applyNumberFormat="1" applyFont="1" applyFill="1" applyBorder="1" applyAlignment="1">
      <alignment horizontal="center" vertical="center"/>
    </xf>
    <xf numFmtId="1" fontId="16577" fillId="8" borderId="1" xfId="0" applyNumberFormat="1" applyFont="1" applyFill="1" applyBorder="1" applyAlignment="1">
      <alignment horizontal="center" vertical="center"/>
    </xf>
    <xf numFmtId="165" fontId="16578" fillId="8" borderId="1" xfId="0" applyNumberFormat="1" applyFont="1" applyFill="1" applyBorder="1" applyAlignment="1">
      <alignment horizontal="center" vertical="center"/>
    </xf>
    <xf numFmtId="1" fontId="16579" fillId="8" borderId="1" xfId="0" applyNumberFormat="1" applyFont="1" applyFill="1" applyBorder="1" applyAlignment="1">
      <alignment horizontal="center" vertical="center"/>
    </xf>
    <xf numFmtId="165" fontId="16580" fillId="8" borderId="1" xfId="0" applyNumberFormat="1" applyFont="1" applyFill="1" applyBorder="1" applyAlignment="1">
      <alignment horizontal="center" vertical="center"/>
    </xf>
    <xf numFmtId="2" fontId="16581" fillId="8" borderId="1" xfId="0" applyNumberFormat="1" applyFont="1" applyFill="1" applyBorder="1" applyAlignment="1">
      <alignment horizontal="center" vertical="center"/>
    </xf>
    <xf numFmtId="2" fontId="16582" fillId="8" borderId="1" xfId="0" applyNumberFormat="1" applyFont="1" applyFill="1" applyBorder="1" applyAlignment="1">
      <alignment horizontal="center" vertical="center"/>
    </xf>
    <xf numFmtId="2" fontId="16583" fillId="8" borderId="1" xfId="0" applyNumberFormat="1" applyFont="1" applyFill="1" applyBorder="1" applyAlignment="1">
      <alignment horizontal="center" vertical="center"/>
    </xf>
    <xf numFmtId="2" fontId="16584" fillId="8" borderId="1" xfId="0" applyNumberFormat="1" applyFont="1" applyFill="1" applyBorder="1" applyAlignment="1">
      <alignment horizontal="center" vertical="center"/>
    </xf>
    <xf numFmtId="2" fontId="16585" fillId="8" borderId="1" xfId="0" applyNumberFormat="1" applyFont="1" applyFill="1" applyBorder="1" applyAlignment="1">
      <alignment horizontal="center" vertical="center"/>
    </xf>
    <xf numFmtId="2" fontId="16586" fillId="8" borderId="1" xfId="0" applyNumberFormat="1" applyFont="1" applyFill="1" applyBorder="1" applyAlignment="1">
      <alignment horizontal="center" vertical="center"/>
    </xf>
    <xf numFmtId="2" fontId="16587" fillId="8" borderId="1" xfId="0" applyNumberFormat="1" applyFont="1" applyFill="1" applyBorder="1" applyAlignment="1">
      <alignment horizontal="center" vertical="center"/>
    </xf>
    <xf numFmtId="2" fontId="16588" fillId="8" borderId="1" xfId="0" applyNumberFormat="1" applyFont="1" applyFill="1" applyBorder="1" applyAlignment="1">
      <alignment horizontal="center" vertical="center"/>
    </xf>
    <xf numFmtId="2" fontId="16589" fillId="8" borderId="1" xfId="0" applyNumberFormat="1" applyFont="1" applyFill="1" applyBorder="1" applyAlignment="1">
      <alignment horizontal="center" vertical="center"/>
    </xf>
    <xf numFmtId="2" fontId="16590" fillId="8" borderId="1" xfId="0" applyNumberFormat="1" applyFont="1" applyFill="1" applyBorder="1" applyAlignment="1">
      <alignment horizontal="center" vertical="center"/>
    </xf>
    <xf numFmtId="2" fontId="16591" fillId="8" borderId="1" xfId="0" applyNumberFormat="1" applyFont="1" applyFill="1" applyBorder="1" applyAlignment="1">
      <alignment horizontal="center" vertical="center"/>
    </xf>
    <xf numFmtId="2" fontId="16592" fillId="8" borderId="1" xfId="0" applyNumberFormat="1" applyFont="1" applyFill="1" applyBorder="1" applyAlignment="1">
      <alignment horizontal="center" vertical="center"/>
    </xf>
    <xf numFmtId="2" fontId="16593" fillId="8" borderId="1" xfId="0" applyNumberFormat="1" applyFont="1" applyFill="1" applyBorder="1" applyAlignment="1">
      <alignment horizontal="center" vertical="center"/>
    </xf>
    <xf numFmtId="2" fontId="16594" fillId="8" borderId="1" xfId="0" applyNumberFormat="1" applyFont="1" applyFill="1" applyBorder="1" applyAlignment="1">
      <alignment horizontal="center" vertical="center"/>
    </xf>
    <xf numFmtId="2" fontId="16595" fillId="8" borderId="1" xfId="0" applyNumberFormat="1" applyFont="1" applyFill="1" applyBorder="1" applyAlignment="1">
      <alignment horizontal="center" vertical="center"/>
    </xf>
    <xf numFmtId="2" fontId="16596" fillId="8" borderId="1" xfId="0" applyNumberFormat="1" applyFont="1" applyFill="1" applyBorder="1" applyAlignment="1">
      <alignment horizontal="center" vertical="center"/>
    </xf>
    <xf numFmtId="2" fontId="16597" fillId="8" borderId="1" xfId="0" applyNumberFormat="1" applyFont="1" applyFill="1" applyBorder="1" applyAlignment="1">
      <alignment horizontal="center" vertical="center"/>
    </xf>
    <xf numFmtId="2" fontId="16598" fillId="8" borderId="1" xfId="0" applyNumberFormat="1" applyFont="1" applyFill="1" applyBorder="1" applyAlignment="1">
      <alignment horizontal="center" vertical="center"/>
    </xf>
    <xf numFmtId="2" fontId="16599" fillId="8" borderId="1" xfId="0" applyNumberFormat="1" applyFont="1" applyFill="1" applyBorder="1" applyAlignment="1">
      <alignment horizontal="center" vertical="center"/>
    </xf>
    <xf numFmtId="2" fontId="16600" fillId="8" borderId="1" xfId="0" applyNumberFormat="1" applyFont="1" applyFill="1" applyBorder="1" applyAlignment="1">
      <alignment horizontal="center" vertical="center"/>
    </xf>
    <xf numFmtId="2" fontId="16601" fillId="8" borderId="1" xfId="0" applyNumberFormat="1" applyFont="1" applyFill="1" applyBorder="1" applyAlignment="1">
      <alignment horizontal="center" vertical="center"/>
    </xf>
    <xf numFmtId="2" fontId="16602" fillId="8" borderId="1" xfId="0" applyNumberFormat="1" applyFont="1" applyFill="1" applyBorder="1" applyAlignment="1">
      <alignment horizontal="center" vertical="center"/>
    </xf>
    <xf numFmtId="2" fontId="16603" fillId="8" borderId="1" xfId="0" applyNumberFormat="1" applyFont="1" applyFill="1" applyBorder="1" applyAlignment="1">
      <alignment horizontal="center" vertical="center"/>
    </xf>
    <xf numFmtId="2" fontId="16604" fillId="8" borderId="1" xfId="0" applyNumberFormat="1" applyFont="1" applyFill="1" applyBorder="1" applyAlignment="1">
      <alignment horizontal="center" vertical="center"/>
    </xf>
    <xf numFmtId="2" fontId="16605" fillId="8" borderId="1" xfId="0" applyNumberFormat="1" applyFont="1" applyFill="1" applyBorder="1" applyAlignment="1">
      <alignment horizontal="center" vertical="center"/>
    </xf>
    <xf numFmtId="2" fontId="16606" fillId="8" borderId="1" xfId="0" applyNumberFormat="1" applyFont="1" applyFill="1" applyBorder="1" applyAlignment="1">
      <alignment horizontal="center" vertical="center"/>
    </xf>
    <xf numFmtId="2" fontId="16607" fillId="8" borderId="1" xfId="0" applyNumberFormat="1" applyFont="1" applyFill="1" applyBorder="1" applyAlignment="1">
      <alignment horizontal="center" vertical="center"/>
    </xf>
    <xf numFmtId="2" fontId="16608" fillId="8" borderId="1" xfId="0" applyNumberFormat="1" applyFont="1" applyFill="1" applyBorder="1" applyAlignment="1">
      <alignment horizontal="center" vertical="center"/>
    </xf>
    <xf numFmtId="2" fontId="16609" fillId="8" borderId="1" xfId="0" applyNumberFormat="1" applyFont="1" applyFill="1" applyBorder="1" applyAlignment="1">
      <alignment horizontal="center" vertical="center"/>
    </xf>
    <xf numFmtId="2" fontId="16610" fillId="8" borderId="1" xfId="0" applyNumberFormat="1" applyFont="1" applyFill="1" applyBorder="1" applyAlignment="1">
      <alignment horizontal="center" vertical="center"/>
    </xf>
    <xf numFmtId="2" fontId="16611" fillId="8" borderId="1" xfId="0" applyNumberFormat="1" applyFont="1" applyFill="1" applyBorder="1" applyAlignment="1">
      <alignment horizontal="center" vertical="center"/>
    </xf>
    <xf numFmtId="2" fontId="16612" fillId="8" borderId="1" xfId="0" applyNumberFormat="1" applyFont="1" applyFill="1" applyBorder="1" applyAlignment="1">
      <alignment horizontal="center" vertical="center"/>
    </xf>
    <xf numFmtId="2" fontId="16613" fillId="8" borderId="1" xfId="0" applyNumberFormat="1" applyFont="1" applyFill="1" applyBorder="1" applyAlignment="1">
      <alignment horizontal="center" vertical="center"/>
    </xf>
    <xf numFmtId="2" fontId="16614" fillId="8" borderId="1" xfId="0" applyNumberFormat="1" applyFont="1" applyFill="1" applyBorder="1" applyAlignment="1">
      <alignment horizontal="center" vertical="center"/>
    </xf>
    <xf numFmtId="0" fontId="16615" fillId="7" borderId="1" xfId="0" applyNumberFormat="1" applyFont="1" applyFill="1" applyBorder="1" applyAlignment="1">
      <alignment horizontal="left" vertical="center"/>
    </xf>
    <xf numFmtId="0" fontId="16616" fillId="8" borderId="1" xfId="0" applyNumberFormat="1" applyFont="1" applyFill="1" applyBorder="1" applyAlignment="1">
      <alignment horizontal="center" vertical="center"/>
    </xf>
    <xf numFmtId="164" fontId="16617" fillId="8" borderId="1" xfId="0" applyNumberFormat="1" applyFont="1" applyFill="1" applyBorder="1" applyAlignment="1">
      <alignment horizontal="center" vertical="center"/>
    </xf>
    <xf numFmtId="1" fontId="16618" fillId="8" borderId="1" xfId="0" applyNumberFormat="1" applyFont="1" applyFill="1" applyBorder="1" applyAlignment="1">
      <alignment horizontal="center" vertical="center"/>
    </xf>
    <xf numFmtId="1" fontId="16619" fillId="8" borderId="1" xfId="0" applyNumberFormat="1" applyFont="1" applyFill="1" applyBorder="1" applyAlignment="1">
      <alignment horizontal="center" vertical="center"/>
    </xf>
    <xf numFmtId="1" fontId="16620" fillId="8" borderId="1" xfId="0" applyNumberFormat="1" applyFont="1" applyFill="1" applyBorder="1" applyAlignment="1">
      <alignment horizontal="center" vertical="center"/>
    </xf>
    <xf numFmtId="1" fontId="16621" fillId="8" borderId="1" xfId="0" applyNumberFormat="1" applyFont="1" applyFill="1" applyBorder="1" applyAlignment="1">
      <alignment horizontal="center" vertical="center"/>
    </xf>
    <xf numFmtId="1" fontId="16622" fillId="8" borderId="1" xfId="0" applyNumberFormat="1" applyFont="1" applyFill="1" applyBorder="1" applyAlignment="1">
      <alignment horizontal="center" vertical="center"/>
    </xf>
    <xf numFmtId="1" fontId="16623" fillId="8" borderId="1" xfId="0" applyNumberFormat="1" applyFont="1" applyFill="1" applyBorder="1" applyAlignment="1">
      <alignment horizontal="center" vertical="center"/>
    </xf>
    <xf numFmtId="1" fontId="16624" fillId="8" borderId="1" xfId="0" applyNumberFormat="1" applyFont="1" applyFill="1" applyBorder="1" applyAlignment="1">
      <alignment horizontal="center" vertical="center"/>
    </xf>
    <xf numFmtId="0" fontId="16625" fillId="8" borderId="1" xfId="0" applyNumberFormat="1" applyFont="1" applyFill="1" applyBorder="1" applyAlignment="1">
      <alignment horizontal="center" vertical="center"/>
    </xf>
    <xf numFmtId="0" fontId="16626" fillId="8" borderId="1" xfId="0" applyNumberFormat="1" applyFont="1" applyFill="1" applyBorder="1" applyAlignment="1">
      <alignment horizontal="center" vertical="center"/>
    </xf>
    <xf numFmtId="1" fontId="16627" fillId="8" borderId="1" xfId="0" applyNumberFormat="1" applyFont="1" applyFill="1" applyBorder="1" applyAlignment="1">
      <alignment horizontal="center" vertical="center"/>
    </xf>
    <xf numFmtId="1" fontId="16628" fillId="8" borderId="1" xfId="0" applyNumberFormat="1" applyFont="1" applyFill="1" applyBorder="1" applyAlignment="1">
      <alignment horizontal="center" vertical="center"/>
    </xf>
    <xf numFmtId="1" fontId="16629" fillId="8" borderId="1" xfId="0" applyNumberFormat="1" applyFont="1" applyFill="1" applyBorder="1" applyAlignment="1">
      <alignment horizontal="center" vertical="center"/>
    </xf>
    <xf numFmtId="165" fontId="16630" fillId="8" borderId="1" xfId="0" applyNumberFormat="1" applyFont="1" applyFill="1" applyBorder="1" applyAlignment="1">
      <alignment horizontal="center" vertical="center"/>
    </xf>
    <xf numFmtId="1" fontId="16631" fillId="8" borderId="1" xfId="0" applyNumberFormat="1" applyFont="1" applyFill="1" applyBorder="1" applyAlignment="1">
      <alignment horizontal="center" vertical="center"/>
    </xf>
    <xf numFmtId="165" fontId="16632" fillId="8" borderId="1" xfId="0" applyNumberFormat="1" applyFont="1" applyFill="1" applyBorder="1" applyAlignment="1">
      <alignment horizontal="center" vertical="center"/>
    </xf>
    <xf numFmtId="1" fontId="16633" fillId="8" borderId="1" xfId="0" applyNumberFormat="1" applyFont="1" applyFill="1" applyBorder="1" applyAlignment="1">
      <alignment horizontal="center" vertical="center"/>
    </xf>
    <xf numFmtId="165" fontId="16634" fillId="8" borderId="1" xfId="0" applyNumberFormat="1" applyFont="1" applyFill="1" applyBorder="1" applyAlignment="1">
      <alignment horizontal="center" vertical="center"/>
    </xf>
    <xf numFmtId="1" fontId="16635" fillId="8" borderId="1" xfId="0" applyNumberFormat="1" applyFont="1" applyFill="1" applyBorder="1" applyAlignment="1">
      <alignment horizontal="center" vertical="center"/>
    </xf>
    <xf numFmtId="165" fontId="16636" fillId="8" borderId="1" xfId="0" applyNumberFormat="1" applyFont="1" applyFill="1" applyBorder="1" applyAlignment="1">
      <alignment horizontal="center" vertical="center"/>
    </xf>
    <xf numFmtId="165" fontId="16637" fillId="8" borderId="1" xfId="0" applyNumberFormat="1" applyFont="1" applyFill="1" applyBorder="1" applyAlignment="1">
      <alignment horizontal="center" vertical="center"/>
    </xf>
    <xf numFmtId="1" fontId="16638" fillId="8" borderId="1" xfId="0" applyNumberFormat="1" applyFont="1" applyFill="1" applyBorder="1" applyAlignment="1">
      <alignment horizontal="center" vertical="center"/>
    </xf>
    <xf numFmtId="1" fontId="16639" fillId="8" borderId="1" xfId="0" applyNumberFormat="1" applyFont="1" applyFill="1" applyBorder="1" applyAlignment="1">
      <alignment horizontal="center" vertical="center"/>
    </xf>
    <xf numFmtId="1" fontId="16640" fillId="8" borderId="1" xfId="0" applyNumberFormat="1" applyFont="1" applyFill="1" applyBorder="1" applyAlignment="1">
      <alignment horizontal="center" vertical="center"/>
    </xf>
    <xf numFmtId="165" fontId="16641" fillId="8" borderId="1" xfId="0" applyNumberFormat="1" applyFont="1" applyFill="1" applyBorder="1" applyAlignment="1">
      <alignment horizontal="center" vertical="center"/>
    </xf>
    <xf numFmtId="164" fontId="16642" fillId="8" borderId="1" xfId="0" applyNumberFormat="1" applyFont="1" applyFill="1" applyBorder="1" applyAlignment="1">
      <alignment horizontal="center" vertical="center"/>
    </xf>
    <xf numFmtId="164" fontId="16643" fillId="8" borderId="1" xfId="0" applyNumberFormat="1" applyFont="1" applyFill="1" applyBorder="1" applyAlignment="1">
      <alignment horizontal="center" vertical="center"/>
    </xf>
    <xf numFmtId="1" fontId="16644" fillId="8" borderId="1" xfId="0" applyNumberFormat="1" applyFont="1" applyFill="1" applyBorder="1" applyAlignment="1">
      <alignment horizontal="center" vertical="center"/>
    </xf>
    <xf numFmtId="1" fontId="16645" fillId="8" borderId="1" xfId="0" applyNumberFormat="1" applyFont="1" applyFill="1" applyBorder="1" applyAlignment="1">
      <alignment horizontal="center" vertical="center"/>
    </xf>
    <xf numFmtId="1" fontId="16646" fillId="8" borderId="1" xfId="0" applyNumberFormat="1" applyFont="1" applyFill="1" applyBorder="1" applyAlignment="1">
      <alignment horizontal="center" vertical="center"/>
    </xf>
    <xf numFmtId="165" fontId="16647" fillId="8" borderId="1" xfId="0" applyNumberFormat="1" applyFont="1" applyFill="1" applyBorder="1" applyAlignment="1">
      <alignment horizontal="center" vertical="center"/>
    </xf>
    <xf numFmtId="1" fontId="16648" fillId="8" borderId="1" xfId="0" applyNumberFormat="1" applyFont="1" applyFill="1" applyBorder="1" applyAlignment="1">
      <alignment horizontal="center" vertical="center"/>
    </xf>
    <xf numFmtId="165" fontId="16649" fillId="8" borderId="1" xfId="0" applyNumberFormat="1" applyFont="1" applyFill="1" applyBorder="1" applyAlignment="1">
      <alignment horizontal="center" vertical="center"/>
    </xf>
    <xf numFmtId="1" fontId="16650" fillId="8" borderId="1" xfId="0" applyNumberFormat="1" applyFont="1" applyFill="1" applyBorder="1" applyAlignment="1">
      <alignment horizontal="center" vertical="center"/>
    </xf>
    <xf numFmtId="1" fontId="16651" fillId="8" borderId="1" xfId="0" applyNumberFormat="1" applyFont="1" applyFill="1" applyBorder="1" applyAlignment="1">
      <alignment horizontal="center" vertical="center"/>
    </xf>
    <xf numFmtId="1" fontId="16652" fillId="8" borderId="1" xfId="0" applyNumberFormat="1" applyFont="1" applyFill="1" applyBorder="1" applyAlignment="1">
      <alignment horizontal="center" vertical="center"/>
    </xf>
    <xf numFmtId="1" fontId="16653" fillId="8" borderId="1" xfId="0" applyNumberFormat="1" applyFont="1" applyFill="1" applyBorder="1" applyAlignment="1">
      <alignment horizontal="center" vertical="center"/>
    </xf>
    <xf numFmtId="165" fontId="16654" fillId="8" borderId="1" xfId="0" applyNumberFormat="1" applyFont="1" applyFill="1" applyBorder="1" applyAlignment="1">
      <alignment horizontal="center" vertical="center"/>
    </xf>
    <xf numFmtId="1" fontId="16655" fillId="8" borderId="1" xfId="0" applyNumberFormat="1" applyFont="1" applyFill="1" applyBorder="1" applyAlignment="1">
      <alignment horizontal="center" vertical="center"/>
    </xf>
    <xf numFmtId="165" fontId="16656" fillId="8" borderId="1" xfId="0" applyNumberFormat="1" applyFont="1" applyFill="1" applyBorder="1" applyAlignment="1">
      <alignment horizontal="center" vertical="center"/>
    </xf>
    <xf numFmtId="1" fontId="16657" fillId="8" borderId="1" xfId="0" applyNumberFormat="1" applyFont="1" applyFill="1" applyBorder="1" applyAlignment="1">
      <alignment horizontal="center" vertical="center"/>
    </xf>
    <xf numFmtId="165" fontId="16658" fillId="8" borderId="1" xfId="0" applyNumberFormat="1" applyFont="1" applyFill="1" applyBorder="1" applyAlignment="1">
      <alignment horizontal="center" vertical="center"/>
    </xf>
    <xf numFmtId="2" fontId="16659" fillId="8" borderId="1" xfId="0" applyNumberFormat="1" applyFont="1" applyFill="1" applyBorder="1" applyAlignment="1">
      <alignment horizontal="center" vertical="center"/>
    </xf>
    <xf numFmtId="2" fontId="16660" fillId="8" borderId="1" xfId="0" applyNumberFormat="1" applyFont="1" applyFill="1" applyBorder="1" applyAlignment="1">
      <alignment horizontal="center" vertical="center"/>
    </xf>
    <xf numFmtId="2" fontId="16661" fillId="8" borderId="1" xfId="0" applyNumberFormat="1" applyFont="1" applyFill="1" applyBorder="1" applyAlignment="1">
      <alignment horizontal="center" vertical="center"/>
    </xf>
    <xf numFmtId="2" fontId="16662" fillId="8" borderId="1" xfId="0" applyNumberFormat="1" applyFont="1" applyFill="1" applyBorder="1" applyAlignment="1">
      <alignment horizontal="center" vertical="center"/>
    </xf>
    <xf numFmtId="2" fontId="16663" fillId="8" borderId="1" xfId="0" applyNumberFormat="1" applyFont="1" applyFill="1" applyBorder="1" applyAlignment="1">
      <alignment horizontal="center" vertical="center"/>
    </xf>
    <xf numFmtId="2" fontId="16664" fillId="8" borderId="1" xfId="0" applyNumberFormat="1" applyFont="1" applyFill="1" applyBorder="1" applyAlignment="1">
      <alignment horizontal="center" vertical="center"/>
    </xf>
    <xf numFmtId="2" fontId="16665" fillId="8" borderId="1" xfId="0" applyNumberFormat="1" applyFont="1" applyFill="1" applyBorder="1" applyAlignment="1">
      <alignment horizontal="center" vertical="center"/>
    </xf>
    <xf numFmtId="2" fontId="16666" fillId="8" borderId="1" xfId="0" applyNumberFormat="1" applyFont="1" applyFill="1" applyBorder="1" applyAlignment="1">
      <alignment horizontal="center" vertical="center"/>
    </xf>
    <xf numFmtId="2" fontId="16667" fillId="8" borderId="1" xfId="0" applyNumberFormat="1" applyFont="1" applyFill="1" applyBorder="1" applyAlignment="1">
      <alignment horizontal="center" vertical="center"/>
    </xf>
    <xf numFmtId="2" fontId="16668" fillId="8" borderId="1" xfId="0" applyNumberFormat="1" applyFont="1" applyFill="1" applyBorder="1" applyAlignment="1">
      <alignment horizontal="center" vertical="center"/>
    </xf>
    <xf numFmtId="2" fontId="16669" fillId="8" borderId="1" xfId="0" applyNumberFormat="1" applyFont="1" applyFill="1" applyBorder="1" applyAlignment="1">
      <alignment horizontal="center" vertical="center"/>
    </xf>
    <xf numFmtId="2" fontId="16670" fillId="8" borderId="1" xfId="0" applyNumberFormat="1" applyFont="1" applyFill="1" applyBorder="1" applyAlignment="1">
      <alignment horizontal="center" vertical="center"/>
    </xf>
    <xf numFmtId="2" fontId="16671" fillId="8" borderId="1" xfId="0" applyNumberFormat="1" applyFont="1" applyFill="1" applyBorder="1" applyAlignment="1">
      <alignment horizontal="center" vertical="center"/>
    </xf>
    <xf numFmtId="2" fontId="16672" fillId="8" borderId="1" xfId="0" applyNumberFormat="1" applyFont="1" applyFill="1" applyBorder="1" applyAlignment="1">
      <alignment horizontal="center" vertical="center"/>
    </xf>
    <xf numFmtId="2" fontId="16673" fillId="8" borderId="1" xfId="0" applyNumberFormat="1" applyFont="1" applyFill="1" applyBorder="1" applyAlignment="1">
      <alignment horizontal="center" vertical="center"/>
    </xf>
    <xf numFmtId="2" fontId="16674" fillId="8" borderId="1" xfId="0" applyNumberFormat="1" applyFont="1" applyFill="1" applyBorder="1" applyAlignment="1">
      <alignment horizontal="center" vertical="center"/>
    </xf>
    <xf numFmtId="2" fontId="16675" fillId="8" borderId="1" xfId="0" applyNumberFormat="1" applyFont="1" applyFill="1" applyBorder="1" applyAlignment="1">
      <alignment horizontal="center" vertical="center"/>
    </xf>
    <xf numFmtId="2" fontId="16676" fillId="8" borderId="1" xfId="0" applyNumberFormat="1" applyFont="1" applyFill="1" applyBorder="1" applyAlignment="1">
      <alignment horizontal="center" vertical="center"/>
    </xf>
    <xf numFmtId="2" fontId="16677" fillId="8" borderId="1" xfId="0" applyNumberFormat="1" applyFont="1" applyFill="1" applyBorder="1" applyAlignment="1">
      <alignment horizontal="center" vertical="center"/>
    </xf>
    <xf numFmtId="2" fontId="16678" fillId="8" borderId="1" xfId="0" applyNumberFormat="1" applyFont="1" applyFill="1" applyBorder="1" applyAlignment="1">
      <alignment horizontal="center" vertical="center"/>
    </xf>
    <xf numFmtId="2" fontId="16679" fillId="8" borderId="1" xfId="0" applyNumberFormat="1" applyFont="1" applyFill="1" applyBorder="1" applyAlignment="1">
      <alignment horizontal="center" vertical="center"/>
    </xf>
    <xf numFmtId="2" fontId="16680" fillId="8" borderId="1" xfId="0" applyNumberFormat="1" applyFont="1" applyFill="1" applyBorder="1" applyAlignment="1">
      <alignment horizontal="center" vertical="center"/>
    </xf>
    <xf numFmtId="2" fontId="16681" fillId="8" borderId="1" xfId="0" applyNumberFormat="1" applyFont="1" applyFill="1" applyBorder="1" applyAlignment="1">
      <alignment horizontal="center" vertical="center"/>
    </xf>
    <xf numFmtId="2" fontId="16682" fillId="8" borderId="1" xfId="0" applyNumberFormat="1" applyFont="1" applyFill="1" applyBorder="1" applyAlignment="1">
      <alignment horizontal="center" vertical="center"/>
    </xf>
    <xf numFmtId="2" fontId="16683" fillId="8" borderId="1" xfId="0" applyNumberFormat="1" applyFont="1" applyFill="1" applyBorder="1" applyAlignment="1">
      <alignment horizontal="center" vertical="center"/>
    </xf>
    <xf numFmtId="2" fontId="16684" fillId="8" borderId="1" xfId="0" applyNumberFormat="1" applyFont="1" applyFill="1" applyBorder="1" applyAlignment="1">
      <alignment horizontal="center" vertical="center"/>
    </xf>
    <xf numFmtId="2" fontId="16685" fillId="8" borderId="1" xfId="0" applyNumberFormat="1" applyFont="1" applyFill="1" applyBorder="1" applyAlignment="1">
      <alignment horizontal="center" vertical="center"/>
    </xf>
    <xf numFmtId="2" fontId="16686" fillId="8" borderId="1" xfId="0" applyNumberFormat="1" applyFont="1" applyFill="1" applyBorder="1" applyAlignment="1">
      <alignment horizontal="center" vertical="center"/>
    </xf>
    <xf numFmtId="2" fontId="16687" fillId="8" borderId="1" xfId="0" applyNumberFormat="1" applyFont="1" applyFill="1" applyBorder="1" applyAlignment="1">
      <alignment horizontal="center" vertical="center"/>
    </xf>
    <xf numFmtId="2" fontId="16688" fillId="8" borderId="1" xfId="0" applyNumberFormat="1" applyFont="1" applyFill="1" applyBorder="1" applyAlignment="1">
      <alignment horizontal="center" vertical="center"/>
    </xf>
    <xf numFmtId="2" fontId="16689" fillId="8" borderId="1" xfId="0" applyNumberFormat="1" applyFont="1" applyFill="1" applyBorder="1" applyAlignment="1">
      <alignment horizontal="center" vertical="center"/>
    </xf>
    <xf numFmtId="2" fontId="16690" fillId="8" borderId="1" xfId="0" applyNumberFormat="1" applyFont="1" applyFill="1" applyBorder="1" applyAlignment="1">
      <alignment horizontal="center" vertical="center"/>
    </xf>
    <xf numFmtId="2" fontId="16691" fillId="8" borderId="1" xfId="0" applyNumberFormat="1" applyFont="1" applyFill="1" applyBorder="1" applyAlignment="1">
      <alignment horizontal="center" vertical="center"/>
    </xf>
    <xf numFmtId="2" fontId="16692" fillId="8" borderId="1" xfId="0" applyNumberFormat="1" applyFont="1" applyFill="1" applyBorder="1" applyAlignment="1">
      <alignment horizontal="center" vertical="center"/>
    </xf>
    <xf numFmtId="0" fontId="16693" fillId="7" borderId="1" xfId="0" applyNumberFormat="1" applyFont="1" applyFill="1" applyBorder="1" applyAlignment="1">
      <alignment horizontal="left" vertical="center"/>
    </xf>
    <xf numFmtId="0" fontId="16694" fillId="8" borderId="1" xfId="0" applyNumberFormat="1" applyFont="1" applyFill="1" applyBorder="1" applyAlignment="1">
      <alignment horizontal="center" vertical="center"/>
    </xf>
    <xf numFmtId="164" fontId="16695" fillId="8" borderId="1" xfId="0" applyNumberFormat="1" applyFont="1" applyFill="1" applyBorder="1" applyAlignment="1">
      <alignment horizontal="center" vertical="center"/>
    </xf>
    <xf numFmtId="1" fontId="16696" fillId="8" borderId="1" xfId="0" applyNumberFormat="1" applyFont="1" applyFill="1" applyBorder="1" applyAlignment="1">
      <alignment horizontal="center" vertical="center"/>
    </xf>
    <xf numFmtId="1" fontId="16697" fillId="8" borderId="1" xfId="0" applyNumberFormat="1" applyFont="1" applyFill="1" applyBorder="1" applyAlignment="1">
      <alignment horizontal="center" vertical="center"/>
    </xf>
    <xf numFmtId="1" fontId="16698" fillId="8" borderId="1" xfId="0" applyNumberFormat="1" applyFont="1" applyFill="1" applyBorder="1" applyAlignment="1">
      <alignment horizontal="center" vertical="center"/>
    </xf>
    <xf numFmtId="1" fontId="16699" fillId="8" borderId="1" xfId="0" applyNumberFormat="1" applyFont="1" applyFill="1" applyBorder="1" applyAlignment="1">
      <alignment horizontal="center" vertical="center"/>
    </xf>
    <xf numFmtId="1" fontId="16700" fillId="8" borderId="1" xfId="0" applyNumberFormat="1" applyFont="1" applyFill="1" applyBorder="1" applyAlignment="1">
      <alignment horizontal="center" vertical="center"/>
    </xf>
    <xf numFmtId="1" fontId="16701" fillId="8" borderId="1" xfId="0" applyNumberFormat="1" applyFont="1" applyFill="1" applyBorder="1" applyAlignment="1">
      <alignment horizontal="center" vertical="center"/>
    </xf>
    <xf numFmtId="1" fontId="16702" fillId="8" borderId="1" xfId="0" applyNumberFormat="1" applyFont="1" applyFill="1" applyBorder="1" applyAlignment="1">
      <alignment horizontal="center" vertical="center"/>
    </xf>
    <xf numFmtId="0" fontId="16703" fillId="8" borderId="1" xfId="0" applyNumberFormat="1" applyFont="1" applyFill="1" applyBorder="1" applyAlignment="1">
      <alignment horizontal="center" vertical="center"/>
    </xf>
    <xf numFmtId="0" fontId="16704" fillId="8" borderId="1" xfId="0" applyNumberFormat="1" applyFont="1" applyFill="1" applyBorder="1" applyAlignment="1">
      <alignment horizontal="center" vertical="center"/>
    </xf>
    <xf numFmtId="1" fontId="16705" fillId="8" borderId="1" xfId="0" applyNumberFormat="1" applyFont="1" applyFill="1" applyBorder="1" applyAlignment="1">
      <alignment horizontal="center" vertical="center"/>
    </xf>
    <xf numFmtId="1" fontId="16706" fillId="8" borderId="1" xfId="0" applyNumberFormat="1" applyFont="1" applyFill="1" applyBorder="1" applyAlignment="1">
      <alignment horizontal="center" vertical="center"/>
    </xf>
    <xf numFmtId="1" fontId="16707" fillId="8" borderId="1" xfId="0" applyNumberFormat="1" applyFont="1" applyFill="1" applyBorder="1" applyAlignment="1">
      <alignment horizontal="center" vertical="center"/>
    </xf>
    <xf numFmtId="165" fontId="16708" fillId="8" borderId="1" xfId="0" applyNumberFormat="1" applyFont="1" applyFill="1" applyBorder="1" applyAlignment="1">
      <alignment horizontal="center" vertical="center"/>
    </xf>
    <xf numFmtId="1" fontId="16709" fillId="8" borderId="1" xfId="0" applyNumberFormat="1" applyFont="1" applyFill="1" applyBorder="1" applyAlignment="1">
      <alignment horizontal="center" vertical="center"/>
    </xf>
    <xf numFmtId="165" fontId="16710" fillId="8" borderId="1" xfId="0" applyNumberFormat="1" applyFont="1" applyFill="1" applyBorder="1" applyAlignment="1">
      <alignment horizontal="center" vertical="center"/>
    </xf>
    <xf numFmtId="1" fontId="16711" fillId="8" borderId="1" xfId="0" applyNumberFormat="1" applyFont="1" applyFill="1" applyBorder="1" applyAlignment="1">
      <alignment horizontal="center" vertical="center"/>
    </xf>
    <xf numFmtId="165" fontId="16712" fillId="8" borderId="1" xfId="0" applyNumberFormat="1" applyFont="1" applyFill="1" applyBorder="1" applyAlignment="1">
      <alignment horizontal="center" vertical="center"/>
    </xf>
    <xf numFmtId="1" fontId="16713" fillId="8" borderId="1" xfId="0" applyNumberFormat="1" applyFont="1" applyFill="1" applyBorder="1" applyAlignment="1">
      <alignment horizontal="center" vertical="center"/>
    </xf>
    <xf numFmtId="165" fontId="16714" fillId="8" borderId="1" xfId="0" applyNumberFormat="1" applyFont="1" applyFill="1" applyBorder="1" applyAlignment="1">
      <alignment horizontal="center" vertical="center"/>
    </xf>
    <xf numFmtId="165" fontId="16715" fillId="8" borderId="1" xfId="0" applyNumberFormat="1" applyFont="1" applyFill="1" applyBorder="1" applyAlignment="1">
      <alignment horizontal="center" vertical="center"/>
    </xf>
    <xf numFmtId="1" fontId="16716" fillId="8" borderId="1" xfId="0" applyNumberFormat="1" applyFont="1" applyFill="1" applyBorder="1" applyAlignment="1">
      <alignment horizontal="center" vertical="center"/>
    </xf>
    <xf numFmtId="1" fontId="16717" fillId="8" borderId="1" xfId="0" applyNumberFormat="1" applyFont="1" applyFill="1" applyBorder="1" applyAlignment="1">
      <alignment horizontal="center" vertical="center"/>
    </xf>
    <xf numFmtId="1" fontId="16718" fillId="8" borderId="1" xfId="0" applyNumberFormat="1" applyFont="1" applyFill="1" applyBorder="1" applyAlignment="1">
      <alignment horizontal="center" vertical="center"/>
    </xf>
    <xf numFmtId="165" fontId="16719" fillId="8" borderId="1" xfId="0" applyNumberFormat="1" applyFont="1" applyFill="1" applyBorder="1" applyAlignment="1">
      <alignment horizontal="center" vertical="center"/>
    </xf>
    <xf numFmtId="164" fontId="16720" fillId="8" borderId="1" xfId="0" applyNumberFormat="1" applyFont="1" applyFill="1" applyBorder="1" applyAlignment="1">
      <alignment horizontal="center" vertical="center"/>
    </xf>
    <xf numFmtId="164" fontId="16721" fillId="8" borderId="1" xfId="0" applyNumberFormat="1" applyFont="1" applyFill="1" applyBorder="1" applyAlignment="1">
      <alignment horizontal="center" vertical="center"/>
    </xf>
    <xf numFmtId="1" fontId="16722" fillId="8" borderId="1" xfId="0" applyNumberFormat="1" applyFont="1" applyFill="1" applyBorder="1" applyAlignment="1">
      <alignment horizontal="center" vertical="center"/>
    </xf>
    <xf numFmtId="1" fontId="16723" fillId="8" borderId="1" xfId="0" applyNumberFormat="1" applyFont="1" applyFill="1" applyBorder="1" applyAlignment="1">
      <alignment horizontal="center" vertical="center"/>
    </xf>
    <xf numFmtId="1" fontId="16724" fillId="8" borderId="1" xfId="0" applyNumberFormat="1" applyFont="1" applyFill="1" applyBorder="1" applyAlignment="1">
      <alignment horizontal="center" vertical="center"/>
    </xf>
    <xf numFmtId="165" fontId="16725" fillId="8" borderId="1" xfId="0" applyNumberFormat="1" applyFont="1" applyFill="1" applyBorder="1" applyAlignment="1">
      <alignment horizontal="center" vertical="center"/>
    </xf>
    <xf numFmtId="1" fontId="16726" fillId="8" borderId="1" xfId="0" applyNumberFormat="1" applyFont="1" applyFill="1" applyBorder="1" applyAlignment="1">
      <alignment horizontal="center" vertical="center"/>
    </xf>
    <xf numFmtId="165" fontId="16727" fillId="8" borderId="1" xfId="0" applyNumberFormat="1" applyFont="1" applyFill="1" applyBorder="1" applyAlignment="1">
      <alignment horizontal="center" vertical="center"/>
    </xf>
    <xf numFmtId="1" fontId="16728" fillId="8" borderId="1" xfId="0" applyNumberFormat="1" applyFont="1" applyFill="1" applyBorder="1" applyAlignment="1">
      <alignment horizontal="center" vertical="center"/>
    </xf>
    <xf numFmtId="1" fontId="16729" fillId="8" borderId="1" xfId="0" applyNumberFormat="1" applyFont="1" applyFill="1" applyBorder="1" applyAlignment="1">
      <alignment horizontal="center" vertical="center"/>
    </xf>
    <xf numFmtId="1" fontId="16730" fillId="8" borderId="1" xfId="0" applyNumberFormat="1" applyFont="1" applyFill="1" applyBorder="1" applyAlignment="1">
      <alignment horizontal="center" vertical="center"/>
    </xf>
    <xf numFmtId="1" fontId="16731" fillId="8" borderId="1" xfId="0" applyNumberFormat="1" applyFont="1" applyFill="1" applyBorder="1" applyAlignment="1">
      <alignment horizontal="center" vertical="center"/>
    </xf>
    <xf numFmtId="165" fontId="16732" fillId="8" borderId="1" xfId="0" applyNumberFormat="1" applyFont="1" applyFill="1" applyBorder="1" applyAlignment="1">
      <alignment horizontal="center" vertical="center"/>
    </xf>
    <xf numFmtId="1" fontId="16733" fillId="8" borderId="1" xfId="0" applyNumberFormat="1" applyFont="1" applyFill="1" applyBorder="1" applyAlignment="1">
      <alignment horizontal="center" vertical="center"/>
    </xf>
    <xf numFmtId="165" fontId="16734" fillId="8" borderId="1" xfId="0" applyNumberFormat="1" applyFont="1" applyFill="1" applyBorder="1" applyAlignment="1">
      <alignment horizontal="center" vertical="center"/>
    </xf>
    <xf numFmtId="1" fontId="16735" fillId="8" borderId="1" xfId="0" applyNumberFormat="1" applyFont="1" applyFill="1" applyBorder="1" applyAlignment="1">
      <alignment horizontal="center" vertical="center"/>
    </xf>
    <xf numFmtId="165" fontId="16736" fillId="8" borderId="1" xfId="0" applyNumberFormat="1" applyFont="1" applyFill="1" applyBorder="1" applyAlignment="1">
      <alignment horizontal="center" vertical="center"/>
    </xf>
    <xf numFmtId="2" fontId="16737" fillId="8" borderId="1" xfId="0" applyNumberFormat="1" applyFont="1" applyFill="1" applyBorder="1" applyAlignment="1">
      <alignment horizontal="center" vertical="center"/>
    </xf>
    <xf numFmtId="2" fontId="16738" fillId="8" borderId="1" xfId="0" applyNumberFormat="1" applyFont="1" applyFill="1" applyBorder="1" applyAlignment="1">
      <alignment horizontal="center" vertical="center"/>
    </xf>
    <xf numFmtId="2" fontId="16739" fillId="8" borderId="1" xfId="0" applyNumberFormat="1" applyFont="1" applyFill="1" applyBorder="1" applyAlignment="1">
      <alignment horizontal="center" vertical="center"/>
    </xf>
    <xf numFmtId="2" fontId="16740" fillId="8" borderId="1" xfId="0" applyNumberFormat="1" applyFont="1" applyFill="1" applyBorder="1" applyAlignment="1">
      <alignment horizontal="center" vertical="center"/>
    </xf>
    <xf numFmtId="2" fontId="16741" fillId="8" borderId="1" xfId="0" applyNumberFormat="1" applyFont="1" applyFill="1" applyBorder="1" applyAlignment="1">
      <alignment horizontal="center" vertical="center"/>
    </xf>
    <xf numFmtId="2" fontId="16742" fillId="8" borderId="1" xfId="0" applyNumberFormat="1" applyFont="1" applyFill="1" applyBorder="1" applyAlignment="1">
      <alignment horizontal="center" vertical="center"/>
    </xf>
    <xf numFmtId="2" fontId="16743" fillId="8" borderId="1" xfId="0" applyNumberFormat="1" applyFont="1" applyFill="1" applyBorder="1" applyAlignment="1">
      <alignment horizontal="center" vertical="center"/>
    </xf>
    <xf numFmtId="2" fontId="16744" fillId="8" borderId="1" xfId="0" applyNumberFormat="1" applyFont="1" applyFill="1" applyBorder="1" applyAlignment="1">
      <alignment horizontal="center" vertical="center"/>
    </xf>
    <xf numFmtId="2" fontId="16745" fillId="8" borderId="1" xfId="0" applyNumberFormat="1" applyFont="1" applyFill="1" applyBorder="1" applyAlignment="1">
      <alignment horizontal="center" vertical="center"/>
    </xf>
    <xf numFmtId="2" fontId="16746" fillId="8" borderId="1" xfId="0" applyNumberFormat="1" applyFont="1" applyFill="1" applyBorder="1" applyAlignment="1">
      <alignment horizontal="center" vertical="center"/>
    </xf>
    <xf numFmtId="2" fontId="16747" fillId="8" borderId="1" xfId="0" applyNumberFormat="1" applyFont="1" applyFill="1" applyBorder="1" applyAlignment="1">
      <alignment horizontal="center" vertical="center"/>
    </xf>
    <xf numFmtId="2" fontId="16748" fillId="8" borderId="1" xfId="0" applyNumberFormat="1" applyFont="1" applyFill="1" applyBorder="1" applyAlignment="1">
      <alignment horizontal="center" vertical="center"/>
    </xf>
    <xf numFmtId="2" fontId="16749" fillId="8" borderId="1" xfId="0" applyNumberFormat="1" applyFont="1" applyFill="1" applyBorder="1" applyAlignment="1">
      <alignment horizontal="center" vertical="center"/>
    </xf>
    <xf numFmtId="2" fontId="16750" fillId="8" borderId="1" xfId="0" applyNumberFormat="1" applyFont="1" applyFill="1" applyBorder="1" applyAlignment="1">
      <alignment horizontal="center" vertical="center"/>
    </xf>
    <xf numFmtId="2" fontId="16751" fillId="8" borderId="1" xfId="0" applyNumberFormat="1" applyFont="1" applyFill="1" applyBorder="1" applyAlignment="1">
      <alignment horizontal="center" vertical="center"/>
    </xf>
    <xf numFmtId="2" fontId="16752" fillId="8" borderId="1" xfId="0" applyNumberFormat="1" applyFont="1" applyFill="1" applyBorder="1" applyAlignment="1">
      <alignment horizontal="center" vertical="center"/>
    </xf>
    <xf numFmtId="2" fontId="16753" fillId="8" borderId="1" xfId="0" applyNumberFormat="1" applyFont="1" applyFill="1" applyBorder="1" applyAlignment="1">
      <alignment horizontal="center" vertical="center"/>
    </xf>
    <xf numFmtId="2" fontId="16754" fillId="8" borderId="1" xfId="0" applyNumberFormat="1" applyFont="1" applyFill="1" applyBorder="1" applyAlignment="1">
      <alignment horizontal="center" vertical="center"/>
    </xf>
    <xf numFmtId="2" fontId="16755" fillId="8" borderId="1" xfId="0" applyNumberFormat="1" applyFont="1" applyFill="1" applyBorder="1" applyAlignment="1">
      <alignment horizontal="center" vertical="center"/>
    </xf>
    <xf numFmtId="2" fontId="16756" fillId="8" borderId="1" xfId="0" applyNumberFormat="1" applyFont="1" applyFill="1" applyBorder="1" applyAlignment="1">
      <alignment horizontal="center" vertical="center"/>
    </xf>
    <xf numFmtId="2" fontId="16757" fillId="8" borderId="1" xfId="0" applyNumberFormat="1" applyFont="1" applyFill="1" applyBorder="1" applyAlignment="1">
      <alignment horizontal="center" vertical="center"/>
    </xf>
    <xf numFmtId="2" fontId="16758" fillId="8" borderId="1" xfId="0" applyNumberFormat="1" applyFont="1" applyFill="1" applyBorder="1" applyAlignment="1">
      <alignment horizontal="center" vertical="center"/>
    </xf>
    <xf numFmtId="2" fontId="16759" fillId="8" borderId="1" xfId="0" applyNumberFormat="1" applyFont="1" applyFill="1" applyBorder="1" applyAlignment="1">
      <alignment horizontal="center" vertical="center"/>
    </xf>
    <xf numFmtId="2" fontId="16760" fillId="8" borderId="1" xfId="0" applyNumberFormat="1" applyFont="1" applyFill="1" applyBorder="1" applyAlignment="1">
      <alignment horizontal="center" vertical="center"/>
    </xf>
    <xf numFmtId="2" fontId="16761" fillId="8" borderId="1" xfId="0" applyNumberFormat="1" applyFont="1" applyFill="1" applyBorder="1" applyAlignment="1">
      <alignment horizontal="center" vertical="center"/>
    </xf>
    <xf numFmtId="2" fontId="16762" fillId="8" borderId="1" xfId="0" applyNumberFormat="1" applyFont="1" applyFill="1" applyBorder="1" applyAlignment="1">
      <alignment horizontal="center" vertical="center"/>
    </xf>
    <xf numFmtId="2" fontId="16763" fillId="8" borderId="1" xfId="0" applyNumberFormat="1" applyFont="1" applyFill="1" applyBorder="1" applyAlignment="1">
      <alignment horizontal="center" vertical="center"/>
    </xf>
    <xf numFmtId="2" fontId="16764" fillId="8" borderId="1" xfId="0" applyNumberFormat="1" applyFont="1" applyFill="1" applyBorder="1" applyAlignment="1">
      <alignment horizontal="center" vertical="center"/>
    </xf>
    <xf numFmtId="2" fontId="16765" fillId="8" borderId="1" xfId="0" applyNumberFormat="1" applyFont="1" applyFill="1" applyBorder="1" applyAlignment="1">
      <alignment horizontal="center" vertical="center"/>
    </xf>
    <xf numFmtId="2" fontId="16766" fillId="8" borderId="1" xfId="0" applyNumberFormat="1" applyFont="1" applyFill="1" applyBorder="1" applyAlignment="1">
      <alignment horizontal="center" vertical="center"/>
    </xf>
    <xf numFmtId="2" fontId="16767" fillId="8" borderId="1" xfId="0" applyNumberFormat="1" applyFont="1" applyFill="1" applyBorder="1" applyAlignment="1">
      <alignment horizontal="center" vertical="center"/>
    </xf>
    <xf numFmtId="2" fontId="16768" fillId="8" borderId="1" xfId="0" applyNumberFormat="1" applyFont="1" applyFill="1" applyBorder="1" applyAlignment="1">
      <alignment horizontal="center" vertical="center"/>
    </xf>
    <xf numFmtId="2" fontId="16769" fillId="8" borderId="1" xfId="0" applyNumberFormat="1" applyFont="1" applyFill="1" applyBorder="1" applyAlignment="1">
      <alignment horizontal="center" vertical="center"/>
    </xf>
    <xf numFmtId="2" fontId="16770" fillId="8" borderId="1" xfId="0" applyNumberFormat="1" applyFont="1" applyFill="1" applyBorder="1" applyAlignment="1">
      <alignment horizontal="center" vertical="center"/>
    </xf>
    <xf numFmtId="0" fontId="16771" fillId="7" borderId="1" xfId="0" applyNumberFormat="1" applyFont="1" applyFill="1" applyBorder="1" applyAlignment="1">
      <alignment horizontal="left" vertical="center"/>
    </xf>
    <xf numFmtId="0" fontId="16772" fillId="8" borderId="1" xfId="0" applyNumberFormat="1" applyFont="1" applyFill="1" applyBorder="1" applyAlignment="1">
      <alignment horizontal="center" vertical="center"/>
    </xf>
    <xf numFmtId="164" fontId="16773" fillId="8" borderId="1" xfId="0" applyNumberFormat="1" applyFont="1" applyFill="1" applyBorder="1" applyAlignment="1">
      <alignment horizontal="center" vertical="center"/>
    </xf>
    <xf numFmtId="1" fontId="16774" fillId="8" borderId="1" xfId="0" applyNumberFormat="1" applyFont="1" applyFill="1" applyBorder="1" applyAlignment="1">
      <alignment horizontal="center" vertical="center"/>
    </xf>
    <xf numFmtId="1" fontId="16775" fillId="8" borderId="1" xfId="0" applyNumberFormat="1" applyFont="1" applyFill="1" applyBorder="1" applyAlignment="1">
      <alignment horizontal="center" vertical="center"/>
    </xf>
    <xf numFmtId="1" fontId="16776" fillId="8" borderId="1" xfId="0" applyNumberFormat="1" applyFont="1" applyFill="1" applyBorder="1" applyAlignment="1">
      <alignment horizontal="center" vertical="center"/>
    </xf>
    <xf numFmtId="1" fontId="16777" fillId="8" borderId="1" xfId="0" applyNumberFormat="1" applyFont="1" applyFill="1" applyBorder="1" applyAlignment="1">
      <alignment horizontal="center" vertical="center"/>
    </xf>
    <xf numFmtId="1" fontId="16778" fillId="8" borderId="1" xfId="0" applyNumberFormat="1" applyFont="1" applyFill="1" applyBorder="1" applyAlignment="1">
      <alignment horizontal="center" vertical="center"/>
    </xf>
    <xf numFmtId="1" fontId="16779" fillId="8" borderId="1" xfId="0" applyNumberFormat="1" applyFont="1" applyFill="1" applyBorder="1" applyAlignment="1">
      <alignment horizontal="center" vertical="center"/>
    </xf>
    <xf numFmtId="1" fontId="16780" fillId="8" borderId="1" xfId="0" applyNumberFormat="1" applyFont="1" applyFill="1" applyBorder="1" applyAlignment="1">
      <alignment horizontal="center" vertical="center"/>
    </xf>
    <xf numFmtId="0" fontId="16781" fillId="8" borderId="1" xfId="0" applyNumberFormat="1" applyFont="1" applyFill="1" applyBorder="1" applyAlignment="1">
      <alignment horizontal="center" vertical="center"/>
    </xf>
    <xf numFmtId="0" fontId="16782" fillId="8" borderId="1" xfId="0" applyNumberFormat="1" applyFont="1" applyFill="1" applyBorder="1" applyAlignment="1">
      <alignment horizontal="center" vertical="center"/>
    </xf>
    <xf numFmtId="1" fontId="16783" fillId="8" borderId="1" xfId="0" applyNumberFormat="1" applyFont="1" applyFill="1" applyBorder="1" applyAlignment="1">
      <alignment horizontal="center" vertical="center"/>
    </xf>
    <xf numFmtId="1" fontId="16784" fillId="8" borderId="1" xfId="0" applyNumberFormat="1" applyFont="1" applyFill="1" applyBorder="1" applyAlignment="1">
      <alignment horizontal="center" vertical="center"/>
    </xf>
    <xf numFmtId="1" fontId="16785" fillId="8" borderId="1" xfId="0" applyNumberFormat="1" applyFont="1" applyFill="1" applyBorder="1" applyAlignment="1">
      <alignment horizontal="center" vertical="center"/>
    </xf>
    <xf numFmtId="165" fontId="16786" fillId="8" borderId="1" xfId="0" applyNumberFormat="1" applyFont="1" applyFill="1" applyBorder="1" applyAlignment="1">
      <alignment horizontal="center" vertical="center"/>
    </xf>
    <xf numFmtId="1" fontId="16787" fillId="8" borderId="1" xfId="0" applyNumberFormat="1" applyFont="1" applyFill="1" applyBorder="1" applyAlignment="1">
      <alignment horizontal="center" vertical="center"/>
    </xf>
    <xf numFmtId="165" fontId="16788" fillId="8" borderId="1" xfId="0" applyNumberFormat="1" applyFont="1" applyFill="1" applyBorder="1" applyAlignment="1">
      <alignment horizontal="center" vertical="center"/>
    </xf>
    <xf numFmtId="1" fontId="16789" fillId="8" borderId="1" xfId="0" applyNumberFormat="1" applyFont="1" applyFill="1" applyBorder="1" applyAlignment="1">
      <alignment horizontal="center" vertical="center"/>
    </xf>
    <xf numFmtId="165" fontId="16790" fillId="8" borderId="1" xfId="0" applyNumberFormat="1" applyFont="1" applyFill="1" applyBorder="1" applyAlignment="1">
      <alignment horizontal="center" vertical="center"/>
    </xf>
    <xf numFmtId="1" fontId="16791" fillId="8" borderId="1" xfId="0" applyNumberFormat="1" applyFont="1" applyFill="1" applyBorder="1" applyAlignment="1">
      <alignment horizontal="center" vertical="center"/>
    </xf>
    <xf numFmtId="165" fontId="16792" fillId="8" borderId="1" xfId="0" applyNumberFormat="1" applyFont="1" applyFill="1" applyBorder="1" applyAlignment="1">
      <alignment horizontal="center" vertical="center"/>
    </xf>
    <xf numFmtId="165" fontId="16793" fillId="8" borderId="1" xfId="0" applyNumberFormat="1" applyFont="1" applyFill="1" applyBorder="1" applyAlignment="1">
      <alignment horizontal="center" vertical="center"/>
    </xf>
    <xf numFmtId="1" fontId="16794" fillId="8" borderId="1" xfId="0" applyNumberFormat="1" applyFont="1" applyFill="1" applyBorder="1" applyAlignment="1">
      <alignment horizontal="center" vertical="center"/>
    </xf>
    <xf numFmtId="1" fontId="16795" fillId="8" borderId="1" xfId="0" applyNumberFormat="1" applyFont="1" applyFill="1" applyBorder="1" applyAlignment="1">
      <alignment horizontal="center" vertical="center"/>
    </xf>
    <xf numFmtId="1" fontId="16796" fillId="8" borderId="1" xfId="0" applyNumberFormat="1" applyFont="1" applyFill="1" applyBorder="1" applyAlignment="1">
      <alignment horizontal="center" vertical="center"/>
    </xf>
    <xf numFmtId="165" fontId="16797" fillId="8" borderId="1" xfId="0" applyNumberFormat="1" applyFont="1" applyFill="1" applyBorder="1" applyAlignment="1">
      <alignment horizontal="center" vertical="center"/>
    </xf>
    <xf numFmtId="164" fontId="16798" fillId="8" borderId="1" xfId="0" applyNumberFormat="1" applyFont="1" applyFill="1" applyBorder="1" applyAlignment="1">
      <alignment horizontal="center" vertical="center"/>
    </xf>
    <xf numFmtId="164" fontId="16799" fillId="8" borderId="1" xfId="0" applyNumberFormat="1" applyFont="1" applyFill="1" applyBorder="1" applyAlignment="1">
      <alignment horizontal="center" vertical="center"/>
    </xf>
    <xf numFmtId="1" fontId="16800" fillId="8" borderId="1" xfId="0" applyNumberFormat="1" applyFont="1" applyFill="1" applyBorder="1" applyAlignment="1">
      <alignment horizontal="center" vertical="center"/>
    </xf>
    <xf numFmtId="1" fontId="16801" fillId="8" borderId="1" xfId="0" applyNumberFormat="1" applyFont="1" applyFill="1" applyBorder="1" applyAlignment="1">
      <alignment horizontal="center" vertical="center"/>
    </xf>
    <xf numFmtId="1" fontId="16802" fillId="8" borderId="1" xfId="0" applyNumberFormat="1" applyFont="1" applyFill="1" applyBorder="1" applyAlignment="1">
      <alignment horizontal="center" vertical="center"/>
    </xf>
    <xf numFmtId="165" fontId="16803" fillId="8" borderId="1" xfId="0" applyNumberFormat="1" applyFont="1" applyFill="1" applyBorder="1" applyAlignment="1">
      <alignment horizontal="center" vertical="center"/>
    </xf>
    <xf numFmtId="1" fontId="16804" fillId="8" borderId="1" xfId="0" applyNumberFormat="1" applyFont="1" applyFill="1" applyBorder="1" applyAlignment="1">
      <alignment horizontal="center" vertical="center"/>
    </xf>
    <xf numFmtId="165" fontId="16805" fillId="8" borderId="1" xfId="0" applyNumberFormat="1" applyFont="1" applyFill="1" applyBorder="1" applyAlignment="1">
      <alignment horizontal="center" vertical="center"/>
    </xf>
    <xf numFmtId="1" fontId="16806" fillId="8" borderId="1" xfId="0" applyNumberFormat="1" applyFont="1" applyFill="1" applyBorder="1" applyAlignment="1">
      <alignment horizontal="center" vertical="center"/>
    </xf>
    <xf numFmtId="1" fontId="16807" fillId="8" borderId="1" xfId="0" applyNumberFormat="1" applyFont="1" applyFill="1" applyBorder="1" applyAlignment="1">
      <alignment horizontal="center" vertical="center"/>
    </xf>
    <xf numFmtId="1" fontId="16808" fillId="8" borderId="1" xfId="0" applyNumberFormat="1" applyFont="1" applyFill="1" applyBorder="1" applyAlignment="1">
      <alignment horizontal="center" vertical="center"/>
    </xf>
    <xf numFmtId="1" fontId="16809" fillId="8" borderId="1" xfId="0" applyNumberFormat="1" applyFont="1" applyFill="1" applyBorder="1" applyAlignment="1">
      <alignment horizontal="center" vertical="center"/>
    </xf>
    <xf numFmtId="165" fontId="16810" fillId="8" borderId="1" xfId="0" applyNumberFormat="1" applyFont="1" applyFill="1" applyBorder="1" applyAlignment="1">
      <alignment horizontal="center" vertical="center"/>
    </xf>
    <xf numFmtId="1" fontId="16811" fillId="8" borderId="1" xfId="0" applyNumberFormat="1" applyFont="1" applyFill="1" applyBorder="1" applyAlignment="1">
      <alignment horizontal="center" vertical="center"/>
    </xf>
    <xf numFmtId="165" fontId="16812" fillId="8" borderId="1" xfId="0" applyNumberFormat="1" applyFont="1" applyFill="1" applyBorder="1" applyAlignment="1">
      <alignment horizontal="center" vertical="center"/>
    </xf>
    <xf numFmtId="1" fontId="16813" fillId="8" borderId="1" xfId="0" applyNumberFormat="1" applyFont="1" applyFill="1" applyBorder="1" applyAlignment="1">
      <alignment horizontal="center" vertical="center"/>
    </xf>
    <xf numFmtId="165" fontId="16814" fillId="8" borderId="1" xfId="0" applyNumberFormat="1" applyFont="1" applyFill="1" applyBorder="1" applyAlignment="1">
      <alignment horizontal="center" vertical="center"/>
    </xf>
    <xf numFmtId="2" fontId="16815" fillId="8" borderId="1" xfId="0" applyNumberFormat="1" applyFont="1" applyFill="1" applyBorder="1" applyAlignment="1">
      <alignment horizontal="center" vertical="center"/>
    </xf>
    <xf numFmtId="2" fontId="16816" fillId="8" borderId="1" xfId="0" applyNumberFormat="1" applyFont="1" applyFill="1" applyBorder="1" applyAlignment="1">
      <alignment horizontal="center" vertical="center"/>
    </xf>
    <xf numFmtId="2" fontId="16817" fillId="8" borderId="1" xfId="0" applyNumberFormat="1" applyFont="1" applyFill="1" applyBorder="1" applyAlignment="1">
      <alignment horizontal="center" vertical="center"/>
    </xf>
    <xf numFmtId="2" fontId="16818" fillId="8" borderId="1" xfId="0" applyNumberFormat="1" applyFont="1" applyFill="1" applyBorder="1" applyAlignment="1">
      <alignment horizontal="center" vertical="center"/>
    </xf>
    <xf numFmtId="2" fontId="16819" fillId="8" borderId="1" xfId="0" applyNumberFormat="1" applyFont="1" applyFill="1" applyBorder="1" applyAlignment="1">
      <alignment horizontal="center" vertical="center"/>
    </xf>
    <xf numFmtId="2" fontId="16820" fillId="8" borderId="1" xfId="0" applyNumberFormat="1" applyFont="1" applyFill="1" applyBorder="1" applyAlignment="1">
      <alignment horizontal="center" vertical="center"/>
    </xf>
    <xf numFmtId="2" fontId="16821" fillId="8" borderId="1" xfId="0" applyNumberFormat="1" applyFont="1" applyFill="1" applyBorder="1" applyAlignment="1">
      <alignment horizontal="center" vertical="center"/>
    </xf>
    <xf numFmtId="2" fontId="16822" fillId="8" borderId="1" xfId="0" applyNumberFormat="1" applyFont="1" applyFill="1" applyBorder="1" applyAlignment="1">
      <alignment horizontal="center" vertical="center"/>
    </xf>
    <xf numFmtId="2" fontId="16823" fillId="8" borderId="1" xfId="0" applyNumberFormat="1" applyFont="1" applyFill="1" applyBorder="1" applyAlignment="1">
      <alignment horizontal="center" vertical="center"/>
    </xf>
    <xf numFmtId="2" fontId="16824" fillId="8" borderId="1" xfId="0" applyNumberFormat="1" applyFont="1" applyFill="1" applyBorder="1" applyAlignment="1">
      <alignment horizontal="center" vertical="center"/>
    </xf>
    <xf numFmtId="2" fontId="16825" fillId="8" borderId="1" xfId="0" applyNumberFormat="1" applyFont="1" applyFill="1" applyBorder="1" applyAlignment="1">
      <alignment horizontal="center" vertical="center"/>
    </xf>
    <xf numFmtId="2" fontId="16826" fillId="8" borderId="1" xfId="0" applyNumberFormat="1" applyFont="1" applyFill="1" applyBorder="1" applyAlignment="1">
      <alignment horizontal="center" vertical="center"/>
    </xf>
    <xf numFmtId="2" fontId="16827" fillId="8" borderId="1" xfId="0" applyNumberFormat="1" applyFont="1" applyFill="1" applyBorder="1" applyAlignment="1">
      <alignment horizontal="center" vertical="center"/>
    </xf>
    <xf numFmtId="2" fontId="16828" fillId="8" borderId="1" xfId="0" applyNumberFormat="1" applyFont="1" applyFill="1" applyBorder="1" applyAlignment="1">
      <alignment horizontal="center" vertical="center"/>
    </xf>
    <xf numFmtId="2" fontId="16829" fillId="8" borderId="1" xfId="0" applyNumberFormat="1" applyFont="1" applyFill="1" applyBorder="1" applyAlignment="1">
      <alignment horizontal="center" vertical="center"/>
    </xf>
    <xf numFmtId="2" fontId="16830" fillId="8" borderId="1" xfId="0" applyNumberFormat="1" applyFont="1" applyFill="1" applyBorder="1" applyAlignment="1">
      <alignment horizontal="center" vertical="center"/>
    </xf>
    <xf numFmtId="2" fontId="16831" fillId="8" borderId="1" xfId="0" applyNumberFormat="1" applyFont="1" applyFill="1" applyBorder="1" applyAlignment="1">
      <alignment horizontal="center" vertical="center"/>
    </xf>
    <xf numFmtId="2" fontId="16832" fillId="8" borderId="1" xfId="0" applyNumberFormat="1" applyFont="1" applyFill="1" applyBorder="1" applyAlignment="1">
      <alignment horizontal="center" vertical="center"/>
    </xf>
    <xf numFmtId="2" fontId="16833" fillId="8" borderId="1" xfId="0" applyNumberFormat="1" applyFont="1" applyFill="1" applyBorder="1" applyAlignment="1">
      <alignment horizontal="center" vertical="center"/>
    </xf>
    <xf numFmtId="2" fontId="16834" fillId="8" borderId="1" xfId="0" applyNumberFormat="1" applyFont="1" applyFill="1" applyBorder="1" applyAlignment="1">
      <alignment horizontal="center" vertical="center"/>
    </xf>
    <xf numFmtId="2" fontId="16835" fillId="8" borderId="1" xfId="0" applyNumberFormat="1" applyFont="1" applyFill="1" applyBorder="1" applyAlignment="1">
      <alignment horizontal="center" vertical="center"/>
    </xf>
    <xf numFmtId="2" fontId="16836" fillId="8" borderId="1" xfId="0" applyNumberFormat="1" applyFont="1" applyFill="1" applyBorder="1" applyAlignment="1">
      <alignment horizontal="center" vertical="center"/>
    </xf>
    <xf numFmtId="2" fontId="16837" fillId="8" borderId="1" xfId="0" applyNumberFormat="1" applyFont="1" applyFill="1" applyBorder="1" applyAlignment="1">
      <alignment horizontal="center" vertical="center"/>
    </xf>
    <xf numFmtId="2" fontId="16838" fillId="8" borderId="1" xfId="0" applyNumberFormat="1" applyFont="1" applyFill="1" applyBorder="1" applyAlignment="1">
      <alignment horizontal="center" vertical="center"/>
    </xf>
    <xf numFmtId="2" fontId="16839" fillId="8" borderId="1" xfId="0" applyNumberFormat="1" applyFont="1" applyFill="1" applyBorder="1" applyAlignment="1">
      <alignment horizontal="center" vertical="center"/>
    </xf>
    <xf numFmtId="2" fontId="16840" fillId="8" borderId="1" xfId="0" applyNumberFormat="1" applyFont="1" applyFill="1" applyBorder="1" applyAlignment="1">
      <alignment horizontal="center" vertical="center"/>
    </xf>
    <xf numFmtId="2" fontId="16841" fillId="8" borderId="1" xfId="0" applyNumberFormat="1" applyFont="1" applyFill="1" applyBorder="1" applyAlignment="1">
      <alignment horizontal="center" vertical="center"/>
    </xf>
    <xf numFmtId="2" fontId="16842" fillId="8" borderId="1" xfId="0" applyNumberFormat="1" applyFont="1" applyFill="1" applyBorder="1" applyAlignment="1">
      <alignment horizontal="center" vertical="center"/>
    </xf>
    <xf numFmtId="2" fontId="16843" fillId="8" borderId="1" xfId="0" applyNumberFormat="1" applyFont="1" applyFill="1" applyBorder="1" applyAlignment="1">
      <alignment horizontal="center" vertical="center"/>
    </xf>
    <xf numFmtId="2" fontId="16844" fillId="8" borderId="1" xfId="0" applyNumberFormat="1" applyFont="1" applyFill="1" applyBorder="1" applyAlignment="1">
      <alignment horizontal="center" vertical="center"/>
    </xf>
    <xf numFmtId="2" fontId="16845" fillId="8" borderId="1" xfId="0" applyNumberFormat="1" applyFont="1" applyFill="1" applyBorder="1" applyAlignment="1">
      <alignment horizontal="center" vertical="center"/>
    </xf>
    <xf numFmtId="2" fontId="16846" fillId="8" borderId="1" xfId="0" applyNumberFormat="1" applyFont="1" applyFill="1" applyBorder="1" applyAlignment="1">
      <alignment horizontal="center" vertical="center"/>
    </xf>
    <xf numFmtId="2" fontId="16847" fillId="8" borderId="1" xfId="0" applyNumberFormat="1" applyFont="1" applyFill="1" applyBorder="1" applyAlignment="1">
      <alignment horizontal="center" vertical="center"/>
    </xf>
    <xf numFmtId="2" fontId="16848" fillId="8" borderId="1" xfId="0" applyNumberFormat="1" applyFont="1" applyFill="1" applyBorder="1" applyAlignment="1">
      <alignment horizontal="center" vertical="center"/>
    </xf>
    <xf numFmtId="0" fontId="16849" fillId="7" borderId="1" xfId="0" applyNumberFormat="1" applyFont="1" applyFill="1" applyBorder="1" applyAlignment="1">
      <alignment horizontal="left" vertical="center"/>
    </xf>
    <xf numFmtId="0" fontId="16850" fillId="8" borderId="1" xfId="0" applyNumberFormat="1" applyFont="1" applyFill="1" applyBorder="1" applyAlignment="1">
      <alignment horizontal="center" vertical="center"/>
    </xf>
    <xf numFmtId="164" fontId="16851" fillId="8" borderId="1" xfId="0" applyNumberFormat="1" applyFont="1" applyFill="1" applyBorder="1" applyAlignment="1">
      <alignment horizontal="center" vertical="center"/>
    </xf>
    <xf numFmtId="1" fontId="16852" fillId="8" borderId="1" xfId="0" applyNumberFormat="1" applyFont="1" applyFill="1" applyBorder="1" applyAlignment="1">
      <alignment horizontal="center" vertical="center"/>
    </xf>
    <xf numFmtId="1" fontId="16853" fillId="8" borderId="1" xfId="0" applyNumberFormat="1" applyFont="1" applyFill="1" applyBorder="1" applyAlignment="1">
      <alignment horizontal="center" vertical="center"/>
    </xf>
    <xf numFmtId="1" fontId="16854" fillId="8" borderId="1" xfId="0" applyNumberFormat="1" applyFont="1" applyFill="1" applyBorder="1" applyAlignment="1">
      <alignment horizontal="center" vertical="center"/>
    </xf>
    <xf numFmtId="1" fontId="16855" fillId="8" borderId="1" xfId="0" applyNumberFormat="1" applyFont="1" applyFill="1" applyBorder="1" applyAlignment="1">
      <alignment horizontal="center" vertical="center"/>
    </xf>
    <xf numFmtId="1" fontId="16856" fillId="8" borderId="1" xfId="0" applyNumberFormat="1" applyFont="1" applyFill="1" applyBorder="1" applyAlignment="1">
      <alignment horizontal="center" vertical="center"/>
    </xf>
    <xf numFmtId="1" fontId="16857" fillId="8" borderId="1" xfId="0" applyNumberFormat="1" applyFont="1" applyFill="1" applyBorder="1" applyAlignment="1">
      <alignment horizontal="center" vertical="center"/>
    </xf>
    <xf numFmtId="1" fontId="16858" fillId="8" borderId="1" xfId="0" applyNumberFormat="1" applyFont="1" applyFill="1" applyBorder="1" applyAlignment="1">
      <alignment horizontal="center" vertical="center"/>
    </xf>
    <xf numFmtId="0" fontId="16859" fillId="8" borderId="1" xfId="0" applyNumberFormat="1" applyFont="1" applyFill="1" applyBorder="1" applyAlignment="1">
      <alignment horizontal="center" vertical="center"/>
    </xf>
    <xf numFmtId="0" fontId="16860" fillId="8" borderId="1" xfId="0" applyNumberFormat="1" applyFont="1" applyFill="1" applyBorder="1" applyAlignment="1">
      <alignment horizontal="center" vertical="center"/>
    </xf>
    <xf numFmtId="1" fontId="16861" fillId="8" borderId="1" xfId="0" applyNumberFormat="1" applyFont="1" applyFill="1" applyBorder="1" applyAlignment="1">
      <alignment horizontal="center" vertical="center"/>
    </xf>
    <xf numFmtId="1" fontId="16862" fillId="8" borderId="1" xfId="0" applyNumberFormat="1" applyFont="1" applyFill="1" applyBorder="1" applyAlignment="1">
      <alignment horizontal="center" vertical="center"/>
    </xf>
    <xf numFmtId="1" fontId="16863" fillId="8" borderId="1" xfId="0" applyNumberFormat="1" applyFont="1" applyFill="1" applyBorder="1" applyAlignment="1">
      <alignment horizontal="center" vertical="center"/>
    </xf>
    <xf numFmtId="165" fontId="16864" fillId="8" borderId="1" xfId="0" applyNumberFormat="1" applyFont="1" applyFill="1" applyBorder="1" applyAlignment="1">
      <alignment horizontal="center" vertical="center"/>
    </xf>
    <xf numFmtId="1" fontId="16865" fillId="8" borderId="1" xfId="0" applyNumberFormat="1" applyFont="1" applyFill="1" applyBorder="1" applyAlignment="1">
      <alignment horizontal="center" vertical="center"/>
    </xf>
    <xf numFmtId="165" fontId="16866" fillId="8" borderId="1" xfId="0" applyNumberFormat="1" applyFont="1" applyFill="1" applyBorder="1" applyAlignment="1">
      <alignment horizontal="center" vertical="center"/>
    </xf>
    <xf numFmtId="1" fontId="16867" fillId="8" borderId="1" xfId="0" applyNumberFormat="1" applyFont="1" applyFill="1" applyBorder="1" applyAlignment="1">
      <alignment horizontal="center" vertical="center"/>
    </xf>
    <xf numFmtId="165" fontId="16868" fillId="8" borderId="1" xfId="0" applyNumberFormat="1" applyFont="1" applyFill="1" applyBorder="1" applyAlignment="1">
      <alignment horizontal="center" vertical="center"/>
    </xf>
    <xf numFmtId="1" fontId="16869" fillId="8" borderId="1" xfId="0" applyNumberFormat="1" applyFont="1" applyFill="1" applyBorder="1" applyAlignment="1">
      <alignment horizontal="center" vertical="center"/>
    </xf>
    <xf numFmtId="165" fontId="16870" fillId="8" borderId="1" xfId="0" applyNumberFormat="1" applyFont="1" applyFill="1" applyBorder="1" applyAlignment="1">
      <alignment horizontal="center" vertical="center"/>
    </xf>
    <xf numFmtId="165" fontId="16871" fillId="8" borderId="1" xfId="0" applyNumberFormat="1" applyFont="1" applyFill="1" applyBorder="1" applyAlignment="1">
      <alignment horizontal="center" vertical="center"/>
    </xf>
    <xf numFmtId="1" fontId="16872" fillId="8" borderId="1" xfId="0" applyNumberFormat="1" applyFont="1" applyFill="1" applyBorder="1" applyAlignment="1">
      <alignment horizontal="center" vertical="center"/>
    </xf>
    <xf numFmtId="1" fontId="16873" fillId="8" borderId="1" xfId="0" applyNumberFormat="1" applyFont="1" applyFill="1" applyBorder="1" applyAlignment="1">
      <alignment horizontal="center" vertical="center"/>
    </xf>
    <xf numFmtId="1" fontId="16874" fillId="8" borderId="1" xfId="0" applyNumberFormat="1" applyFont="1" applyFill="1" applyBorder="1" applyAlignment="1">
      <alignment horizontal="center" vertical="center"/>
    </xf>
    <xf numFmtId="165" fontId="16875" fillId="8" borderId="1" xfId="0" applyNumberFormat="1" applyFont="1" applyFill="1" applyBorder="1" applyAlignment="1">
      <alignment horizontal="center" vertical="center"/>
    </xf>
    <xf numFmtId="164" fontId="16876" fillId="8" borderId="1" xfId="0" applyNumberFormat="1" applyFont="1" applyFill="1" applyBorder="1" applyAlignment="1">
      <alignment horizontal="center" vertical="center"/>
    </xf>
    <xf numFmtId="164" fontId="16877" fillId="8" borderId="1" xfId="0" applyNumberFormat="1" applyFont="1" applyFill="1" applyBorder="1" applyAlignment="1">
      <alignment horizontal="center" vertical="center"/>
    </xf>
    <xf numFmtId="1" fontId="16878" fillId="8" borderId="1" xfId="0" applyNumberFormat="1" applyFont="1" applyFill="1" applyBorder="1" applyAlignment="1">
      <alignment horizontal="center" vertical="center"/>
    </xf>
    <xf numFmtId="1" fontId="16879" fillId="8" borderId="1" xfId="0" applyNumberFormat="1" applyFont="1" applyFill="1" applyBorder="1" applyAlignment="1">
      <alignment horizontal="center" vertical="center"/>
    </xf>
    <xf numFmtId="1" fontId="16880" fillId="8" borderId="1" xfId="0" applyNumberFormat="1" applyFont="1" applyFill="1" applyBorder="1" applyAlignment="1">
      <alignment horizontal="center" vertical="center"/>
    </xf>
    <xf numFmtId="165" fontId="16881" fillId="8" borderId="1" xfId="0" applyNumberFormat="1" applyFont="1" applyFill="1" applyBorder="1" applyAlignment="1">
      <alignment horizontal="center" vertical="center"/>
    </xf>
    <xf numFmtId="1" fontId="16882" fillId="8" borderId="1" xfId="0" applyNumberFormat="1" applyFont="1" applyFill="1" applyBorder="1" applyAlignment="1">
      <alignment horizontal="center" vertical="center"/>
    </xf>
    <xf numFmtId="165" fontId="16883" fillId="8" borderId="1" xfId="0" applyNumberFormat="1" applyFont="1" applyFill="1" applyBorder="1" applyAlignment="1">
      <alignment horizontal="center" vertical="center"/>
    </xf>
    <xf numFmtId="1" fontId="16884" fillId="8" borderId="1" xfId="0" applyNumberFormat="1" applyFont="1" applyFill="1" applyBorder="1" applyAlignment="1">
      <alignment horizontal="center" vertical="center"/>
    </xf>
    <xf numFmtId="1" fontId="16885" fillId="8" borderId="1" xfId="0" applyNumberFormat="1" applyFont="1" applyFill="1" applyBorder="1" applyAlignment="1">
      <alignment horizontal="center" vertical="center"/>
    </xf>
    <xf numFmtId="1" fontId="16886" fillId="8" borderId="1" xfId="0" applyNumberFormat="1" applyFont="1" applyFill="1" applyBorder="1" applyAlignment="1">
      <alignment horizontal="center" vertical="center"/>
    </xf>
    <xf numFmtId="1" fontId="16887" fillId="8" borderId="1" xfId="0" applyNumberFormat="1" applyFont="1" applyFill="1" applyBorder="1" applyAlignment="1">
      <alignment horizontal="center" vertical="center"/>
    </xf>
    <xf numFmtId="165" fontId="16888" fillId="8" borderId="1" xfId="0" applyNumberFormat="1" applyFont="1" applyFill="1" applyBorder="1" applyAlignment="1">
      <alignment horizontal="center" vertical="center"/>
    </xf>
    <xf numFmtId="1" fontId="16889" fillId="8" borderId="1" xfId="0" applyNumberFormat="1" applyFont="1" applyFill="1" applyBorder="1" applyAlignment="1">
      <alignment horizontal="center" vertical="center"/>
    </xf>
    <xf numFmtId="165" fontId="16890" fillId="8" borderId="1" xfId="0" applyNumberFormat="1" applyFont="1" applyFill="1" applyBorder="1" applyAlignment="1">
      <alignment horizontal="center" vertical="center"/>
    </xf>
    <xf numFmtId="1" fontId="16891" fillId="8" borderId="1" xfId="0" applyNumberFormat="1" applyFont="1" applyFill="1" applyBorder="1" applyAlignment="1">
      <alignment horizontal="center" vertical="center"/>
    </xf>
    <xf numFmtId="165" fontId="16892" fillId="8" borderId="1" xfId="0" applyNumberFormat="1" applyFont="1" applyFill="1" applyBorder="1" applyAlignment="1">
      <alignment horizontal="center" vertical="center"/>
    </xf>
    <xf numFmtId="2" fontId="16893" fillId="8" borderId="1" xfId="0" applyNumberFormat="1" applyFont="1" applyFill="1" applyBorder="1" applyAlignment="1">
      <alignment horizontal="center" vertical="center"/>
    </xf>
    <xf numFmtId="2" fontId="16894" fillId="8" borderId="1" xfId="0" applyNumberFormat="1" applyFont="1" applyFill="1" applyBorder="1" applyAlignment="1">
      <alignment horizontal="center" vertical="center"/>
    </xf>
    <xf numFmtId="2" fontId="16895" fillId="8" borderId="1" xfId="0" applyNumberFormat="1" applyFont="1" applyFill="1" applyBorder="1" applyAlignment="1">
      <alignment horizontal="center" vertical="center"/>
    </xf>
    <xf numFmtId="2" fontId="16896" fillId="8" borderId="1" xfId="0" applyNumberFormat="1" applyFont="1" applyFill="1" applyBorder="1" applyAlignment="1">
      <alignment horizontal="center" vertical="center"/>
    </xf>
    <xf numFmtId="2" fontId="16897" fillId="8" borderId="1" xfId="0" applyNumberFormat="1" applyFont="1" applyFill="1" applyBorder="1" applyAlignment="1">
      <alignment horizontal="center" vertical="center"/>
    </xf>
    <xf numFmtId="2" fontId="16898" fillId="8" borderId="1" xfId="0" applyNumberFormat="1" applyFont="1" applyFill="1" applyBorder="1" applyAlignment="1">
      <alignment horizontal="center" vertical="center"/>
    </xf>
    <xf numFmtId="2" fontId="16899" fillId="8" borderId="1" xfId="0" applyNumberFormat="1" applyFont="1" applyFill="1" applyBorder="1" applyAlignment="1">
      <alignment horizontal="center" vertical="center"/>
    </xf>
    <xf numFmtId="2" fontId="16900" fillId="8" borderId="1" xfId="0" applyNumberFormat="1" applyFont="1" applyFill="1" applyBorder="1" applyAlignment="1">
      <alignment horizontal="center" vertical="center"/>
    </xf>
    <xf numFmtId="2" fontId="16901" fillId="8" borderId="1" xfId="0" applyNumberFormat="1" applyFont="1" applyFill="1" applyBorder="1" applyAlignment="1">
      <alignment horizontal="center" vertical="center"/>
    </xf>
    <xf numFmtId="2" fontId="16902" fillId="8" borderId="1" xfId="0" applyNumberFormat="1" applyFont="1" applyFill="1" applyBorder="1" applyAlignment="1">
      <alignment horizontal="center" vertical="center"/>
    </xf>
    <xf numFmtId="2" fontId="16903" fillId="8" borderId="1" xfId="0" applyNumberFormat="1" applyFont="1" applyFill="1" applyBorder="1" applyAlignment="1">
      <alignment horizontal="center" vertical="center"/>
    </xf>
    <xf numFmtId="2" fontId="16904" fillId="8" borderId="1" xfId="0" applyNumberFormat="1" applyFont="1" applyFill="1" applyBorder="1" applyAlignment="1">
      <alignment horizontal="center" vertical="center"/>
    </xf>
    <xf numFmtId="2" fontId="16905" fillId="8" borderId="1" xfId="0" applyNumberFormat="1" applyFont="1" applyFill="1" applyBorder="1" applyAlignment="1">
      <alignment horizontal="center" vertical="center"/>
    </xf>
    <xf numFmtId="2" fontId="16906" fillId="8" borderId="1" xfId="0" applyNumberFormat="1" applyFont="1" applyFill="1" applyBorder="1" applyAlignment="1">
      <alignment horizontal="center" vertical="center"/>
    </xf>
    <xf numFmtId="2" fontId="16907" fillId="8" borderId="1" xfId="0" applyNumberFormat="1" applyFont="1" applyFill="1" applyBorder="1" applyAlignment="1">
      <alignment horizontal="center" vertical="center"/>
    </xf>
    <xf numFmtId="2" fontId="16908" fillId="8" borderId="1" xfId="0" applyNumberFormat="1" applyFont="1" applyFill="1" applyBorder="1" applyAlignment="1">
      <alignment horizontal="center" vertical="center"/>
    </xf>
    <xf numFmtId="2" fontId="16909" fillId="8" borderId="1" xfId="0" applyNumberFormat="1" applyFont="1" applyFill="1" applyBorder="1" applyAlignment="1">
      <alignment horizontal="center" vertical="center"/>
    </xf>
    <xf numFmtId="2" fontId="16910" fillId="8" borderId="1" xfId="0" applyNumberFormat="1" applyFont="1" applyFill="1" applyBorder="1" applyAlignment="1">
      <alignment horizontal="center" vertical="center"/>
    </xf>
    <xf numFmtId="2" fontId="16911" fillId="8" borderId="1" xfId="0" applyNumberFormat="1" applyFont="1" applyFill="1" applyBorder="1" applyAlignment="1">
      <alignment horizontal="center" vertical="center"/>
    </xf>
    <xf numFmtId="2" fontId="16912" fillId="8" borderId="1" xfId="0" applyNumberFormat="1" applyFont="1" applyFill="1" applyBorder="1" applyAlignment="1">
      <alignment horizontal="center" vertical="center"/>
    </xf>
    <xf numFmtId="2" fontId="16913" fillId="8" borderId="1" xfId="0" applyNumberFormat="1" applyFont="1" applyFill="1" applyBorder="1" applyAlignment="1">
      <alignment horizontal="center" vertical="center"/>
    </xf>
    <xf numFmtId="2" fontId="16914" fillId="8" borderId="1" xfId="0" applyNumberFormat="1" applyFont="1" applyFill="1" applyBorder="1" applyAlignment="1">
      <alignment horizontal="center" vertical="center"/>
    </xf>
    <xf numFmtId="2" fontId="16915" fillId="8" borderId="1" xfId="0" applyNumberFormat="1" applyFont="1" applyFill="1" applyBorder="1" applyAlignment="1">
      <alignment horizontal="center" vertical="center"/>
    </xf>
    <xf numFmtId="2" fontId="16916" fillId="8" borderId="1" xfId="0" applyNumberFormat="1" applyFont="1" applyFill="1" applyBorder="1" applyAlignment="1">
      <alignment horizontal="center" vertical="center"/>
    </xf>
    <xf numFmtId="2" fontId="16917" fillId="8" borderId="1" xfId="0" applyNumberFormat="1" applyFont="1" applyFill="1" applyBorder="1" applyAlignment="1">
      <alignment horizontal="center" vertical="center"/>
    </xf>
    <xf numFmtId="2" fontId="16918" fillId="8" borderId="1" xfId="0" applyNumberFormat="1" applyFont="1" applyFill="1" applyBorder="1" applyAlignment="1">
      <alignment horizontal="center" vertical="center"/>
    </xf>
    <xf numFmtId="2" fontId="16919" fillId="8" borderId="1" xfId="0" applyNumberFormat="1" applyFont="1" applyFill="1" applyBorder="1" applyAlignment="1">
      <alignment horizontal="center" vertical="center"/>
    </xf>
    <xf numFmtId="2" fontId="16920" fillId="8" borderId="1" xfId="0" applyNumberFormat="1" applyFont="1" applyFill="1" applyBorder="1" applyAlignment="1">
      <alignment horizontal="center" vertical="center"/>
    </xf>
    <xf numFmtId="2" fontId="16921" fillId="8" borderId="1" xfId="0" applyNumberFormat="1" applyFont="1" applyFill="1" applyBorder="1" applyAlignment="1">
      <alignment horizontal="center" vertical="center"/>
    </xf>
    <xf numFmtId="2" fontId="16922" fillId="8" borderId="1" xfId="0" applyNumberFormat="1" applyFont="1" applyFill="1" applyBorder="1" applyAlignment="1">
      <alignment horizontal="center" vertical="center"/>
    </xf>
    <xf numFmtId="2" fontId="16923" fillId="8" borderId="1" xfId="0" applyNumberFormat="1" applyFont="1" applyFill="1" applyBorder="1" applyAlignment="1">
      <alignment horizontal="center" vertical="center"/>
    </xf>
    <xf numFmtId="2" fontId="16924" fillId="8" borderId="1" xfId="0" applyNumberFormat="1" applyFont="1" applyFill="1" applyBorder="1" applyAlignment="1">
      <alignment horizontal="center" vertical="center"/>
    </xf>
    <xf numFmtId="2" fontId="16925" fillId="8" borderId="1" xfId="0" applyNumberFormat="1" applyFont="1" applyFill="1" applyBorder="1" applyAlignment="1">
      <alignment horizontal="center" vertical="center"/>
    </xf>
    <xf numFmtId="2" fontId="16926" fillId="8" borderId="1" xfId="0" applyNumberFormat="1" applyFont="1" applyFill="1" applyBorder="1" applyAlignment="1">
      <alignment horizontal="center" vertical="center"/>
    </xf>
    <xf numFmtId="0" fontId="16927" fillId="7" borderId="1" xfId="0" applyNumberFormat="1" applyFont="1" applyFill="1" applyBorder="1" applyAlignment="1">
      <alignment horizontal="left" vertical="center"/>
    </xf>
    <xf numFmtId="0" fontId="16928" fillId="8" borderId="1" xfId="0" applyNumberFormat="1" applyFont="1" applyFill="1" applyBorder="1" applyAlignment="1">
      <alignment horizontal="center" vertical="center"/>
    </xf>
    <xf numFmtId="164" fontId="16929" fillId="8" borderId="1" xfId="0" applyNumberFormat="1" applyFont="1" applyFill="1" applyBorder="1" applyAlignment="1">
      <alignment horizontal="center" vertical="center"/>
    </xf>
    <xf numFmtId="1" fontId="16930" fillId="8" borderId="1" xfId="0" applyNumberFormat="1" applyFont="1" applyFill="1" applyBorder="1" applyAlignment="1">
      <alignment horizontal="center" vertical="center"/>
    </xf>
    <xf numFmtId="1" fontId="16931" fillId="8" borderId="1" xfId="0" applyNumberFormat="1" applyFont="1" applyFill="1" applyBorder="1" applyAlignment="1">
      <alignment horizontal="center" vertical="center"/>
    </xf>
    <xf numFmtId="1" fontId="16932" fillId="8" borderId="1" xfId="0" applyNumberFormat="1" applyFont="1" applyFill="1" applyBorder="1" applyAlignment="1">
      <alignment horizontal="center" vertical="center"/>
    </xf>
    <xf numFmtId="1" fontId="16933" fillId="8" borderId="1" xfId="0" applyNumberFormat="1" applyFont="1" applyFill="1" applyBorder="1" applyAlignment="1">
      <alignment horizontal="center" vertical="center"/>
    </xf>
    <xf numFmtId="1" fontId="16934" fillId="8" borderId="1" xfId="0" applyNumberFormat="1" applyFont="1" applyFill="1" applyBorder="1" applyAlignment="1">
      <alignment horizontal="center" vertical="center"/>
    </xf>
    <xf numFmtId="1" fontId="16935" fillId="8" borderId="1" xfId="0" applyNumberFormat="1" applyFont="1" applyFill="1" applyBorder="1" applyAlignment="1">
      <alignment horizontal="center" vertical="center"/>
    </xf>
    <xf numFmtId="1" fontId="16936" fillId="8" borderId="1" xfId="0" applyNumberFormat="1" applyFont="1" applyFill="1" applyBorder="1" applyAlignment="1">
      <alignment horizontal="center" vertical="center"/>
    </xf>
    <xf numFmtId="0" fontId="16937" fillId="8" borderId="1" xfId="0" applyNumberFormat="1" applyFont="1" applyFill="1" applyBorder="1" applyAlignment="1">
      <alignment horizontal="center" vertical="center"/>
    </xf>
    <xf numFmtId="0" fontId="16938" fillId="8" borderId="1" xfId="0" applyNumberFormat="1" applyFont="1" applyFill="1" applyBorder="1" applyAlignment="1">
      <alignment horizontal="center" vertical="center"/>
    </xf>
    <xf numFmtId="1" fontId="16939" fillId="8" borderId="1" xfId="0" applyNumberFormat="1" applyFont="1" applyFill="1" applyBorder="1" applyAlignment="1">
      <alignment horizontal="center" vertical="center"/>
    </xf>
    <xf numFmtId="1" fontId="16940" fillId="8" borderId="1" xfId="0" applyNumberFormat="1" applyFont="1" applyFill="1" applyBorder="1" applyAlignment="1">
      <alignment horizontal="center" vertical="center"/>
    </xf>
    <xf numFmtId="1" fontId="16941" fillId="8" borderId="1" xfId="0" applyNumberFormat="1" applyFont="1" applyFill="1" applyBorder="1" applyAlignment="1">
      <alignment horizontal="center" vertical="center"/>
    </xf>
    <xf numFmtId="165" fontId="16942" fillId="8" borderId="1" xfId="0" applyNumberFormat="1" applyFont="1" applyFill="1" applyBorder="1" applyAlignment="1">
      <alignment horizontal="center" vertical="center"/>
    </xf>
    <xf numFmtId="1" fontId="16943" fillId="8" borderId="1" xfId="0" applyNumberFormat="1" applyFont="1" applyFill="1" applyBorder="1" applyAlignment="1">
      <alignment horizontal="center" vertical="center"/>
    </xf>
    <xf numFmtId="165" fontId="16944" fillId="8" borderId="1" xfId="0" applyNumberFormat="1" applyFont="1" applyFill="1" applyBorder="1" applyAlignment="1">
      <alignment horizontal="center" vertical="center"/>
    </xf>
    <xf numFmtId="1" fontId="16945" fillId="8" borderId="1" xfId="0" applyNumberFormat="1" applyFont="1" applyFill="1" applyBorder="1" applyAlignment="1">
      <alignment horizontal="center" vertical="center"/>
    </xf>
    <xf numFmtId="165" fontId="16946" fillId="8" borderId="1" xfId="0" applyNumberFormat="1" applyFont="1" applyFill="1" applyBorder="1" applyAlignment="1">
      <alignment horizontal="center" vertical="center"/>
    </xf>
    <xf numFmtId="1" fontId="16947" fillId="8" borderId="1" xfId="0" applyNumberFormat="1" applyFont="1" applyFill="1" applyBorder="1" applyAlignment="1">
      <alignment horizontal="center" vertical="center"/>
    </xf>
    <xf numFmtId="165" fontId="16948" fillId="8" borderId="1" xfId="0" applyNumberFormat="1" applyFont="1" applyFill="1" applyBorder="1" applyAlignment="1">
      <alignment horizontal="center" vertical="center"/>
    </xf>
    <xf numFmtId="165" fontId="16949" fillId="8" borderId="1" xfId="0" applyNumberFormat="1" applyFont="1" applyFill="1" applyBorder="1" applyAlignment="1">
      <alignment horizontal="center" vertical="center"/>
    </xf>
    <xf numFmtId="1" fontId="16950" fillId="8" borderId="1" xfId="0" applyNumberFormat="1" applyFont="1" applyFill="1" applyBorder="1" applyAlignment="1">
      <alignment horizontal="center" vertical="center"/>
    </xf>
    <xf numFmtId="1" fontId="16951" fillId="8" borderId="1" xfId="0" applyNumberFormat="1" applyFont="1" applyFill="1" applyBorder="1" applyAlignment="1">
      <alignment horizontal="center" vertical="center"/>
    </xf>
    <xf numFmtId="1" fontId="16952" fillId="8" borderId="1" xfId="0" applyNumberFormat="1" applyFont="1" applyFill="1" applyBorder="1" applyAlignment="1">
      <alignment horizontal="center" vertical="center"/>
    </xf>
    <xf numFmtId="165" fontId="16953" fillId="8" borderId="1" xfId="0" applyNumberFormat="1" applyFont="1" applyFill="1" applyBorder="1" applyAlignment="1">
      <alignment horizontal="center" vertical="center"/>
    </xf>
    <xf numFmtId="164" fontId="16954" fillId="8" borderId="1" xfId="0" applyNumberFormat="1" applyFont="1" applyFill="1" applyBorder="1" applyAlignment="1">
      <alignment horizontal="center" vertical="center"/>
    </xf>
    <xf numFmtId="164" fontId="16955" fillId="8" borderId="1" xfId="0" applyNumberFormat="1" applyFont="1" applyFill="1" applyBorder="1" applyAlignment="1">
      <alignment horizontal="center" vertical="center"/>
    </xf>
    <xf numFmtId="1" fontId="16956" fillId="8" borderId="1" xfId="0" applyNumberFormat="1" applyFont="1" applyFill="1" applyBorder="1" applyAlignment="1">
      <alignment horizontal="center" vertical="center"/>
    </xf>
    <xf numFmtId="1" fontId="16957" fillId="8" borderId="1" xfId="0" applyNumberFormat="1" applyFont="1" applyFill="1" applyBorder="1" applyAlignment="1">
      <alignment horizontal="center" vertical="center"/>
    </xf>
    <xf numFmtId="1" fontId="16958" fillId="8" borderId="1" xfId="0" applyNumberFormat="1" applyFont="1" applyFill="1" applyBorder="1" applyAlignment="1">
      <alignment horizontal="center" vertical="center"/>
    </xf>
    <xf numFmtId="165" fontId="16959" fillId="8" borderId="1" xfId="0" applyNumberFormat="1" applyFont="1" applyFill="1" applyBorder="1" applyAlignment="1">
      <alignment horizontal="center" vertical="center"/>
    </xf>
    <xf numFmtId="1" fontId="16960" fillId="8" borderId="1" xfId="0" applyNumberFormat="1" applyFont="1" applyFill="1" applyBorder="1" applyAlignment="1">
      <alignment horizontal="center" vertical="center"/>
    </xf>
    <xf numFmtId="165" fontId="16961" fillId="8" borderId="1" xfId="0" applyNumberFormat="1" applyFont="1" applyFill="1" applyBorder="1" applyAlignment="1">
      <alignment horizontal="center" vertical="center"/>
    </xf>
    <xf numFmtId="1" fontId="16962" fillId="8" borderId="1" xfId="0" applyNumberFormat="1" applyFont="1" applyFill="1" applyBorder="1" applyAlignment="1">
      <alignment horizontal="center" vertical="center"/>
    </xf>
    <xf numFmtId="1" fontId="16963" fillId="8" borderId="1" xfId="0" applyNumberFormat="1" applyFont="1" applyFill="1" applyBorder="1" applyAlignment="1">
      <alignment horizontal="center" vertical="center"/>
    </xf>
    <xf numFmtId="1" fontId="16964" fillId="8" borderId="1" xfId="0" applyNumberFormat="1" applyFont="1" applyFill="1" applyBorder="1" applyAlignment="1">
      <alignment horizontal="center" vertical="center"/>
    </xf>
    <xf numFmtId="1" fontId="16965" fillId="8" borderId="1" xfId="0" applyNumberFormat="1" applyFont="1" applyFill="1" applyBorder="1" applyAlignment="1">
      <alignment horizontal="center" vertical="center"/>
    </xf>
    <xf numFmtId="165" fontId="16966" fillId="8" borderId="1" xfId="0" applyNumberFormat="1" applyFont="1" applyFill="1" applyBorder="1" applyAlignment="1">
      <alignment horizontal="center" vertical="center"/>
    </xf>
    <xf numFmtId="1" fontId="16967" fillId="8" borderId="1" xfId="0" applyNumberFormat="1" applyFont="1" applyFill="1" applyBorder="1" applyAlignment="1">
      <alignment horizontal="center" vertical="center"/>
    </xf>
    <xf numFmtId="165" fontId="16968" fillId="8" borderId="1" xfId="0" applyNumberFormat="1" applyFont="1" applyFill="1" applyBorder="1" applyAlignment="1">
      <alignment horizontal="center" vertical="center"/>
    </xf>
    <xf numFmtId="1" fontId="16969" fillId="8" borderId="1" xfId="0" applyNumberFormat="1" applyFont="1" applyFill="1" applyBorder="1" applyAlignment="1">
      <alignment horizontal="center" vertical="center"/>
    </xf>
    <xf numFmtId="165" fontId="16970" fillId="8" borderId="1" xfId="0" applyNumberFormat="1" applyFont="1" applyFill="1" applyBorder="1" applyAlignment="1">
      <alignment horizontal="center" vertical="center"/>
    </xf>
    <xf numFmtId="2" fontId="16971" fillId="8" borderId="1" xfId="0" applyNumberFormat="1" applyFont="1" applyFill="1" applyBorder="1" applyAlignment="1">
      <alignment horizontal="center" vertical="center"/>
    </xf>
    <xf numFmtId="2" fontId="16972" fillId="8" borderId="1" xfId="0" applyNumberFormat="1" applyFont="1" applyFill="1" applyBorder="1" applyAlignment="1">
      <alignment horizontal="center" vertical="center"/>
    </xf>
    <xf numFmtId="2" fontId="16973" fillId="8" borderId="1" xfId="0" applyNumberFormat="1" applyFont="1" applyFill="1" applyBorder="1" applyAlignment="1">
      <alignment horizontal="center" vertical="center"/>
    </xf>
    <xf numFmtId="2" fontId="16974" fillId="8" borderId="1" xfId="0" applyNumberFormat="1" applyFont="1" applyFill="1" applyBorder="1" applyAlignment="1">
      <alignment horizontal="center" vertical="center"/>
    </xf>
    <xf numFmtId="2" fontId="16975" fillId="8" borderId="1" xfId="0" applyNumberFormat="1" applyFont="1" applyFill="1" applyBorder="1" applyAlignment="1">
      <alignment horizontal="center" vertical="center"/>
    </xf>
    <xf numFmtId="2" fontId="16976" fillId="8" borderId="1" xfId="0" applyNumberFormat="1" applyFont="1" applyFill="1" applyBorder="1" applyAlignment="1">
      <alignment horizontal="center" vertical="center"/>
    </xf>
    <xf numFmtId="2" fontId="16977" fillId="8" borderId="1" xfId="0" applyNumberFormat="1" applyFont="1" applyFill="1" applyBorder="1" applyAlignment="1">
      <alignment horizontal="center" vertical="center"/>
    </xf>
    <xf numFmtId="2" fontId="16978" fillId="8" borderId="1" xfId="0" applyNumberFormat="1" applyFont="1" applyFill="1" applyBorder="1" applyAlignment="1">
      <alignment horizontal="center" vertical="center"/>
    </xf>
    <xf numFmtId="2" fontId="16979" fillId="8" borderId="1" xfId="0" applyNumberFormat="1" applyFont="1" applyFill="1" applyBorder="1" applyAlignment="1">
      <alignment horizontal="center" vertical="center"/>
    </xf>
    <xf numFmtId="2" fontId="16980" fillId="8" borderId="1" xfId="0" applyNumberFormat="1" applyFont="1" applyFill="1" applyBorder="1" applyAlignment="1">
      <alignment horizontal="center" vertical="center"/>
    </xf>
    <xf numFmtId="2" fontId="16981" fillId="8" borderId="1" xfId="0" applyNumberFormat="1" applyFont="1" applyFill="1" applyBorder="1" applyAlignment="1">
      <alignment horizontal="center" vertical="center"/>
    </xf>
    <xf numFmtId="2" fontId="16982" fillId="8" borderId="1" xfId="0" applyNumberFormat="1" applyFont="1" applyFill="1" applyBorder="1" applyAlignment="1">
      <alignment horizontal="center" vertical="center"/>
    </xf>
    <xf numFmtId="2" fontId="16983" fillId="8" borderId="1" xfId="0" applyNumberFormat="1" applyFont="1" applyFill="1" applyBorder="1" applyAlignment="1">
      <alignment horizontal="center" vertical="center"/>
    </xf>
    <xf numFmtId="2" fontId="16984" fillId="8" borderId="1" xfId="0" applyNumberFormat="1" applyFont="1" applyFill="1" applyBorder="1" applyAlignment="1">
      <alignment horizontal="center" vertical="center"/>
    </xf>
    <xf numFmtId="2" fontId="16985" fillId="8" borderId="1" xfId="0" applyNumberFormat="1" applyFont="1" applyFill="1" applyBorder="1" applyAlignment="1">
      <alignment horizontal="center" vertical="center"/>
    </xf>
    <xf numFmtId="2" fontId="16986" fillId="8" borderId="1" xfId="0" applyNumberFormat="1" applyFont="1" applyFill="1" applyBorder="1" applyAlignment="1">
      <alignment horizontal="center" vertical="center"/>
    </xf>
    <xf numFmtId="2" fontId="16987" fillId="8" borderId="1" xfId="0" applyNumberFormat="1" applyFont="1" applyFill="1" applyBorder="1" applyAlignment="1">
      <alignment horizontal="center" vertical="center"/>
    </xf>
    <xf numFmtId="2" fontId="16988" fillId="8" borderId="1" xfId="0" applyNumberFormat="1" applyFont="1" applyFill="1" applyBorder="1" applyAlignment="1">
      <alignment horizontal="center" vertical="center"/>
    </xf>
    <xf numFmtId="2" fontId="16989" fillId="8" borderId="1" xfId="0" applyNumberFormat="1" applyFont="1" applyFill="1" applyBorder="1" applyAlignment="1">
      <alignment horizontal="center" vertical="center"/>
    </xf>
    <xf numFmtId="2" fontId="16990" fillId="8" borderId="1" xfId="0" applyNumberFormat="1" applyFont="1" applyFill="1" applyBorder="1" applyAlignment="1">
      <alignment horizontal="center" vertical="center"/>
    </xf>
    <xf numFmtId="2" fontId="16991" fillId="8" borderId="1" xfId="0" applyNumberFormat="1" applyFont="1" applyFill="1" applyBorder="1" applyAlignment="1">
      <alignment horizontal="center" vertical="center"/>
    </xf>
    <xf numFmtId="2" fontId="16992" fillId="8" borderId="1" xfId="0" applyNumberFormat="1" applyFont="1" applyFill="1" applyBorder="1" applyAlignment="1">
      <alignment horizontal="center" vertical="center"/>
    </xf>
    <xf numFmtId="2" fontId="16993" fillId="8" borderId="1" xfId="0" applyNumberFormat="1" applyFont="1" applyFill="1" applyBorder="1" applyAlignment="1">
      <alignment horizontal="center" vertical="center"/>
    </xf>
    <xf numFmtId="2" fontId="16994" fillId="8" borderId="1" xfId="0" applyNumberFormat="1" applyFont="1" applyFill="1" applyBorder="1" applyAlignment="1">
      <alignment horizontal="center" vertical="center"/>
    </xf>
    <xf numFmtId="2" fontId="16995" fillId="8" borderId="1" xfId="0" applyNumberFormat="1" applyFont="1" applyFill="1" applyBorder="1" applyAlignment="1">
      <alignment horizontal="center" vertical="center"/>
    </xf>
    <xf numFmtId="2" fontId="16996" fillId="8" borderId="1" xfId="0" applyNumberFormat="1" applyFont="1" applyFill="1" applyBorder="1" applyAlignment="1">
      <alignment horizontal="center" vertical="center"/>
    </xf>
    <xf numFmtId="2" fontId="16997" fillId="8" borderId="1" xfId="0" applyNumberFormat="1" applyFont="1" applyFill="1" applyBorder="1" applyAlignment="1">
      <alignment horizontal="center" vertical="center"/>
    </xf>
    <xf numFmtId="2" fontId="16998" fillId="8" borderId="1" xfId="0" applyNumberFormat="1" applyFont="1" applyFill="1" applyBorder="1" applyAlignment="1">
      <alignment horizontal="center" vertical="center"/>
    </xf>
    <xf numFmtId="2" fontId="16999" fillId="8" borderId="1" xfId="0" applyNumberFormat="1" applyFont="1" applyFill="1" applyBorder="1" applyAlignment="1">
      <alignment horizontal="center" vertical="center"/>
    </xf>
    <xf numFmtId="2" fontId="17000" fillId="8" borderId="1" xfId="0" applyNumberFormat="1" applyFont="1" applyFill="1" applyBorder="1" applyAlignment="1">
      <alignment horizontal="center" vertical="center"/>
    </xf>
    <xf numFmtId="2" fontId="17001" fillId="8" borderId="1" xfId="0" applyNumberFormat="1" applyFont="1" applyFill="1" applyBorder="1" applyAlignment="1">
      <alignment horizontal="center" vertical="center"/>
    </xf>
    <xf numFmtId="2" fontId="17002" fillId="8" borderId="1" xfId="0" applyNumberFormat="1" applyFont="1" applyFill="1" applyBorder="1" applyAlignment="1">
      <alignment horizontal="center" vertical="center"/>
    </xf>
    <xf numFmtId="2" fontId="17003" fillId="8" borderId="1" xfId="0" applyNumberFormat="1" applyFont="1" applyFill="1" applyBorder="1" applyAlignment="1">
      <alignment horizontal="center" vertical="center"/>
    </xf>
    <xf numFmtId="2" fontId="17004" fillId="8" borderId="1" xfId="0" applyNumberFormat="1" applyFont="1" applyFill="1" applyBorder="1" applyAlignment="1">
      <alignment horizontal="center" vertical="center"/>
    </xf>
    <xf numFmtId="0" fontId="17005" fillId="7" borderId="1" xfId="0" applyNumberFormat="1" applyFont="1" applyFill="1" applyBorder="1" applyAlignment="1">
      <alignment horizontal="left" vertical="center"/>
    </xf>
    <xf numFmtId="0" fontId="17006" fillId="8" borderId="1" xfId="0" applyNumberFormat="1" applyFont="1" applyFill="1" applyBorder="1" applyAlignment="1">
      <alignment horizontal="center" vertical="center"/>
    </xf>
    <xf numFmtId="164" fontId="17007" fillId="8" borderId="1" xfId="0" applyNumberFormat="1" applyFont="1" applyFill="1" applyBorder="1" applyAlignment="1">
      <alignment horizontal="center" vertical="center"/>
    </xf>
    <xf numFmtId="1" fontId="17008" fillId="8" borderId="1" xfId="0" applyNumberFormat="1" applyFont="1" applyFill="1" applyBorder="1" applyAlignment="1">
      <alignment horizontal="center" vertical="center"/>
    </xf>
    <xf numFmtId="1" fontId="17009" fillId="8" borderId="1" xfId="0" applyNumberFormat="1" applyFont="1" applyFill="1" applyBorder="1" applyAlignment="1">
      <alignment horizontal="center" vertical="center"/>
    </xf>
    <xf numFmtId="1" fontId="17010" fillId="8" borderId="1" xfId="0" applyNumberFormat="1" applyFont="1" applyFill="1" applyBorder="1" applyAlignment="1">
      <alignment horizontal="center" vertical="center"/>
    </xf>
    <xf numFmtId="1" fontId="17011" fillId="8" borderId="1" xfId="0" applyNumberFormat="1" applyFont="1" applyFill="1" applyBorder="1" applyAlignment="1">
      <alignment horizontal="center" vertical="center"/>
    </xf>
    <xf numFmtId="1" fontId="17012" fillId="8" borderId="1" xfId="0" applyNumberFormat="1" applyFont="1" applyFill="1" applyBorder="1" applyAlignment="1">
      <alignment horizontal="center" vertical="center"/>
    </xf>
    <xf numFmtId="1" fontId="17013" fillId="8" borderId="1" xfId="0" applyNumberFormat="1" applyFont="1" applyFill="1" applyBorder="1" applyAlignment="1">
      <alignment horizontal="center" vertical="center"/>
    </xf>
    <xf numFmtId="1" fontId="17014" fillId="8" borderId="1" xfId="0" applyNumberFormat="1" applyFont="1" applyFill="1" applyBorder="1" applyAlignment="1">
      <alignment horizontal="center" vertical="center"/>
    </xf>
    <xf numFmtId="0" fontId="17015" fillId="8" borderId="1" xfId="0" applyNumberFormat="1" applyFont="1" applyFill="1" applyBorder="1" applyAlignment="1">
      <alignment horizontal="center" vertical="center"/>
    </xf>
    <xf numFmtId="0" fontId="17016" fillId="8" borderId="1" xfId="0" applyNumberFormat="1" applyFont="1" applyFill="1" applyBorder="1" applyAlignment="1">
      <alignment horizontal="center" vertical="center"/>
    </xf>
    <xf numFmtId="1" fontId="17017" fillId="8" borderId="1" xfId="0" applyNumberFormat="1" applyFont="1" applyFill="1" applyBorder="1" applyAlignment="1">
      <alignment horizontal="center" vertical="center"/>
    </xf>
    <xf numFmtId="1" fontId="17018" fillId="8" borderId="1" xfId="0" applyNumberFormat="1" applyFont="1" applyFill="1" applyBorder="1" applyAlignment="1">
      <alignment horizontal="center" vertical="center"/>
    </xf>
    <xf numFmtId="1" fontId="17019" fillId="8" borderId="1" xfId="0" applyNumberFormat="1" applyFont="1" applyFill="1" applyBorder="1" applyAlignment="1">
      <alignment horizontal="center" vertical="center"/>
    </xf>
    <xf numFmtId="165" fontId="17020" fillId="8" borderId="1" xfId="0" applyNumberFormat="1" applyFont="1" applyFill="1" applyBorder="1" applyAlignment="1">
      <alignment horizontal="center" vertical="center"/>
    </xf>
    <xf numFmtId="1" fontId="17021" fillId="8" borderId="1" xfId="0" applyNumberFormat="1" applyFont="1" applyFill="1" applyBorder="1" applyAlignment="1">
      <alignment horizontal="center" vertical="center"/>
    </xf>
    <xf numFmtId="165" fontId="17022" fillId="8" borderId="1" xfId="0" applyNumberFormat="1" applyFont="1" applyFill="1" applyBorder="1" applyAlignment="1">
      <alignment horizontal="center" vertical="center"/>
    </xf>
    <xf numFmtId="1" fontId="17023" fillId="8" borderId="1" xfId="0" applyNumberFormat="1" applyFont="1" applyFill="1" applyBorder="1" applyAlignment="1">
      <alignment horizontal="center" vertical="center"/>
    </xf>
    <xf numFmtId="165" fontId="17024" fillId="8" borderId="1" xfId="0" applyNumberFormat="1" applyFont="1" applyFill="1" applyBorder="1" applyAlignment="1">
      <alignment horizontal="center" vertical="center"/>
    </xf>
    <xf numFmtId="1" fontId="17025" fillId="8" borderId="1" xfId="0" applyNumberFormat="1" applyFont="1" applyFill="1" applyBorder="1" applyAlignment="1">
      <alignment horizontal="center" vertical="center"/>
    </xf>
    <xf numFmtId="165" fontId="17026" fillId="8" borderId="1" xfId="0" applyNumberFormat="1" applyFont="1" applyFill="1" applyBorder="1" applyAlignment="1">
      <alignment horizontal="center" vertical="center"/>
    </xf>
    <xf numFmtId="165" fontId="17027" fillId="8" borderId="1" xfId="0" applyNumberFormat="1" applyFont="1" applyFill="1" applyBorder="1" applyAlignment="1">
      <alignment horizontal="center" vertical="center"/>
    </xf>
    <xf numFmtId="1" fontId="17028" fillId="8" borderId="1" xfId="0" applyNumberFormat="1" applyFont="1" applyFill="1" applyBorder="1" applyAlignment="1">
      <alignment horizontal="center" vertical="center"/>
    </xf>
    <xf numFmtId="1" fontId="17029" fillId="8" borderId="1" xfId="0" applyNumberFormat="1" applyFont="1" applyFill="1" applyBorder="1" applyAlignment="1">
      <alignment horizontal="center" vertical="center"/>
    </xf>
    <xf numFmtId="1" fontId="17030" fillId="8" borderId="1" xfId="0" applyNumberFormat="1" applyFont="1" applyFill="1" applyBorder="1" applyAlignment="1">
      <alignment horizontal="center" vertical="center"/>
    </xf>
    <xf numFmtId="165" fontId="17031" fillId="8" borderId="1" xfId="0" applyNumberFormat="1" applyFont="1" applyFill="1" applyBorder="1" applyAlignment="1">
      <alignment horizontal="center" vertical="center"/>
    </xf>
    <xf numFmtId="164" fontId="17032" fillId="8" borderId="1" xfId="0" applyNumberFormat="1" applyFont="1" applyFill="1" applyBorder="1" applyAlignment="1">
      <alignment horizontal="center" vertical="center"/>
    </xf>
    <xf numFmtId="164" fontId="17033" fillId="8" borderId="1" xfId="0" applyNumberFormat="1" applyFont="1" applyFill="1" applyBorder="1" applyAlignment="1">
      <alignment horizontal="center" vertical="center"/>
    </xf>
    <xf numFmtId="1" fontId="17034" fillId="8" borderId="1" xfId="0" applyNumberFormat="1" applyFont="1" applyFill="1" applyBorder="1" applyAlignment="1">
      <alignment horizontal="center" vertical="center"/>
    </xf>
    <xf numFmtId="1" fontId="17035" fillId="8" borderId="1" xfId="0" applyNumberFormat="1" applyFont="1" applyFill="1" applyBorder="1" applyAlignment="1">
      <alignment horizontal="center" vertical="center"/>
    </xf>
    <xf numFmtId="1" fontId="17036" fillId="8" borderId="1" xfId="0" applyNumberFormat="1" applyFont="1" applyFill="1" applyBorder="1" applyAlignment="1">
      <alignment horizontal="center" vertical="center"/>
    </xf>
    <xf numFmtId="165" fontId="17037" fillId="8" borderId="1" xfId="0" applyNumberFormat="1" applyFont="1" applyFill="1" applyBorder="1" applyAlignment="1">
      <alignment horizontal="center" vertical="center"/>
    </xf>
    <xf numFmtId="1" fontId="17038" fillId="8" borderId="1" xfId="0" applyNumberFormat="1" applyFont="1" applyFill="1" applyBorder="1" applyAlignment="1">
      <alignment horizontal="center" vertical="center"/>
    </xf>
    <xf numFmtId="165" fontId="17039" fillId="8" borderId="1" xfId="0" applyNumberFormat="1" applyFont="1" applyFill="1" applyBorder="1" applyAlignment="1">
      <alignment horizontal="center" vertical="center"/>
    </xf>
    <xf numFmtId="1" fontId="17040" fillId="8" borderId="1" xfId="0" applyNumberFormat="1" applyFont="1" applyFill="1" applyBorder="1" applyAlignment="1">
      <alignment horizontal="center" vertical="center"/>
    </xf>
    <xf numFmtId="1" fontId="17041" fillId="8" borderId="1" xfId="0" applyNumberFormat="1" applyFont="1" applyFill="1" applyBorder="1" applyAlignment="1">
      <alignment horizontal="center" vertical="center"/>
    </xf>
    <xf numFmtId="1" fontId="17042" fillId="8" borderId="1" xfId="0" applyNumberFormat="1" applyFont="1" applyFill="1" applyBorder="1" applyAlignment="1">
      <alignment horizontal="center" vertical="center"/>
    </xf>
    <xf numFmtId="1" fontId="17043" fillId="8" borderId="1" xfId="0" applyNumberFormat="1" applyFont="1" applyFill="1" applyBorder="1" applyAlignment="1">
      <alignment horizontal="center" vertical="center"/>
    </xf>
    <xf numFmtId="165" fontId="17044" fillId="8" borderId="1" xfId="0" applyNumberFormat="1" applyFont="1" applyFill="1" applyBorder="1" applyAlignment="1">
      <alignment horizontal="center" vertical="center"/>
    </xf>
    <xf numFmtId="1" fontId="17045" fillId="8" borderId="1" xfId="0" applyNumberFormat="1" applyFont="1" applyFill="1" applyBorder="1" applyAlignment="1">
      <alignment horizontal="center" vertical="center"/>
    </xf>
    <xf numFmtId="165" fontId="17046" fillId="8" borderId="1" xfId="0" applyNumberFormat="1" applyFont="1" applyFill="1" applyBorder="1" applyAlignment="1">
      <alignment horizontal="center" vertical="center"/>
    </xf>
    <xf numFmtId="1" fontId="17047" fillId="8" borderId="1" xfId="0" applyNumberFormat="1" applyFont="1" applyFill="1" applyBorder="1" applyAlignment="1">
      <alignment horizontal="center" vertical="center"/>
    </xf>
    <xf numFmtId="165" fontId="17048" fillId="8" borderId="1" xfId="0" applyNumberFormat="1" applyFont="1" applyFill="1" applyBorder="1" applyAlignment="1">
      <alignment horizontal="center" vertical="center"/>
    </xf>
    <xf numFmtId="2" fontId="17049" fillId="8" borderId="1" xfId="0" applyNumberFormat="1" applyFont="1" applyFill="1" applyBorder="1" applyAlignment="1">
      <alignment horizontal="center" vertical="center"/>
    </xf>
    <xf numFmtId="2" fontId="17050" fillId="8" borderId="1" xfId="0" applyNumberFormat="1" applyFont="1" applyFill="1" applyBorder="1" applyAlignment="1">
      <alignment horizontal="center" vertical="center"/>
    </xf>
    <xf numFmtId="2" fontId="17051" fillId="8" borderId="1" xfId="0" applyNumberFormat="1" applyFont="1" applyFill="1" applyBorder="1" applyAlignment="1">
      <alignment horizontal="center" vertical="center"/>
    </xf>
    <xf numFmtId="2" fontId="17052" fillId="8" borderId="1" xfId="0" applyNumberFormat="1" applyFont="1" applyFill="1" applyBorder="1" applyAlignment="1">
      <alignment horizontal="center" vertical="center"/>
    </xf>
    <xf numFmtId="2" fontId="17053" fillId="8" borderId="1" xfId="0" applyNumberFormat="1" applyFont="1" applyFill="1" applyBorder="1" applyAlignment="1">
      <alignment horizontal="center" vertical="center"/>
    </xf>
    <xf numFmtId="2" fontId="17054" fillId="8" borderId="1" xfId="0" applyNumberFormat="1" applyFont="1" applyFill="1" applyBorder="1" applyAlignment="1">
      <alignment horizontal="center" vertical="center"/>
    </xf>
    <xf numFmtId="2" fontId="17055" fillId="8" borderId="1" xfId="0" applyNumberFormat="1" applyFont="1" applyFill="1" applyBorder="1" applyAlignment="1">
      <alignment horizontal="center" vertical="center"/>
    </xf>
    <xf numFmtId="2" fontId="17056" fillId="8" borderId="1" xfId="0" applyNumberFormat="1" applyFont="1" applyFill="1" applyBorder="1" applyAlignment="1">
      <alignment horizontal="center" vertical="center"/>
    </xf>
    <xf numFmtId="2" fontId="17057" fillId="8" borderId="1" xfId="0" applyNumberFormat="1" applyFont="1" applyFill="1" applyBorder="1" applyAlignment="1">
      <alignment horizontal="center" vertical="center"/>
    </xf>
    <xf numFmtId="2" fontId="17058" fillId="8" borderId="1" xfId="0" applyNumberFormat="1" applyFont="1" applyFill="1" applyBorder="1" applyAlignment="1">
      <alignment horizontal="center" vertical="center"/>
    </xf>
    <xf numFmtId="2" fontId="17059" fillId="8" borderId="1" xfId="0" applyNumberFormat="1" applyFont="1" applyFill="1" applyBorder="1" applyAlignment="1">
      <alignment horizontal="center" vertical="center"/>
    </xf>
    <xf numFmtId="2" fontId="17060" fillId="8" borderId="1" xfId="0" applyNumberFormat="1" applyFont="1" applyFill="1" applyBorder="1" applyAlignment="1">
      <alignment horizontal="center" vertical="center"/>
    </xf>
    <xf numFmtId="2" fontId="17061" fillId="8" borderId="1" xfId="0" applyNumberFormat="1" applyFont="1" applyFill="1" applyBorder="1" applyAlignment="1">
      <alignment horizontal="center" vertical="center"/>
    </xf>
    <xf numFmtId="2" fontId="17062" fillId="8" borderId="1" xfId="0" applyNumberFormat="1" applyFont="1" applyFill="1" applyBorder="1" applyAlignment="1">
      <alignment horizontal="center" vertical="center"/>
    </xf>
    <xf numFmtId="2" fontId="17063" fillId="8" borderId="1" xfId="0" applyNumberFormat="1" applyFont="1" applyFill="1" applyBorder="1" applyAlignment="1">
      <alignment horizontal="center" vertical="center"/>
    </xf>
    <xf numFmtId="2" fontId="17064" fillId="8" borderId="1" xfId="0" applyNumberFormat="1" applyFont="1" applyFill="1" applyBorder="1" applyAlignment="1">
      <alignment horizontal="center" vertical="center"/>
    </xf>
    <xf numFmtId="2" fontId="17065" fillId="8" borderId="1" xfId="0" applyNumberFormat="1" applyFont="1" applyFill="1" applyBorder="1" applyAlignment="1">
      <alignment horizontal="center" vertical="center"/>
    </xf>
    <xf numFmtId="2" fontId="17066" fillId="8" borderId="1" xfId="0" applyNumberFormat="1" applyFont="1" applyFill="1" applyBorder="1" applyAlignment="1">
      <alignment horizontal="center" vertical="center"/>
    </xf>
    <xf numFmtId="2" fontId="17067" fillId="8" borderId="1" xfId="0" applyNumberFormat="1" applyFont="1" applyFill="1" applyBorder="1" applyAlignment="1">
      <alignment horizontal="center" vertical="center"/>
    </xf>
    <xf numFmtId="2" fontId="17068" fillId="8" borderId="1" xfId="0" applyNumberFormat="1" applyFont="1" applyFill="1" applyBorder="1" applyAlignment="1">
      <alignment horizontal="center" vertical="center"/>
    </xf>
    <xf numFmtId="2" fontId="17069" fillId="8" borderId="1" xfId="0" applyNumberFormat="1" applyFont="1" applyFill="1" applyBorder="1" applyAlignment="1">
      <alignment horizontal="center" vertical="center"/>
    </xf>
    <xf numFmtId="2" fontId="17070" fillId="8" borderId="1" xfId="0" applyNumberFormat="1" applyFont="1" applyFill="1" applyBorder="1" applyAlignment="1">
      <alignment horizontal="center" vertical="center"/>
    </xf>
    <xf numFmtId="2" fontId="17071" fillId="8" borderId="1" xfId="0" applyNumberFormat="1" applyFont="1" applyFill="1" applyBorder="1" applyAlignment="1">
      <alignment horizontal="center" vertical="center"/>
    </xf>
    <xf numFmtId="2" fontId="17072" fillId="8" borderId="1" xfId="0" applyNumberFormat="1" applyFont="1" applyFill="1" applyBorder="1" applyAlignment="1">
      <alignment horizontal="center" vertical="center"/>
    </xf>
    <xf numFmtId="2" fontId="17073" fillId="8" borderId="1" xfId="0" applyNumberFormat="1" applyFont="1" applyFill="1" applyBorder="1" applyAlignment="1">
      <alignment horizontal="center" vertical="center"/>
    </xf>
    <xf numFmtId="2" fontId="17074" fillId="8" borderId="1" xfId="0" applyNumberFormat="1" applyFont="1" applyFill="1" applyBorder="1" applyAlignment="1">
      <alignment horizontal="center" vertical="center"/>
    </xf>
    <xf numFmtId="2" fontId="17075" fillId="8" borderId="1" xfId="0" applyNumberFormat="1" applyFont="1" applyFill="1" applyBorder="1" applyAlignment="1">
      <alignment horizontal="center" vertical="center"/>
    </xf>
    <xf numFmtId="2" fontId="17076" fillId="8" borderId="1" xfId="0" applyNumberFormat="1" applyFont="1" applyFill="1" applyBorder="1" applyAlignment="1">
      <alignment horizontal="center" vertical="center"/>
    </xf>
    <xf numFmtId="2" fontId="17077" fillId="8" borderId="1" xfId="0" applyNumberFormat="1" applyFont="1" applyFill="1" applyBorder="1" applyAlignment="1">
      <alignment horizontal="center" vertical="center"/>
    </xf>
    <xf numFmtId="2" fontId="17078" fillId="8" borderId="1" xfId="0" applyNumberFormat="1" applyFont="1" applyFill="1" applyBorder="1" applyAlignment="1">
      <alignment horizontal="center" vertical="center"/>
    </xf>
    <xf numFmtId="2" fontId="17079" fillId="8" borderId="1" xfId="0" applyNumberFormat="1" applyFont="1" applyFill="1" applyBorder="1" applyAlignment="1">
      <alignment horizontal="center" vertical="center"/>
    </xf>
    <xf numFmtId="2" fontId="17080" fillId="8" borderId="1" xfId="0" applyNumberFormat="1" applyFont="1" applyFill="1" applyBorder="1" applyAlignment="1">
      <alignment horizontal="center" vertical="center"/>
    </xf>
    <xf numFmtId="2" fontId="17081" fillId="8" borderId="1" xfId="0" applyNumberFormat="1" applyFont="1" applyFill="1" applyBorder="1" applyAlignment="1">
      <alignment horizontal="center" vertical="center"/>
    </xf>
    <xf numFmtId="2" fontId="17082" fillId="8" borderId="1" xfId="0" applyNumberFormat="1" applyFont="1" applyFill="1" applyBorder="1" applyAlignment="1">
      <alignment horizontal="center" vertical="center"/>
    </xf>
    <xf numFmtId="0" fontId="17083" fillId="7" borderId="1" xfId="0" applyNumberFormat="1" applyFont="1" applyFill="1" applyBorder="1" applyAlignment="1">
      <alignment horizontal="left" vertical="center"/>
    </xf>
    <xf numFmtId="0" fontId="17084" fillId="8" borderId="1" xfId="0" applyNumberFormat="1" applyFont="1" applyFill="1" applyBorder="1" applyAlignment="1">
      <alignment horizontal="center" vertical="center"/>
    </xf>
    <xf numFmtId="164" fontId="17085" fillId="8" borderId="1" xfId="0" applyNumberFormat="1" applyFont="1" applyFill="1" applyBorder="1" applyAlignment="1">
      <alignment horizontal="center" vertical="center"/>
    </xf>
    <xf numFmtId="1" fontId="17086" fillId="8" borderId="1" xfId="0" applyNumberFormat="1" applyFont="1" applyFill="1" applyBorder="1" applyAlignment="1">
      <alignment horizontal="center" vertical="center"/>
    </xf>
    <xf numFmtId="1" fontId="17087" fillId="8" borderId="1" xfId="0" applyNumberFormat="1" applyFont="1" applyFill="1" applyBorder="1" applyAlignment="1">
      <alignment horizontal="center" vertical="center"/>
    </xf>
    <xf numFmtId="1" fontId="17088" fillId="8" borderId="1" xfId="0" applyNumberFormat="1" applyFont="1" applyFill="1" applyBorder="1" applyAlignment="1">
      <alignment horizontal="center" vertical="center"/>
    </xf>
    <xf numFmtId="1" fontId="17089" fillId="8" borderId="1" xfId="0" applyNumberFormat="1" applyFont="1" applyFill="1" applyBorder="1" applyAlignment="1">
      <alignment horizontal="center" vertical="center"/>
    </xf>
    <xf numFmtId="1" fontId="17090" fillId="8" borderId="1" xfId="0" applyNumberFormat="1" applyFont="1" applyFill="1" applyBorder="1" applyAlignment="1">
      <alignment horizontal="center" vertical="center"/>
    </xf>
    <xf numFmtId="1" fontId="17091" fillId="8" borderId="1" xfId="0" applyNumberFormat="1" applyFont="1" applyFill="1" applyBorder="1" applyAlignment="1">
      <alignment horizontal="center" vertical="center"/>
    </xf>
    <xf numFmtId="1" fontId="17092" fillId="8" borderId="1" xfId="0" applyNumberFormat="1" applyFont="1" applyFill="1" applyBorder="1" applyAlignment="1">
      <alignment horizontal="center" vertical="center"/>
    </xf>
    <xf numFmtId="0" fontId="17093" fillId="8" borderId="1" xfId="0" applyNumberFormat="1" applyFont="1" applyFill="1" applyBorder="1" applyAlignment="1">
      <alignment horizontal="center" vertical="center"/>
    </xf>
    <xf numFmtId="0" fontId="17094" fillId="8" borderId="1" xfId="0" applyNumberFormat="1" applyFont="1" applyFill="1" applyBorder="1" applyAlignment="1">
      <alignment horizontal="center" vertical="center"/>
    </xf>
    <xf numFmtId="1" fontId="17095" fillId="8" borderId="1" xfId="0" applyNumberFormat="1" applyFont="1" applyFill="1" applyBorder="1" applyAlignment="1">
      <alignment horizontal="center" vertical="center"/>
    </xf>
    <xf numFmtId="1" fontId="17096" fillId="8" borderId="1" xfId="0" applyNumberFormat="1" applyFont="1" applyFill="1" applyBorder="1" applyAlignment="1">
      <alignment horizontal="center" vertical="center"/>
    </xf>
    <xf numFmtId="1" fontId="17097" fillId="8" borderId="1" xfId="0" applyNumberFormat="1" applyFont="1" applyFill="1" applyBorder="1" applyAlignment="1">
      <alignment horizontal="center" vertical="center"/>
    </xf>
    <xf numFmtId="165" fontId="17098" fillId="8" borderId="1" xfId="0" applyNumberFormat="1" applyFont="1" applyFill="1" applyBorder="1" applyAlignment="1">
      <alignment horizontal="center" vertical="center"/>
    </xf>
    <xf numFmtId="1" fontId="17099" fillId="8" borderId="1" xfId="0" applyNumberFormat="1" applyFont="1" applyFill="1" applyBorder="1" applyAlignment="1">
      <alignment horizontal="center" vertical="center"/>
    </xf>
    <xf numFmtId="165" fontId="17100" fillId="8" borderId="1" xfId="0" applyNumberFormat="1" applyFont="1" applyFill="1" applyBorder="1" applyAlignment="1">
      <alignment horizontal="center" vertical="center"/>
    </xf>
    <xf numFmtId="1" fontId="17101" fillId="8" borderId="1" xfId="0" applyNumberFormat="1" applyFont="1" applyFill="1" applyBorder="1" applyAlignment="1">
      <alignment horizontal="center" vertical="center"/>
    </xf>
    <xf numFmtId="165" fontId="17102" fillId="8" borderId="1" xfId="0" applyNumberFormat="1" applyFont="1" applyFill="1" applyBorder="1" applyAlignment="1">
      <alignment horizontal="center" vertical="center"/>
    </xf>
    <xf numFmtId="1" fontId="17103" fillId="8" borderId="1" xfId="0" applyNumberFormat="1" applyFont="1" applyFill="1" applyBorder="1" applyAlignment="1">
      <alignment horizontal="center" vertical="center"/>
    </xf>
    <xf numFmtId="165" fontId="17104" fillId="8" borderId="1" xfId="0" applyNumberFormat="1" applyFont="1" applyFill="1" applyBorder="1" applyAlignment="1">
      <alignment horizontal="center" vertical="center"/>
    </xf>
    <xf numFmtId="165" fontId="17105" fillId="8" borderId="1" xfId="0" applyNumberFormat="1" applyFont="1" applyFill="1" applyBorder="1" applyAlignment="1">
      <alignment horizontal="center" vertical="center"/>
    </xf>
    <xf numFmtId="1" fontId="17106" fillId="8" borderId="1" xfId="0" applyNumberFormat="1" applyFont="1" applyFill="1" applyBorder="1" applyAlignment="1">
      <alignment horizontal="center" vertical="center"/>
    </xf>
    <xf numFmtId="1" fontId="17107" fillId="8" borderId="1" xfId="0" applyNumberFormat="1" applyFont="1" applyFill="1" applyBorder="1" applyAlignment="1">
      <alignment horizontal="center" vertical="center"/>
    </xf>
    <xf numFmtId="1" fontId="17108" fillId="8" borderId="1" xfId="0" applyNumberFormat="1" applyFont="1" applyFill="1" applyBorder="1" applyAlignment="1">
      <alignment horizontal="center" vertical="center"/>
    </xf>
    <xf numFmtId="165" fontId="17109" fillId="8" borderId="1" xfId="0" applyNumberFormat="1" applyFont="1" applyFill="1" applyBorder="1" applyAlignment="1">
      <alignment horizontal="center" vertical="center"/>
    </xf>
    <xf numFmtId="164" fontId="17110" fillId="8" borderId="1" xfId="0" applyNumberFormat="1" applyFont="1" applyFill="1" applyBorder="1" applyAlignment="1">
      <alignment horizontal="center" vertical="center"/>
    </xf>
    <xf numFmtId="164" fontId="17111" fillId="8" borderId="1" xfId="0" applyNumberFormat="1" applyFont="1" applyFill="1" applyBorder="1" applyAlignment="1">
      <alignment horizontal="center" vertical="center"/>
    </xf>
    <xf numFmtId="1" fontId="17112" fillId="8" borderId="1" xfId="0" applyNumberFormat="1" applyFont="1" applyFill="1" applyBorder="1" applyAlignment="1">
      <alignment horizontal="center" vertical="center"/>
    </xf>
    <xf numFmtId="1" fontId="17113" fillId="8" borderId="1" xfId="0" applyNumberFormat="1" applyFont="1" applyFill="1" applyBorder="1" applyAlignment="1">
      <alignment horizontal="center" vertical="center"/>
    </xf>
    <xf numFmtId="1" fontId="17114" fillId="8" borderId="1" xfId="0" applyNumberFormat="1" applyFont="1" applyFill="1" applyBorder="1" applyAlignment="1">
      <alignment horizontal="center" vertical="center"/>
    </xf>
    <xf numFmtId="165" fontId="17115" fillId="8" borderId="1" xfId="0" applyNumberFormat="1" applyFont="1" applyFill="1" applyBorder="1" applyAlignment="1">
      <alignment horizontal="center" vertical="center"/>
    </xf>
    <xf numFmtId="1" fontId="17116" fillId="8" borderId="1" xfId="0" applyNumberFormat="1" applyFont="1" applyFill="1" applyBorder="1" applyAlignment="1">
      <alignment horizontal="center" vertical="center"/>
    </xf>
    <xf numFmtId="165" fontId="17117" fillId="8" borderId="1" xfId="0" applyNumberFormat="1" applyFont="1" applyFill="1" applyBorder="1" applyAlignment="1">
      <alignment horizontal="center" vertical="center"/>
    </xf>
    <xf numFmtId="1" fontId="17118" fillId="8" borderId="1" xfId="0" applyNumberFormat="1" applyFont="1" applyFill="1" applyBorder="1" applyAlignment="1">
      <alignment horizontal="center" vertical="center"/>
    </xf>
    <xf numFmtId="1" fontId="17119" fillId="8" borderId="1" xfId="0" applyNumberFormat="1" applyFont="1" applyFill="1" applyBorder="1" applyAlignment="1">
      <alignment horizontal="center" vertical="center"/>
    </xf>
    <xf numFmtId="1" fontId="17120" fillId="8" borderId="1" xfId="0" applyNumberFormat="1" applyFont="1" applyFill="1" applyBorder="1" applyAlignment="1">
      <alignment horizontal="center" vertical="center"/>
    </xf>
    <xf numFmtId="1" fontId="17121" fillId="8" borderId="1" xfId="0" applyNumberFormat="1" applyFont="1" applyFill="1" applyBorder="1" applyAlignment="1">
      <alignment horizontal="center" vertical="center"/>
    </xf>
    <xf numFmtId="165" fontId="17122" fillId="8" borderId="1" xfId="0" applyNumberFormat="1" applyFont="1" applyFill="1" applyBorder="1" applyAlignment="1">
      <alignment horizontal="center" vertical="center"/>
    </xf>
    <xf numFmtId="1" fontId="17123" fillId="8" borderId="1" xfId="0" applyNumberFormat="1" applyFont="1" applyFill="1" applyBorder="1" applyAlignment="1">
      <alignment horizontal="center" vertical="center"/>
    </xf>
    <xf numFmtId="165" fontId="17124" fillId="8" borderId="1" xfId="0" applyNumberFormat="1" applyFont="1" applyFill="1" applyBorder="1" applyAlignment="1">
      <alignment horizontal="center" vertical="center"/>
    </xf>
    <xf numFmtId="1" fontId="17125" fillId="8" borderId="1" xfId="0" applyNumberFormat="1" applyFont="1" applyFill="1" applyBorder="1" applyAlignment="1">
      <alignment horizontal="center" vertical="center"/>
    </xf>
    <xf numFmtId="165" fontId="17126" fillId="8" borderId="1" xfId="0" applyNumberFormat="1" applyFont="1" applyFill="1" applyBorder="1" applyAlignment="1">
      <alignment horizontal="center" vertical="center"/>
    </xf>
    <xf numFmtId="2" fontId="17127" fillId="8" borderId="1" xfId="0" applyNumberFormat="1" applyFont="1" applyFill="1" applyBorder="1" applyAlignment="1">
      <alignment horizontal="center" vertical="center"/>
    </xf>
    <xf numFmtId="2" fontId="17128" fillId="8" borderId="1" xfId="0" applyNumberFormat="1" applyFont="1" applyFill="1" applyBorder="1" applyAlignment="1">
      <alignment horizontal="center" vertical="center"/>
    </xf>
    <xf numFmtId="2" fontId="17129" fillId="8" borderId="1" xfId="0" applyNumberFormat="1" applyFont="1" applyFill="1" applyBorder="1" applyAlignment="1">
      <alignment horizontal="center" vertical="center"/>
    </xf>
    <xf numFmtId="2" fontId="17130" fillId="8" borderId="1" xfId="0" applyNumberFormat="1" applyFont="1" applyFill="1" applyBorder="1" applyAlignment="1">
      <alignment horizontal="center" vertical="center"/>
    </xf>
    <xf numFmtId="2" fontId="17131" fillId="8" borderId="1" xfId="0" applyNumberFormat="1" applyFont="1" applyFill="1" applyBorder="1" applyAlignment="1">
      <alignment horizontal="center" vertical="center"/>
    </xf>
    <xf numFmtId="2" fontId="17132" fillId="8" borderId="1" xfId="0" applyNumberFormat="1" applyFont="1" applyFill="1" applyBorder="1" applyAlignment="1">
      <alignment horizontal="center" vertical="center"/>
    </xf>
    <xf numFmtId="2" fontId="17133" fillId="8" borderId="1" xfId="0" applyNumberFormat="1" applyFont="1" applyFill="1" applyBorder="1" applyAlignment="1">
      <alignment horizontal="center" vertical="center"/>
    </xf>
    <xf numFmtId="2" fontId="17134" fillId="8" borderId="1" xfId="0" applyNumberFormat="1" applyFont="1" applyFill="1" applyBorder="1" applyAlignment="1">
      <alignment horizontal="center" vertical="center"/>
    </xf>
    <xf numFmtId="2" fontId="17135" fillId="8" borderId="1" xfId="0" applyNumberFormat="1" applyFont="1" applyFill="1" applyBorder="1" applyAlignment="1">
      <alignment horizontal="center" vertical="center"/>
    </xf>
    <xf numFmtId="2" fontId="17136" fillId="8" borderId="1" xfId="0" applyNumberFormat="1" applyFont="1" applyFill="1" applyBorder="1" applyAlignment="1">
      <alignment horizontal="center" vertical="center"/>
    </xf>
    <xf numFmtId="2" fontId="17137" fillId="8" borderId="1" xfId="0" applyNumberFormat="1" applyFont="1" applyFill="1" applyBorder="1" applyAlignment="1">
      <alignment horizontal="center" vertical="center"/>
    </xf>
    <xf numFmtId="2" fontId="17138" fillId="8" borderId="1" xfId="0" applyNumberFormat="1" applyFont="1" applyFill="1" applyBorder="1" applyAlignment="1">
      <alignment horizontal="center" vertical="center"/>
    </xf>
    <xf numFmtId="2" fontId="17139" fillId="8" borderId="1" xfId="0" applyNumberFormat="1" applyFont="1" applyFill="1" applyBorder="1" applyAlignment="1">
      <alignment horizontal="center" vertical="center"/>
    </xf>
    <xf numFmtId="2" fontId="17140" fillId="8" borderId="1" xfId="0" applyNumberFormat="1" applyFont="1" applyFill="1" applyBorder="1" applyAlignment="1">
      <alignment horizontal="center" vertical="center"/>
    </xf>
    <xf numFmtId="2" fontId="17141" fillId="8" borderId="1" xfId="0" applyNumberFormat="1" applyFont="1" applyFill="1" applyBorder="1" applyAlignment="1">
      <alignment horizontal="center" vertical="center"/>
    </xf>
    <xf numFmtId="2" fontId="17142" fillId="8" borderId="1" xfId="0" applyNumberFormat="1" applyFont="1" applyFill="1" applyBorder="1" applyAlignment="1">
      <alignment horizontal="center" vertical="center"/>
    </xf>
    <xf numFmtId="2" fontId="17143" fillId="8" borderId="1" xfId="0" applyNumberFormat="1" applyFont="1" applyFill="1" applyBorder="1" applyAlignment="1">
      <alignment horizontal="center" vertical="center"/>
    </xf>
    <xf numFmtId="2" fontId="17144" fillId="8" borderId="1" xfId="0" applyNumberFormat="1" applyFont="1" applyFill="1" applyBorder="1" applyAlignment="1">
      <alignment horizontal="center" vertical="center"/>
    </xf>
    <xf numFmtId="2" fontId="17145" fillId="8" borderId="1" xfId="0" applyNumberFormat="1" applyFont="1" applyFill="1" applyBorder="1" applyAlignment="1">
      <alignment horizontal="center" vertical="center"/>
    </xf>
    <xf numFmtId="2" fontId="17146" fillId="8" borderId="1" xfId="0" applyNumberFormat="1" applyFont="1" applyFill="1" applyBorder="1" applyAlignment="1">
      <alignment horizontal="center" vertical="center"/>
    </xf>
    <xf numFmtId="2" fontId="17147" fillId="8" borderId="1" xfId="0" applyNumberFormat="1" applyFont="1" applyFill="1" applyBorder="1" applyAlignment="1">
      <alignment horizontal="center" vertical="center"/>
    </xf>
    <xf numFmtId="2" fontId="17148" fillId="8" borderId="1" xfId="0" applyNumberFormat="1" applyFont="1" applyFill="1" applyBorder="1" applyAlignment="1">
      <alignment horizontal="center" vertical="center"/>
    </xf>
    <xf numFmtId="2" fontId="17149" fillId="8" borderId="1" xfId="0" applyNumberFormat="1" applyFont="1" applyFill="1" applyBorder="1" applyAlignment="1">
      <alignment horizontal="center" vertical="center"/>
    </xf>
    <xf numFmtId="2" fontId="17150" fillId="8" borderId="1" xfId="0" applyNumberFormat="1" applyFont="1" applyFill="1" applyBorder="1" applyAlignment="1">
      <alignment horizontal="center" vertical="center"/>
    </xf>
    <xf numFmtId="2" fontId="17151" fillId="8" borderId="1" xfId="0" applyNumberFormat="1" applyFont="1" applyFill="1" applyBorder="1" applyAlignment="1">
      <alignment horizontal="center" vertical="center"/>
    </xf>
    <xf numFmtId="2" fontId="17152" fillId="8" borderId="1" xfId="0" applyNumberFormat="1" applyFont="1" applyFill="1" applyBorder="1" applyAlignment="1">
      <alignment horizontal="center" vertical="center"/>
    </xf>
    <xf numFmtId="2" fontId="17153" fillId="8" borderId="1" xfId="0" applyNumberFormat="1" applyFont="1" applyFill="1" applyBorder="1" applyAlignment="1">
      <alignment horizontal="center" vertical="center"/>
    </xf>
    <xf numFmtId="2" fontId="17154" fillId="8" borderId="1" xfId="0" applyNumberFormat="1" applyFont="1" applyFill="1" applyBorder="1" applyAlignment="1">
      <alignment horizontal="center" vertical="center"/>
    </xf>
    <xf numFmtId="2" fontId="17155" fillId="8" borderId="1" xfId="0" applyNumberFormat="1" applyFont="1" applyFill="1" applyBorder="1" applyAlignment="1">
      <alignment horizontal="center" vertical="center"/>
    </xf>
    <xf numFmtId="2" fontId="17156" fillId="8" borderId="1" xfId="0" applyNumberFormat="1" applyFont="1" applyFill="1" applyBorder="1" applyAlignment="1">
      <alignment horizontal="center" vertical="center"/>
    </xf>
    <xf numFmtId="2" fontId="17157" fillId="8" borderId="1" xfId="0" applyNumberFormat="1" applyFont="1" applyFill="1" applyBorder="1" applyAlignment="1">
      <alignment horizontal="center" vertical="center"/>
    </xf>
    <xf numFmtId="2" fontId="17158" fillId="8" borderId="1" xfId="0" applyNumberFormat="1" applyFont="1" applyFill="1" applyBorder="1" applyAlignment="1">
      <alignment horizontal="center" vertical="center"/>
    </xf>
    <xf numFmtId="2" fontId="17159" fillId="8" borderId="1" xfId="0" applyNumberFormat="1" applyFont="1" applyFill="1" applyBorder="1" applyAlignment="1">
      <alignment horizontal="center" vertical="center"/>
    </xf>
    <xf numFmtId="2" fontId="17160" fillId="8" borderId="1" xfId="0" applyNumberFormat="1" applyFont="1" applyFill="1" applyBorder="1" applyAlignment="1">
      <alignment horizontal="center" vertical="center"/>
    </xf>
    <xf numFmtId="0" fontId="17161" fillId="7" borderId="1" xfId="0" applyNumberFormat="1" applyFont="1" applyFill="1" applyBorder="1" applyAlignment="1">
      <alignment horizontal="left" vertical="center"/>
    </xf>
    <xf numFmtId="0" fontId="17162" fillId="8" borderId="1" xfId="0" applyNumberFormat="1" applyFont="1" applyFill="1" applyBorder="1" applyAlignment="1">
      <alignment horizontal="center" vertical="center"/>
    </xf>
    <xf numFmtId="164" fontId="17163" fillId="8" borderId="1" xfId="0" applyNumberFormat="1" applyFont="1" applyFill="1" applyBorder="1" applyAlignment="1">
      <alignment horizontal="center" vertical="center"/>
    </xf>
    <xf numFmtId="1" fontId="17164" fillId="8" borderId="1" xfId="0" applyNumberFormat="1" applyFont="1" applyFill="1" applyBorder="1" applyAlignment="1">
      <alignment horizontal="center" vertical="center"/>
    </xf>
    <xf numFmtId="1" fontId="17165" fillId="8" borderId="1" xfId="0" applyNumberFormat="1" applyFont="1" applyFill="1" applyBorder="1" applyAlignment="1">
      <alignment horizontal="center" vertical="center"/>
    </xf>
    <xf numFmtId="1" fontId="17166" fillId="8" borderId="1" xfId="0" applyNumberFormat="1" applyFont="1" applyFill="1" applyBorder="1" applyAlignment="1">
      <alignment horizontal="center" vertical="center"/>
    </xf>
    <xf numFmtId="1" fontId="17167" fillId="8" borderId="1" xfId="0" applyNumberFormat="1" applyFont="1" applyFill="1" applyBorder="1" applyAlignment="1">
      <alignment horizontal="center" vertical="center"/>
    </xf>
    <xf numFmtId="1" fontId="17168" fillId="8" borderId="1" xfId="0" applyNumberFormat="1" applyFont="1" applyFill="1" applyBorder="1" applyAlignment="1">
      <alignment horizontal="center" vertical="center"/>
    </xf>
    <xf numFmtId="1" fontId="17169" fillId="8" borderId="1" xfId="0" applyNumberFormat="1" applyFont="1" applyFill="1" applyBorder="1" applyAlignment="1">
      <alignment horizontal="center" vertical="center"/>
    </xf>
    <xf numFmtId="1" fontId="17170" fillId="8" borderId="1" xfId="0" applyNumberFormat="1" applyFont="1" applyFill="1" applyBorder="1" applyAlignment="1">
      <alignment horizontal="center" vertical="center"/>
    </xf>
    <xf numFmtId="0" fontId="17171" fillId="8" borderId="1" xfId="0" applyNumberFormat="1" applyFont="1" applyFill="1" applyBorder="1" applyAlignment="1">
      <alignment horizontal="center" vertical="center"/>
    </xf>
    <xf numFmtId="0" fontId="17172" fillId="8" borderId="1" xfId="0" applyNumberFormat="1" applyFont="1" applyFill="1" applyBorder="1" applyAlignment="1">
      <alignment horizontal="center" vertical="center"/>
    </xf>
    <xf numFmtId="1" fontId="17173" fillId="8" borderId="1" xfId="0" applyNumberFormat="1" applyFont="1" applyFill="1" applyBorder="1" applyAlignment="1">
      <alignment horizontal="center" vertical="center"/>
    </xf>
    <xf numFmtId="1" fontId="17174" fillId="8" borderId="1" xfId="0" applyNumberFormat="1" applyFont="1" applyFill="1" applyBorder="1" applyAlignment="1">
      <alignment horizontal="center" vertical="center"/>
    </xf>
    <xf numFmtId="1" fontId="17175" fillId="8" borderId="1" xfId="0" applyNumberFormat="1" applyFont="1" applyFill="1" applyBorder="1" applyAlignment="1">
      <alignment horizontal="center" vertical="center"/>
    </xf>
    <xf numFmtId="165" fontId="17176" fillId="8" borderId="1" xfId="0" applyNumberFormat="1" applyFont="1" applyFill="1" applyBorder="1" applyAlignment="1">
      <alignment horizontal="center" vertical="center"/>
    </xf>
    <xf numFmtId="1" fontId="17177" fillId="8" borderId="1" xfId="0" applyNumberFormat="1" applyFont="1" applyFill="1" applyBorder="1" applyAlignment="1">
      <alignment horizontal="center" vertical="center"/>
    </xf>
    <xf numFmtId="165" fontId="17178" fillId="8" borderId="1" xfId="0" applyNumberFormat="1" applyFont="1" applyFill="1" applyBorder="1" applyAlignment="1">
      <alignment horizontal="center" vertical="center"/>
    </xf>
    <xf numFmtId="1" fontId="17179" fillId="8" borderId="1" xfId="0" applyNumberFormat="1" applyFont="1" applyFill="1" applyBorder="1" applyAlignment="1">
      <alignment horizontal="center" vertical="center"/>
    </xf>
    <xf numFmtId="165" fontId="17180" fillId="8" borderId="1" xfId="0" applyNumberFormat="1" applyFont="1" applyFill="1" applyBorder="1" applyAlignment="1">
      <alignment horizontal="center" vertical="center"/>
    </xf>
    <xf numFmtId="1" fontId="17181" fillId="8" borderId="1" xfId="0" applyNumberFormat="1" applyFont="1" applyFill="1" applyBorder="1" applyAlignment="1">
      <alignment horizontal="center" vertical="center"/>
    </xf>
    <xf numFmtId="165" fontId="17182" fillId="8" borderId="1" xfId="0" applyNumberFormat="1" applyFont="1" applyFill="1" applyBorder="1" applyAlignment="1">
      <alignment horizontal="center" vertical="center"/>
    </xf>
    <xf numFmtId="165" fontId="17183" fillId="8" borderId="1" xfId="0" applyNumberFormat="1" applyFont="1" applyFill="1" applyBorder="1" applyAlignment="1">
      <alignment horizontal="center" vertical="center"/>
    </xf>
    <xf numFmtId="1" fontId="17184" fillId="8" borderId="1" xfId="0" applyNumberFormat="1" applyFont="1" applyFill="1" applyBorder="1" applyAlignment="1">
      <alignment horizontal="center" vertical="center"/>
    </xf>
    <xf numFmtId="1" fontId="17185" fillId="8" borderId="1" xfId="0" applyNumberFormat="1" applyFont="1" applyFill="1" applyBorder="1" applyAlignment="1">
      <alignment horizontal="center" vertical="center"/>
    </xf>
    <xf numFmtId="1" fontId="17186" fillId="8" borderId="1" xfId="0" applyNumberFormat="1" applyFont="1" applyFill="1" applyBorder="1" applyAlignment="1">
      <alignment horizontal="center" vertical="center"/>
    </xf>
    <xf numFmtId="165" fontId="17187" fillId="8" borderId="1" xfId="0" applyNumberFormat="1" applyFont="1" applyFill="1" applyBorder="1" applyAlignment="1">
      <alignment horizontal="center" vertical="center"/>
    </xf>
    <xf numFmtId="164" fontId="17188" fillId="8" borderId="1" xfId="0" applyNumberFormat="1" applyFont="1" applyFill="1" applyBorder="1" applyAlignment="1">
      <alignment horizontal="center" vertical="center"/>
    </xf>
    <xf numFmtId="164" fontId="17189" fillId="8" borderId="1" xfId="0" applyNumberFormat="1" applyFont="1" applyFill="1" applyBorder="1" applyAlignment="1">
      <alignment horizontal="center" vertical="center"/>
    </xf>
    <xf numFmtId="1" fontId="17190" fillId="8" borderId="1" xfId="0" applyNumberFormat="1" applyFont="1" applyFill="1" applyBorder="1" applyAlignment="1">
      <alignment horizontal="center" vertical="center"/>
    </xf>
    <xf numFmtId="1" fontId="17191" fillId="8" borderId="1" xfId="0" applyNumberFormat="1" applyFont="1" applyFill="1" applyBorder="1" applyAlignment="1">
      <alignment horizontal="center" vertical="center"/>
    </xf>
    <xf numFmtId="1" fontId="17192" fillId="8" borderId="1" xfId="0" applyNumberFormat="1" applyFont="1" applyFill="1" applyBorder="1" applyAlignment="1">
      <alignment horizontal="center" vertical="center"/>
    </xf>
    <xf numFmtId="165" fontId="17193" fillId="8" borderId="1" xfId="0" applyNumberFormat="1" applyFont="1" applyFill="1" applyBorder="1" applyAlignment="1">
      <alignment horizontal="center" vertical="center"/>
    </xf>
    <xf numFmtId="1" fontId="17194" fillId="8" borderId="1" xfId="0" applyNumberFormat="1" applyFont="1" applyFill="1" applyBorder="1" applyAlignment="1">
      <alignment horizontal="center" vertical="center"/>
    </xf>
    <xf numFmtId="165" fontId="17195" fillId="8" borderId="1" xfId="0" applyNumberFormat="1" applyFont="1" applyFill="1" applyBorder="1" applyAlignment="1">
      <alignment horizontal="center" vertical="center"/>
    </xf>
    <xf numFmtId="1" fontId="17196" fillId="8" borderId="1" xfId="0" applyNumberFormat="1" applyFont="1" applyFill="1" applyBorder="1" applyAlignment="1">
      <alignment horizontal="center" vertical="center"/>
    </xf>
    <xf numFmtId="1" fontId="17197" fillId="8" borderId="1" xfId="0" applyNumberFormat="1" applyFont="1" applyFill="1" applyBorder="1" applyAlignment="1">
      <alignment horizontal="center" vertical="center"/>
    </xf>
    <xf numFmtId="1" fontId="17198" fillId="8" borderId="1" xfId="0" applyNumberFormat="1" applyFont="1" applyFill="1" applyBorder="1" applyAlignment="1">
      <alignment horizontal="center" vertical="center"/>
    </xf>
    <xf numFmtId="1" fontId="17199" fillId="8" borderId="1" xfId="0" applyNumberFormat="1" applyFont="1" applyFill="1" applyBorder="1" applyAlignment="1">
      <alignment horizontal="center" vertical="center"/>
    </xf>
    <xf numFmtId="165" fontId="17200" fillId="8" borderId="1" xfId="0" applyNumberFormat="1" applyFont="1" applyFill="1" applyBorder="1" applyAlignment="1">
      <alignment horizontal="center" vertical="center"/>
    </xf>
    <xf numFmtId="1" fontId="17201" fillId="8" borderId="1" xfId="0" applyNumberFormat="1" applyFont="1" applyFill="1" applyBorder="1" applyAlignment="1">
      <alignment horizontal="center" vertical="center"/>
    </xf>
    <xf numFmtId="165" fontId="17202" fillId="8" borderId="1" xfId="0" applyNumberFormat="1" applyFont="1" applyFill="1" applyBorder="1" applyAlignment="1">
      <alignment horizontal="center" vertical="center"/>
    </xf>
    <xf numFmtId="1" fontId="17203" fillId="8" borderId="1" xfId="0" applyNumberFormat="1" applyFont="1" applyFill="1" applyBorder="1" applyAlignment="1">
      <alignment horizontal="center" vertical="center"/>
    </xf>
    <xf numFmtId="165" fontId="17204" fillId="8" borderId="1" xfId="0" applyNumberFormat="1" applyFont="1" applyFill="1" applyBorder="1" applyAlignment="1">
      <alignment horizontal="center" vertical="center"/>
    </xf>
    <xf numFmtId="2" fontId="17205" fillId="8" borderId="1" xfId="0" applyNumberFormat="1" applyFont="1" applyFill="1" applyBorder="1" applyAlignment="1">
      <alignment horizontal="center" vertical="center"/>
    </xf>
    <xf numFmtId="2" fontId="17206" fillId="8" borderId="1" xfId="0" applyNumberFormat="1" applyFont="1" applyFill="1" applyBorder="1" applyAlignment="1">
      <alignment horizontal="center" vertical="center"/>
    </xf>
    <xf numFmtId="2" fontId="17207" fillId="8" borderId="1" xfId="0" applyNumberFormat="1" applyFont="1" applyFill="1" applyBorder="1" applyAlignment="1">
      <alignment horizontal="center" vertical="center"/>
    </xf>
    <xf numFmtId="2" fontId="17208" fillId="8" borderId="1" xfId="0" applyNumberFormat="1" applyFont="1" applyFill="1" applyBorder="1" applyAlignment="1">
      <alignment horizontal="center" vertical="center"/>
    </xf>
    <xf numFmtId="2" fontId="17209" fillId="8" borderId="1" xfId="0" applyNumberFormat="1" applyFont="1" applyFill="1" applyBorder="1" applyAlignment="1">
      <alignment horizontal="center" vertical="center"/>
    </xf>
    <xf numFmtId="2" fontId="17210" fillId="8" borderId="1" xfId="0" applyNumberFormat="1" applyFont="1" applyFill="1" applyBorder="1" applyAlignment="1">
      <alignment horizontal="center" vertical="center"/>
    </xf>
    <xf numFmtId="2" fontId="17211" fillId="8" borderId="1" xfId="0" applyNumberFormat="1" applyFont="1" applyFill="1" applyBorder="1" applyAlignment="1">
      <alignment horizontal="center" vertical="center"/>
    </xf>
    <xf numFmtId="2" fontId="17212" fillId="8" borderId="1" xfId="0" applyNumberFormat="1" applyFont="1" applyFill="1" applyBorder="1" applyAlignment="1">
      <alignment horizontal="center" vertical="center"/>
    </xf>
    <xf numFmtId="2" fontId="17213" fillId="8" borderId="1" xfId="0" applyNumberFormat="1" applyFont="1" applyFill="1" applyBorder="1" applyAlignment="1">
      <alignment horizontal="center" vertical="center"/>
    </xf>
    <xf numFmtId="2" fontId="17214" fillId="8" borderId="1" xfId="0" applyNumberFormat="1" applyFont="1" applyFill="1" applyBorder="1" applyAlignment="1">
      <alignment horizontal="center" vertical="center"/>
    </xf>
    <xf numFmtId="2" fontId="17215" fillId="8" borderId="1" xfId="0" applyNumberFormat="1" applyFont="1" applyFill="1" applyBorder="1" applyAlignment="1">
      <alignment horizontal="center" vertical="center"/>
    </xf>
    <xf numFmtId="2" fontId="17216" fillId="8" borderId="1" xfId="0" applyNumberFormat="1" applyFont="1" applyFill="1" applyBorder="1" applyAlignment="1">
      <alignment horizontal="center" vertical="center"/>
    </xf>
    <xf numFmtId="2" fontId="17217" fillId="8" borderId="1" xfId="0" applyNumberFormat="1" applyFont="1" applyFill="1" applyBorder="1" applyAlignment="1">
      <alignment horizontal="center" vertical="center"/>
    </xf>
    <xf numFmtId="2" fontId="17218" fillId="8" borderId="1" xfId="0" applyNumberFormat="1" applyFont="1" applyFill="1" applyBorder="1" applyAlignment="1">
      <alignment horizontal="center" vertical="center"/>
    </xf>
    <xf numFmtId="2" fontId="17219" fillId="8" borderId="1" xfId="0" applyNumberFormat="1" applyFont="1" applyFill="1" applyBorder="1" applyAlignment="1">
      <alignment horizontal="center" vertical="center"/>
    </xf>
    <xf numFmtId="2" fontId="17220" fillId="8" borderId="1" xfId="0" applyNumberFormat="1" applyFont="1" applyFill="1" applyBorder="1" applyAlignment="1">
      <alignment horizontal="center" vertical="center"/>
    </xf>
    <xf numFmtId="2" fontId="17221" fillId="8" borderId="1" xfId="0" applyNumberFormat="1" applyFont="1" applyFill="1" applyBorder="1" applyAlignment="1">
      <alignment horizontal="center" vertical="center"/>
    </xf>
    <xf numFmtId="2" fontId="17222" fillId="8" borderId="1" xfId="0" applyNumberFormat="1" applyFont="1" applyFill="1" applyBorder="1" applyAlignment="1">
      <alignment horizontal="center" vertical="center"/>
    </xf>
    <xf numFmtId="2" fontId="17223" fillId="8" borderId="1" xfId="0" applyNumberFormat="1" applyFont="1" applyFill="1" applyBorder="1" applyAlignment="1">
      <alignment horizontal="center" vertical="center"/>
    </xf>
    <xf numFmtId="2" fontId="17224" fillId="8" borderId="1" xfId="0" applyNumberFormat="1" applyFont="1" applyFill="1" applyBorder="1" applyAlignment="1">
      <alignment horizontal="center" vertical="center"/>
    </xf>
    <xf numFmtId="2" fontId="17225" fillId="8" borderId="1" xfId="0" applyNumberFormat="1" applyFont="1" applyFill="1" applyBorder="1" applyAlignment="1">
      <alignment horizontal="center" vertical="center"/>
    </xf>
    <xf numFmtId="2" fontId="17226" fillId="8" borderId="1" xfId="0" applyNumberFormat="1" applyFont="1" applyFill="1" applyBorder="1" applyAlignment="1">
      <alignment horizontal="center" vertical="center"/>
    </xf>
    <xf numFmtId="2" fontId="17227" fillId="8" borderId="1" xfId="0" applyNumberFormat="1" applyFont="1" applyFill="1" applyBorder="1" applyAlignment="1">
      <alignment horizontal="center" vertical="center"/>
    </xf>
    <xf numFmtId="2" fontId="17228" fillId="8" borderId="1" xfId="0" applyNumberFormat="1" applyFont="1" applyFill="1" applyBorder="1" applyAlignment="1">
      <alignment horizontal="center" vertical="center"/>
    </xf>
    <xf numFmtId="2" fontId="17229" fillId="8" borderId="1" xfId="0" applyNumberFormat="1" applyFont="1" applyFill="1" applyBorder="1" applyAlignment="1">
      <alignment horizontal="center" vertical="center"/>
    </xf>
    <xf numFmtId="2" fontId="17230" fillId="8" borderId="1" xfId="0" applyNumberFormat="1" applyFont="1" applyFill="1" applyBorder="1" applyAlignment="1">
      <alignment horizontal="center" vertical="center"/>
    </xf>
    <xf numFmtId="2" fontId="17231" fillId="8" borderId="1" xfId="0" applyNumberFormat="1" applyFont="1" applyFill="1" applyBorder="1" applyAlignment="1">
      <alignment horizontal="center" vertical="center"/>
    </xf>
    <xf numFmtId="2" fontId="17232" fillId="8" borderId="1" xfId="0" applyNumberFormat="1" applyFont="1" applyFill="1" applyBorder="1" applyAlignment="1">
      <alignment horizontal="center" vertical="center"/>
    </xf>
    <xf numFmtId="2" fontId="17233" fillId="8" borderId="1" xfId="0" applyNumberFormat="1" applyFont="1" applyFill="1" applyBorder="1" applyAlignment="1">
      <alignment horizontal="center" vertical="center"/>
    </xf>
    <xf numFmtId="2" fontId="17234" fillId="8" borderId="1" xfId="0" applyNumberFormat="1" applyFont="1" applyFill="1" applyBorder="1" applyAlignment="1">
      <alignment horizontal="center" vertical="center"/>
    </xf>
    <xf numFmtId="2" fontId="17235" fillId="8" borderId="1" xfId="0" applyNumberFormat="1" applyFont="1" applyFill="1" applyBorder="1" applyAlignment="1">
      <alignment horizontal="center" vertical="center"/>
    </xf>
    <xf numFmtId="2" fontId="17236" fillId="8" borderId="1" xfId="0" applyNumberFormat="1" applyFont="1" applyFill="1" applyBorder="1" applyAlignment="1">
      <alignment horizontal="center" vertical="center"/>
    </xf>
    <xf numFmtId="2" fontId="17237" fillId="8" borderId="1" xfId="0" applyNumberFormat="1" applyFont="1" applyFill="1" applyBorder="1" applyAlignment="1">
      <alignment horizontal="center" vertical="center"/>
    </xf>
    <xf numFmtId="2" fontId="17238" fillId="8" borderId="1" xfId="0" applyNumberFormat="1" applyFont="1" applyFill="1" applyBorder="1" applyAlignment="1">
      <alignment horizontal="center" vertical="center"/>
    </xf>
    <xf numFmtId="0" fontId="17239" fillId="7" borderId="1" xfId="0" applyNumberFormat="1" applyFont="1" applyFill="1" applyBorder="1" applyAlignment="1">
      <alignment horizontal="left" vertical="center"/>
    </xf>
    <xf numFmtId="0" fontId="17240" fillId="8" borderId="1" xfId="0" applyNumberFormat="1" applyFont="1" applyFill="1" applyBorder="1" applyAlignment="1">
      <alignment horizontal="center" vertical="center"/>
    </xf>
    <xf numFmtId="164" fontId="17241" fillId="8" borderId="1" xfId="0" applyNumberFormat="1" applyFont="1" applyFill="1" applyBorder="1" applyAlignment="1">
      <alignment horizontal="center" vertical="center"/>
    </xf>
    <xf numFmtId="1" fontId="17242" fillId="8" borderId="1" xfId="0" applyNumberFormat="1" applyFont="1" applyFill="1" applyBorder="1" applyAlignment="1">
      <alignment horizontal="center" vertical="center"/>
    </xf>
    <xf numFmtId="1" fontId="17243" fillId="8" borderId="1" xfId="0" applyNumberFormat="1" applyFont="1" applyFill="1" applyBorder="1" applyAlignment="1">
      <alignment horizontal="center" vertical="center"/>
    </xf>
    <xf numFmtId="1" fontId="17244" fillId="8" borderId="1" xfId="0" applyNumberFormat="1" applyFont="1" applyFill="1" applyBorder="1" applyAlignment="1">
      <alignment horizontal="center" vertical="center"/>
    </xf>
    <xf numFmtId="1" fontId="17245" fillId="8" borderId="1" xfId="0" applyNumberFormat="1" applyFont="1" applyFill="1" applyBorder="1" applyAlignment="1">
      <alignment horizontal="center" vertical="center"/>
    </xf>
    <xf numFmtId="1" fontId="17246" fillId="8" borderId="1" xfId="0" applyNumberFormat="1" applyFont="1" applyFill="1" applyBorder="1" applyAlignment="1">
      <alignment horizontal="center" vertical="center"/>
    </xf>
    <xf numFmtId="1" fontId="17247" fillId="8" borderId="1" xfId="0" applyNumberFormat="1" applyFont="1" applyFill="1" applyBorder="1" applyAlignment="1">
      <alignment horizontal="center" vertical="center"/>
    </xf>
    <xf numFmtId="1" fontId="17248" fillId="8" borderId="1" xfId="0" applyNumberFormat="1" applyFont="1" applyFill="1" applyBorder="1" applyAlignment="1">
      <alignment horizontal="center" vertical="center"/>
    </xf>
    <xf numFmtId="0" fontId="17249" fillId="8" borderId="1" xfId="0" applyNumberFormat="1" applyFont="1" applyFill="1" applyBorder="1" applyAlignment="1">
      <alignment horizontal="center" vertical="center"/>
    </xf>
    <xf numFmtId="0" fontId="17250" fillId="8" borderId="1" xfId="0" applyNumberFormat="1" applyFont="1" applyFill="1" applyBorder="1" applyAlignment="1">
      <alignment horizontal="center" vertical="center"/>
    </xf>
    <xf numFmtId="1" fontId="17251" fillId="8" borderId="1" xfId="0" applyNumberFormat="1" applyFont="1" applyFill="1" applyBorder="1" applyAlignment="1">
      <alignment horizontal="center" vertical="center"/>
    </xf>
    <xf numFmtId="1" fontId="17252" fillId="8" borderId="1" xfId="0" applyNumberFormat="1" applyFont="1" applyFill="1" applyBorder="1" applyAlignment="1">
      <alignment horizontal="center" vertical="center"/>
    </xf>
    <xf numFmtId="1" fontId="17253" fillId="8" borderId="1" xfId="0" applyNumberFormat="1" applyFont="1" applyFill="1" applyBorder="1" applyAlignment="1">
      <alignment horizontal="center" vertical="center"/>
    </xf>
    <xf numFmtId="165" fontId="17254" fillId="8" borderId="1" xfId="0" applyNumberFormat="1" applyFont="1" applyFill="1" applyBorder="1" applyAlignment="1">
      <alignment horizontal="center" vertical="center"/>
    </xf>
    <xf numFmtId="1" fontId="17255" fillId="8" borderId="1" xfId="0" applyNumberFormat="1" applyFont="1" applyFill="1" applyBorder="1" applyAlignment="1">
      <alignment horizontal="center" vertical="center"/>
    </xf>
    <xf numFmtId="165" fontId="17256" fillId="8" borderId="1" xfId="0" applyNumberFormat="1" applyFont="1" applyFill="1" applyBorder="1" applyAlignment="1">
      <alignment horizontal="center" vertical="center"/>
    </xf>
    <xf numFmtId="1" fontId="17257" fillId="8" borderId="1" xfId="0" applyNumberFormat="1" applyFont="1" applyFill="1" applyBorder="1" applyAlignment="1">
      <alignment horizontal="center" vertical="center"/>
    </xf>
    <xf numFmtId="165" fontId="17258" fillId="8" borderId="1" xfId="0" applyNumberFormat="1" applyFont="1" applyFill="1" applyBorder="1" applyAlignment="1">
      <alignment horizontal="center" vertical="center"/>
    </xf>
    <xf numFmtId="1" fontId="17259" fillId="8" borderId="1" xfId="0" applyNumberFormat="1" applyFont="1" applyFill="1" applyBorder="1" applyAlignment="1">
      <alignment horizontal="center" vertical="center"/>
    </xf>
    <xf numFmtId="165" fontId="17260" fillId="8" borderId="1" xfId="0" applyNumberFormat="1" applyFont="1" applyFill="1" applyBorder="1" applyAlignment="1">
      <alignment horizontal="center" vertical="center"/>
    </xf>
    <xf numFmtId="165" fontId="17261" fillId="8" borderId="1" xfId="0" applyNumberFormat="1" applyFont="1" applyFill="1" applyBorder="1" applyAlignment="1">
      <alignment horizontal="center" vertical="center"/>
    </xf>
    <xf numFmtId="1" fontId="17262" fillId="8" borderId="1" xfId="0" applyNumberFormat="1" applyFont="1" applyFill="1" applyBorder="1" applyAlignment="1">
      <alignment horizontal="center" vertical="center"/>
    </xf>
    <xf numFmtId="1" fontId="17263" fillId="8" borderId="1" xfId="0" applyNumberFormat="1" applyFont="1" applyFill="1" applyBorder="1" applyAlignment="1">
      <alignment horizontal="center" vertical="center"/>
    </xf>
    <xf numFmtId="1" fontId="17264" fillId="8" borderId="1" xfId="0" applyNumberFormat="1" applyFont="1" applyFill="1" applyBorder="1" applyAlignment="1">
      <alignment horizontal="center" vertical="center"/>
    </xf>
    <xf numFmtId="165" fontId="17265" fillId="8" borderId="1" xfId="0" applyNumberFormat="1" applyFont="1" applyFill="1" applyBorder="1" applyAlignment="1">
      <alignment horizontal="center" vertical="center"/>
    </xf>
    <xf numFmtId="164" fontId="17266" fillId="8" borderId="1" xfId="0" applyNumberFormat="1" applyFont="1" applyFill="1" applyBorder="1" applyAlignment="1">
      <alignment horizontal="center" vertical="center"/>
    </xf>
    <xf numFmtId="164" fontId="17267" fillId="8" borderId="1" xfId="0" applyNumberFormat="1" applyFont="1" applyFill="1" applyBorder="1" applyAlignment="1">
      <alignment horizontal="center" vertical="center"/>
    </xf>
    <xf numFmtId="1" fontId="17268" fillId="8" borderId="1" xfId="0" applyNumberFormat="1" applyFont="1" applyFill="1" applyBorder="1" applyAlignment="1">
      <alignment horizontal="center" vertical="center"/>
    </xf>
    <xf numFmtId="1" fontId="17269" fillId="8" borderId="1" xfId="0" applyNumberFormat="1" applyFont="1" applyFill="1" applyBorder="1" applyAlignment="1">
      <alignment horizontal="center" vertical="center"/>
    </xf>
    <xf numFmtId="1" fontId="17270" fillId="8" borderId="1" xfId="0" applyNumberFormat="1" applyFont="1" applyFill="1" applyBorder="1" applyAlignment="1">
      <alignment horizontal="center" vertical="center"/>
    </xf>
    <xf numFmtId="165" fontId="17271" fillId="8" borderId="1" xfId="0" applyNumberFormat="1" applyFont="1" applyFill="1" applyBorder="1" applyAlignment="1">
      <alignment horizontal="center" vertical="center"/>
    </xf>
    <xf numFmtId="1" fontId="17272" fillId="8" borderId="1" xfId="0" applyNumberFormat="1" applyFont="1" applyFill="1" applyBorder="1" applyAlignment="1">
      <alignment horizontal="center" vertical="center"/>
    </xf>
    <xf numFmtId="165" fontId="17273" fillId="8" borderId="1" xfId="0" applyNumberFormat="1" applyFont="1" applyFill="1" applyBorder="1" applyAlignment="1">
      <alignment horizontal="center" vertical="center"/>
    </xf>
    <xf numFmtId="1" fontId="17274" fillId="8" borderId="1" xfId="0" applyNumberFormat="1" applyFont="1" applyFill="1" applyBorder="1" applyAlignment="1">
      <alignment horizontal="center" vertical="center"/>
    </xf>
    <xf numFmtId="1" fontId="17275" fillId="8" borderId="1" xfId="0" applyNumberFormat="1" applyFont="1" applyFill="1" applyBorder="1" applyAlignment="1">
      <alignment horizontal="center" vertical="center"/>
    </xf>
    <xf numFmtId="1" fontId="17276" fillId="8" borderId="1" xfId="0" applyNumberFormat="1" applyFont="1" applyFill="1" applyBorder="1" applyAlignment="1">
      <alignment horizontal="center" vertical="center"/>
    </xf>
    <xf numFmtId="1" fontId="17277" fillId="8" borderId="1" xfId="0" applyNumberFormat="1" applyFont="1" applyFill="1" applyBorder="1" applyAlignment="1">
      <alignment horizontal="center" vertical="center"/>
    </xf>
    <xf numFmtId="165" fontId="17278" fillId="8" borderId="1" xfId="0" applyNumberFormat="1" applyFont="1" applyFill="1" applyBorder="1" applyAlignment="1">
      <alignment horizontal="center" vertical="center"/>
    </xf>
    <xf numFmtId="1" fontId="17279" fillId="8" borderId="1" xfId="0" applyNumberFormat="1" applyFont="1" applyFill="1" applyBorder="1" applyAlignment="1">
      <alignment horizontal="center" vertical="center"/>
    </xf>
    <xf numFmtId="165" fontId="17280" fillId="8" borderId="1" xfId="0" applyNumberFormat="1" applyFont="1" applyFill="1" applyBorder="1" applyAlignment="1">
      <alignment horizontal="center" vertical="center"/>
    </xf>
    <xf numFmtId="1" fontId="17281" fillId="8" borderId="1" xfId="0" applyNumberFormat="1" applyFont="1" applyFill="1" applyBorder="1" applyAlignment="1">
      <alignment horizontal="center" vertical="center"/>
    </xf>
    <xf numFmtId="165" fontId="17282" fillId="8" borderId="1" xfId="0" applyNumberFormat="1" applyFont="1" applyFill="1" applyBorder="1" applyAlignment="1">
      <alignment horizontal="center" vertical="center"/>
    </xf>
    <xf numFmtId="2" fontId="17283" fillId="8" borderId="1" xfId="0" applyNumberFormat="1" applyFont="1" applyFill="1" applyBorder="1" applyAlignment="1">
      <alignment horizontal="center" vertical="center"/>
    </xf>
    <xf numFmtId="2" fontId="17284" fillId="8" borderId="1" xfId="0" applyNumberFormat="1" applyFont="1" applyFill="1" applyBorder="1" applyAlignment="1">
      <alignment horizontal="center" vertical="center"/>
    </xf>
    <xf numFmtId="2" fontId="17285" fillId="8" borderId="1" xfId="0" applyNumberFormat="1" applyFont="1" applyFill="1" applyBorder="1" applyAlignment="1">
      <alignment horizontal="center" vertical="center"/>
    </xf>
    <xf numFmtId="2" fontId="17286" fillId="8" borderId="1" xfId="0" applyNumberFormat="1" applyFont="1" applyFill="1" applyBorder="1" applyAlignment="1">
      <alignment horizontal="center" vertical="center"/>
    </xf>
    <xf numFmtId="2" fontId="17287" fillId="8" borderId="1" xfId="0" applyNumberFormat="1" applyFont="1" applyFill="1" applyBorder="1" applyAlignment="1">
      <alignment horizontal="center" vertical="center"/>
    </xf>
    <xf numFmtId="2" fontId="17288" fillId="8" borderId="1" xfId="0" applyNumberFormat="1" applyFont="1" applyFill="1" applyBorder="1" applyAlignment="1">
      <alignment horizontal="center" vertical="center"/>
    </xf>
    <xf numFmtId="2" fontId="17289" fillId="8" borderId="1" xfId="0" applyNumberFormat="1" applyFont="1" applyFill="1" applyBorder="1" applyAlignment="1">
      <alignment horizontal="center" vertical="center"/>
    </xf>
    <xf numFmtId="2" fontId="17290" fillId="8" borderId="1" xfId="0" applyNumberFormat="1" applyFont="1" applyFill="1" applyBorder="1" applyAlignment="1">
      <alignment horizontal="center" vertical="center"/>
    </xf>
    <xf numFmtId="2" fontId="17291" fillId="8" borderId="1" xfId="0" applyNumberFormat="1" applyFont="1" applyFill="1" applyBorder="1" applyAlignment="1">
      <alignment horizontal="center" vertical="center"/>
    </xf>
    <xf numFmtId="2" fontId="17292" fillId="8" borderId="1" xfId="0" applyNumberFormat="1" applyFont="1" applyFill="1" applyBorder="1" applyAlignment="1">
      <alignment horizontal="center" vertical="center"/>
    </xf>
    <xf numFmtId="2" fontId="17293" fillId="8" borderId="1" xfId="0" applyNumberFormat="1" applyFont="1" applyFill="1" applyBorder="1" applyAlignment="1">
      <alignment horizontal="center" vertical="center"/>
    </xf>
    <xf numFmtId="2" fontId="17294" fillId="8" borderId="1" xfId="0" applyNumberFormat="1" applyFont="1" applyFill="1" applyBorder="1" applyAlignment="1">
      <alignment horizontal="center" vertical="center"/>
    </xf>
    <xf numFmtId="2" fontId="17295" fillId="8" borderId="1" xfId="0" applyNumberFormat="1" applyFont="1" applyFill="1" applyBorder="1" applyAlignment="1">
      <alignment horizontal="center" vertical="center"/>
    </xf>
    <xf numFmtId="2" fontId="17296" fillId="8" borderId="1" xfId="0" applyNumberFormat="1" applyFont="1" applyFill="1" applyBorder="1" applyAlignment="1">
      <alignment horizontal="center" vertical="center"/>
    </xf>
    <xf numFmtId="2" fontId="17297" fillId="8" borderId="1" xfId="0" applyNumberFormat="1" applyFont="1" applyFill="1" applyBorder="1" applyAlignment="1">
      <alignment horizontal="center" vertical="center"/>
    </xf>
    <xf numFmtId="2" fontId="17298" fillId="8" borderId="1" xfId="0" applyNumberFormat="1" applyFont="1" applyFill="1" applyBorder="1" applyAlignment="1">
      <alignment horizontal="center" vertical="center"/>
    </xf>
    <xf numFmtId="2" fontId="17299" fillId="8" borderId="1" xfId="0" applyNumberFormat="1" applyFont="1" applyFill="1" applyBorder="1" applyAlignment="1">
      <alignment horizontal="center" vertical="center"/>
    </xf>
    <xf numFmtId="2" fontId="17300" fillId="8" borderId="1" xfId="0" applyNumberFormat="1" applyFont="1" applyFill="1" applyBorder="1" applyAlignment="1">
      <alignment horizontal="center" vertical="center"/>
    </xf>
    <xf numFmtId="2" fontId="17301" fillId="8" borderId="1" xfId="0" applyNumberFormat="1" applyFont="1" applyFill="1" applyBorder="1" applyAlignment="1">
      <alignment horizontal="center" vertical="center"/>
    </xf>
    <xf numFmtId="2" fontId="17302" fillId="8" borderId="1" xfId="0" applyNumberFormat="1" applyFont="1" applyFill="1" applyBorder="1" applyAlignment="1">
      <alignment horizontal="center" vertical="center"/>
    </xf>
    <xf numFmtId="2" fontId="17303" fillId="8" borderId="1" xfId="0" applyNumberFormat="1" applyFont="1" applyFill="1" applyBorder="1" applyAlignment="1">
      <alignment horizontal="center" vertical="center"/>
    </xf>
    <xf numFmtId="2" fontId="17304" fillId="8" borderId="1" xfId="0" applyNumberFormat="1" applyFont="1" applyFill="1" applyBorder="1" applyAlignment="1">
      <alignment horizontal="center" vertical="center"/>
    </xf>
    <xf numFmtId="2" fontId="17305" fillId="8" borderId="1" xfId="0" applyNumberFormat="1" applyFont="1" applyFill="1" applyBorder="1" applyAlignment="1">
      <alignment horizontal="center" vertical="center"/>
    </xf>
    <xf numFmtId="2" fontId="17306" fillId="8" borderId="1" xfId="0" applyNumberFormat="1" applyFont="1" applyFill="1" applyBorder="1" applyAlignment="1">
      <alignment horizontal="center" vertical="center"/>
    </xf>
    <xf numFmtId="2" fontId="17307" fillId="8" borderId="1" xfId="0" applyNumberFormat="1" applyFont="1" applyFill="1" applyBorder="1" applyAlignment="1">
      <alignment horizontal="center" vertical="center"/>
    </xf>
    <xf numFmtId="2" fontId="17308" fillId="8" borderId="1" xfId="0" applyNumberFormat="1" applyFont="1" applyFill="1" applyBorder="1" applyAlignment="1">
      <alignment horizontal="center" vertical="center"/>
    </xf>
    <xf numFmtId="2" fontId="17309" fillId="8" borderId="1" xfId="0" applyNumberFormat="1" applyFont="1" applyFill="1" applyBorder="1" applyAlignment="1">
      <alignment horizontal="center" vertical="center"/>
    </xf>
    <xf numFmtId="2" fontId="17310" fillId="8" borderId="1" xfId="0" applyNumberFormat="1" applyFont="1" applyFill="1" applyBorder="1" applyAlignment="1">
      <alignment horizontal="center" vertical="center"/>
    </xf>
    <xf numFmtId="2" fontId="17311" fillId="8" borderId="1" xfId="0" applyNumberFormat="1" applyFont="1" applyFill="1" applyBorder="1" applyAlignment="1">
      <alignment horizontal="center" vertical="center"/>
    </xf>
    <xf numFmtId="2" fontId="17312" fillId="8" borderId="1" xfId="0" applyNumberFormat="1" applyFont="1" applyFill="1" applyBorder="1" applyAlignment="1">
      <alignment horizontal="center" vertical="center"/>
    </xf>
    <xf numFmtId="2" fontId="17313" fillId="8" borderId="1" xfId="0" applyNumberFormat="1" applyFont="1" applyFill="1" applyBorder="1" applyAlignment="1">
      <alignment horizontal="center" vertical="center"/>
    </xf>
    <xf numFmtId="2" fontId="17314" fillId="8" borderId="1" xfId="0" applyNumberFormat="1" applyFont="1" applyFill="1" applyBorder="1" applyAlignment="1">
      <alignment horizontal="center" vertical="center"/>
    </xf>
    <xf numFmtId="2" fontId="17315" fillId="8" borderId="1" xfId="0" applyNumberFormat="1" applyFont="1" applyFill="1" applyBorder="1" applyAlignment="1">
      <alignment horizontal="center" vertical="center"/>
    </xf>
    <xf numFmtId="2" fontId="17316" fillId="8" borderId="1" xfId="0" applyNumberFormat="1" applyFont="1" applyFill="1" applyBorder="1" applyAlignment="1">
      <alignment horizontal="center" vertical="center"/>
    </xf>
    <xf numFmtId="0" fontId="17317" fillId="7" borderId="1" xfId="0" applyNumberFormat="1" applyFont="1" applyFill="1" applyBorder="1" applyAlignment="1">
      <alignment horizontal="left" vertical="center"/>
    </xf>
    <xf numFmtId="0" fontId="17318" fillId="8" borderId="1" xfId="0" applyNumberFormat="1" applyFont="1" applyFill="1" applyBorder="1" applyAlignment="1">
      <alignment horizontal="center" vertical="center"/>
    </xf>
    <xf numFmtId="164" fontId="17319" fillId="8" borderId="1" xfId="0" applyNumberFormat="1" applyFont="1" applyFill="1" applyBorder="1" applyAlignment="1">
      <alignment horizontal="center" vertical="center"/>
    </xf>
    <xf numFmtId="1" fontId="17320" fillId="8" borderId="1" xfId="0" applyNumberFormat="1" applyFont="1" applyFill="1" applyBorder="1" applyAlignment="1">
      <alignment horizontal="center" vertical="center"/>
    </xf>
    <xf numFmtId="1" fontId="17321" fillId="8" borderId="1" xfId="0" applyNumberFormat="1" applyFont="1" applyFill="1" applyBorder="1" applyAlignment="1">
      <alignment horizontal="center" vertical="center"/>
    </xf>
    <xf numFmtId="1" fontId="17322" fillId="8" borderId="1" xfId="0" applyNumberFormat="1" applyFont="1" applyFill="1" applyBorder="1" applyAlignment="1">
      <alignment horizontal="center" vertical="center"/>
    </xf>
    <xf numFmtId="1" fontId="17323" fillId="8" borderId="1" xfId="0" applyNumberFormat="1" applyFont="1" applyFill="1" applyBorder="1" applyAlignment="1">
      <alignment horizontal="center" vertical="center"/>
    </xf>
    <xf numFmtId="1" fontId="17324" fillId="8" borderId="1" xfId="0" applyNumberFormat="1" applyFont="1" applyFill="1" applyBorder="1" applyAlignment="1">
      <alignment horizontal="center" vertical="center"/>
    </xf>
    <xf numFmtId="1" fontId="17325" fillId="8" borderId="1" xfId="0" applyNumberFormat="1" applyFont="1" applyFill="1" applyBorder="1" applyAlignment="1">
      <alignment horizontal="center" vertical="center"/>
    </xf>
    <xf numFmtId="1" fontId="17326" fillId="8" borderId="1" xfId="0" applyNumberFormat="1" applyFont="1" applyFill="1" applyBorder="1" applyAlignment="1">
      <alignment horizontal="center" vertical="center"/>
    </xf>
    <xf numFmtId="0" fontId="17327" fillId="8" borderId="1" xfId="0" applyNumberFormat="1" applyFont="1" applyFill="1" applyBorder="1" applyAlignment="1">
      <alignment horizontal="center" vertical="center"/>
    </xf>
    <xf numFmtId="0" fontId="17328" fillId="8" borderId="1" xfId="0" applyNumberFormat="1" applyFont="1" applyFill="1" applyBorder="1" applyAlignment="1">
      <alignment horizontal="center" vertical="center"/>
    </xf>
    <xf numFmtId="1" fontId="17329" fillId="8" borderId="1" xfId="0" applyNumberFormat="1" applyFont="1" applyFill="1" applyBorder="1" applyAlignment="1">
      <alignment horizontal="center" vertical="center"/>
    </xf>
    <xf numFmtId="1" fontId="17330" fillId="8" borderId="1" xfId="0" applyNumberFormat="1" applyFont="1" applyFill="1" applyBorder="1" applyAlignment="1">
      <alignment horizontal="center" vertical="center"/>
    </xf>
    <xf numFmtId="1" fontId="17331" fillId="8" borderId="1" xfId="0" applyNumberFormat="1" applyFont="1" applyFill="1" applyBorder="1" applyAlignment="1">
      <alignment horizontal="center" vertical="center"/>
    </xf>
    <xf numFmtId="165" fontId="17332" fillId="8" borderId="1" xfId="0" applyNumberFormat="1" applyFont="1" applyFill="1" applyBorder="1" applyAlignment="1">
      <alignment horizontal="center" vertical="center"/>
    </xf>
    <xf numFmtId="1" fontId="17333" fillId="8" borderId="1" xfId="0" applyNumberFormat="1" applyFont="1" applyFill="1" applyBorder="1" applyAlignment="1">
      <alignment horizontal="center" vertical="center"/>
    </xf>
    <xf numFmtId="165" fontId="17334" fillId="8" borderId="1" xfId="0" applyNumberFormat="1" applyFont="1" applyFill="1" applyBorder="1" applyAlignment="1">
      <alignment horizontal="center" vertical="center"/>
    </xf>
    <xf numFmtId="1" fontId="17335" fillId="8" borderId="1" xfId="0" applyNumberFormat="1" applyFont="1" applyFill="1" applyBorder="1" applyAlignment="1">
      <alignment horizontal="center" vertical="center"/>
    </xf>
    <xf numFmtId="165" fontId="17336" fillId="8" borderId="1" xfId="0" applyNumberFormat="1" applyFont="1" applyFill="1" applyBorder="1" applyAlignment="1">
      <alignment horizontal="center" vertical="center"/>
    </xf>
    <xf numFmtId="1" fontId="17337" fillId="8" borderId="1" xfId="0" applyNumberFormat="1" applyFont="1" applyFill="1" applyBorder="1" applyAlignment="1">
      <alignment horizontal="center" vertical="center"/>
    </xf>
    <xf numFmtId="165" fontId="17338" fillId="8" borderId="1" xfId="0" applyNumberFormat="1" applyFont="1" applyFill="1" applyBorder="1" applyAlignment="1">
      <alignment horizontal="center" vertical="center"/>
    </xf>
    <xf numFmtId="165" fontId="17339" fillId="8" borderId="1" xfId="0" applyNumberFormat="1" applyFont="1" applyFill="1" applyBorder="1" applyAlignment="1">
      <alignment horizontal="center" vertical="center"/>
    </xf>
    <xf numFmtId="1" fontId="17340" fillId="8" borderId="1" xfId="0" applyNumberFormat="1" applyFont="1" applyFill="1" applyBorder="1" applyAlignment="1">
      <alignment horizontal="center" vertical="center"/>
    </xf>
    <xf numFmtId="1" fontId="17341" fillId="8" borderId="1" xfId="0" applyNumberFormat="1" applyFont="1" applyFill="1" applyBorder="1" applyAlignment="1">
      <alignment horizontal="center" vertical="center"/>
    </xf>
    <xf numFmtId="1" fontId="17342" fillId="8" borderId="1" xfId="0" applyNumberFormat="1" applyFont="1" applyFill="1" applyBorder="1" applyAlignment="1">
      <alignment horizontal="center" vertical="center"/>
    </xf>
    <xf numFmtId="165" fontId="17343" fillId="8" borderId="1" xfId="0" applyNumberFormat="1" applyFont="1" applyFill="1" applyBorder="1" applyAlignment="1">
      <alignment horizontal="center" vertical="center"/>
    </xf>
    <xf numFmtId="164" fontId="17344" fillId="8" borderId="1" xfId="0" applyNumberFormat="1" applyFont="1" applyFill="1" applyBorder="1" applyAlignment="1">
      <alignment horizontal="center" vertical="center"/>
    </xf>
    <xf numFmtId="164" fontId="17345" fillId="8" borderId="1" xfId="0" applyNumberFormat="1" applyFont="1" applyFill="1" applyBorder="1" applyAlignment="1">
      <alignment horizontal="center" vertical="center"/>
    </xf>
    <xf numFmtId="1" fontId="17346" fillId="8" borderId="1" xfId="0" applyNumberFormat="1" applyFont="1" applyFill="1" applyBorder="1" applyAlignment="1">
      <alignment horizontal="center" vertical="center"/>
    </xf>
    <xf numFmtId="1" fontId="17347" fillId="8" borderId="1" xfId="0" applyNumberFormat="1" applyFont="1" applyFill="1" applyBorder="1" applyAlignment="1">
      <alignment horizontal="center" vertical="center"/>
    </xf>
    <xf numFmtId="1" fontId="17348" fillId="8" borderId="1" xfId="0" applyNumberFormat="1" applyFont="1" applyFill="1" applyBorder="1" applyAlignment="1">
      <alignment horizontal="center" vertical="center"/>
    </xf>
    <xf numFmtId="165" fontId="17349" fillId="8" borderId="1" xfId="0" applyNumberFormat="1" applyFont="1" applyFill="1" applyBorder="1" applyAlignment="1">
      <alignment horizontal="center" vertical="center"/>
    </xf>
    <xf numFmtId="1" fontId="17350" fillId="8" borderId="1" xfId="0" applyNumberFormat="1" applyFont="1" applyFill="1" applyBorder="1" applyAlignment="1">
      <alignment horizontal="center" vertical="center"/>
    </xf>
    <xf numFmtId="165" fontId="17351" fillId="8" borderId="1" xfId="0" applyNumberFormat="1" applyFont="1" applyFill="1" applyBorder="1" applyAlignment="1">
      <alignment horizontal="center" vertical="center"/>
    </xf>
    <xf numFmtId="1" fontId="17352" fillId="8" borderId="1" xfId="0" applyNumberFormat="1" applyFont="1" applyFill="1" applyBorder="1" applyAlignment="1">
      <alignment horizontal="center" vertical="center"/>
    </xf>
    <xf numFmtId="1" fontId="17353" fillId="8" borderId="1" xfId="0" applyNumberFormat="1" applyFont="1" applyFill="1" applyBorder="1" applyAlignment="1">
      <alignment horizontal="center" vertical="center"/>
    </xf>
    <xf numFmtId="1" fontId="17354" fillId="8" borderId="1" xfId="0" applyNumberFormat="1" applyFont="1" applyFill="1" applyBorder="1" applyAlignment="1">
      <alignment horizontal="center" vertical="center"/>
    </xf>
    <xf numFmtId="1" fontId="17355" fillId="8" borderId="1" xfId="0" applyNumberFormat="1" applyFont="1" applyFill="1" applyBorder="1" applyAlignment="1">
      <alignment horizontal="center" vertical="center"/>
    </xf>
    <xf numFmtId="165" fontId="17356" fillId="8" borderId="1" xfId="0" applyNumberFormat="1" applyFont="1" applyFill="1" applyBorder="1" applyAlignment="1">
      <alignment horizontal="center" vertical="center"/>
    </xf>
    <xf numFmtId="1" fontId="17357" fillId="8" borderId="1" xfId="0" applyNumberFormat="1" applyFont="1" applyFill="1" applyBorder="1" applyAlignment="1">
      <alignment horizontal="center" vertical="center"/>
    </xf>
    <xf numFmtId="165" fontId="17358" fillId="8" borderId="1" xfId="0" applyNumberFormat="1" applyFont="1" applyFill="1" applyBorder="1" applyAlignment="1">
      <alignment horizontal="center" vertical="center"/>
    </xf>
    <xf numFmtId="1" fontId="17359" fillId="8" borderId="1" xfId="0" applyNumberFormat="1" applyFont="1" applyFill="1" applyBorder="1" applyAlignment="1">
      <alignment horizontal="center" vertical="center"/>
    </xf>
    <xf numFmtId="165" fontId="17360" fillId="8" borderId="1" xfId="0" applyNumberFormat="1" applyFont="1" applyFill="1" applyBorder="1" applyAlignment="1">
      <alignment horizontal="center" vertical="center"/>
    </xf>
    <xf numFmtId="2" fontId="17361" fillId="8" borderId="1" xfId="0" applyNumberFormat="1" applyFont="1" applyFill="1" applyBorder="1" applyAlignment="1">
      <alignment horizontal="center" vertical="center"/>
    </xf>
    <xf numFmtId="2" fontId="17362" fillId="8" borderId="1" xfId="0" applyNumberFormat="1" applyFont="1" applyFill="1" applyBorder="1" applyAlignment="1">
      <alignment horizontal="center" vertical="center"/>
    </xf>
    <xf numFmtId="2" fontId="17363" fillId="8" borderId="1" xfId="0" applyNumberFormat="1" applyFont="1" applyFill="1" applyBorder="1" applyAlignment="1">
      <alignment horizontal="center" vertical="center"/>
    </xf>
    <xf numFmtId="2" fontId="17364" fillId="8" borderId="1" xfId="0" applyNumberFormat="1" applyFont="1" applyFill="1" applyBorder="1" applyAlignment="1">
      <alignment horizontal="center" vertical="center"/>
    </xf>
    <xf numFmtId="2" fontId="17365" fillId="8" borderId="1" xfId="0" applyNumberFormat="1" applyFont="1" applyFill="1" applyBorder="1" applyAlignment="1">
      <alignment horizontal="center" vertical="center"/>
    </xf>
    <xf numFmtId="2" fontId="17366" fillId="8" borderId="1" xfId="0" applyNumberFormat="1" applyFont="1" applyFill="1" applyBorder="1" applyAlignment="1">
      <alignment horizontal="center" vertical="center"/>
    </xf>
    <xf numFmtId="2" fontId="17367" fillId="8" borderId="1" xfId="0" applyNumberFormat="1" applyFont="1" applyFill="1" applyBorder="1" applyAlignment="1">
      <alignment horizontal="center" vertical="center"/>
    </xf>
    <xf numFmtId="2" fontId="17368" fillId="8" borderId="1" xfId="0" applyNumberFormat="1" applyFont="1" applyFill="1" applyBorder="1" applyAlignment="1">
      <alignment horizontal="center" vertical="center"/>
    </xf>
    <xf numFmtId="2" fontId="17369" fillId="8" borderId="1" xfId="0" applyNumberFormat="1" applyFont="1" applyFill="1" applyBorder="1" applyAlignment="1">
      <alignment horizontal="center" vertical="center"/>
    </xf>
    <xf numFmtId="2" fontId="17370" fillId="8" borderId="1" xfId="0" applyNumberFormat="1" applyFont="1" applyFill="1" applyBorder="1" applyAlignment="1">
      <alignment horizontal="center" vertical="center"/>
    </xf>
    <xf numFmtId="2" fontId="17371" fillId="8" borderId="1" xfId="0" applyNumberFormat="1" applyFont="1" applyFill="1" applyBorder="1" applyAlignment="1">
      <alignment horizontal="center" vertical="center"/>
    </xf>
    <xf numFmtId="2" fontId="17372" fillId="8" borderId="1" xfId="0" applyNumberFormat="1" applyFont="1" applyFill="1" applyBorder="1" applyAlignment="1">
      <alignment horizontal="center" vertical="center"/>
    </xf>
    <xf numFmtId="2" fontId="17373" fillId="8" borderId="1" xfId="0" applyNumberFormat="1" applyFont="1" applyFill="1" applyBorder="1" applyAlignment="1">
      <alignment horizontal="center" vertical="center"/>
    </xf>
    <xf numFmtId="2" fontId="17374" fillId="8" borderId="1" xfId="0" applyNumberFormat="1" applyFont="1" applyFill="1" applyBorder="1" applyAlignment="1">
      <alignment horizontal="center" vertical="center"/>
    </xf>
    <xf numFmtId="2" fontId="17375" fillId="8" borderId="1" xfId="0" applyNumberFormat="1" applyFont="1" applyFill="1" applyBorder="1" applyAlignment="1">
      <alignment horizontal="center" vertical="center"/>
    </xf>
    <xf numFmtId="2" fontId="17376" fillId="8" borderId="1" xfId="0" applyNumberFormat="1" applyFont="1" applyFill="1" applyBorder="1" applyAlignment="1">
      <alignment horizontal="center" vertical="center"/>
    </xf>
    <xf numFmtId="2" fontId="17377" fillId="8" borderId="1" xfId="0" applyNumberFormat="1" applyFont="1" applyFill="1" applyBorder="1" applyAlignment="1">
      <alignment horizontal="center" vertical="center"/>
    </xf>
    <xf numFmtId="2" fontId="17378" fillId="8" borderId="1" xfId="0" applyNumberFormat="1" applyFont="1" applyFill="1" applyBorder="1" applyAlignment="1">
      <alignment horizontal="center" vertical="center"/>
    </xf>
    <xf numFmtId="2" fontId="17379" fillId="8" borderId="1" xfId="0" applyNumberFormat="1" applyFont="1" applyFill="1" applyBorder="1" applyAlignment="1">
      <alignment horizontal="center" vertical="center"/>
    </xf>
    <xf numFmtId="2" fontId="17380" fillId="8" borderId="1" xfId="0" applyNumberFormat="1" applyFont="1" applyFill="1" applyBorder="1" applyAlignment="1">
      <alignment horizontal="center" vertical="center"/>
    </xf>
    <xf numFmtId="2" fontId="17381" fillId="8" borderId="1" xfId="0" applyNumberFormat="1" applyFont="1" applyFill="1" applyBorder="1" applyAlignment="1">
      <alignment horizontal="center" vertical="center"/>
    </xf>
    <xf numFmtId="2" fontId="17382" fillId="8" borderId="1" xfId="0" applyNumberFormat="1" applyFont="1" applyFill="1" applyBorder="1" applyAlignment="1">
      <alignment horizontal="center" vertical="center"/>
    </xf>
    <xf numFmtId="2" fontId="17383" fillId="8" borderId="1" xfId="0" applyNumberFormat="1" applyFont="1" applyFill="1" applyBorder="1" applyAlignment="1">
      <alignment horizontal="center" vertical="center"/>
    </xf>
    <xf numFmtId="2" fontId="17384" fillId="8" borderId="1" xfId="0" applyNumberFormat="1" applyFont="1" applyFill="1" applyBorder="1" applyAlignment="1">
      <alignment horizontal="center" vertical="center"/>
    </xf>
    <xf numFmtId="2" fontId="17385" fillId="8" borderId="1" xfId="0" applyNumberFormat="1" applyFont="1" applyFill="1" applyBorder="1" applyAlignment="1">
      <alignment horizontal="center" vertical="center"/>
    </xf>
    <xf numFmtId="2" fontId="17386" fillId="8" borderId="1" xfId="0" applyNumberFormat="1" applyFont="1" applyFill="1" applyBorder="1" applyAlignment="1">
      <alignment horizontal="center" vertical="center"/>
    </xf>
    <xf numFmtId="2" fontId="17387" fillId="8" borderId="1" xfId="0" applyNumberFormat="1" applyFont="1" applyFill="1" applyBorder="1" applyAlignment="1">
      <alignment horizontal="center" vertical="center"/>
    </xf>
    <xf numFmtId="2" fontId="17388" fillId="8" borderId="1" xfId="0" applyNumberFormat="1" applyFont="1" applyFill="1" applyBorder="1" applyAlignment="1">
      <alignment horizontal="center" vertical="center"/>
    </xf>
    <xf numFmtId="2" fontId="17389" fillId="8" borderId="1" xfId="0" applyNumberFormat="1" applyFont="1" applyFill="1" applyBorder="1" applyAlignment="1">
      <alignment horizontal="center" vertical="center"/>
    </xf>
    <xf numFmtId="2" fontId="17390" fillId="8" borderId="1" xfId="0" applyNumberFormat="1" applyFont="1" applyFill="1" applyBorder="1" applyAlignment="1">
      <alignment horizontal="center" vertical="center"/>
    </xf>
    <xf numFmtId="2" fontId="17391" fillId="8" borderId="1" xfId="0" applyNumberFormat="1" applyFont="1" applyFill="1" applyBorder="1" applyAlignment="1">
      <alignment horizontal="center" vertical="center"/>
    </xf>
    <xf numFmtId="2" fontId="17392" fillId="8" borderId="1" xfId="0" applyNumberFormat="1" applyFont="1" applyFill="1" applyBorder="1" applyAlignment="1">
      <alignment horizontal="center" vertical="center"/>
    </xf>
    <xf numFmtId="2" fontId="17393" fillId="8" borderId="1" xfId="0" applyNumberFormat="1" applyFont="1" applyFill="1" applyBorder="1" applyAlignment="1">
      <alignment horizontal="center" vertical="center"/>
    </xf>
    <xf numFmtId="2" fontId="17394" fillId="8" borderId="1" xfId="0" applyNumberFormat="1" applyFont="1" applyFill="1" applyBorder="1" applyAlignment="1">
      <alignment horizontal="center" vertical="center"/>
    </xf>
    <xf numFmtId="0" fontId="17395" fillId="7" borderId="1" xfId="0" applyNumberFormat="1" applyFont="1" applyFill="1" applyBorder="1" applyAlignment="1">
      <alignment horizontal="left" vertical="center"/>
    </xf>
    <xf numFmtId="0" fontId="17396" fillId="8" borderId="1" xfId="0" applyNumberFormat="1" applyFont="1" applyFill="1" applyBorder="1" applyAlignment="1">
      <alignment horizontal="center" vertical="center"/>
    </xf>
    <xf numFmtId="164" fontId="17397" fillId="8" borderId="1" xfId="0" applyNumberFormat="1" applyFont="1" applyFill="1" applyBorder="1" applyAlignment="1">
      <alignment horizontal="center" vertical="center"/>
    </xf>
    <xf numFmtId="1" fontId="17398" fillId="8" borderId="1" xfId="0" applyNumberFormat="1" applyFont="1" applyFill="1" applyBorder="1" applyAlignment="1">
      <alignment horizontal="center" vertical="center"/>
    </xf>
    <xf numFmtId="1" fontId="17399" fillId="8" borderId="1" xfId="0" applyNumberFormat="1" applyFont="1" applyFill="1" applyBorder="1" applyAlignment="1">
      <alignment horizontal="center" vertical="center"/>
    </xf>
    <xf numFmtId="1" fontId="17400" fillId="8" borderId="1" xfId="0" applyNumberFormat="1" applyFont="1" applyFill="1" applyBorder="1" applyAlignment="1">
      <alignment horizontal="center" vertical="center"/>
    </xf>
    <xf numFmtId="1" fontId="17401" fillId="8" borderId="1" xfId="0" applyNumberFormat="1" applyFont="1" applyFill="1" applyBorder="1" applyAlignment="1">
      <alignment horizontal="center" vertical="center"/>
    </xf>
    <xf numFmtId="1" fontId="17402" fillId="8" borderId="1" xfId="0" applyNumberFormat="1" applyFont="1" applyFill="1" applyBorder="1" applyAlignment="1">
      <alignment horizontal="center" vertical="center"/>
    </xf>
    <xf numFmtId="1" fontId="17403" fillId="8" borderId="1" xfId="0" applyNumberFormat="1" applyFont="1" applyFill="1" applyBorder="1" applyAlignment="1">
      <alignment horizontal="center" vertical="center"/>
    </xf>
    <xf numFmtId="1" fontId="17404" fillId="8" borderId="1" xfId="0" applyNumberFormat="1" applyFont="1" applyFill="1" applyBorder="1" applyAlignment="1">
      <alignment horizontal="center" vertical="center"/>
    </xf>
    <xf numFmtId="0" fontId="17405" fillId="8" borderId="1" xfId="0" applyNumberFormat="1" applyFont="1" applyFill="1" applyBorder="1" applyAlignment="1">
      <alignment horizontal="center" vertical="center"/>
    </xf>
    <xf numFmtId="0" fontId="17406" fillId="8" borderId="1" xfId="0" applyNumberFormat="1" applyFont="1" applyFill="1" applyBorder="1" applyAlignment="1">
      <alignment horizontal="center" vertical="center"/>
    </xf>
    <xf numFmtId="1" fontId="17407" fillId="8" borderId="1" xfId="0" applyNumberFormat="1" applyFont="1" applyFill="1" applyBorder="1" applyAlignment="1">
      <alignment horizontal="center" vertical="center"/>
    </xf>
    <xf numFmtId="1" fontId="17408" fillId="8" borderId="1" xfId="0" applyNumberFormat="1" applyFont="1" applyFill="1" applyBorder="1" applyAlignment="1">
      <alignment horizontal="center" vertical="center"/>
    </xf>
    <xf numFmtId="1" fontId="17409" fillId="8" borderId="1" xfId="0" applyNumberFormat="1" applyFont="1" applyFill="1" applyBorder="1" applyAlignment="1">
      <alignment horizontal="center" vertical="center"/>
    </xf>
    <xf numFmtId="165" fontId="17410" fillId="8" borderId="1" xfId="0" applyNumberFormat="1" applyFont="1" applyFill="1" applyBorder="1" applyAlignment="1">
      <alignment horizontal="center" vertical="center"/>
    </xf>
    <xf numFmtId="1" fontId="17411" fillId="8" borderId="1" xfId="0" applyNumberFormat="1" applyFont="1" applyFill="1" applyBorder="1" applyAlignment="1">
      <alignment horizontal="center" vertical="center"/>
    </xf>
    <xf numFmtId="165" fontId="17412" fillId="8" borderId="1" xfId="0" applyNumberFormat="1" applyFont="1" applyFill="1" applyBorder="1" applyAlignment="1">
      <alignment horizontal="center" vertical="center"/>
    </xf>
    <xf numFmtId="1" fontId="17413" fillId="8" borderId="1" xfId="0" applyNumberFormat="1" applyFont="1" applyFill="1" applyBorder="1" applyAlignment="1">
      <alignment horizontal="center" vertical="center"/>
    </xf>
    <xf numFmtId="165" fontId="17414" fillId="8" borderId="1" xfId="0" applyNumberFormat="1" applyFont="1" applyFill="1" applyBorder="1" applyAlignment="1">
      <alignment horizontal="center" vertical="center"/>
    </xf>
    <xf numFmtId="1" fontId="17415" fillId="8" borderId="1" xfId="0" applyNumberFormat="1" applyFont="1" applyFill="1" applyBorder="1" applyAlignment="1">
      <alignment horizontal="center" vertical="center"/>
    </xf>
    <xf numFmtId="165" fontId="17416" fillId="8" borderId="1" xfId="0" applyNumberFormat="1" applyFont="1" applyFill="1" applyBorder="1" applyAlignment="1">
      <alignment horizontal="center" vertical="center"/>
    </xf>
    <xf numFmtId="165" fontId="17417" fillId="8" borderId="1" xfId="0" applyNumberFormat="1" applyFont="1" applyFill="1" applyBorder="1" applyAlignment="1">
      <alignment horizontal="center" vertical="center"/>
    </xf>
    <xf numFmtId="1" fontId="17418" fillId="8" borderId="1" xfId="0" applyNumberFormat="1" applyFont="1" applyFill="1" applyBorder="1" applyAlignment="1">
      <alignment horizontal="center" vertical="center"/>
    </xf>
    <xf numFmtId="1" fontId="17419" fillId="8" borderId="1" xfId="0" applyNumberFormat="1" applyFont="1" applyFill="1" applyBorder="1" applyAlignment="1">
      <alignment horizontal="center" vertical="center"/>
    </xf>
    <xf numFmtId="1" fontId="17420" fillId="8" borderId="1" xfId="0" applyNumberFormat="1" applyFont="1" applyFill="1" applyBorder="1" applyAlignment="1">
      <alignment horizontal="center" vertical="center"/>
    </xf>
    <xf numFmtId="165" fontId="17421" fillId="8" borderId="1" xfId="0" applyNumberFormat="1" applyFont="1" applyFill="1" applyBorder="1" applyAlignment="1">
      <alignment horizontal="center" vertical="center"/>
    </xf>
    <xf numFmtId="164" fontId="17422" fillId="8" borderId="1" xfId="0" applyNumberFormat="1" applyFont="1" applyFill="1" applyBorder="1" applyAlignment="1">
      <alignment horizontal="center" vertical="center"/>
    </xf>
    <xf numFmtId="164" fontId="17423" fillId="8" borderId="1" xfId="0" applyNumberFormat="1" applyFont="1" applyFill="1" applyBorder="1" applyAlignment="1">
      <alignment horizontal="center" vertical="center"/>
    </xf>
    <xf numFmtId="1" fontId="17424" fillId="8" borderId="1" xfId="0" applyNumberFormat="1" applyFont="1" applyFill="1" applyBorder="1" applyAlignment="1">
      <alignment horizontal="center" vertical="center"/>
    </xf>
    <xf numFmtId="1" fontId="17425" fillId="8" borderId="1" xfId="0" applyNumberFormat="1" applyFont="1" applyFill="1" applyBorder="1" applyAlignment="1">
      <alignment horizontal="center" vertical="center"/>
    </xf>
    <xf numFmtId="1" fontId="17426" fillId="8" borderId="1" xfId="0" applyNumberFormat="1" applyFont="1" applyFill="1" applyBorder="1" applyAlignment="1">
      <alignment horizontal="center" vertical="center"/>
    </xf>
    <xf numFmtId="165" fontId="17427" fillId="8" borderId="1" xfId="0" applyNumberFormat="1" applyFont="1" applyFill="1" applyBorder="1" applyAlignment="1">
      <alignment horizontal="center" vertical="center"/>
    </xf>
    <xf numFmtId="1" fontId="17428" fillId="8" borderId="1" xfId="0" applyNumberFormat="1" applyFont="1" applyFill="1" applyBorder="1" applyAlignment="1">
      <alignment horizontal="center" vertical="center"/>
    </xf>
    <xf numFmtId="165" fontId="17429" fillId="8" borderId="1" xfId="0" applyNumberFormat="1" applyFont="1" applyFill="1" applyBorder="1" applyAlignment="1">
      <alignment horizontal="center" vertical="center"/>
    </xf>
    <xf numFmtId="1" fontId="17430" fillId="8" borderId="1" xfId="0" applyNumberFormat="1" applyFont="1" applyFill="1" applyBorder="1" applyAlignment="1">
      <alignment horizontal="center" vertical="center"/>
    </xf>
    <xf numFmtId="1" fontId="17431" fillId="8" borderId="1" xfId="0" applyNumberFormat="1" applyFont="1" applyFill="1" applyBorder="1" applyAlignment="1">
      <alignment horizontal="center" vertical="center"/>
    </xf>
    <xf numFmtId="1" fontId="17432" fillId="8" borderId="1" xfId="0" applyNumberFormat="1" applyFont="1" applyFill="1" applyBorder="1" applyAlignment="1">
      <alignment horizontal="center" vertical="center"/>
    </xf>
    <xf numFmtId="1" fontId="17433" fillId="8" borderId="1" xfId="0" applyNumberFormat="1" applyFont="1" applyFill="1" applyBorder="1" applyAlignment="1">
      <alignment horizontal="center" vertical="center"/>
    </xf>
    <xf numFmtId="165" fontId="17434" fillId="8" borderId="1" xfId="0" applyNumberFormat="1" applyFont="1" applyFill="1" applyBorder="1" applyAlignment="1">
      <alignment horizontal="center" vertical="center"/>
    </xf>
    <xf numFmtId="1" fontId="17435" fillId="8" borderId="1" xfId="0" applyNumberFormat="1" applyFont="1" applyFill="1" applyBorder="1" applyAlignment="1">
      <alignment horizontal="center" vertical="center"/>
    </xf>
    <xf numFmtId="165" fontId="17436" fillId="8" borderId="1" xfId="0" applyNumberFormat="1" applyFont="1" applyFill="1" applyBorder="1" applyAlignment="1">
      <alignment horizontal="center" vertical="center"/>
    </xf>
    <xf numFmtId="1" fontId="17437" fillId="8" borderId="1" xfId="0" applyNumberFormat="1" applyFont="1" applyFill="1" applyBorder="1" applyAlignment="1">
      <alignment horizontal="center" vertical="center"/>
    </xf>
    <xf numFmtId="165" fontId="17438" fillId="8" borderId="1" xfId="0" applyNumberFormat="1" applyFont="1" applyFill="1" applyBorder="1" applyAlignment="1">
      <alignment horizontal="center" vertical="center"/>
    </xf>
    <xf numFmtId="2" fontId="17439" fillId="8" borderId="1" xfId="0" applyNumberFormat="1" applyFont="1" applyFill="1" applyBorder="1" applyAlignment="1">
      <alignment horizontal="center" vertical="center"/>
    </xf>
    <xf numFmtId="2" fontId="17440" fillId="8" borderId="1" xfId="0" applyNumberFormat="1" applyFont="1" applyFill="1" applyBorder="1" applyAlignment="1">
      <alignment horizontal="center" vertical="center"/>
    </xf>
    <xf numFmtId="2" fontId="17441" fillId="8" borderId="1" xfId="0" applyNumberFormat="1" applyFont="1" applyFill="1" applyBorder="1" applyAlignment="1">
      <alignment horizontal="center" vertical="center"/>
    </xf>
    <xf numFmtId="2" fontId="17442" fillId="8" borderId="1" xfId="0" applyNumberFormat="1" applyFont="1" applyFill="1" applyBorder="1" applyAlignment="1">
      <alignment horizontal="center" vertical="center"/>
    </xf>
    <xf numFmtId="2" fontId="17443" fillId="8" borderId="1" xfId="0" applyNumberFormat="1" applyFont="1" applyFill="1" applyBorder="1" applyAlignment="1">
      <alignment horizontal="center" vertical="center"/>
    </xf>
    <xf numFmtId="2" fontId="17444" fillId="8" borderId="1" xfId="0" applyNumberFormat="1" applyFont="1" applyFill="1" applyBorder="1" applyAlignment="1">
      <alignment horizontal="center" vertical="center"/>
    </xf>
    <xf numFmtId="2" fontId="17445" fillId="8" borderId="1" xfId="0" applyNumberFormat="1" applyFont="1" applyFill="1" applyBorder="1" applyAlignment="1">
      <alignment horizontal="center" vertical="center"/>
    </xf>
    <xf numFmtId="2" fontId="17446" fillId="8" borderId="1" xfId="0" applyNumberFormat="1" applyFont="1" applyFill="1" applyBorder="1" applyAlignment="1">
      <alignment horizontal="center" vertical="center"/>
    </xf>
    <xf numFmtId="2" fontId="17447" fillId="8" borderId="1" xfId="0" applyNumberFormat="1" applyFont="1" applyFill="1" applyBorder="1" applyAlignment="1">
      <alignment horizontal="center" vertical="center"/>
    </xf>
    <xf numFmtId="2" fontId="17448" fillId="8" borderId="1" xfId="0" applyNumberFormat="1" applyFont="1" applyFill="1" applyBorder="1" applyAlignment="1">
      <alignment horizontal="center" vertical="center"/>
    </xf>
    <xf numFmtId="2" fontId="17449" fillId="8" borderId="1" xfId="0" applyNumberFormat="1" applyFont="1" applyFill="1" applyBorder="1" applyAlignment="1">
      <alignment horizontal="center" vertical="center"/>
    </xf>
    <xf numFmtId="2" fontId="17450" fillId="8" borderId="1" xfId="0" applyNumberFormat="1" applyFont="1" applyFill="1" applyBorder="1" applyAlignment="1">
      <alignment horizontal="center" vertical="center"/>
    </xf>
    <xf numFmtId="2" fontId="17451" fillId="8" borderId="1" xfId="0" applyNumberFormat="1" applyFont="1" applyFill="1" applyBorder="1" applyAlignment="1">
      <alignment horizontal="center" vertical="center"/>
    </xf>
    <xf numFmtId="2" fontId="17452" fillId="8" borderId="1" xfId="0" applyNumberFormat="1" applyFont="1" applyFill="1" applyBorder="1" applyAlignment="1">
      <alignment horizontal="center" vertical="center"/>
    </xf>
    <xf numFmtId="2" fontId="17453" fillId="8" borderId="1" xfId="0" applyNumberFormat="1" applyFont="1" applyFill="1" applyBorder="1" applyAlignment="1">
      <alignment horizontal="center" vertical="center"/>
    </xf>
    <xf numFmtId="2" fontId="17454" fillId="8" borderId="1" xfId="0" applyNumberFormat="1" applyFont="1" applyFill="1" applyBorder="1" applyAlignment="1">
      <alignment horizontal="center" vertical="center"/>
    </xf>
    <xf numFmtId="2" fontId="17455" fillId="8" borderId="1" xfId="0" applyNumberFormat="1" applyFont="1" applyFill="1" applyBorder="1" applyAlignment="1">
      <alignment horizontal="center" vertical="center"/>
    </xf>
    <xf numFmtId="2" fontId="17456" fillId="8" borderId="1" xfId="0" applyNumberFormat="1" applyFont="1" applyFill="1" applyBorder="1" applyAlignment="1">
      <alignment horizontal="center" vertical="center"/>
    </xf>
    <xf numFmtId="2" fontId="17457" fillId="8" borderId="1" xfId="0" applyNumberFormat="1" applyFont="1" applyFill="1" applyBorder="1" applyAlignment="1">
      <alignment horizontal="center" vertical="center"/>
    </xf>
    <xf numFmtId="2" fontId="17458" fillId="8" borderId="1" xfId="0" applyNumberFormat="1" applyFont="1" applyFill="1" applyBorder="1" applyAlignment="1">
      <alignment horizontal="center" vertical="center"/>
    </xf>
    <xf numFmtId="2" fontId="17459" fillId="8" borderId="1" xfId="0" applyNumberFormat="1" applyFont="1" applyFill="1" applyBorder="1" applyAlignment="1">
      <alignment horizontal="center" vertical="center"/>
    </xf>
    <xf numFmtId="2" fontId="17460" fillId="8" borderId="1" xfId="0" applyNumberFormat="1" applyFont="1" applyFill="1" applyBorder="1" applyAlignment="1">
      <alignment horizontal="center" vertical="center"/>
    </xf>
    <xf numFmtId="2" fontId="17461" fillId="8" borderId="1" xfId="0" applyNumberFormat="1" applyFont="1" applyFill="1" applyBorder="1" applyAlignment="1">
      <alignment horizontal="center" vertical="center"/>
    </xf>
    <xf numFmtId="2" fontId="17462" fillId="8" borderId="1" xfId="0" applyNumberFormat="1" applyFont="1" applyFill="1" applyBorder="1" applyAlignment="1">
      <alignment horizontal="center" vertical="center"/>
    </xf>
    <xf numFmtId="2" fontId="17463" fillId="8" borderId="1" xfId="0" applyNumberFormat="1" applyFont="1" applyFill="1" applyBorder="1" applyAlignment="1">
      <alignment horizontal="center" vertical="center"/>
    </xf>
    <xf numFmtId="2" fontId="17464" fillId="8" borderId="1" xfId="0" applyNumberFormat="1" applyFont="1" applyFill="1" applyBorder="1" applyAlignment="1">
      <alignment horizontal="center" vertical="center"/>
    </xf>
    <xf numFmtId="2" fontId="17465" fillId="8" borderId="1" xfId="0" applyNumberFormat="1" applyFont="1" applyFill="1" applyBorder="1" applyAlignment="1">
      <alignment horizontal="center" vertical="center"/>
    </xf>
    <xf numFmtId="2" fontId="17466" fillId="8" borderId="1" xfId="0" applyNumberFormat="1" applyFont="1" applyFill="1" applyBorder="1" applyAlignment="1">
      <alignment horizontal="center" vertical="center"/>
    </xf>
    <xf numFmtId="2" fontId="17467" fillId="8" borderId="1" xfId="0" applyNumberFormat="1" applyFont="1" applyFill="1" applyBorder="1" applyAlignment="1">
      <alignment horizontal="center" vertical="center"/>
    </xf>
    <xf numFmtId="2" fontId="17468" fillId="8" borderId="1" xfId="0" applyNumberFormat="1" applyFont="1" applyFill="1" applyBorder="1" applyAlignment="1">
      <alignment horizontal="center" vertical="center"/>
    </xf>
    <xf numFmtId="2" fontId="17469" fillId="8" borderId="1" xfId="0" applyNumberFormat="1" applyFont="1" applyFill="1" applyBorder="1" applyAlignment="1">
      <alignment horizontal="center" vertical="center"/>
    </xf>
    <xf numFmtId="2" fontId="17470" fillId="8" borderId="1" xfId="0" applyNumberFormat="1" applyFont="1" applyFill="1" applyBorder="1" applyAlignment="1">
      <alignment horizontal="center" vertical="center"/>
    </xf>
    <xf numFmtId="2" fontId="17471" fillId="8" borderId="1" xfId="0" applyNumberFormat="1" applyFont="1" applyFill="1" applyBorder="1" applyAlignment="1">
      <alignment horizontal="center" vertical="center"/>
    </xf>
    <xf numFmtId="2" fontId="17472" fillId="8" borderId="1" xfId="0" applyNumberFormat="1" applyFont="1" applyFill="1" applyBorder="1" applyAlignment="1">
      <alignment horizontal="center" vertical="center"/>
    </xf>
    <xf numFmtId="0" fontId="17473" fillId="7" borderId="1" xfId="0" applyNumberFormat="1" applyFont="1" applyFill="1" applyBorder="1" applyAlignment="1">
      <alignment horizontal="left" vertical="center"/>
    </xf>
    <xf numFmtId="0" fontId="17474" fillId="8" borderId="1" xfId="0" applyNumberFormat="1" applyFont="1" applyFill="1" applyBorder="1" applyAlignment="1">
      <alignment horizontal="center" vertical="center"/>
    </xf>
    <xf numFmtId="164" fontId="17475" fillId="8" borderId="1" xfId="0" applyNumberFormat="1" applyFont="1" applyFill="1" applyBorder="1" applyAlignment="1">
      <alignment horizontal="center" vertical="center"/>
    </xf>
    <xf numFmtId="1" fontId="17476" fillId="8" borderId="1" xfId="0" applyNumberFormat="1" applyFont="1" applyFill="1" applyBorder="1" applyAlignment="1">
      <alignment horizontal="center" vertical="center"/>
    </xf>
    <xf numFmtId="1" fontId="17477" fillId="8" borderId="1" xfId="0" applyNumberFormat="1" applyFont="1" applyFill="1" applyBorder="1" applyAlignment="1">
      <alignment horizontal="center" vertical="center"/>
    </xf>
    <xf numFmtId="1" fontId="17478" fillId="8" borderId="1" xfId="0" applyNumberFormat="1" applyFont="1" applyFill="1" applyBorder="1" applyAlignment="1">
      <alignment horizontal="center" vertical="center"/>
    </xf>
    <xf numFmtId="1" fontId="17479" fillId="8" borderId="1" xfId="0" applyNumberFormat="1" applyFont="1" applyFill="1" applyBorder="1" applyAlignment="1">
      <alignment horizontal="center" vertical="center"/>
    </xf>
    <xf numFmtId="1" fontId="17480" fillId="8" borderId="1" xfId="0" applyNumberFormat="1" applyFont="1" applyFill="1" applyBorder="1" applyAlignment="1">
      <alignment horizontal="center" vertical="center"/>
    </xf>
    <xf numFmtId="1" fontId="17481" fillId="8" borderId="1" xfId="0" applyNumberFormat="1" applyFont="1" applyFill="1" applyBorder="1" applyAlignment="1">
      <alignment horizontal="center" vertical="center"/>
    </xf>
    <xf numFmtId="1" fontId="17482" fillId="8" borderId="1" xfId="0" applyNumberFormat="1" applyFont="1" applyFill="1" applyBorder="1" applyAlignment="1">
      <alignment horizontal="center" vertical="center"/>
    </xf>
    <xf numFmtId="0" fontId="17483" fillId="8" borderId="1" xfId="0" applyNumberFormat="1" applyFont="1" applyFill="1" applyBorder="1" applyAlignment="1">
      <alignment horizontal="center" vertical="center"/>
    </xf>
    <xf numFmtId="0" fontId="17484" fillId="8" borderId="1" xfId="0" applyNumberFormat="1" applyFont="1" applyFill="1" applyBorder="1" applyAlignment="1">
      <alignment horizontal="center" vertical="center"/>
    </xf>
    <xf numFmtId="1" fontId="17485" fillId="8" borderId="1" xfId="0" applyNumberFormat="1" applyFont="1" applyFill="1" applyBorder="1" applyAlignment="1">
      <alignment horizontal="center" vertical="center"/>
    </xf>
    <xf numFmtId="1" fontId="17486" fillId="8" borderId="1" xfId="0" applyNumberFormat="1" applyFont="1" applyFill="1" applyBorder="1" applyAlignment="1">
      <alignment horizontal="center" vertical="center"/>
    </xf>
    <xf numFmtId="1" fontId="17487" fillId="8" borderId="1" xfId="0" applyNumberFormat="1" applyFont="1" applyFill="1" applyBorder="1" applyAlignment="1">
      <alignment horizontal="center" vertical="center"/>
    </xf>
    <xf numFmtId="165" fontId="17488" fillId="8" borderId="1" xfId="0" applyNumberFormat="1" applyFont="1" applyFill="1" applyBorder="1" applyAlignment="1">
      <alignment horizontal="center" vertical="center"/>
    </xf>
    <xf numFmtId="1" fontId="17489" fillId="8" borderId="1" xfId="0" applyNumberFormat="1" applyFont="1" applyFill="1" applyBorder="1" applyAlignment="1">
      <alignment horizontal="center" vertical="center"/>
    </xf>
    <xf numFmtId="165" fontId="17490" fillId="8" borderId="1" xfId="0" applyNumberFormat="1" applyFont="1" applyFill="1" applyBorder="1" applyAlignment="1">
      <alignment horizontal="center" vertical="center"/>
    </xf>
    <xf numFmtId="1" fontId="17491" fillId="8" borderId="1" xfId="0" applyNumberFormat="1" applyFont="1" applyFill="1" applyBorder="1" applyAlignment="1">
      <alignment horizontal="center" vertical="center"/>
    </xf>
    <xf numFmtId="165" fontId="17492" fillId="8" borderId="1" xfId="0" applyNumberFormat="1" applyFont="1" applyFill="1" applyBorder="1" applyAlignment="1">
      <alignment horizontal="center" vertical="center"/>
    </xf>
    <xf numFmtId="1" fontId="17493" fillId="8" borderId="1" xfId="0" applyNumberFormat="1" applyFont="1" applyFill="1" applyBorder="1" applyAlignment="1">
      <alignment horizontal="center" vertical="center"/>
    </xf>
    <xf numFmtId="165" fontId="17494" fillId="8" borderId="1" xfId="0" applyNumberFormat="1" applyFont="1" applyFill="1" applyBorder="1" applyAlignment="1">
      <alignment horizontal="center" vertical="center"/>
    </xf>
    <xf numFmtId="165" fontId="17495" fillId="8" borderId="1" xfId="0" applyNumberFormat="1" applyFont="1" applyFill="1" applyBorder="1" applyAlignment="1">
      <alignment horizontal="center" vertical="center"/>
    </xf>
    <xf numFmtId="1" fontId="17496" fillId="8" borderId="1" xfId="0" applyNumberFormat="1" applyFont="1" applyFill="1" applyBorder="1" applyAlignment="1">
      <alignment horizontal="center" vertical="center"/>
    </xf>
    <xf numFmtId="1" fontId="17497" fillId="8" borderId="1" xfId="0" applyNumberFormat="1" applyFont="1" applyFill="1" applyBorder="1" applyAlignment="1">
      <alignment horizontal="center" vertical="center"/>
    </xf>
    <xf numFmtId="1" fontId="17498" fillId="8" borderId="1" xfId="0" applyNumberFormat="1" applyFont="1" applyFill="1" applyBorder="1" applyAlignment="1">
      <alignment horizontal="center" vertical="center"/>
    </xf>
    <xf numFmtId="165" fontId="17499" fillId="8" borderId="1" xfId="0" applyNumberFormat="1" applyFont="1" applyFill="1" applyBorder="1" applyAlignment="1">
      <alignment horizontal="center" vertical="center"/>
    </xf>
    <xf numFmtId="164" fontId="17500" fillId="8" borderId="1" xfId="0" applyNumberFormat="1" applyFont="1" applyFill="1" applyBorder="1" applyAlignment="1">
      <alignment horizontal="center" vertical="center"/>
    </xf>
    <xf numFmtId="164" fontId="17501" fillId="8" borderId="1" xfId="0" applyNumberFormat="1" applyFont="1" applyFill="1" applyBorder="1" applyAlignment="1">
      <alignment horizontal="center" vertical="center"/>
    </xf>
    <xf numFmtId="1" fontId="17502" fillId="8" borderId="1" xfId="0" applyNumberFormat="1" applyFont="1" applyFill="1" applyBorder="1" applyAlignment="1">
      <alignment horizontal="center" vertical="center"/>
    </xf>
    <xf numFmtId="1" fontId="17503" fillId="8" borderId="1" xfId="0" applyNumberFormat="1" applyFont="1" applyFill="1" applyBorder="1" applyAlignment="1">
      <alignment horizontal="center" vertical="center"/>
    </xf>
    <xf numFmtId="1" fontId="17504" fillId="8" borderId="1" xfId="0" applyNumberFormat="1" applyFont="1" applyFill="1" applyBorder="1" applyAlignment="1">
      <alignment horizontal="center" vertical="center"/>
    </xf>
    <xf numFmtId="165" fontId="17505" fillId="8" borderId="1" xfId="0" applyNumberFormat="1" applyFont="1" applyFill="1" applyBorder="1" applyAlignment="1">
      <alignment horizontal="center" vertical="center"/>
    </xf>
    <xf numFmtId="1" fontId="17506" fillId="8" borderId="1" xfId="0" applyNumberFormat="1" applyFont="1" applyFill="1" applyBorder="1" applyAlignment="1">
      <alignment horizontal="center" vertical="center"/>
    </xf>
    <xf numFmtId="165" fontId="17507" fillId="8" borderId="1" xfId="0" applyNumberFormat="1" applyFont="1" applyFill="1" applyBorder="1" applyAlignment="1">
      <alignment horizontal="center" vertical="center"/>
    </xf>
    <xf numFmtId="1" fontId="17508" fillId="8" borderId="1" xfId="0" applyNumberFormat="1" applyFont="1" applyFill="1" applyBorder="1" applyAlignment="1">
      <alignment horizontal="center" vertical="center"/>
    </xf>
    <xf numFmtId="1" fontId="17509" fillId="8" borderId="1" xfId="0" applyNumberFormat="1" applyFont="1" applyFill="1" applyBorder="1" applyAlignment="1">
      <alignment horizontal="center" vertical="center"/>
    </xf>
    <xf numFmtId="1" fontId="17510" fillId="8" borderId="1" xfId="0" applyNumberFormat="1" applyFont="1" applyFill="1" applyBorder="1" applyAlignment="1">
      <alignment horizontal="center" vertical="center"/>
    </xf>
    <xf numFmtId="1" fontId="17511" fillId="8" borderId="1" xfId="0" applyNumberFormat="1" applyFont="1" applyFill="1" applyBorder="1" applyAlignment="1">
      <alignment horizontal="center" vertical="center"/>
    </xf>
    <xf numFmtId="165" fontId="17512" fillId="8" borderId="1" xfId="0" applyNumberFormat="1" applyFont="1" applyFill="1" applyBorder="1" applyAlignment="1">
      <alignment horizontal="center" vertical="center"/>
    </xf>
    <xf numFmtId="1" fontId="17513" fillId="8" borderId="1" xfId="0" applyNumberFormat="1" applyFont="1" applyFill="1" applyBorder="1" applyAlignment="1">
      <alignment horizontal="center" vertical="center"/>
    </xf>
    <xf numFmtId="165" fontId="17514" fillId="8" borderId="1" xfId="0" applyNumberFormat="1" applyFont="1" applyFill="1" applyBorder="1" applyAlignment="1">
      <alignment horizontal="center" vertical="center"/>
    </xf>
    <xf numFmtId="1" fontId="17515" fillId="8" borderId="1" xfId="0" applyNumberFormat="1" applyFont="1" applyFill="1" applyBorder="1" applyAlignment="1">
      <alignment horizontal="center" vertical="center"/>
    </xf>
    <xf numFmtId="165" fontId="17516" fillId="8" borderId="1" xfId="0" applyNumberFormat="1" applyFont="1" applyFill="1" applyBorder="1" applyAlignment="1">
      <alignment horizontal="center" vertical="center"/>
    </xf>
    <xf numFmtId="2" fontId="17517" fillId="8" borderId="1" xfId="0" applyNumberFormat="1" applyFont="1" applyFill="1" applyBorder="1" applyAlignment="1">
      <alignment horizontal="center" vertical="center"/>
    </xf>
    <xf numFmtId="2" fontId="17518" fillId="8" borderId="1" xfId="0" applyNumberFormat="1" applyFont="1" applyFill="1" applyBorder="1" applyAlignment="1">
      <alignment horizontal="center" vertical="center"/>
    </xf>
    <xf numFmtId="2" fontId="17519" fillId="8" borderId="1" xfId="0" applyNumberFormat="1" applyFont="1" applyFill="1" applyBorder="1" applyAlignment="1">
      <alignment horizontal="center" vertical="center"/>
    </xf>
    <xf numFmtId="2" fontId="17520" fillId="8" borderId="1" xfId="0" applyNumberFormat="1" applyFont="1" applyFill="1" applyBorder="1" applyAlignment="1">
      <alignment horizontal="center" vertical="center"/>
    </xf>
    <xf numFmtId="2" fontId="17521" fillId="8" borderId="1" xfId="0" applyNumberFormat="1" applyFont="1" applyFill="1" applyBorder="1" applyAlignment="1">
      <alignment horizontal="center" vertical="center"/>
    </xf>
    <xf numFmtId="2" fontId="17522" fillId="8" borderId="1" xfId="0" applyNumberFormat="1" applyFont="1" applyFill="1" applyBorder="1" applyAlignment="1">
      <alignment horizontal="center" vertical="center"/>
    </xf>
    <xf numFmtId="2" fontId="17523" fillId="8" borderId="1" xfId="0" applyNumberFormat="1" applyFont="1" applyFill="1" applyBorder="1" applyAlignment="1">
      <alignment horizontal="center" vertical="center"/>
    </xf>
    <xf numFmtId="2" fontId="17524" fillId="8" borderId="1" xfId="0" applyNumberFormat="1" applyFont="1" applyFill="1" applyBorder="1" applyAlignment="1">
      <alignment horizontal="center" vertical="center"/>
    </xf>
    <xf numFmtId="2" fontId="17525" fillId="8" borderId="1" xfId="0" applyNumberFormat="1" applyFont="1" applyFill="1" applyBorder="1" applyAlignment="1">
      <alignment horizontal="center" vertical="center"/>
    </xf>
    <xf numFmtId="2" fontId="17526" fillId="8" borderId="1" xfId="0" applyNumberFormat="1" applyFont="1" applyFill="1" applyBorder="1" applyAlignment="1">
      <alignment horizontal="center" vertical="center"/>
    </xf>
    <xf numFmtId="2" fontId="17527" fillId="8" borderId="1" xfId="0" applyNumberFormat="1" applyFont="1" applyFill="1" applyBorder="1" applyAlignment="1">
      <alignment horizontal="center" vertical="center"/>
    </xf>
    <xf numFmtId="2" fontId="17528" fillId="8" borderId="1" xfId="0" applyNumberFormat="1" applyFont="1" applyFill="1" applyBorder="1" applyAlignment="1">
      <alignment horizontal="center" vertical="center"/>
    </xf>
    <xf numFmtId="2" fontId="17529" fillId="8" borderId="1" xfId="0" applyNumberFormat="1" applyFont="1" applyFill="1" applyBorder="1" applyAlignment="1">
      <alignment horizontal="center" vertical="center"/>
    </xf>
    <xf numFmtId="2" fontId="17530" fillId="8" borderId="1" xfId="0" applyNumberFormat="1" applyFont="1" applyFill="1" applyBorder="1" applyAlignment="1">
      <alignment horizontal="center" vertical="center"/>
    </xf>
    <xf numFmtId="2" fontId="17531" fillId="8" borderId="1" xfId="0" applyNumberFormat="1" applyFont="1" applyFill="1" applyBorder="1" applyAlignment="1">
      <alignment horizontal="center" vertical="center"/>
    </xf>
    <xf numFmtId="2" fontId="17532" fillId="8" borderId="1" xfId="0" applyNumberFormat="1" applyFont="1" applyFill="1" applyBorder="1" applyAlignment="1">
      <alignment horizontal="center" vertical="center"/>
    </xf>
    <xf numFmtId="2" fontId="17533" fillId="8" borderId="1" xfId="0" applyNumberFormat="1" applyFont="1" applyFill="1" applyBorder="1" applyAlignment="1">
      <alignment horizontal="center" vertical="center"/>
    </xf>
    <xf numFmtId="2" fontId="17534" fillId="8" borderId="1" xfId="0" applyNumberFormat="1" applyFont="1" applyFill="1" applyBorder="1" applyAlignment="1">
      <alignment horizontal="center" vertical="center"/>
    </xf>
    <xf numFmtId="2" fontId="17535" fillId="8" borderId="1" xfId="0" applyNumberFormat="1" applyFont="1" applyFill="1" applyBorder="1" applyAlignment="1">
      <alignment horizontal="center" vertical="center"/>
    </xf>
    <xf numFmtId="2" fontId="17536" fillId="8" borderId="1" xfId="0" applyNumberFormat="1" applyFont="1" applyFill="1" applyBorder="1" applyAlignment="1">
      <alignment horizontal="center" vertical="center"/>
    </xf>
    <xf numFmtId="2" fontId="17537" fillId="8" borderId="1" xfId="0" applyNumberFormat="1" applyFont="1" applyFill="1" applyBorder="1" applyAlignment="1">
      <alignment horizontal="center" vertical="center"/>
    </xf>
    <xf numFmtId="2" fontId="17538" fillId="8" borderId="1" xfId="0" applyNumberFormat="1" applyFont="1" applyFill="1" applyBorder="1" applyAlignment="1">
      <alignment horizontal="center" vertical="center"/>
    </xf>
    <xf numFmtId="2" fontId="17539" fillId="8" borderId="1" xfId="0" applyNumberFormat="1" applyFont="1" applyFill="1" applyBorder="1" applyAlignment="1">
      <alignment horizontal="center" vertical="center"/>
    </xf>
    <xf numFmtId="2" fontId="17540" fillId="8" borderId="1" xfId="0" applyNumberFormat="1" applyFont="1" applyFill="1" applyBorder="1" applyAlignment="1">
      <alignment horizontal="center" vertical="center"/>
    </xf>
    <xf numFmtId="2" fontId="17541" fillId="8" borderId="1" xfId="0" applyNumberFormat="1" applyFont="1" applyFill="1" applyBorder="1" applyAlignment="1">
      <alignment horizontal="center" vertical="center"/>
    </xf>
    <xf numFmtId="2" fontId="17542" fillId="8" borderId="1" xfId="0" applyNumberFormat="1" applyFont="1" applyFill="1" applyBorder="1" applyAlignment="1">
      <alignment horizontal="center" vertical="center"/>
    </xf>
    <xf numFmtId="2" fontId="17543" fillId="8" borderId="1" xfId="0" applyNumberFormat="1" applyFont="1" applyFill="1" applyBorder="1" applyAlignment="1">
      <alignment horizontal="center" vertical="center"/>
    </xf>
    <xf numFmtId="2" fontId="17544" fillId="8" borderId="1" xfId="0" applyNumberFormat="1" applyFont="1" applyFill="1" applyBorder="1" applyAlignment="1">
      <alignment horizontal="center" vertical="center"/>
    </xf>
    <xf numFmtId="2" fontId="17545" fillId="8" borderId="1" xfId="0" applyNumberFormat="1" applyFont="1" applyFill="1" applyBorder="1" applyAlignment="1">
      <alignment horizontal="center" vertical="center"/>
    </xf>
    <xf numFmtId="2" fontId="17546" fillId="8" borderId="1" xfId="0" applyNumberFormat="1" applyFont="1" applyFill="1" applyBorder="1" applyAlignment="1">
      <alignment horizontal="center" vertical="center"/>
    </xf>
    <xf numFmtId="2" fontId="17547" fillId="8" borderId="1" xfId="0" applyNumberFormat="1" applyFont="1" applyFill="1" applyBorder="1" applyAlignment="1">
      <alignment horizontal="center" vertical="center"/>
    </xf>
    <xf numFmtId="2" fontId="17548" fillId="8" borderId="1" xfId="0" applyNumberFormat="1" applyFont="1" applyFill="1" applyBorder="1" applyAlignment="1">
      <alignment horizontal="center" vertical="center"/>
    </xf>
    <xf numFmtId="2" fontId="17549" fillId="8" borderId="1" xfId="0" applyNumberFormat="1" applyFont="1" applyFill="1" applyBorder="1" applyAlignment="1">
      <alignment horizontal="center" vertical="center"/>
    </xf>
    <xf numFmtId="2" fontId="17550" fillId="8" borderId="1" xfId="0" applyNumberFormat="1" applyFont="1" applyFill="1" applyBorder="1" applyAlignment="1">
      <alignment horizontal="center" vertical="center"/>
    </xf>
    <xf numFmtId="0" fontId="17551" fillId="7" borderId="1" xfId="0" applyNumberFormat="1" applyFont="1" applyFill="1" applyBorder="1" applyAlignment="1">
      <alignment horizontal="left" vertical="center"/>
    </xf>
    <xf numFmtId="0" fontId="17552" fillId="8" borderId="1" xfId="0" applyNumberFormat="1" applyFont="1" applyFill="1" applyBorder="1" applyAlignment="1">
      <alignment horizontal="center" vertical="center"/>
    </xf>
    <xf numFmtId="164" fontId="17553" fillId="8" borderId="1" xfId="0" applyNumberFormat="1" applyFont="1" applyFill="1" applyBorder="1" applyAlignment="1">
      <alignment horizontal="center" vertical="center"/>
    </xf>
    <xf numFmtId="1" fontId="17554" fillId="8" borderId="1" xfId="0" applyNumberFormat="1" applyFont="1" applyFill="1" applyBorder="1" applyAlignment="1">
      <alignment horizontal="center" vertical="center"/>
    </xf>
    <xf numFmtId="1" fontId="17555" fillId="8" borderId="1" xfId="0" applyNumberFormat="1" applyFont="1" applyFill="1" applyBorder="1" applyAlignment="1">
      <alignment horizontal="center" vertical="center"/>
    </xf>
    <xf numFmtId="1" fontId="17556" fillId="8" borderId="1" xfId="0" applyNumberFormat="1" applyFont="1" applyFill="1" applyBorder="1" applyAlignment="1">
      <alignment horizontal="center" vertical="center"/>
    </xf>
    <xf numFmtId="1" fontId="17557" fillId="8" borderId="1" xfId="0" applyNumberFormat="1" applyFont="1" applyFill="1" applyBorder="1" applyAlignment="1">
      <alignment horizontal="center" vertical="center"/>
    </xf>
    <xf numFmtId="1" fontId="17558" fillId="8" borderId="1" xfId="0" applyNumberFormat="1" applyFont="1" applyFill="1" applyBorder="1" applyAlignment="1">
      <alignment horizontal="center" vertical="center"/>
    </xf>
    <xf numFmtId="1" fontId="17559" fillId="8" borderId="1" xfId="0" applyNumberFormat="1" applyFont="1" applyFill="1" applyBorder="1" applyAlignment="1">
      <alignment horizontal="center" vertical="center"/>
    </xf>
    <xf numFmtId="1" fontId="17560" fillId="8" borderId="1" xfId="0" applyNumberFormat="1" applyFont="1" applyFill="1" applyBorder="1" applyAlignment="1">
      <alignment horizontal="center" vertical="center"/>
    </xf>
    <xf numFmtId="0" fontId="17561" fillId="8" borderId="1" xfId="0" applyNumberFormat="1" applyFont="1" applyFill="1" applyBorder="1" applyAlignment="1">
      <alignment horizontal="center" vertical="center"/>
    </xf>
    <xf numFmtId="0" fontId="17562" fillId="8" borderId="1" xfId="0" applyNumberFormat="1" applyFont="1" applyFill="1" applyBorder="1" applyAlignment="1">
      <alignment horizontal="center" vertical="center"/>
    </xf>
    <xf numFmtId="1" fontId="17563" fillId="8" borderId="1" xfId="0" applyNumberFormat="1" applyFont="1" applyFill="1" applyBorder="1" applyAlignment="1">
      <alignment horizontal="center" vertical="center"/>
    </xf>
    <xf numFmtId="1" fontId="17564" fillId="8" borderId="1" xfId="0" applyNumberFormat="1" applyFont="1" applyFill="1" applyBorder="1" applyAlignment="1">
      <alignment horizontal="center" vertical="center"/>
    </xf>
    <xf numFmtId="1" fontId="17565" fillId="8" borderId="1" xfId="0" applyNumberFormat="1" applyFont="1" applyFill="1" applyBorder="1" applyAlignment="1">
      <alignment horizontal="center" vertical="center"/>
    </xf>
    <xf numFmtId="165" fontId="17566" fillId="8" borderId="1" xfId="0" applyNumberFormat="1" applyFont="1" applyFill="1" applyBorder="1" applyAlignment="1">
      <alignment horizontal="center" vertical="center"/>
    </xf>
    <xf numFmtId="1" fontId="17567" fillId="8" borderId="1" xfId="0" applyNumberFormat="1" applyFont="1" applyFill="1" applyBorder="1" applyAlignment="1">
      <alignment horizontal="center" vertical="center"/>
    </xf>
    <xf numFmtId="165" fontId="17568" fillId="8" borderId="1" xfId="0" applyNumberFormat="1" applyFont="1" applyFill="1" applyBorder="1" applyAlignment="1">
      <alignment horizontal="center" vertical="center"/>
    </xf>
    <xf numFmtId="1" fontId="17569" fillId="8" borderId="1" xfId="0" applyNumberFormat="1" applyFont="1" applyFill="1" applyBorder="1" applyAlignment="1">
      <alignment horizontal="center" vertical="center"/>
    </xf>
    <xf numFmtId="165" fontId="17570" fillId="8" borderId="1" xfId="0" applyNumberFormat="1" applyFont="1" applyFill="1" applyBorder="1" applyAlignment="1">
      <alignment horizontal="center" vertical="center"/>
    </xf>
    <xf numFmtId="1" fontId="17571" fillId="8" borderId="1" xfId="0" applyNumberFormat="1" applyFont="1" applyFill="1" applyBorder="1" applyAlignment="1">
      <alignment horizontal="center" vertical="center"/>
    </xf>
    <xf numFmtId="165" fontId="17572" fillId="8" borderId="1" xfId="0" applyNumberFormat="1" applyFont="1" applyFill="1" applyBorder="1" applyAlignment="1">
      <alignment horizontal="center" vertical="center"/>
    </xf>
    <xf numFmtId="165" fontId="17573" fillId="8" borderId="1" xfId="0" applyNumberFormat="1" applyFont="1" applyFill="1" applyBorder="1" applyAlignment="1">
      <alignment horizontal="center" vertical="center"/>
    </xf>
    <xf numFmtId="1" fontId="17574" fillId="8" borderId="1" xfId="0" applyNumberFormat="1" applyFont="1" applyFill="1" applyBorder="1" applyAlignment="1">
      <alignment horizontal="center" vertical="center"/>
    </xf>
    <xf numFmtId="1" fontId="17575" fillId="8" borderId="1" xfId="0" applyNumberFormat="1" applyFont="1" applyFill="1" applyBorder="1" applyAlignment="1">
      <alignment horizontal="center" vertical="center"/>
    </xf>
    <xf numFmtId="1" fontId="17576" fillId="8" borderId="1" xfId="0" applyNumberFormat="1" applyFont="1" applyFill="1" applyBorder="1" applyAlignment="1">
      <alignment horizontal="center" vertical="center"/>
    </xf>
    <xf numFmtId="165" fontId="17577" fillId="8" borderId="1" xfId="0" applyNumberFormat="1" applyFont="1" applyFill="1" applyBorder="1" applyAlignment="1">
      <alignment horizontal="center" vertical="center"/>
    </xf>
    <xf numFmtId="164" fontId="17578" fillId="8" borderId="1" xfId="0" applyNumberFormat="1" applyFont="1" applyFill="1" applyBorder="1" applyAlignment="1">
      <alignment horizontal="center" vertical="center"/>
    </xf>
    <xf numFmtId="164" fontId="17579" fillId="8" borderId="1" xfId="0" applyNumberFormat="1" applyFont="1" applyFill="1" applyBorder="1" applyAlignment="1">
      <alignment horizontal="center" vertical="center"/>
    </xf>
    <xf numFmtId="1" fontId="17580" fillId="8" borderId="1" xfId="0" applyNumberFormat="1" applyFont="1" applyFill="1" applyBorder="1" applyAlignment="1">
      <alignment horizontal="center" vertical="center"/>
    </xf>
    <xf numFmtId="1" fontId="17581" fillId="8" borderId="1" xfId="0" applyNumberFormat="1" applyFont="1" applyFill="1" applyBorder="1" applyAlignment="1">
      <alignment horizontal="center" vertical="center"/>
    </xf>
    <xf numFmtId="1" fontId="17582" fillId="8" borderId="1" xfId="0" applyNumberFormat="1" applyFont="1" applyFill="1" applyBorder="1" applyAlignment="1">
      <alignment horizontal="center" vertical="center"/>
    </xf>
    <xf numFmtId="165" fontId="17583" fillId="8" borderId="1" xfId="0" applyNumberFormat="1" applyFont="1" applyFill="1" applyBorder="1" applyAlignment="1">
      <alignment horizontal="center" vertical="center"/>
    </xf>
    <xf numFmtId="1" fontId="17584" fillId="8" borderId="1" xfId="0" applyNumberFormat="1" applyFont="1" applyFill="1" applyBorder="1" applyAlignment="1">
      <alignment horizontal="center" vertical="center"/>
    </xf>
    <xf numFmtId="165" fontId="17585" fillId="8" borderId="1" xfId="0" applyNumberFormat="1" applyFont="1" applyFill="1" applyBorder="1" applyAlignment="1">
      <alignment horizontal="center" vertical="center"/>
    </xf>
    <xf numFmtId="1" fontId="17586" fillId="8" borderId="1" xfId="0" applyNumberFormat="1" applyFont="1" applyFill="1" applyBorder="1" applyAlignment="1">
      <alignment horizontal="center" vertical="center"/>
    </xf>
    <xf numFmtId="1" fontId="17587" fillId="8" borderId="1" xfId="0" applyNumberFormat="1" applyFont="1" applyFill="1" applyBorder="1" applyAlignment="1">
      <alignment horizontal="center" vertical="center"/>
    </xf>
    <xf numFmtId="1" fontId="17588" fillId="8" borderId="1" xfId="0" applyNumberFormat="1" applyFont="1" applyFill="1" applyBorder="1" applyAlignment="1">
      <alignment horizontal="center" vertical="center"/>
    </xf>
    <xf numFmtId="1" fontId="17589" fillId="8" borderId="1" xfId="0" applyNumberFormat="1" applyFont="1" applyFill="1" applyBorder="1" applyAlignment="1">
      <alignment horizontal="center" vertical="center"/>
    </xf>
    <xf numFmtId="165" fontId="17590" fillId="8" borderId="1" xfId="0" applyNumberFormat="1" applyFont="1" applyFill="1" applyBorder="1" applyAlignment="1">
      <alignment horizontal="center" vertical="center"/>
    </xf>
    <xf numFmtId="1" fontId="17591" fillId="8" borderId="1" xfId="0" applyNumberFormat="1" applyFont="1" applyFill="1" applyBorder="1" applyAlignment="1">
      <alignment horizontal="center" vertical="center"/>
    </xf>
    <xf numFmtId="165" fontId="17592" fillId="8" borderId="1" xfId="0" applyNumberFormat="1" applyFont="1" applyFill="1" applyBorder="1" applyAlignment="1">
      <alignment horizontal="center" vertical="center"/>
    </xf>
    <xf numFmtId="1" fontId="17593" fillId="8" borderId="1" xfId="0" applyNumberFormat="1" applyFont="1" applyFill="1" applyBorder="1" applyAlignment="1">
      <alignment horizontal="center" vertical="center"/>
    </xf>
    <xf numFmtId="165" fontId="17594" fillId="8" borderId="1" xfId="0" applyNumberFormat="1" applyFont="1" applyFill="1" applyBorder="1" applyAlignment="1">
      <alignment horizontal="center" vertical="center"/>
    </xf>
    <xf numFmtId="2" fontId="17595" fillId="8" borderId="1" xfId="0" applyNumberFormat="1" applyFont="1" applyFill="1" applyBorder="1" applyAlignment="1">
      <alignment horizontal="center" vertical="center"/>
    </xf>
    <xf numFmtId="2" fontId="17596" fillId="8" borderId="1" xfId="0" applyNumberFormat="1" applyFont="1" applyFill="1" applyBorder="1" applyAlignment="1">
      <alignment horizontal="center" vertical="center"/>
    </xf>
    <xf numFmtId="2" fontId="17597" fillId="8" borderId="1" xfId="0" applyNumberFormat="1" applyFont="1" applyFill="1" applyBorder="1" applyAlignment="1">
      <alignment horizontal="center" vertical="center"/>
    </xf>
    <xf numFmtId="2" fontId="17598" fillId="8" borderId="1" xfId="0" applyNumberFormat="1" applyFont="1" applyFill="1" applyBorder="1" applyAlignment="1">
      <alignment horizontal="center" vertical="center"/>
    </xf>
    <xf numFmtId="2" fontId="17599" fillId="8" borderId="1" xfId="0" applyNumberFormat="1" applyFont="1" applyFill="1" applyBorder="1" applyAlignment="1">
      <alignment horizontal="center" vertical="center"/>
    </xf>
    <xf numFmtId="2" fontId="17600" fillId="8" borderId="1" xfId="0" applyNumberFormat="1" applyFont="1" applyFill="1" applyBorder="1" applyAlignment="1">
      <alignment horizontal="center" vertical="center"/>
    </xf>
    <xf numFmtId="2" fontId="17601" fillId="8" borderId="1" xfId="0" applyNumberFormat="1" applyFont="1" applyFill="1" applyBorder="1" applyAlignment="1">
      <alignment horizontal="center" vertical="center"/>
    </xf>
    <xf numFmtId="2" fontId="17602" fillId="8" borderId="1" xfId="0" applyNumberFormat="1" applyFont="1" applyFill="1" applyBorder="1" applyAlignment="1">
      <alignment horizontal="center" vertical="center"/>
    </xf>
    <xf numFmtId="2" fontId="17603" fillId="8" borderId="1" xfId="0" applyNumberFormat="1" applyFont="1" applyFill="1" applyBorder="1" applyAlignment="1">
      <alignment horizontal="center" vertical="center"/>
    </xf>
    <xf numFmtId="2" fontId="17604" fillId="8" borderId="1" xfId="0" applyNumberFormat="1" applyFont="1" applyFill="1" applyBorder="1" applyAlignment="1">
      <alignment horizontal="center" vertical="center"/>
    </xf>
    <xf numFmtId="2" fontId="17605" fillId="8" borderId="1" xfId="0" applyNumberFormat="1" applyFont="1" applyFill="1" applyBorder="1" applyAlignment="1">
      <alignment horizontal="center" vertical="center"/>
    </xf>
    <xf numFmtId="2" fontId="17606" fillId="8" borderId="1" xfId="0" applyNumberFormat="1" applyFont="1" applyFill="1" applyBorder="1" applyAlignment="1">
      <alignment horizontal="center" vertical="center"/>
    </xf>
    <xf numFmtId="2" fontId="17607" fillId="8" borderId="1" xfId="0" applyNumberFormat="1" applyFont="1" applyFill="1" applyBorder="1" applyAlignment="1">
      <alignment horizontal="center" vertical="center"/>
    </xf>
    <xf numFmtId="2" fontId="17608" fillId="8" borderId="1" xfId="0" applyNumberFormat="1" applyFont="1" applyFill="1" applyBorder="1" applyAlignment="1">
      <alignment horizontal="center" vertical="center"/>
    </xf>
    <xf numFmtId="2" fontId="17609" fillId="8" borderId="1" xfId="0" applyNumberFormat="1" applyFont="1" applyFill="1" applyBorder="1" applyAlignment="1">
      <alignment horizontal="center" vertical="center"/>
    </xf>
    <xf numFmtId="2" fontId="17610" fillId="8" borderId="1" xfId="0" applyNumberFormat="1" applyFont="1" applyFill="1" applyBorder="1" applyAlignment="1">
      <alignment horizontal="center" vertical="center"/>
    </xf>
    <xf numFmtId="2" fontId="17611" fillId="8" borderId="1" xfId="0" applyNumberFormat="1" applyFont="1" applyFill="1" applyBorder="1" applyAlignment="1">
      <alignment horizontal="center" vertical="center"/>
    </xf>
    <xf numFmtId="2" fontId="17612" fillId="8" borderId="1" xfId="0" applyNumberFormat="1" applyFont="1" applyFill="1" applyBorder="1" applyAlignment="1">
      <alignment horizontal="center" vertical="center"/>
    </xf>
    <xf numFmtId="2" fontId="17613" fillId="8" borderId="1" xfId="0" applyNumberFormat="1" applyFont="1" applyFill="1" applyBorder="1" applyAlignment="1">
      <alignment horizontal="center" vertical="center"/>
    </xf>
    <xf numFmtId="2" fontId="17614" fillId="8" borderId="1" xfId="0" applyNumberFormat="1" applyFont="1" applyFill="1" applyBorder="1" applyAlignment="1">
      <alignment horizontal="center" vertical="center"/>
    </xf>
    <xf numFmtId="2" fontId="17615" fillId="8" borderId="1" xfId="0" applyNumberFormat="1" applyFont="1" applyFill="1" applyBorder="1" applyAlignment="1">
      <alignment horizontal="center" vertical="center"/>
    </xf>
    <xf numFmtId="2" fontId="17616" fillId="8" borderId="1" xfId="0" applyNumberFormat="1" applyFont="1" applyFill="1" applyBorder="1" applyAlignment="1">
      <alignment horizontal="center" vertical="center"/>
    </xf>
    <xf numFmtId="2" fontId="17617" fillId="8" borderId="1" xfId="0" applyNumberFormat="1" applyFont="1" applyFill="1" applyBorder="1" applyAlignment="1">
      <alignment horizontal="center" vertical="center"/>
    </xf>
    <xf numFmtId="2" fontId="17618" fillId="8" borderId="1" xfId="0" applyNumberFormat="1" applyFont="1" applyFill="1" applyBorder="1" applyAlignment="1">
      <alignment horizontal="center" vertical="center"/>
    </xf>
    <xf numFmtId="2" fontId="17619" fillId="8" borderId="1" xfId="0" applyNumberFormat="1" applyFont="1" applyFill="1" applyBorder="1" applyAlignment="1">
      <alignment horizontal="center" vertical="center"/>
    </xf>
    <xf numFmtId="2" fontId="17620" fillId="8" borderId="1" xfId="0" applyNumberFormat="1" applyFont="1" applyFill="1" applyBorder="1" applyAlignment="1">
      <alignment horizontal="center" vertical="center"/>
    </xf>
    <xf numFmtId="2" fontId="17621" fillId="8" borderId="1" xfId="0" applyNumberFormat="1" applyFont="1" applyFill="1" applyBorder="1" applyAlignment="1">
      <alignment horizontal="center" vertical="center"/>
    </xf>
    <xf numFmtId="2" fontId="17622" fillId="8" borderId="1" xfId="0" applyNumberFormat="1" applyFont="1" applyFill="1" applyBorder="1" applyAlignment="1">
      <alignment horizontal="center" vertical="center"/>
    </xf>
    <xf numFmtId="2" fontId="17623" fillId="8" borderId="1" xfId="0" applyNumberFormat="1" applyFont="1" applyFill="1" applyBorder="1" applyAlignment="1">
      <alignment horizontal="center" vertical="center"/>
    </xf>
    <xf numFmtId="2" fontId="17624" fillId="8" borderId="1" xfId="0" applyNumberFormat="1" applyFont="1" applyFill="1" applyBorder="1" applyAlignment="1">
      <alignment horizontal="center" vertical="center"/>
    </xf>
    <xf numFmtId="2" fontId="17625" fillId="8" borderId="1" xfId="0" applyNumberFormat="1" applyFont="1" applyFill="1" applyBorder="1" applyAlignment="1">
      <alignment horizontal="center" vertical="center"/>
    </xf>
    <xf numFmtId="2" fontId="17626" fillId="8" borderId="1" xfId="0" applyNumberFormat="1" applyFont="1" applyFill="1" applyBorder="1" applyAlignment="1">
      <alignment horizontal="center" vertical="center"/>
    </xf>
    <xf numFmtId="2" fontId="17627" fillId="8" borderId="1" xfId="0" applyNumberFormat="1" applyFont="1" applyFill="1" applyBorder="1" applyAlignment="1">
      <alignment horizontal="center" vertical="center"/>
    </xf>
    <xf numFmtId="2" fontId="17628" fillId="8" borderId="1" xfId="0" applyNumberFormat="1" applyFont="1" applyFill="1" applyBorder="1" applyAlignment="1">
      <alignment horizontal="center" vertical="center"/>
    </xf>
    <xf numFmtId="0" fontId="17629" fillId="7" borderId="1" xfId="0" applyNumberFormat="1" applyFont="1" applyFill="1" applyBorder="1" applyAlignment="1">
      <alignment horizontal="left" vertical="center"/>
    </xf>
    <xf numFmtId="0" fontId="17630" fillId="8" borderId="1" xfId="0" applyNumberFormat="1" applyFont="1" applyFill="1" applyBorder="1" applyAlignment="1">
      <alignment horizontal="center" vertical="center"/>
    </xf>
    <xf numFmtId="164" fontId="17631" fillId="8" borderId="1" xfId="0" applyNumberFormat="1" applyFont="1" applyFill="1" applyBorder="1" applyAlignment="1">
      <alignment horizontal="center" vertical="center"/>
    </xf>
    <xf numFmtId="1" fontId="17632" fillId="8" borderId="1" xfId="0" applyNumberFormat="1" applyFont="1" applyFill="1" applyBorder="1" applyAlignment="1">
      <alignment horizontal="center" vertical="center"/>
    </xf>
    <xf numFmtId="1" fontId="17633" fillId="8" borderId="1" xfId="0" applyNumberFormat="1" applyFont="1" applyFill="1" applyBorder="1" applyAlignment="1">
      <alignment horizontal="center" vertical="center"/>
    </xf>
    <xf numFmtId="1" fontId="17634" fillId="8" borderId="1" xfId="0" applyNumberFormat="1" applyFont="1" applyFill="1" applyBorder="1" applyAlignment="1">
      <alignment horizontal="center" vertical="center"/>
    </xf>
    <xf numFmtId="1" fontId="17635" fillId="8" borderId="1" xfId="0" applyNumberFormat="1" applyFont="1" applyFill="1" applyBorder="1" applyAlignment="1">
      <alignment horizontal="center" vertical="center"/>
    </xf>
    <xf numFmtId="1" fontId="17636" fillId="8" borderId="1" xfId="0" applyNumberFormat="1" applyFont="1" applyFill="1" applyBorder="1" applyAlignment="1">
      <alignment horizontal="center" vertical="center"/>
    </xf>
    <xf numFmtId="1" fontId="17637" fillId="8" borderId="1" xfId="0" applyNumberFormat="1" applyFont="1" applyFill="1" applyBorder="1" applyAlignment="1">
      <alignment horizontal="center" vertical="center"/>
    </xf>
    <xf numFmtId="1" fontId="17638" fillId="8" borderId="1" xfId="0" applyNumberFormat="1" applyFont="1" applyFill="1" applyBorder="1" applyAlignment="1">
      <alignment horizontal="center" vertical="center"/>
    </xf>
    <xf numFmtId="0" fontId="17639" fillId="8" borderId="1" xfId="0" applyNumberFormat="1" applyFont="1" applyFill="1" applyBorder="1" applyAlignment="1">
      <alignment horizontal="center" vertical="center"/>
    </xf>
    <xf numFmtId="0" fontId="17640" fillId="8" borderId="1" xfId="0" applyNumberFormat="1" applyFont="1" applyFill="1" applyBorder="1" applyAlignment="1">
      <alignment horizontal="center" vertical="center"/>
    </xf>
    <xf numFmtId="1" fontId="17641" fillId="8" borderId="1" xfId="0" applyNumberFormat="1" applyFont="1" applyFill="1" applyBorder="1" applyAlignment="1">
      <alignment horizontal="center" vertical="center"/>
    </xf>
    <xf numFmtId="1" fontId="17642" fillId="8" borderId="1" xfId="0" applyNumberFormat="1" applyFont="1" applyFill="1" applyBorder="1" applyAlignment="1">
      <alignment horizontal="center" vertical="center"/>
    </xf>
    <xf numFmtId="1" fontId="17643" fillId="8" borderId="1" xfId="0" applyNumberFormat="1" applyFont="1" applyFill="1" applyBorder="1" applyAlignment="1">
      <alignment horizontal="center" vertical="center"/>
    </xf>
    <xf numFmtId="165" fontId="17644" fillId="8" borderId="1" xfId="0" applyNumberFormat="1" applyFont="1" applyFill="1" applyBorder="1" applyAlignment="1">
      <alignment horizontal="center" vertical="center"/>
    </xf>
    <xf numFmtId="1" fontId="17645" fillId="8" borderId="1" xfId="0" applyNumberFormat="1" applyFont="1" applyFill="1" applyBorder="1" applyAlignment="1">
      <alignment horizontal="center" vertical="center"/>
    </xf>
    <xf numFmtId="165" fontId="17646" fillId="8" borderId="1" xfId="0" applyNumberFormat="1" applyFont="1" applyFill="1" applyBorder="1" applyAlignment="1">
      <alignment horizontal="center" vertical="center"/>
    </xf>
    <xf numFmtId="1" fontId="17647" fillId="8" borderId="1" xfId="0" applyNumberFormat="1" applyFont="1" applyFill="1" applyBorder="1" applyAlignment="1">
      <alignment horizontal="center" vertical="center"/>
    </xf>
    <xf numFmtId="165" fontId="17648" fillId="8" borderId="1" xfId="0" applyNumberFormat="1" applyFont="1" applyFill="1" applyBorder="1" applyAlignment="1">
      <alignment horizontal="center" vertical="center"/>
    </xf>
    <xf numFmtId="1" fontId="17649" fillId="8" borderId="1" xfId="0" applyNumberFormat="1" applyFont="1" applyFill="1" applyBorder="1" applyAlignment="1">
      <alignment horizontal="center" vertical="center"/>
    </xf>
    <xf numFmtId="165" fontId="17650" fillId="8" borderId="1" xfId="0" applyNumberFormat="1" applyFont="1" applyFill="1" applyBorder="1" applyAlignment="1">
      <alignment horizontal="center" vertical="center"/>
    </xf>
    <xf numFmtId="165" fontId="17651" fillId="8" borderId="1" xfId="0" applyNumberFormat="1" applyFont="1" applyFill="1" applyBorder="1" applyAlignment="1">
      <alignment horizontal="center" vertical="center"/>
    </xf>
    <xf numFmtId="1" fontId="17652" fillId="8" borderId="1" xfId="0" applyNumberFormat="1" applyFont="1" applyFill="1" applyBorder="1" applyAlignment="1">
      <alignment horizontal="center" vertical="center"/>
    </xf>
    <xf numFmtId="1" fontId="17653" fillId="8" borderId="1" xfId="0" applyNumberFormat="1" applyFont="1" applyFill="1" applyBorder="1" applyAlignment="1">
      <alignment horizontal="center" vertical="center"/>
    </xf>
    <xf numFmtId="1" fontId="17654" fillId="8" borderId="1" xfId="0" applyNumberFormat="1" applyFont="1" applyFill="1" applyBorder="1" applyAlignment="1">
      <alignment horizontal="center" vertical="center"/>
    </xf>
    <xf numFmtId="165" fontId="17655" fillId="8" borderId="1" xfId="0" applyNumberFormat="1" applyFont="1" applyFill="1" applyBorder="1" applyAlignment="1">
      <alignment horizontal="center" vertical="center"/>
    </xf>
    <xf numFmtId="164" fontId="17656" fillId="8" borderId="1" xfId="0" applyNumberFormat="1" applyFont="1" applyFill="1" applyBorder="1" applyAlignment="1">
      <alignment horizontal="center" vertical="center"/>
    </xf>
    <xf numFmtId="164" fontId="17657" fillId="8" borderId="1" xfId="0" applyNumberFormat="1" applyFont="1" applyFill="1" applyBorder="1" applyAlignment="1">
      <alignment horizontal="center" vertical="center"/>
    </xf>
    <xf numFmtId="1" fontId="17658" fillId="8" borderId="1" xfId="0" applyNumberFormat="1" applyFont="1" applyFill="1" applyBorder="1" applyAlignment="1">
      <alignment horizontal="center" vertical="center"/>
    </xf>
    <xf numFmtId="1" fontId="17659" fillId="8" borderId="1" xfId="0" applyNumberFormat="1" applyFont="1" applyFill="1" applyBorder="1" applyAlignment="1">
      <alignment horizontal="center" vertical="center"/>
    </xf>
    <xf numFmtId="1" fontId="17660" fillId="8" borderId="1" xfId="0" applyNumberFormat="1" applyFont="1" applyFill="1" applyBorder="1" applyAlignment="1">
      <alignment horizontal="center" vertical="center"/>
    </xf>
    <xf numFmtId="165" fontId="17661" fillId="8" borderId="1" xfId="0" applyNumberFormat="1" applyFont="1" applyFill="1" applyBorder="1" applyAlignment="1">
      <alignment horizontal="center" vertical="center"/>
    </xf>
    <xf numFmtId="1" fontId="17662" fillId="8" borderId="1" xfId="0" applyNumberFormat="1" applyFont="1" applyFill="1" applyBorder="1" applyAlignment="1">
      <alignment horizontal="center" vertical="center"/>
    </xf>
    <xf numFmtId="165" fontId="17663" fillId="8" borderId="1" xfId="0" applyNumberFormat="1" applyFont="1" applyFill="1" applyBorder="1" applyAlignment="1">
      <alignment horizontal="center" vertical="center"/>
    </xf>
    <xf numFmtId="1" fontId="17664" fillId="8" borderId="1" xfId="0" applyNumberFormat="1" applyFont="1" applyFill="1" applyBorder="1" applyAlignment="1">
      <alignment horizontal="center" vertical="center"/>
    </xf>
    <xf numFmtId="1" fontId="17665" fillId="8" borderId="1" xfId="0" applyNumberFormat="1" applyFont="1" applyFill="1" applyBorder="1" applyAlignment="1">
      <alignment horizontal="center" vertical="center"/>
    </xf>
    <xf numFmtId="1" fontId="17666" fillId="8" borderId="1" xfId="0" applyNumberFormat="1" applyFont="1" applyFill="1" applyBorder="1" applyAlignment="1">
      <alignment horizontal="center" vertical="center"/>
    </xf>
    <xf numFmtId="1" fontId="17667" fillId="8" borderId="1" xfId="0" applyNumberFormat="1" applyFont="1" applyFill="1" applyBorder="1" applyAlignment="1">
      <alignment horizontal="center" vertical="center"/>
    </xf>
    <xf numFmtId="165" fontId="17668" fillId="8" borderId="1" xfId="0" applyNumberFormat="1" applyFont="1" applyFill="1" applyBorder="1" applyAlignment="1">
      <alignment horizontal="center" vertical="center"/>
    </xf>
    <xf numFmtId="1" fontId="17669" fillId="8" borderId="1" xfId="0" applyNumberFormat="1" applyFont="1" applyFill="1" applyBorder="1" applyAlignment="1">
      <alignment horizontal="center" vertical="center"/>
    </xf>
    <xf numFmtId="165" fontId="17670" fillId="8" borderId="1" xfId="0" applyNumberFormat="1" applyFont="1" applyFill="1" applyBorder="1" applyAlignment="1">
      <alignment horizontal="center" vertical="center"/>
    </xf>
    <xf numFmtId="1" fontId="17671" fillId="8" borderId="1" xfId="0" applyNumberFormat="1" applyFont="1" applyFill="1" applyBorder="1" applyAlignment="1">
      <alignment horizontal="center" vertical="center"/>
    </xf>
    <xf numFmtId="165" fontId="17672" fillId="8" borderId="1" xfId="0" applyNumberFormat="1" applyFont="1" applyFill="1" applyBorder="1" applyAlignment="1">
      <alignment horizontal="center" vertical="center"/>
    </xf>
    <xf numFmtId="2" fontId="17673" fillId="8" borderId="1" xfId="0" applyNumberFormat="1" applyFont="1" applyFill="1" applyBorder="1" applyAlignment="1">
      <alignment horizontal="center" vertical="center"/>
    </xf>
    <xf numFmtId="2" fontId="17674" fillId="8" borderId="1" xfId="0" applyNumberFormat="1" applyFont="1" applyFill="1" applyBorder="1" applyAlignment="1">
      <alignment horizontal="center" vertical="center"/>
    </xf>
    <xf numFmtId="2" fontId="17675" fillId="8" borderId="1" xfId="0" applyNumberFormat="1" applyFont="1" applyFill="1" applyBorder="1" applyAlignment="1">
      <alignment horizontal="center" vertical="center"/>
    </xf>
    <xf numFmtId="2" fontId="17676" fillId="8" borderId="1" xfId="0" applyNumberFormat="1" applyFont="1" applyFill="1" applyBorder="1" applyAlignment="1">
      <alignment horizontal="center" vertical="center"/>
    </xf>
    <xf numFmtId="2" fontId="17677" fillId="8" borderId="1" xfId="0" applyNumberFormat="1" applyFont="1" applyFill="1" applyBorder="1" applyAlignment="1">
      <alignment horizontal="center" vertical="center"/>
    </xf>
    <xf numFmtId="2" fontId="17678" fillId="8" borderId="1" xfId="0" applyNumberFormat="1" applyFont="1" applyFill="1" applyBorder="1" applyAlignment="1">
      <alignment horizontal="center" vertical="center"/>
    </xf>
    <xf numFmtId="2" fontId="17679" fillId="8" borderId="1" xfId="0" applyNumberFormat="1" applyFont="1" applyFill="1" applyBorder="1" applyAlignment="1">
      <alignment horizontal="center" vertical="center"/>
    </xf>
    <xf numFmtId="2" fontId="17680" fillId="8" borderId="1" xfId="0" applyNumberFormat="1" applyFont="1" applyFill="1" applyBorder="1" applyAlignment="1">
      <alignment horizontal="center" vertical="center"/>
    </xf>
    <xf numFmtId="2" fontId="17681" fillId="8" borderId="1" xfId="0" applyNumberFormat="1" applyFont="1" applyFill="1" applyBorder="1" applyAlignment="1">
      <alignment horizontal="center" vertical="center"/>
    </xf>
    <xf numFmtId="2" fontId="17682" fillId="8" borderId="1" xfId="0" applyNumberFormat="1" applyFont="1" applyFill="1" applyBorder="1" applyAlignment="1">
      <alignment horizontal="center" vertical="center"/>
    </xf>
    <xf numFmtId="2" fontId="17683" fillId="8" borderId="1" xfId="0" applyNumberFormat="1" applyFont="1" applyFill="1" applyBorder="1" applyAlignment="1">
      <alignment horizontal="center" vertical="center"/>
    </xf>
    <xf numFmtId="2" fontId="17684" fillId="8" borderId="1" xfId="0" applyNumberFormat="1" applyFont="1" applyFill="1" applyBorder="1" applyAlignment="1">
      <alignment horizontal="center" vertical="center"/>
    </xf>
    <xf numFmtId="2" fontId="17685" fillId="8" borderId="1" xfId="0" applyNumberFormat="1" applyFont="1" applyFill="1" applyBorder="1" applyAlignment="1">
      <alignment horizontal="center" vertical="center"/>
    </xf>
    <xf numFmtId="2" fontId="17686" fillId="8" borderId="1" xfId="0" applyNumberFormat="1" applyFont="1" applyFill="1" applyBorder="1" applyAlignment="1">
      <alignment horizontal="center" vertical="center"/>
    </xf>
    <xf numFmtId="2" fontId="17687" fillId="8" borderId="1" xfId="0" applyNumberFormat="1" applyFont="1" applyFill="1" applyBorder="1" applyAlignment="1">
      <alignment horizontal="center" vertical="center"/>
    </xf>
    <xf numFmtId="2" fontId="17688" fillId="8" borderId="1" xfId="0" applyNumberFormat="1" applyFont="1" applyFill="1" applyBorder="1" applyAlignment="1">
      <alignment horizontal="center" vertical="center"/>
    </xf>
    <xf numFmtId="2" fontId="17689" fillId="8" borderId="1" xfId="0" applyNumberFormat="1" applyFont="1" applyFill="1" applyBorder="1" applyAlignment="1">
      <alignment horizontal="center" vertical="center"/>
    </xf>
    <xf numFmtId="2" fontId="17690" fillId="8" borderId="1" xfId="0" applyNumberFormat="1" applyFont="1" applyFill="1" applyBorder="1" applyAlignment="1">
      <alignment horizontal="center" vertical="center"/>
    </xf>
    <xf numFmtId="2" fontId="17691" fillId="8" borderId="1" xfId="0" applyNumberFormat="1" applyFont="1" applyFill="1" applyBorder="1" applyAlignment="1">
      <alignment horizontal="center" vertical="center"/>
    </xf>
    <xf numFmtId="2" fontId="17692" fillId="8" borderId="1" xfId="0" applyNumberFormat="1" applyFont="1" applyFill="1" applyBorder="1" applyAlignment="1">
      <alignment horizontal="center" vertical="center"/>
    </xf>
    <xf numFmtId="2" fontId="17693" fillId="8" borderId="1" xfId="0" applyNumberFormat="1" applyFont="1" applyFill="1" applyBorder="1" applyAlignment="1">
      <alignment horizontal="center" vertical="center"/>
    </xf>
    <xf numFmtId="2" fontId="17694" fillId="8" borderId="1" xfId="0" applyNumberFormat="1" applyFont="1" applyFill="1" applyBorder="1" applyAlignment="1">
      <alignment horizontal="center" vertical="center"/>
    </xf>
    <xf numFmtId="2" fontId="17695" fillId="8" borderId="1" xfId="0" applyNumberFormat="1" applyFont="1" applyFill="1" applyBorder="1" applyAlignment="1">
      <alignment horizontal="center" vertical="center"/>
    </xf>
    <xf numFmtId="2" fontId="17696" fillId="8" borderId="1" xfId="0" applyNumberFormat="1" applyFont="1" applyFill="1" applyBorder="1" applyAlignment="1">
      <alignment horizontal="center" vertical="center"/>
    </xf>
    <xf numFmtId="2" fontId="17697" fillId="8" borderId="1" xfId="0" applyNumberFormat="1" applyFont="1" applyFill="1" applyBorder="1" applyAlignment="1">
      <alignment horizontal="center" vertical="center"/>
    </xf>
    <xf numFmtId="2" fontId="17698" fillId="8" borderId="1" xfId="0" applyNumberFormat="1" applyFont="1" applyFill="1" applyBorder="1" applyAlignment="1">
      <alignment horizontal="center" vertical="center"/>
    </xf>
    <xf numFmtId="2" fontId="17699" fillId="8" borderId="1" xfId="0" applyNumberFormat="1" applyFont="1" applyFill="1" applyBorder="1" applyAlignment="1">
      <alignment horizontal="center" vertical="center"/>
    </xf>
    <xf numFmtId="2" fontId="17700" fillId="8" borderId="1" xfId="0" applyNumberFormat="1" applyFont="1" applyFill="1" applyBorder="1" applyAlignment="1">
      <alignment horizontal="center" vertical="center"/>
    </xf>
    <xf numFmtId="2" fontId="17701" fillId="8" borderId="1" xfId="0" applyNumberFormat="1" applyFont="1" applyFill="1" applyBorder="1" applyAlignment="1">
      <alignment horizontal="center" vertical="center"/>
    </xf>
    <xf numFmtId="2" fontId="17702" fillId="8" borderId="1" xfId="0" applyNumberFormat="1" applyFont="1" applyFill="1" applyBorder="1" applyAlignment="1">
      <alignment horizontal="center" vertical="center"/>
    </xf>
    <xf numFmtId="2" fontId="17703" fillId="8" borderId="1" xfId="0" applyNumberFormat="1" applyFont="1" applyFill="1" applyBorder="1" applyAlignment="1">
      <alignment horizontal="center" vertical="center"/>
    </xf>
    <xf numFmtId="2" fontId="17704" fillId="8" borderId="1" xfId="0" applyNumberFormat="1" applyFont="1" applyFill="1" applyBorder="1" applyAlignment="1">
      <alignment horizontal="center" vertical="center"/>
    </xf>
    <xf numFmtId="2" fontId="17705" fillId="8" borderId="1" xfId="0" applyNumberFormat="1" applyFont="1" applyFill="1" applyBorder="1" applyAlignment="1">
      <alignment horizontal="center" vertical="center"/>
    </xf>
    <xf numFmtId="2" fontId="17706" fillId="8" borderId="1" xfId="0" applyNumberFormat="1" applyFont="1" applyFill="1" applyBorder="1" applyAlignment="1">
      <alignment horizontal="center" vertical="center"/>
    </xf>
    <xf numFmtId="0" fontId="17707" fillId="7" borderId="1" xfId="0" applyNumberFormat="1" applyFont="1" applyFill="1" applyBorder="1" applyAlignment="1">
      <alignment horizontal="left" vertical="center"/>
    </xf>
    <xf numFmtId="0" fontId="17708" fillId="8" borderId="1" xfId="0" applyNumberFormat="1" applyFont="1" applyFill="1" applyBorder="1" applyAlignment="1">
      <alignment horizontal="center" vertical="center"/>
    </xf>
    <xf numFmtId="164" fontId="17709" fillId="8" borderId="1" xfId="0" applyNumberFormat="1" applyFont="1" applyFill="1" applyBorder="1" applyAlignment="1">
      <alignment horizontal="center" vertical="center"/>
    </xf>
    <xf numFmtId="1" fontId="17710" fillId="8" borderId="1" xfId="0" applyNumberFormat="1" applyFont="1" applyFill="1" applyBorder="1" applyAlignment="1">
      <alignment horizontal="center" vertical="center"/>
    </xf>
    <xf numFmtId="1" fontId="17711" fillId="8" borderId="1" xfId="0" applyNumberFormat="1" applyFont="1" applyFill="1" applyBorder="1" applyAlignment="1">
      <alignment horizontal="center" vertical="center"/>
    </xf>
    <xf numFmtId="1" fontId="17712" fillId="8" borderId="1" xfId="0" applyNumberFormat="1" applyFont="1" applyFill="1" applyBorder="1" applyAlignment="1">
      <alignment horizontal="center" vertical="center"/>
    </xf>
    <xf numFmtId="1" fontId="17713" fillId="8" borderId="1" xfId="0" applyNumberFormat="1" applyFont="1" applyFill="1" applyBorder="1" applyAlignment="1">
      <alignment horizontal="center" vertical="center"/>
    </xf>
    <xf numFmtId="1" fontId="17714" fillId="8" borderId="1" xfId="0" applyNumberFormat="1" applyFont="1" applyFill="1" applyBorder="1" applyAlignment="1">
      <alignment horizontal="center" vertical="center"/>
    </xf>
    <xf numFmtId="1" fontId="17715" fillId="8" borderId="1" xfId="0" applyNumberFormat="1" applyFont="1" applyFill="1" applyBorder="1" applyAlignment="1">
      <alignment horizontal="center" vertical="center"/>
    </xf>
    <xf numFmtId="1" fontId="17716" fillId="8" borderId="1" xfId="0" applyNumberFormat="1" applyFont="1" applyFill="1" applyBorder="1" applyAlignment="1">
      <alignment horizontal="center" vertical="center"/>
    </xf>
    <xf numFmtId="0" fontId="17717" fillId="8" borderId="1" xfId="0" applyNumberFormat="1" applyFont="1" applyFill="1" applyBorder="1" applyAlignment="1">
      <alignment horizontal="center" vertical="center"/>
    </xf>
    <xf numFmtId="0" fontId="17718" fillId="8" borderId="1" xfId="0" applyNumberFormat="1" applyFont="1" applyFill="1" applyBorder="1" applyAlignment="1">
      <alignment horizontal="center" vertical="center"/>
    </xf>
    <xf numFmtId="1" fontId="17719" fillId="8" borderId="1" xfId="0" applyNumberFormat="1" applyFont="1" applyFill="1" applyBorder="1" applyAlignment="1">
      <alignment horizontal="center" vertical="center"/>
    </xf>
    <xf numFmtId="1" fontId="17720" fillId="8" borderId="1" xfId="0" applyNumberFormat="1" applyFont="1" applyFill="1" applyBorder="1" applyAlignment="1">
      <alignment horizontal="center" vertical="center"/>
    </xf>
    <xf numFmtId="1" fontId="17721" fillId="8" borderId="1" xfId="0" applyNumberFormat="1" applyFont="1" applyFill="1" applyBorder="1" applyAlignment="1">
      <alignment horizontal="center" vertical="center"/>
    </xf>
    <xf numFmtId="165" fontId="17722" fillId="8" borderId="1" xfId="0" applyNumberFormat="1" applyFont="1" applyFill="1" applyBorder="1" applyAlignment="1">
      <alignment horizontal="center" vertical="center"/>
    </xf>
    <xf numFmtId="1" fontId="17723" fillId="8" borderId="1" xfId="0" applyNumberFormat="1" applyFont="1" applyFill="1" applyBorder="1" applyAlignment="1">
      <alignment horizontal="center" vertical="center"/>
    </xf>
    <xf numFmtId="165" fontId="17724" fillId="8" borderId="1" xfId="0" applyNumberFormat="1" applyFont="1" applyFill="1" applyBorder="1" applyAlignment="1">
      <alignment horizontal="center" vertical="center"/>
    </xf>
    <xf numFmtId="1" fontId="17725" fillId="8" borderId="1" xfId="0" applyNumberFormat="1" applyFont="1" applyFill="1" applyBorder="1" applyAlignment="1">
      <alignment horizontal="center" vertical="center"/>
    </xf>
    <xf numFmtId="165" fontId="17726" fillId="8" borderId="1" xfId="0" applyNumberFormat="1" applyFont="1" applyFill="1" applyBorder="1" applyAlignment="1">
      <alignment horizontal="center" vertical="center"/>
    </xf>
    <xf numFmtId="1" fontId="17727" fillId="8" borderId="1" xfId="0" applyNumberFormat="1" applyFont="1" applyFill="1" applyBorder="1" applyAlignment="1">
      <alignment horizontal="center" vertical="center"/>
    </xf>
    <xf numFmtId="165" fontId="17728" fillId="8" borderId="1" xfId="0" applyNumberFormat="1" applyFont="1" applyFill="1" applyBorder="1" applyAlignment="1">
      <alignment horizontal="center" vertical="center"/>
    </xf>
    <xf numFmtId="165" fontId="17729" fillId="8" borderId="1" xfId="0" applyNumberFormat="1" applyFont="1" applyFill="1" applyBorder="1" applyAlignment="1">
      <alignment horizontal="center" vertical="center"/>
    </xf>
    <xf numFmtId="1" fontId="17730" fillId="8" borderId="1" xfId="0" applyNumberFormat="1" applyFont="1" applyFill="1" applyBorder="1" applyAlignment="1">
      <alignment horizontal="center" vertical="center"/>
    </xf>
    <xf numFmtId="1" fontId="17731" fillId="8" borderId="1" xfId="0" applyNumberFormat="1" applyFont="1" applyFill="1" applyBorder="1" applyAlignment="1">
      <alignment horizontal="center" vertical="center"/>
    </xf>
    <xf numFmtId="1" fontId="17732" fillId="8" borderId="1" xfId="0" applyNumberFormat="1" applyFont="1" applyFill="1" applyBorder="1" applyAlignment="1">
      <alignment horizontal="center" vertical="center"/>
    </xf>
    <xf numFmtId="165" fontId="17733" fillId="8" borderId="1" xfId="0" applyNumberFormat="1" applyFont="1" applyFill="1" applyBorder="1" applyAlignment="1">
      <alignment horizontal="center" vertical="center"/>
    </xf>
    <xf numFmtId="164" fontId="17734" fillId="8" borderId="1" xfId="0" applyNumberFormat="1" applyFont="1" applyFill="1" applyBorder="1" applyAlignment="1">
      <alignment horizontal="center" vertical="center"/>
    </xf>
    <xf numFmtId="164" fontId="17735" fillId="8" borderId="1" xfId="0" applyNumberFormat="1" applyFont="1" applyFill="1" applyBorder="1" applyAlignment="1">
      <alignment horizontal="center" vertical="center"/>
    </xf>
    <xf numFmtId="1" fontId="17736" fillId="8" borderId="1" xfId="0" applyNumberFormat="1" applyFont="1" applyFill="1" applyBorder="1" applyAlignment="1">
      <alignment horizontal="center" vertical="center"/>
    </xf>
    <xf numFmtId="1" fontId="17737" fillId="8" borderId="1" xfId="0" applyNumberFormat="1" applyFont="1" applyFill="1" applyBorder="1" applyAlignment="1">
      <alignment horizontal="center" vertical="center"/>
    </xf>
    <xf numFmtId="1" fontId="17738" fillId="8" borderId="1" xfId="0" applyNumberFormat="1" applyFont="1" applyFill="1" applyBorder="1" applyAlignment="1">
      <alignment horizontal="center" vertical="center"/>
    </xf>
    <xf numFmtId="165" fontId="17739" fillId="8" borderId="1" xfId="0" applyNumberFormat="1" applyFont="1" applyFill="1" applyBorder="1" applyAlignment="1">
      <alignment horizontal="center" vertical="center"/>
    </xf>
    <xf numFmtId="1" fontId="17740" fillId="8" borderId="1" xfId="0" applyNumberFormat="1" applyFont="1" applyFill="1" applyBorder="1" applyAlignment="1">
      <alignment horizontal="center" vertical="center"/>
    </xf>
    <xf numFmtId="165" fontId="17741" fillId="8" borderId="1" xfId="0" applyNumberFormat="1" applyFont="1" applyFill="1" applyBorder="1" applyAlignment="1">
      <alignment horizontal="center" vertical="center"/>
    </xf>
    <xf numFmtId="1" fontId="17742" fillId="8" borderId="1" xfId="0" applyNumberFormat="1" applyFont="1" applyFill="1" applyBorder="1" applyAlignment="1">
      <alignment horizontal="center" vertical="center"/>
    </xf>
    <xf numFmtId="1" fontId="17743" fillId="8" borderId="1" xfId="0" applyNumberFormat="1" applyFont="1" applyFill="1" applyBorder="1" applyAlignment="1">
      <alignment horizontal="center" vertical="center"/>
    </xf>
    <xf numFmtId="1" fontId="17744" fillId="8" borderId="1" xfId="0" applyNumberFormat="1" applyFont="1" applyFill="1" applyBorder="1" applyAlignment="1">
      <alignment horizontal="center" vertical="center"/>
    </xf>
    <xf numFmtId="1" fontId="17745" fillId="8" borderId="1" xfId="0" applyNumberFormat="1" applyFont="1" applyFill="1" applyBorder="1" applyAlignment="1">
      <alignment horizontal="center" vertical="center"/>
    </xf>
    <xf numFmtId="165" fontId="17746" fillId="8" borderId="1" xfId="0" applyNumberFormat="1" applyFont="1" applyFill="1" applyBorder="1" applyAlignment="1">
      <alignment horizontal="center" vertical="center"/>
    </xf>
    <xf numFmtId="1" fontId="17747" fillId="8" borderId="1" xfId="0" applyNumberFormat="1" applyFont="1" applyFill="1" applyBorder="1" applyAlignment="1">
      <alignment horizontal="center" vertical="center"/>
    </xf>
    <xf numFmtId="165" fontId="17748" fillId="8" borderId="1" xfId="0" applyNumberFormat="1" applyFont="1" applyFill="1" applyBorder="1" applyAlignment="1">
      <alignment horizontal="center" vertical="center"/>
    </xf>
    <xf numFmtId="1" fontId="17749" fillId="8" borderId="1" xfId="0" applyNumberFormat="1" applyFont="1" applyFill="1" applyBorder="1" applyAlignment="1">
      <alignment horizontal="center" vertical="center"/>
    </xf>
    <xf numFmtId="165" fontId="17750" fillId="8" borderId="1" xfId="0" applyNumberFormat="1" applyFont="1" applyFill="1" applyBorder="1" applyAlignment="1">
      <alignment horizontal="center" vertical="center"/>
    </xf>
    <xf numFmtId="2" fontId="17751" fillId="8" borderId="1" xfId="0" applyNumberFormat="1" applyFont="1" applyFill="1" applyBorder="1" applyAlignment="1">
      <alignment horizontal="center" vertical="center"/>
    </xf>
    <xf numFmtId="2" fontId="17752" fillId="8" borderId="1" xfId="0" applyNumberFormat="1" applyFont="1" applyFill="1" applyBorder="1" applyAlignment="1">
      <alignment horizontal="center" vertical="center"/>
    </xf>
    <xf numFmtId="2" fontId="17753" fillId="8" borderId="1" xfId="0" applyNumberFormat="1" applyFont="1" applyFill="1" applyBorder="1" applyAlignment="1">
      <alignment horizontal="center" vertical="center"/>
    </xf>
    <xf numFmtId="2" fontId="17754" fillId="8" borderId="1" xfId="0" applyNumberFormat="1" applyFont="1" applyFill="1" applyBorder="1" applyAlignment="1">
      <alignment horizontal="center" vertical="center"/>
    </xf>
    <xf numFmtId="2" fontId="17755" fillId="8" borderId="1" xfId="0" applyNumberFormat="1" applyFont="1" applyFill="1" applyBorder="1" applyAlignment="1">
      <alignment horizontal="center" vertical="center"/>
    </xf>
    <xf numFmtId="2" fontId="17756" fillId="8" borderId="1" xfId="0" applyNumberFormat="1" applyFont="1" applyFill="1" applyBorder="1" applyAlignment="1">
      <alignment horizontal="center" vertical="center"/>
    </xf>
    <xf numFmtId="2" fontId="17757" fillId="8" borderId="1" xfId="0" applyNumberFormat="1" applyFont="1" applyFill="1" applyBorder="1" applyAlignment="1">
      <alignment horizontal="center" vertical="center"/>
    </xf>
    <xf numFmtId="2" fontId="17758" fillId="8" borderId="1" xfId="0" applyNumberFormat="1" applyFont="1" applyFill="1" applyBorder="1" applyAlignment="1">
      <alignment horizontal="center" vertical="center"/>
    </xf>
    <xf numFmtId="2" fontId="17759" fillId="8" borderId="1" xfId="0" applyNumberFormat="1" applyFont="1" applyFill="1" applyBorder="1" applyAlignment="1">
      <alignment horizontal="center" vertical="center"/>
    </xf>
    <xf numFmtId="2" fontId="17760" fillId="8" borderId="1" xfId="0" applyNumberFormat="1" applyFont="1" applyFill="1" applyBorder="1" applyAlignment="1">
      <alignment horizontal="center" vertical="center"/>
    </xf>
    <xf numFmtId="2" fontId="17761" fillId="8" borderId="1" xfId="0" applyNumberFormat="1" applyFont="1" applyFill="1" applyBorder="1" applyAlignment="1">
      <alignment horizontal="center" vertical="center"/>
    </xf>
    <xf numFmtId="2" fontId="17762" fillId="8" borderId="1" xfId="0" applyNumberFormat="1" applyFont="1" applyFill="1" applyBorder="1" applyAlignment="1">
      <alignment horizontal="center" vertical="center"/>
    </xf>
    <xf numFmtId="2" fontId="17763" fillId="8" borderId="1" xfId="0" applyNumberFormat="1" applyFont="1" applyFill="1" applyBorder="1" applyAlignment="1">
      <alignment horizontal="center" vertical="center"/>
    </xf>
    <xf numFmtId="2" fontId="17764" fillId="8" borderId="1" xfId="0" applyNumberFormat="1" applyFont="1" applyFill="1" applyBorder="1" applyAlignment="1">
      <alignment horizontal="center" vertical="center"/>
    </xf>
    <xf numFmtId="2" fontId="17765" fillId="8" borderId="1" xfId="0" applyNumberFormat="1" applyFont="1" applyFill="1" applyBorder="1" applyAlignment="1">
      <alignment horizontal="center" vertical="center"/>
    </xf>
    <xf numFmtId="2" fontId="17766" fillId="8" borderId="1" xfId="0" applyNumberFormat="1" applyFont="1" applyFill="1" applyBorder="1" applyAlignment="1">
      <alignment horizontal="center" vertical="center"/>
    </xf>
    <xf numFmtId="2" fontId="17767" fillId="8" borderId="1" xfId="0" applyNumberFormat="1" applyFont="1" applyFill="1" applyBorder="1" applyAlignment="1">
      <alignment horizontal="center" vertical="center"/>
    </xf>
    <xf numFmtId="2" fontId="17768" fillId="8" borderId="1" xfId="0" applyNumberFormat="1" applyFont="1" applyFill="1" applyBorder="1" applyAlignment="1">
      <alignment horizontal="center" vertical="center"/>
    </xf>
    <xf numFmtId="2" fontId="17769" fillId="8" borderId="1" xfId="0" applyNumberFormat="1" applyFont="1" applyFill="1" applyBorder="1" applyAlignment="1">
      <alignment horizontal="center" vertical="center"/>
    </xf>
    <xf numFmtId="2" fontId="17770" fillId="8" borderId="1" xfId="0" applyNumberFormat="1" applyFont="1" applyFill="1" applyBorder="1" applyAlignment="1">
      <alignment horizontal="center" vertical="center"/>
    </xf>
    <xf numFmtId="2" fontId="17771" fillId="8" borderId="1" xfId="0" applyNumberFormat="1" applyFont="1" applyFill="1" applyBorder="1" applyAlignment="1">
      <alignment horizontal="center" vertical="center"/>
    </xf>
    <xf numFmtId="2" fontId="17772" fillId="8" borderId="1" xfId="0" applyNumberFormat="1" applyFont="1" applyFill="1" applyBorder="1" applyAlignment="1">
      <alignment horizontal="center" vertical="center"/>
    </xf>
    <xf numFmtId="2" fontId="17773" fillId="8" borderId="1" xfId="0" applyNumberFormat="1" applyFont="1" applyFill="1" applyBorder="1" applyAlignment="1">
      <alignment horizontal="center" vertical="center"/>
    </xf>
    <xf numFmtId="2" fontId="17774" fillId="8" borderId="1" xfId="0" applyNumberFormat="1" applyFont="1" applyFill="1" applyBorder="1" applyAlignment="1">
      <alignment horizontal="center" vertical="center"/>
    </xf>
    <xf numFmtId="2" fontId="17775" fillId="8" borderId="1" xfId="0" applyNumberFormat="1" applyFont="1" applyFill="1" applyBorder="1" applyAlignment="1">
      <alignment horizontal="center" vertical="center"/>
    </xf>
    <xf numFmtId="2" fontId="17776" fillId="8" borderId="1" xfId="0" applyNumberFormat="1" applyFont="1" applyFill="1" applyBorder="1" applyAlignment="1">
      <alignment horizontal="center" vertical="center"/>
    </xf>
    <xf numFmtId="2" fontId="17777" fillId="8" borderId="1" xfId="0" applyNumberFormat="1" applyFont="1" applyFill="1" applyBorder="1" applyAlignment="1">
      <alignment horizontal="center" vertical="center"/>
    </xf>
    <xf numFmtId="2" fontId="17778" fillId="8" borderId="1" xfId="0" applyNumberFormat="1" applyFont="1" applyFill="1" applyBorder="1" applyAlignment="1">
      <alignment horizontal="center" vertical="center"/>
    </xf>
    <xf numFmtId="2" fontId="17779" fillId="8" borderId="1" xfId="0" applyNumberFormat="1" applyFont="1" applyFill="1" applyBorder="1" applyAlignment="1">
      <alignment horizontal="center" vertical="center"/>
    </xf>
    <xf numFmtId="2" fontId="17780" fillId="8" borderId="1" xfId="0" applyNumberFormat="1" applyFont="1" applyFill="1" applyBorder="1" applyAlignment="1">
      <alignment horizontal="center" vertical="center"/>
    </xf>
    <xf numFmtId="2" fontId="17781" fillId="8" borderId="1" xfId="0" applyNumberFormat="1" applyFont="1" applyFill="1" applyBorder="1" applyAlignment="1">
      <alignment horizontal="center" vertical="center"/>
    </xf>
    <xf numFmtId="2" fontId="17782" fillId="8" borderId="1" xfId="0" applyNumberFormat="1" applyFont="1" applyFill="1" applyBorder="1" applyAlignment="1">
      <alignment horizontal="center" vertical="center"/>
    </xf>
    <xf numFmtId="2" fontId="17783" fillId="8" borderId="1" xfId="0" applyNumberFormat="1" applyFont="1" applyFill="1" applyBorder="1" applyAlignment="1">
      <alignment horizontal="center" vertical="center"/>
    </xf>
    <xf numFmtId="2" fontId="17784" fillId="8" borderId="1" xfId="0" applyNumberFormat="1" applyFont="1" applyFill="1" applyBorder="1" applyAlignment="1">
      <alignment horizontal="center" vertical="center"/>
    </xf>
    <xf numFmtId="0" fontId="17785" fillId="7" borderId="1" xfId="0" applyNumberFormat="1" applyFont="1" applyFill="1" applyBorder="1" applyAlignment="1">
      <alignment horizontal="left" vertical="center"/>
    </xf>
    <xf numFmtId="0" fontId="17786" fillId="8" borderId="1" xfId="0" applyNumberFormat="1" applyFont="1" applyFill="1" applyBorder="1" applyAlignment="1">
      <alignment horizontal="center" vertical="center"/>
    </xf>
    <xf numFmtId="164" fontId="17787" fillId="8" borderId="1" xfId="0" applyNumberFormat="1" applyFont="1" applyFill="1" applyBorder="1" applyAlignment="1">
      <alignment horizontal="center" vertical="center"/>
    </xf>
    <xf numFmtId="1" fontId="17788" fillId="8" borderId="1" xfId="0" applyNumberFormat="1" applyFont="1" applyFill="1" applyBorder="1" applyAlignment="1">
      <alignment horizontal="center" vertical="center"/>
    </xf>
    <xf numFmtId="1" fontId="17789" fillId="8" borderId="1" xfId="0" applyNumberFormat="1" applyFont="1" applyFill="1" applyBorder="1" applyAlignment="1">
      <alignment horizontal="center" vertical="center"/>
    </xf>
    <xf numFmtId="1" fontId="17790" fillId="8" borderId="1" xfId="0" applyNumberFormat="1" applyFont="1" applyFill="1" applyBorder="1" applyAlignment="1">
      <alignment horizontal="center" vertical="center"/>
    </xf>
    <xf numFmtId="1" fontId="17791" fillId="8" borderId="1" xfId="0" applyNumberFormat="1" applyFont="1" applyFill="1" applyBorder="1" applyAlignment="1">
      <alignment horizontal="center" vertical="center"/>
    </xf>
    <xf numFmtId="1" fontId="17792" fillId="8" borderId="1" xfId="0" applyNumberFormat="1" applyFont="1" applyFill="1" applyBorder="1" applyAlignment="1">
      <alignment horizontal="center" vertical="center"/>
    </xf>
    <xf numFmtId="1" fontId="17793" fillId="8" borderId="1" xfId="0" applyNumberFormat="1" applyFont="1" applyFill="1" applyBorder="1" applyAlignment="1">
      <alignment horizontal="center" vertical="center"/>
    </xf>
    <xf numFmtId="1" fontId="17794" fillId="8" borderId="1" xfId="0" applyNumberFormat="1" applyFont="1" applyFill="1" applyBorder="1" applyAlignment="1">
      <alignment horizontal="center" vertical="center"/>
    </xf>
    <xf numFmtId="0" fontId="17795" fillId="8" borderId="1" xfId="0" applyNumberFormat="1" applyFont="1" applyFill="1" applyBorder="1" applyAlignment="1">
      <alignment horizontal="center" vertical="center"/>
    </xf>
    <xf numFmtId="0" fontId="17796" fillId="8" borderId="1" xfId="0" applyNumberFormat="1" applyFont="1" applyFill="1" applyBorder="1" applyAlignment="1">
      <alignment horizontal="center" vertical="center"/>
    </xf>
    <xf numFmtId="1" fontId="17797" fillId="8" borderId="1" xfId="0" applyNumberFormat="1" applyFont="1" applyFill="1" applyBorder="1" applyAlignment="1">
      <alignment horizontal="center" vertical="center"/>
    </xf>
    <xf numFmtId="1" fontId="17798" fillId="8" borderId="1" xfId="0" applyNumberFormat="1" applyFont="1" applyFill="1" applyBorder="1" applyAlignment="1">
      <alignment horizontal="center" vertical="center"/>
    </xf>
    <xf numFmtId="1" fontId="17799" fillId="8" borderId="1" xfId="0" applyNumberFormat="1" applyFont="1" applyFill="1" applyBorder="1" applyAlignment="1">
      <alignment horizontal="center" vertical="center"/>
    </xf>
    <xf numFmtId="165" fontId="17800" fillId="8" borderId="1" xfId="0" applyNumberFormat="1" applyFont="1" applyFill="1" applyBorder="1" applyAlignment="1">
      <alignment horizontal="center" vertical="center"/>
    </xf>
    <xf numFmtId="1" fontId="17801" fillId="8" borderId="1" xfId="0" applyNumberFormat="1" applyFont="1" applyFill="1" applyBorder="1" applyAlignment="1">
      <alignment horizontal="center" vertical="center"/>
    </xf>
    <xf numFmtId="165" fontId="17802" fillId="8" borderId="1" xfId="0" applyNumberFormat="1" applyFont="1" applyFill="1" applyBorder="1" applyAlignment="1">
      <alignment horizontal="center" vertical="center"/>
    </xf>
    <xf numFmtId="1" fontId="17803" fillId="8" borderId="1" xfId="0" applyNumberFormat="1" applyFont="1" applyFill="1" applyBorder="1" applyAlignment="1">
      <alignment horizontal="center" vertical="center"/>
    </xf>
    <xf numFmtId="165" fontId="17804" fillId="8" borderId="1" xfId="0" applyNumberFormat="1" applyFont="1" applyFill="1" applyBorder="1" applyAlignment="1">
      <alignment horizontal="center" vertical="center"/>
    </xf>
    <xf numFmtId="1" fontId="17805" fillId="8" borderId="1" xfId="0" applyNumberFormat="1" applyFont="1" applyFill="1" applyBorder="1" applyAlignment="1">
      <alignment horizontal="center" vertical="center"/>
    </xf>
    <xf numFmtId="165" fontId="17806" fillId="8" borderId="1" xfId="0" applyNumberFormat="1" applyFont="1" applyFill="1" applyBorder="1" applyAlignment="1">
      <alignment horizontal="center" vertical="center"/>
    </xf>
    <xf numFmtId="165" fontId="17807" fillId="8" borderId="1" xfId="0" applyNumberFormat="1" applyFont="1" applyFill="1" applyBorder="1" applyAlignment="1">
      <alignment horizontal="center" vertical="center"/>
    </xf>
    <xf numFmtId="1" fontId="17808" fillId="8" borderId="1" xfId="0" applyNumberFormat="1" applyFont="1" applyFill="1" applyBorder="1" applyAlignment="1">
      <alignment horizontal="center" vertical="center"/>
    </xf>
    <xf numFmtId="1" fontId="17809" fillId="8" borderId="1" xfId="0" applyNumberFormat="1" applyFont="1" applyFill="1" applyBorder="1" applyAlignment="1">
      <alignment horizontal="center" vertical="center"/>
    </xf>
    <xf numFmtId="1" fontId="17810" fillId="8" borderId="1" xfId="0" applyNumberFormat="1" applyFont="1" applyFill="1" applyBorder="1" applyAlignment="1">
      <alignment horizontal="center" vertical="center"/>
    </xf>
    <xf numFmtId="165" fontId="17811" fillId="8" borderId="1" xfId="0" applyNumberFormat="1" applyFont="1" applyFill="1" applyBorder="1" applyAlignment="1">
      <alignment horizontal="center" vertical="center"/>
    </xf>
    <xf numFmtId="164" fontId="17812" fillId="8" borderId="1" xfId="0" applyNumberFormat="1" applyFont="1" applyFill="1" applyBorder="1" applyAlignment="1">
      <alignment horizontal="center" vertical="center"/>
    </xf>
    <xf numFmtId="164" fontId="17813" fillId="8" borderId="1" xfId="0" applyNumberFormat="1" applyFont="1" applyFill="1" applyBorder="1" applyAlignment="1">
      <alignment horizontal="center" vertical="center"/>
    </xf>
    <xf numFmtId="1" fontId="17814" fillId="8" borderId="1" xfId="0" applyNumberFormat="1" applyFont="1" applyFill="1" applyBorder="1" applyAlignment="1">
      <alignment horizontal="center" vertical="center"/>
    </xf>
    <xf numFmtId="1" fontId="17815" fillId="8" borderId="1" xfId="0" applyNumberFormat="1" applyFont="1" applyFill="1" applyBorder="1" applyAlignment="1">
      <alignment horizontal="center" vertical="center"/>
    </xf>
    <xf numFmtId="1" fontId="17816" fillId="8" borderId="1" xfId="0" applyNumberFormat="1" applyFont="1" applyFill="1" applyBorder="1" applyAlignment="1">
      <alignment horizontal="center" vertical="center"/>
    </xf>
    <xf numFmtId="165" fontId="17817" fillId="8" borderId="1" xfId="0" applyNumberFormat="1" applyFont="1" applyFill="1" applyBorder="1" applyAlignment="1">
      <alignment horizontal="center" vertical="center"/>
    </xf>
    <xf numFmtId="1" fontId="17818" fillId="8" borderId="1" xfId="0" applyNumberFormat="1" applyFont="1" applyFill="1" applyBorder="1" applyAlignment="1">
      <alignment horizontal="center" vertical="center"/>
    </xf>
    <xf numFmtId="165" fontId="17819" fillId="8" borderId="1" xfId="0" applyNumberFormat="1" applyFont="1" applyFill="1" applyBorder="1" applyAlignment="1">
      <alignment horizontal="center" vertical="center"/>
    </xf>
    <xf numFmtId="1" fontId="17820" fillId="8" borderId="1" xfId="0" applyNumberFormat="1" applyFont="1" applyFill="1" applyBorder="1" applyAlignment="1">
      <alignment horizontal="center" vertical="center"/>
    </xf>
    <xf numFmtId="1" fontId="17821" fillId="8" borderId="1" xfId="0" applyNumberFormat="1" applyFont="1" applyFill="1" applyBorder="1" applyAlignment="1">
      <alignment horizontal="center" vertical="center"/>
    </xf>
    <xf numFmtId="1" fontId="17822" fillId="8" borderId="1" xfId="0" applyNumberFormat="1" applyFont="1" applyFill="1" applyBorder="1" applyAlignment="1">
      <alignment horizontal="center" vertical="center"/>
    </xf>
    <xf numFmtId="1" fontId="17823" fillId="8" borderId="1" xfId="0" applyNumberFormat="1" applyFont="1" applyFill="1" applyBorder="1" applyAlignment="1">
      <alignment horizontal="center" vertical="center"/>
    </xf>
    <xf numFmtId="165" fontId="17824" fillId="8" borderId="1" xfId="0" applyNumberFormat="1" applyFont="1" applyFill="1" applyBorder="1" applyAlignment="1">
      <alignment horizontal="center" vertical="center"/>
    </xf>
    <xf numFmtId="1" fontId="17825" fillId="8" borderId="1" xfId="0" applyNumberFormat="1" applyFont="1" applyFill="1" applyBorder="1" applyAlignment="1">
      <alignment horizontal="center" vertical="center"/>
    </xf>
    <xf numFmtId="165" fontId="17826" fillId="8" borderId="1" xfId="0" applyNumberFormat="1" applyFont="1" applyFill="1" applyBorder="1" applyAlignment="1">
      <alignment horizontal="center" vertical="center"/>
    </xf>
    <xf numFmtId="1" fontId="17827" fillId="8" borderId="1" xfId="0" applyNumberFormat="1" applyFont="1" applyFill="1" applyBorder="1" applyAlignment="1">
      <alignment horizontal="center" vertical="center"/>
    </xf>
    <xf numFmtId="165" fontId="17828" fillId="8" borderId="1" xfId="0" applyNumberFormat="1" applyFont="1" applyFill="1" applyBorder="1" applyAlignment="1">
      <alignment horizontal="center" vertical="center"/>
    </xf>
    <xf numFmtId="2" fontId="17829" fillId="8" borderId="1" xfId="0" applyNumberFormat="1" applyFont="1" applyFill="1" applyBorder="1" applyAlignment="1">
      <alignment horizontal="center" vertical="center"/>
    </xf>
    <xf numFmtId="2" fontId="17830" fillId="8" borderId="1" xfId="0" applyNumberFormat="1" applyFont="1" applyFill="1" applyBorder="1" applyAlignment="1">
      <alignment horizontal="center" vertical="center"/>
    </xf>
    <xf numFmtId="2" fontId="17831" fillId="8" borderId="1" xfId="0" applyNumberFormat="1" applyFont="1" applyFill="1" applyBorder="1" applyAlignment="1">
      <alignment horizontal="center" vertical="center"/>
    </xf>
    <xf numFmtId="2" fontId="17832" fillId="8" borderId="1" xfId="0" applyNumberFormat="1" applyFont="1" applyFill="1" applyBorder="1" applyAlignment="1">
      <alignment horizontal="center" vertical="center"/>
    </xf>
    <xf numFmtId="2" fontId="17833" fillId="8" borderId="1" xfId="0" applyNumberFormat="1" applyFont="1" applyFill="1" applyBorder="1" applyAlignment="1">
      <alignment horizontal="center" vertical="center"/>
    </xf>
    <xf numFmtId="2" fontId="17834" fillId="8" borderId="1" xfId="0" applyNumberFormat="1" applyFont="1" applyFill="1" applyBorder="1" applyAlignment="1">
      <alignment horizontal="center" vertical="center"/>
    </xf>
    <xf numFmtId="2" fontId="17835" fillId="8" borderId="1" xfId="0" applyNumberFormat="1" applyFont="1" applyFill="1" applyBorder="1" applyAlignment="1">
      <alignment horizontal="center" vertical="center"/>
    </xf>
    <xf numFmtId="2" fontId="17836" fillId="8" borderId="1" xfId="0" applyNumberFormat="1" applyFont="1" applyFill="1" applyBorder="1" applyAlignment="1">
      <alignment horizontal="center" vertical="center"/>
    </xf>
    <xf numFmtId="2" fontId="17837" fillId="8" borderId="1" xfId="0" applyNumberFormat="1" applyFont="1" applyFill="1" applyBorder="1" applyAlignment="1">
      <alignment horizontal="center" vertical="center"/>
    </xf>
    <xf numFmtId="2" fontId="17838" fillId="8" borderId="1" xfId="0" applyNumberFormat="1" applyFont="1" applyFill="1" applyBorder="1" applyAlignment="1">
      <alignment horizontal="center" vertical="center"/>
    </xf>
    <xf numFmtId="2" fontId="17839" fillId="8" borderId="1" xfId="0" applyNumberFormat="1" applyFont="1" applyFill="1" applyBorder="1" applyAlignment="1">
      <alignment horizontal="center" vertical="center"/>
    </xf>
    <xf numFmtId="2" fontId="17840" fillId="8" borderId="1" xfId="0" applyNumberFormat="1" applyFont="1" applyFill="1" applyBorder="1" applyAlignment="1">
      <alignment horizontal="center" vertical="center"/>
    </xf>
    <xf numFmtId="2" fontId="17841" fillId="8" borderId="1" xfId="0" applyNumberFormat="1" applyFont="1" applyFill="1" applyBorder="1" applyAlignment="1">
      <alignment horizontal="center" vertical="center"/>
    </xf>
    <xf numFmtId="2" fontId="17842" fillId="8" borderId="1" xfId="0" applyNumberFormat="1" applyFont="1" applyFill="1" applyBorder="1" applyAlignment="1">
      <alignment horizontal="center" vertical="center"/>
    </xf>
    <xf numFmtId="2" fontId="17843" fillId="8" borderId="1" xfId="0" applyNumberFormat="1" applyFont="1" applyFill="1" applyBorder="1" applyAlignment="1">
      <alignment horizontal="center" vertical="center"/>
    </xf>
    <xf numFmtId="2" fontId="17844" fillId="8" borderId="1" xfId="0" applyNumberFormat="1" applyFont="1" applyFill="1" applyBorder="1" applyAlignment="1">
      <alignment horizontal="center" vertical="center"/>
    </xf>
    <xf numFmtId="2" fontId="17845" fillId="8" borderId="1" xfId="0" applyNumberFormat="1" applyFont="1" applyFill="1" applyBorder="1" applyAlignment="1">
      <alignment horizontal="center" vertical="center"/>
    </xf>
    <xf numFmtId="2" fontId="17846" fillId="8" borderId="1" xfId="0" applyNumberFormat="1" applyFont="1" applyFill="1" applyBorder="1" applyAlignment="1">
      <alignment horizontal="center" vertical="center"/>
    </xf>
    <xf numFmtId="2" fontId="17847" fillId="8" borderId="1" xfId="0" applyNumberFormat="1" applyFont="1" applyFill="1" applyBorder="1" applyAlignment="1">
      <alignment horizontal="center" vertical="center"/>
    </xf>
    <xf numFmtId="2" fontId="17848" fillId="8" borderId="1" xfId="0" applyNumberFormat="1" applyFont="1" applyFill="1" applyBorder="1" applyAlignment="1">
      <alignment horizontal="center" vertical="center"/>
    </xf>
    <xf numFmtId="2" fontId="17849" fillId="8" borderId="1" xfId="0" applyNumberFormat="1" applyFont="1" applyFill="1" applyBorder="1" applyAlignment="1">
      <alignment horizontal="center" vertical="center"/>
    </xf>
    <xf numFmtId="2" fontId="17850" fillId="8" borderId="1" xfId="0" applyNumberFormat="1" applyFont="1" applyFill="1" applyBorder="1" applyAlignment="1">
      <alignment horizontal="center" vertical="center"/>
    </xf>
    <xf numFmtId="2" fontId="17851" fillId="8" borderId="1" xfId="0" applyNumberFormat="1" applyFont="1" applyFill="1" applyBorder="1" applyAlignment="1">
      <alignment horizontal="center" vertical="center"/>
    </xf>
    <xf numFmtId="2" fontId="17852" fillId="8" borderId="1" xfId="0" applyNumberFormat="1" applyFont="1" applyFill="1" applyBorder="1" applyAlignment="1">
      <alignment horizontal="center" vertical="center"/>
    </xf>
    <xf numFmtId="2" fontId="17853" fillId="8" borderId="1" xfId="0" applyNumberFormat="1" applyFont="1" applyFill="1" applyBorder="1" applyAlignment="1">
      <alignment horizontal="center" vertical="center"/>
    </xf>
    <xf numFmtId="2" fontId="17854" fillId="8" borderId="1" xfId="0" applyNumberFormat="1" applyFont="1" applyFill="1" applyBorder="1" applyAlignment="1">
      <alignment horizontal="center" vertical="center"/>
    </xf>
    <xf numFmtId="2" fontId="17855" fillId="8" borderId="1" xfId="0" applyNumberFormat="1" applyFont="1" applyFill="1" applyBorder="1" applyAlignment="1">
      <alignment horizontal="center" vertical="center"/>
    </xf>
    <xf numFmtId="2" fontId="17856" fillId="8" borderId="1" xfId="0" applyNumberFormat="1" applyFont="1" applyFill="1" applyBorder="1" applyAlignment="1">
      <alignment horizontal="center" vertical="center"/>
    </xf>
    <xf numFmtId="2" fontId="17857" fillId="8" borderId="1" xfId="0" applyNumberFormat="1" applyFont="1" applyFill="1" applyBorder="1" applyAlignment="1">
      <alignment horizontal="center" vertical="center"/>
    </xf>
    <xf numFmtId="2" fontId="17858" fillId="8" borderId="1" xfId="0" applyNumberFormat="1" applyFont="1" applyFill="1" applyBorder="1" applyAlignment="1">
      <alignment horizontal="center" vertical="center"/>
    </xf>
    <xf numFmtId="2" fontId="17859" fillId="8" borderId="1" xfId="0" applyNumberFormat="1" applyFont="1" applyFill="1" applyBorder="1" applyAlignment="1">
      <alignment horizontal="center" vertical="center"/>
    </xf>
    <xf numFmtId="2" fontId="17860" fillId="8" borderId="1" xfId="0" applyNumberFormat="1" applyFont="1" applyFill="1" applyBorder="1" applyAlignment="1">
      <alignment horizontal="center" vertical="center"/>
    </xf>
    <xf numFmtId="2" fontId="17861" fillId="8" borderId="1" xfId="0" applyNumberFormat="1" applyFont="1" applyFill="1" applyBorder="1" applyAlignment="1">
      <alignment horizontal="center" vertical="center"/>
    </xf>
    <xf numFmtId="2" fontId="17862" fillId="8" borderId="1" xfId="0" applyNumberFormat="1" applyFont="1" applyFill="1" applyBorder="1" applyAlignment="1">
      <alignment horizontal="center" vertical="center"/>
    </xf>
    <xf numFmtId="0" fontId="17863" fillId="7" borderId="1" xfId="0" applyNumberFormat="1" applyFont="1" applyFill="1" applyBorder="1" applyAlignment="1">
      <alignment horizontal="left" vertical="center"/>
    </xf>
    <xf numFmtId="0" fontId="17864" fillId="8" borderId="1" xfId="0" applyNumberFormat="1" applyFont="1" applyFill="1" applyBorder="1" applyAlignment="1">
      <alignment horizontal="center" vertical="center"/>
    </xf>
    <xf numFmtId="164" fontId="17865" fillId="8" borderId="1" xfId="0" applyNumberFormat="1" applyFont="1" applyFill="1" applyBorder="1" applyAlignment="1">
      <alignment horizontal="center" vertical="center"/>
    </xf>
    <xf numFmtId="1" fontId="17866" fillId="8" borderId="1" xfId="0" applyNumberFormat="1" applyFont="1" applyFill="1" applyBorder="1" applyAlignment="1">
      <alignment horizontal="center" vertical="center"/>
    </xf>
    <xf numFmtId="1" fontId="17867" fillId="8" borderId="1" xfId="0" applyNumberFormat="1" applyFont="1" applyFill="1" applyBorder="1" applyAlignment="1">
      <alignment horizontal="center" vertical="center"/>
    </xf>
    <xf numFmtId="1" fontId="17868" fillId="8" borderId="1" xfId="0" applyNumberFormat="1" applyFont="1" applyFill="1" applyBorder="1" applyAlignment="1">
      <alignment horizontal="center" vertical="center"/>
    </xf>
    <xf numFmtId="1" fontId="17869" fillId="8" borderId="1" xfId="0" applyNumberFormat="1" applyFont="1" applyFill="1" applyBorder="1" applyAlignment="1">
      <alignment horizontal="center" vertical="center"/>
    </xf>
    <xf numFmtId="1" fontId="17870" fillId="8" borderId="1" xfId="0" applyNumberFormat="1" applyFont="1" applyFill="1" applyBorder="1" applyAlignment="1">
      <alignment horizontal="center" vertical="center"/>
    </xf>
    <xf numFmtId="1" fontId="17871" fillId="8" borderId="1" xfId="0" applyNumberFormat="1" applyFont="1" applyFill="1" applyBorder="1" applyAlignment="1">
      <alignment horizontal="center" vertical="center"/>
    </xf>
    <xf numFmtId="1" fontId="17872" fillId="8" borderId="1" xfId="0" applyNumberFormat="1" applyFont="1" applyFill="1" applyBorder="1" applyAlignment="1">
      <alignment horizontal="center" vertical="center"/>
    </xf>
    <xf numFmtId="0" fontId="17873" fillId="8" borderId="1" xfId="0" applyNumberFormat="1" applyFont="1" applyFill="1" applyBorder="1" applyAlignment="1">
      <alignment horizontal="center" vertical="center"/>
    </xf>
    <xf numFmtId="0" fontId="17874" fillId="8" borderId="1" xfId="0" applyNumberFormat="1" applyFont="1" applyFill="1" applyBorder="1" applyAlignment="1">
      <alignment horizontal="center" vertical="center"/>
    </xf>
    <xf numFmtId="1" fontId="17875" fillId="8" borderId="1" xfId="0" applyNumberFormat="1" applyFont="1" applyFill="1" applyBorder="1" applyAlignment="1">
      <alignment horizontal="center" vertical="center"/>
    </xf>
    <xf numFmtId="1" fontId="17876" fillId="8" borderId="1" xfId="0" applyNumberFormat="1" applyFont="1" applyFill="1" applyBorder="1" applyAlignment="1">
      <alignment horizontal="center" vertical="center"/>
    </xf>
    <xf numFmtId="1" fontId="17877" fillId="8" borderId="1" xfId="0" applyNumberFormat="1" applyFont="1" applyFill="1" applyBorder="1" applyAlignment="1">
      <alignment horizontal="center" vertical="center"/>
    </xf>
    <xf numFmtId="165" fontId="17878" fillId="8" borderId="1" xfId="0" applyNumberFormat="1" applyFont="1" applyFill="1" applyBorder="1" applyAlignment="1">
      <alignment horizontal="center" vertical="center"/>
    </xf>
    <xf numFmtId="1" fontId="17879" fillId="8" borderId="1" xfId="0" applyNumberFormat="1" applyFont="1" applyFill="1" applyBorder="1" applyAlignment="1">
      <alignment horizontal="center" vertical="center"/>
    </xf>
    <xf numFmtId="165" fontId="17880" fillId="8" borderId="1" xfId="0" applyNumberFormat="1" applyFont="1" applyFill="1" applyBorder="1" applyAlignment="1">
      <alignment horizontal="center" vertical="center"/>
    </xf>
    <xf numFmtId="1" fontId="17881" fillId="8" borderId="1" xfId="0" applyNumberFormat="1" applyFont="1" applyFill="1" applyBorder="1" applyAlignment="1">
      <alignment horizontal="center" vertical="center"/>
    </xf>
    <xf numFmtId="165" fontId="17882" fillId="8" borderId="1" xfId="0" applyNumberFormat="1" applyFont="1" applyFill="1" applyBorder="1" applyAlignment="1">
      <alignment horizontal="center" vertical="center"/>
    </xf>
    <xf numFmtId="1" fontId="17883" fillId="8" borderId="1" xfId="0" applyNumberFormat="1" applyFont="1" applyFill="1" applyBorder="1" applyAlignment="1">
      <alignment horizontal="center" vertical="center"/>
    </xf>
    <xf numFmtId="165" fontId="17884" fillId="8" borderId="1" xfId="0" applyNumberFormat="1" applyFont="1" applyFill="1" applyBorder="1" applyAlignment="1">
      <alignment horizontal="center" vertical="center"/>
    </xf>
    <xf numFmtId="165" fontId="17885" fillId="8" borderId="1" xfId="0" applyNumberFormat="1" applyFont="1" applyFill="1" applyBorder="1" applyAlignment="1">
      <alignment horizontal="center" vertical="center"/>
    </xf>
    <xf numFmtId="1" fontId="17886" fillId="8" borderId="1" xfId="0" applyNumberFormat="1" applyFont="1" applyFill="1" applyBorder="1" applyAlignment="1">
      <alignment horizontal="center" vertical="center"/>
    </xf>
    <xf numFmtId="1" fontId="17887" fillId="8" borderId="1" xfId="0" applyNumberFormat="1" applyFont="1" applyFill="1" applyBorder="1" applyAlignment="1">
      <alignment horizontal="center" vertical="center"/>
    </xf>
    <xf numFmtId="1" fontId="17888" fillId="8" borderId="1" xfId="0" applyNumberFormat="1" applyFont="1" applyFill="1" applyBorder="1" applyAlignment="1">
      <alignment horizontal="center" vertical="center"/>
    </xf>
    <xf numFmtId="165" fontId="17889" fillId="8" borderId="1" xfId="0" applyNumberFormat="1" applyFont="1" applyFill="1" applyBorder="1" applyAlignment="1">
      <alignment horizontal="center" vertical="center"/>
    </xf>
    <xf numFmtId="164" fontId="17890" fillId="8" borderId="1" xfId="0" applyNumberFormat="1" applyFont="1" applyFill="1" applyBorder="1" applyAlignment="1">
      <alignment horizontal="center" vertical="center"/>
    </xf>
    <xf numFmtId="164" fontId="17891" fillId="8" borderId="1" xfId="0" applyNumberFormat="1" applyFont="1" applyFill="1" applyBorder="1" applyAlignment="1">
      <alignment horizontal="center" vertical="center"/>
    </xf>
    <xf numFmtId="1" fontId="17892" fillId="8" borderId="1" xfId="0" applyNumberFormat="1" applyFont="1" applyFill="1" applyBorder="1" applyAlignment="1">
      <alignment horizontal="center" vertical="center"/>
    </xf>
    <xf numFmtId="1" fontId="17893" fillId="8" borderId="1" xfId="0" applyNumberFormat="1" applyFont="1" applyFill="1" applyBorder="1" applyAlignment="1">
      <alignment horizontal="center" vertical="center"/>
    </xf>
    <xf numFmtId="1" fontId="17894" fillId="8" borderId="1" xfId="0" applyNumberFormat="1" applyFont="1" applyFill="1" applyBorder="1" applyAlignment="1">
      <alignment horizontal="center" vertical="center"/>
    </xf>
    <xf numFmtId="165" fontId="17895" fillId="8" borderId="1" xfId="0" applyNumberFormat="1" applyFont="1" applyFill="1" applyBorder="1" applyAlignment="1">
      <alignment horizontal="center" vertical="center"/>
    </xf>
    <xf numFmtId="1" fontId="17896" fillId="8" borderId="1" xfId="0" applyNumberFormat="1" applyFont="1" applyFill="1" applyBorder="1" applyAlignment="1">
      <alignment horizontal="center" vertical="center"/>
    </xf>
    <xf numFmtId="165" fontId="17897" fillId="8" borderId="1" xfId="0" applyNumberFormat="1" applyFont="1" applyFill="1" applyBorder="1" applyAlignment="1">
      <alignment horizontal="center" vertical="center"/>
    </xf>
    <xf numFmtId="1" fontId="17898" fillId="8" borderId="1" xfId="0" applyNumberFormat="1" applyFont="1" applyFill="1" applyBorder="1" applyAlignment="1">
      <alignment horizontal="center" vertical="center"/>
    </xf>
    <xf numFmtId="1" fontId="17899" fillId="8" borderId="1" xfId="0" applyNumberFormat="1" applyFont="1" applyFill="1" applyBorder="1" applyAlignment="1">
      <alignment horizontal="center" vertical="center"/>
    </xf>
    <xf numFmtId="1" fontId="17900" fillId="8" borderId="1" xfId="0" applyNumberFormat="1" applyFont="1" applyFill="1" applyBorder="1" applyAlignment="1">
      <alignment horizontal="center" vertical="center"/>
    </xf>
    <xf numFmtId="1" fontId="17901" fillId="8" borderId="1" xfId="0" applyNumberFormat="1" applyFont="1" applyFill="1" applyBorder="1" applyAlignment="1">
      <alignment horizontal="center" vertical="center"/>
    </xf>
    <xf numFmtId="165" fontId="17902" fillId="8" borderId="1" xfId="0" applyNumberFormat="1" applyFont="1" applyFill="1" applyBorder="1" applyAlignment="1">
      <alignment horizontal="center" vertical="center"/>
    </xf>
    <xf numFmtId="1" fontId="17903" fillId="8" borderId="1" xfId="0" applyNumberFormat="1" applyFont="1" applyFill="1" applyBorder="1" applyAlignment="1">
      <alignment horizontal="center" vertical="center"/>
    </xf>
    <xf numFmtId="165" fontId="17904" fillId="8" borderId="1" xfId="0" applyNumberFormat="1" applyFont="1" applyFill="1" applyBorder="1" applyAlignment="1">
      <alignment horizontal="center" vertical="center"/>
    </xf>
    <xf numFmtId="1" fontId="17905" fillId="8" borderId="1" xfId="0" applyNumberFormat="1" applyFont="1" applyFill="1" applyBorder="1" applyAlignment="1">
      <alignment horizontal="center" vertical="center"/>
    </xf>
    <xf numFmtId="165" fontId="17906" fillId="8" borderId="1" xfId="0" applyNumberFormat="1" applyFont="1" applyFill="1" applyBorder="1" applyAlignment="1">
      <alignment horizontal="center" vertical="center"/>
    </xf>
    <xf numFmtId="2" fontId="17907" fillId="8" borderId="1" xfId="0" applyNumberFormat="1" applyFont="1" applyFill="1" applyBorder="1" applyAlignment="1">
      <alignment horizontal="center" vertical="center"/>
    </xf>
    <xf numFmtId="2" fontId="17908" fillId="8" borderId="1" xfId="0" applyNumberFormat="1" applyFont="1" applyFill="1" applyBorder="1" applyAlignment="1">
      <alignment horizontal="center" vertical="center"/>
    </xf>
    <xf numFmtId="2" fontId="17909" fillId="8" borderId="1" xfId="0" applyNumberFormat="1" applyFont="1" applyFill="1" applyBorder="1" applyAlignment="1">
      <alignment horizontal="center" vertical="center"/>
    </xf>
    <xf numFmtId="2" fontId="17910" fillId="8" borderId="1" xfId="0" applyNumberFormat="1" applyFont="1" applyFill="1" applyBorder="1" applyAlignment="1">
      <alignment horizontal="center" vertical="center"/>
    </xf>
    <xf numFmtId="2" fontId="17911" fillId="8" borderId="1" xfId="0" applyNumberFormat="1" applyFont="1" applyFill="1" applyBorder="1" applyAlignment="1">
      <alignment horizontal="center" vertical="center"/>
    </xf>
    <xf numFmtId="2" fontId="17912" fillId="8" borderId="1" xfId="0" applyNumberFormat="1" applyFont="1" applyFill="1" applyBorder="1" applyAlignment="1">
      <alignment horizontal="center" vertical="center"/>
    </xf>
    <xf numFmtId="2" fontId="17913" fillId="8" borderId="1" xfId="0" applyNumberFormat="1" applyFont="1" applyFill="1" applyBorder="1" applyAlignment="1">
      <alignment horizontal="center" vertical="center"/>
    </xf>
    <xf numFmtId="2" fontId="17914" fillId="8" borderId="1" xfId="0" applyNumberFormat="1" applyFont="1" applyFill="1" applyBorder="1" applyAlignment="1">
      <alignment horizontal="center" vertical="center"/>
    </xf>
    <xf numFmtId="2" fontId="17915" fillId="8" borderId="1" xfId="0" applyNumberFormat="1" applyFont="1" applyFill="1" applyBorder="1" applyAlignment="1">
      <alignment horizontal="center" vertical="center"/>
    </xf>
    <xf numFmtId="2" fontId="17916" fillId="8" borderId="1" xfId="0" applyNumberFormat="1" applyFont="1" applyFill="1" applyBorder="1" applyAlignment="1">
      <alignment horizontal="center" vertical="center"/>
    </xf>
    <xf numFmtId="2" fontId="17917" fillId="8" borderId="1" xfId="0" applyNumberFormat="1" applyFont="1" applyFill="1" applyBorder="1" applyAlignment="1">
      <alignment horizontal="center" vertical="center"/>
    </xf>
    <xf numFmtId="2" fontId="17918" fillId="8" borderId="1" xfId="0" applyNumberFormat="1" applyFont="1" applyFill="1" applyBorder="1" applyAlignment="1">
      <alignment horizontal="center" vertical="center"/>
    </xf>
    <xf numFmtId="2" fontId="17919" fillId="8" borderId="1" xfId="0" applyNumberFormat="1" applyFont="1" applyFill="1" applyBorder="1" applyAlignment="1">
      <alignment horizontal="center" vertical="center"/>
    </xf>
    <xf numFmtId="2" fontId="17920" fillId="8" borderId="1" xfId="0" applyNumberFormat="1" applyFont="1" applyFill="1" applyBorder="1" applyAlignment="1">
      <alignment horizontal="center" vertical="center"/>
    </xf>
    <xf numFmtId="2" fontId="17921" fillId="8" borderId="1" xfId="0" applyNumberFormat="1" applyFont="1" applyFill="1" applyBorder="1" applyAlignment="1">
      <alignment horizontal="center" vertical="center"/>
    </xf>
    <xf numFmtId="2" fontId="17922" fillId="8" borderId="1" xfId="0" applyNumberFormat="1" applyFont="1" applyFill="1" applyBorder="1" applyAlignment="1">
      <alignment horizontal="center" vertical="center"/>
    </xf>
    <xf numFmtId="2" fontId="17923" fillId="8" borderId="1" xfId="0" applyNumberFormat="1" applyFont="1" applyFill="1" applyBorder="1" applyAlignment="1">
      <alignment horizontal="center" vertical="center"/>
    </xf>
    <xf numFmtId="2" fontId="17924" fillId="8" borderId="1" xfId="0" applyNumberFormat="1" applyFont="1" applyFill="1" applyBorder="1" applyAlignment="1">
      <alignment horizontal="center" vertical="center"/>
    </xf>
    <xf numFmtId="2" fontId="17925" fillId="8" borderId="1" xfId="0" applyNumberFormat="1" applyFont="1" applyFill="1" applyBorder="1" applyAlignment="1">
      <alignment horizontal="center" vertical="center"/>
    </xf>
    <xf numFmtId="2" fontId="17926" fillId="8" borderId="1" xfId="0" applyNumberFormat="1" applyFont="1" applyFill="1" applyBorder="1" applyAlignment="1">
      <alignment horizontal="center" vertical="center"/>
    </xf>
    <xf numFmtId="2" fontId="17927" fillId="8" borderId="1" xfId="0" applyNumberFormat="1" applyFont="1" applyFill="1" applyBorder="1" applyAlignment="1">
      <alignment horizontal="center" vertical="center"/>
    </xf>
    <xf numFmtId="2" fontId="17928" fillId="8" borderId="1" xfId="0" applyNumberFormat="1" applyFont="1" applyFill="1" applyBorder="1" applyAlignment="1">
      <alignment horizontal="center" vertical="center"/>
    </xf>
    <xf numFmtId="2" fontId="17929" fillId="8" borderId="1" xfId="0" applyNumberFormat="1" applyFont="1" applyFill="1" applyBorder="1" applyAlignment="1">
      <alignment horizontal="center" vertical="center"/>
    </xf>
    <xf numFmtId="2" fontId="17930" fillId="8" borderId="1" xfId="0" applyNumberFormat="1" applyFont="1" applyFill="1" applyBorder="1" applyAlignment="1">
      <alignment horizontal="center" vertical="center"/>
    </xf>
    <xf numFmtId="2" fontId="17931" fillId="8" borderId="1" xfId="0" applyNumberFormat="1" applyFont="1" applyFill="1" applyBorder="1" applyAlignment="1">
      <alignment horizontal="center" vertical="center"/>
    </xf>
    <xf numFmtId="2" fontId="17932" fillId="8" borderId="1" xfId="0" applyNumberFormat="1" applyFont="1" applyFill="1" applyBorder="1" applyAlignment="1">
      <alignment horizontal="center" vertical="center"/>
    </xf>
    <xf numFmtId="2" fontId="17933" fillId="8" borderId="1" xfId="0" applyNumberFormat="1" applyFont="1" applyFill="1" applyBorder="1" applyAlignment="1">
      <alignment horizontal="center" vertical="center"/>
    </xf>
    <xf numFmtId="2" fontId="17934" fillId="8" borderId="1" xfId="0" applyNumberFormat="1" applyFont="1" applyFill="1" applyBorder="1" applyAlignment="1">
      <alignment horizontal="center" vertical="center"/>
    </xf>
    <xf numFmtId="2" fontId="17935" fillId="8" borderId="1" xfId="0" applyNumberFormat="1" applyFont="1" applyFill="1" applyBorder="1" applyAlignment="1">
      <alignment horizontal="center" vertical="center"/>
    </xf>
    <xf numFmtId="2" fontId="17936" fillId="8" borderId="1" xfId="0" applyNumberFormat="1" applyFont="1" applyFill="1" applyBorder="1" applyAlignment="1">
      <alignment horizontal="center" vertical="center"/>
    </xf>
    <xf numFmtId="2" fontId="17937" fillId="8" borderId="1" xfId="0" applyNumberFormat="1" applyFont="1" applyFill="1" applyBorder="1" applyAlignment="1">
      <alignment horizontal="center" vertical="center"/>
    </xf>
    <xf numFmtId="2" fontId="17938" fillId="8" borderId="1" xfId="0" applyNumberFormat="1" applyFont="1" applyFill="1" applyBorder="1" applyAlignment="1">
      <alignment horizontal="center" vertical="center"/>
    </xf>
    <xf numFmtId="2" fontId="17939" fillId="8" borderId="1" xfId="0" applyNumberFormat="1" applyFont="1" applyFill="1" applyBorder="1" applyAlignment="1">
      <alignment horizontal="center" vertical="center"/>
    </xf>
    <xf numFmtId="2" fontId="17940" fillId="8" borderId="1" xfId="0" applyNumberFormat="1" applyFont="1" applyFill="1" applyBorder="1" applyAlignment="1">
      <alignment horizontal="center" vertical="center"/>
    </xf>
    <xf numFmtId="0" fontId="17941" fillId="7" borderId="1" xfId="0" applyNumberFormat="1" applyFont="1" applyFill="1" applyBorder="1" applyAlignment="1">
      <alignment horizontal="left" vertical="center"/>
    </xf>
    <xf numFmtId="0" fontId="17942" fillId="8" borderId="1" xfId="0" applyNumberFormat="1" applyFont="1" applyFill="1" applyBorder="1" applyAlignment="1">
      <alignment horizontal="center" vertical="center"/>
    </xf>
    <xf numFmtId="164" fontId="17943" fillId="8" borderId="1" xfId="0" applyNumberFormat="1" applyFont="1" applyFill="1" applyBorder="1" applyAlignment="1">
      <alignment horizontal="center" vertical="center"/>
    </xf>
    <xf numFmtId="1" fontId="17944" fillId="8" borderId="1" xfId="0" applyNumberFormat="1" applyFont="1" applyFill="1" applyBorder="1" applyAlignment="1">
      <alignment horizontal="center" vertical="center"/>
    </xf>
    <xf numFmtId="1" fontId="17945" fillId="8" borderId="1" xfId="0" applyNumberFormat="1" applyFont="1" applyFill="1" applyBorder="1" applyAlignment="1">
      <alignment horizontal="center" vertical="center"/>
    </xf>
    <xf numFmtId="1" fontId="17946" fillId="8" borderId="1" xfId="0" applyNumberFormat="1" applyFont="1" applyFill="1" applyBorder="1" applyAlignment="1">
      <alignment horizontal="center" vertical="center"/>
    </xf>
    <xf numFmtId="1" fontId="17947" fillId="8" borderId="1" xfId="0" applyNumberFormat="1" applyFont="1" applyFill="1" applyBorder="1" applyAlignment="1">
      <alignment horizontal="center" vertical="center"/>
    </xf>
    <xf numFmtId="1" fontId="17948" fillId="8" borderId="1" xfId="0" applyNumberFormat="1" applyFont="1" applyFill="1" applyBorder="1" applyAlignment="1">
      <alignment horizontal="center" vertical="center"/>
    </xf>
    <xf numFmtId="1" fontId="17949" fillId="8" borderId="1" xfId="0" applyNumberFormat="1" applyFont="1" applyFill="1" applyBorder="1" applyAlignment="1">
      <alignment horizontal="center" vertical="center"/>
    </xf>
    <xf numFmtId="1" fontId="17950" fillId="8" borderId="1" xfId="0" applyNumberFormat="1" applyFont="1" applyFill="1" applyBorder="1" applyAlignment="1">
      <alignment horizontal="center" vertical="center"/>
    </xf>
    <xf numFmtId="0" fontId="17951" fillId="8" borderId="1" xfId="0" applyNumberFormat="1" applyFont="1" applyFill="1" applyBorder="1" applyAlignment="1">
      <alignment horizontal="center" vertical="center"/>
    </xf>
    <xf numFmtId="0" fontId="17952" fillId="8" borderId="1" xfId="0" applyNumberFormat="1" applyFont="1" applyFill="1" applyBorder="1" applyAlignment="1">
      <alignment horizontal="center" vertical="center"/>
    </xf>
    <xf numFmtId="1" fontId="17953" fillId="8" borderId="1" xfId="0" applyNumberFormat="1" applyFont="1" applyFill="1" applyBorder="1" applyAlignment="1">
      <alignment horizontal="center" vertical="center"/>
    </xf>
    <xf numFmtId="1" fontId="17954" fillId="8" borderId="1" xfId="0" applyNumberFormat="1" applyFont="1" applyFill="1" applyBorder="1" applyAlignment="1">
      <alignment horizontal="center" vertical="center"/>
    </xf>
    <xf numFmtId="1" fontId="17955" fillId="8" borderId="1" xfId="0" applyNumberFormat="1" applyFont="1" applyFill="1" applyBorder="1" applyAlignment="1">
      <alignment horizontal="center" vertical="center"/>
    </xf>
    <xf numFmtId="165" fontId="17956" fillId="8" borderId="1" xfId="0" applyNumberFormat="1" applyFont="1" applyFill="1" applyBorder="1" applyAlignment="1">
      <alignment horizontal="center" vertical="center"/>
    </xf>
    <xf numFmtId="1" fontId="17957" fillId="8" borderId="1" xfId="0" applyNumberFormat="1" applyFont="1" applyFill="1" applyBorder="1" applyAlignment="1">
      <alignment horizontal="center" vertical="center"/>
    </xf>
    <xf numFmtId="165" fontId="17958" fillId="8" borderId="1" xfId="0" applyNumberFormat="1" applyFont="1" applyFill="1" applyBorder="1" applyAlignment="1">
      <alignment horizontal="center" vertical="center"/>
    </xf>
    <xf numFmtId="1" fontId="17959" fillId="8" borderId="1" xfId="0" applyNumberFormat="1" applyFont="1" applyFill="1" applyBorder="1" applyAlignment="1">
      <alignment horizontal="center" vertical="center"/>
    </xf>
    <xf numFmtId="165" fontId="17960" fillId="8" borderId="1" xfId="0" applyNumberFormat="1" applyFont="1" applyFill="1" applyBorder="1" applyAlignment="1">
      <alignment horizontal="center" vertical="center"/>
    </xf>
    <xf numFmtId="1" fontId="17961" fillId="8" borderId="1" xfId="0" applyNumberFormat="1" applyFont="1" applyFill="1" applyBorder="1" applyAlignment="1">
      <alignment horizontal="center" vertical="center"/>
    </xf>
    <xf numFmtId="165" fontId="17962" fillId="8" borderId="1" xfId="0" applyNumberFormat="1" applyFont="1" applyFill="1" applyBorder="1" applyAlignment="1">
      <alignment horizontal="center" vertical="center"/>
    </xf>
    <xf numFmtId="165" fontId="17963" fillId="8" borderId="1" xfId="0" applyNumberFormat="1" applyFont="1" applyFill="1" applyBorder="1" applyAlignment="1">
      <alignment horizontal="center" vertical="center"/>
    </xf>
    <xf numFmtId="1" fontId="17964" fillId="8" borderId="1" xfId="0" applyNumberFormat="1" applyFont="1" applyFill="1" applyBorder="1" applyAlignment="1">
      <alignment horizontal="center" vertical="center"/>
    </xf>
    <xf numFmtId="1" fontId="17965" fillId="8" borderId="1" xfId="0" applyNumberFormat="1" applyFont="1" applyFill="1" applyBorder="1" applyAlignment="1">
      <alignment horizontal="center" vertical="center"/>
    </xf>
    <xf numFmtId="1" fontId="17966" fillId="8" borderId="1" xfId="0" applyNumberFormat="1" applyFont="1" applyFill="1" applyBorder="1" applyAlignment="1">
      <alignment horizontal="center" vertical="center"/>
    </xf>
    <xf numFmtId="165" fontId="17967" fillId="8" borderId="1" xfId="0" applyNumberFormat="1" applyFont="1" applyFill="1" applyBorder="1" applyAlignment="1">
      <alignment horizontal="center" vertical="center"/>
    </xf>
    <xf numFmtId="164" fontId="17968" fillId="8" borderId="1" xfId="0" applyNumberFormat="1" applyFont="1" applyFill="1" applyBorder="1" applyAlignment="1">
      <alignment horizontal="center" vertical="center"/>
    </xf>
    <xf numFmtId="164" fontId="17969" fillId="8" borderId="1" xfId="0" applyNumberFormat="1" applyFont="1" applyFill="1" applyBorder="1" applyAlignment="1">
      <alignment horizontal="center" vertical="center"/>
    </xf>
    <xf numFmtId="1" fontId="17970" fillId="8" borderId="1" xfId="0" applyNumberFormat="1" applyFont="1" applyFill="1" applyBorder="1" applyAlignment="1">
      <alignment horizontal="center" vertical="center"/>
    </xf>
    <xf numFmtId="1" fontId="17971" fillId="8" borderId="1" xfId="0" applyNumberFormat="1" applyFont="1" applyFill="1" applyBorder="1" applyAlignment="1">
      <alignment horizontal="center" vertical="center"/>
    </xf>
    <xf numFmtId="1" fontId="17972" fillId="8" borderId="1" xfId="0" applyNumberFormat="1" applyFont="1" applyFill="1" applyBorder="1" applyAlignment="1">
      <alignment horizontal="center" vertical="center"/>
    </xf>
    <xf numFmtId="165" fontId="17973" fillId="8" borderId="1" xfId="0" applyNumberFormat="1" applyFont="1" applyFill="1" applyBorder="1" applyAlignment="1">
      <alignment horizontal="center" vertical="center"/>
    </xf>
    <xf numFmtId="1" fontId="17974" fillId="8" borderId="1" xfId="0" applyNumberFormat="1" applyFont="1" applyFill="1" applyBorder="1" applyAlignment="1">
      <alignment horizontal="center" vertical="center"/>
    </xf>
    <xf numFmtId="165" fontId="17975" fillId="8" borderId="1" xfId="0" applyNumberFormat="1" applyFont="1" applyFill="1" applyBorder="1" applyAlignment="1">
      <alignment horizontal="center" vertical="center"/>
    </xf>
    <xf numFmtId="1" fontId="17976" fillId="8" borderId="1" xfId="0" applyNumberFormat="1" applyFont="1" applyFill="1" applyBorder="1" applyAlignment="1">
      <alignment horizontal="center" vertical="center"/>
    </xf>
    <xf numFmtId="1" fontId="17977" fillId="8" borderId="1" xfId="0" applyNumberFormat="1" applyFont="1" applyFill="1" applyBorder="1" applyAlignment="1">
      <alignment horizontal="center" vertical="center"/>
    </xf>
    <xf numFmtId="1" fontId="17978" fillId="8" borderId="1" xfId="0" applyNumberFormat="1" applyFont="1" applyFill="1" applyBorder="1" applyAlignment="1">
      <alignment horizontal="center" vertical="center"/>
    </xf>
    <xf numFmtId="1" fontId="17979" fillId="8" borderId="1" xfId="0" applyNumberFormat="1" applyFont="1" applyFill="1" applyBorder="1" applyAlignment="1">
      <alignment horizontal="center" vertical="center"/>
    </xf>
    <xf numFmtId="165" fontId="17980" fillId="8" borderId="1" xfId="0" applyNumberFormat="1" applyFont="1" applyFill="1" applyBorder="1" applyAlignment="1">
      <alignment horizontal="center" vertical="center"/>
    </xf>
    <xf numFmtId="1" fontId="17981" fillId="8" borderId="1" xfId="0" applyNumberFormat="1" applyFont="1" applyFill="1" applyBorder="1" applyAlignment="1">
      <alignment horizontal="center" vertical="center"/>
    </xf>
    <xf numFmtId="165" fontId="17982" fillId="8" borderId="1" xfId="0" applyNumberFormat="1" applyFont="1" applyFill="1" applyBorder="1" applyAlignment="1">
      <alignment horizontal="center" vertical="center"/>
    </xf>
    <xf numFmtId="1" fontId="17983" fillId="8" borderId="1" xfId="0" applyNumberFormat="1" applyFont="1" applyFill="1" applyBorder="1" applyAlignment="1">
      <alignment horizontal="center" vertical="center"/>
    </xf>
    <xf numFmtId="165" fontId="17984" fillId="8" borderId="1" xfId="0" applyNumberFormat="1" applyFont="1" applyFill="1" applyBorder="1" applyAlignment="1">
      <alignment horizontal="center" vertical="center"/>
    </xf>
    <xf numFmtId="2" fontId="17985" fillId="8" borderId="1" xfId="0" applyNumberFormat="1" applyFont="1" applyFill="1" applyBorder="1" applyAlignment="1">
      <alignment horizontal="center" vertical="center"/>
    </xf>
    <xf numFmtId="2" fontId="17986" fillId="8" borderId="1" xfId="0" applyNumberFormat="1" applyFont="1" applyFill="1" applyBorder="1" applyAlignment="1">
      <alignment horizontal="center" vertical="center"/>
    </xf>
    <xf numFmtId="2" fontId="17987" fillId="8" borderId="1" xfId="0" applyNumberFormat="1" applyFont="1" applyFill="1" applyBorder="1" applyAlignment="1">
      <alignment horizontal="center" vertical="center"/>
    </xf>
    <xf numFmtId="2" fontId="17988" fillId="8" borderId="1" xfId="0" applyNumberFormat="1" applyFont="1" applyFill="1" applyBorder="1" applyAlignment="1">
      <alignment horizontal="center" vertical="center"/>
    </xf>
    <xf numFmtId="2" fontId="17989" fillId="8" borderId="1" xfId="0" applyNumberFormat="1" applyFont="1" applyFill="1" applyBorder="1" applyAlignment="1">
      <alignment horizontal="center" vertical="center"/>
    </xf>
    <xf numFmtId="2" fontId="17990" fillId="8" borderId="1" xfId="0" applyNumberFormat="1" applyFont="1" applyFill="1" applyBorder="1" applyAlignment="1">
      <alignment horizontal="center" vertical="center"/>
    </xf>
    <xf numFmtId="2" fontId="17991" fillId="8" borderId="1" xfId="0" applyNumberFormat="1" applyFont="1" applyFill="1" applyBorder="1" applyAlignment="1">
      <alignment horizontal="center" vertical="center"/>
    </xf>
    <xf numFmtId="2" fontId="17992" fillId="8" borderId="1" xfId="0" applyNumberFormat="1" applyFont="1" applyFill="1" applyBorder="1" applyAlignment="1">
      <alignment horizontal="center" vertical="center"/>
    </xf>
    <xf numFmtId="2" fontId="17993" fillId="8" borderId="1" xfId="0" applyNumberFormat="1" applyFont="1" applyFill="1" applyBorder="1" applyAlignment="1">
      <alignment horizontal="center" vertical="center"/>
    </xf>
    <xf numFmtId="2" fontId="17994" fillId="8" borderId="1" xfId="0" applyNumberFormat="1" applyFont="1" applyFill="1" applyBorder="1" applyAlignment="1">
      <alignment horizontal="center" vertical="center"/>
    </xf>
    <xf numFmtId="2" fontId="17995" fillId="8" borderId="1" xfId="0" applyNumberFormat="1" applyFont="1" applyFill="1" applyBorder="1" applyAlignment="1">
      <alignment horizontal="center" vertical="center"/>
    </xf>
    <xf numFmtId="2" fontId="17996" fillId="8" borderId="1" xfId="0" applyNumberFormat="1" applyFont="1" applyFill="1" applyBorder="1" applyAlignment="1">
      <alignment horizontal="center" vertical="center"/>
    </xf>
    <xf numFmtId="2" fontId="17997" fillId="8" borderId="1" xfId="0" applyNumberFormat="1" applyFont="1" applyFill="1" applyBorder="1" applyAlignment="1">
      <alignment horizontal="center" vertical="center"/>
    </xf>
    <xf numFmtId="2" fontId="17998" fillId="8" borderId="1" xfId="0" applyNumberFormat="1" applyFont="1" applyFill="1" applyBorder="1" applyAlignment="1">
      <alignment horizontal="center" vertical="center"/>
    </xf>
    <xf numFmtId="2" fontId="17999" fillId="8" borderId="1" xfId="0" applyNumberFormat="1" applyFont="1" applyFill="1" applyBorder="1" applyAlignment="1">
      <alignment horizontal="center" vertical="center"/>
    </xf>
    <xf numFmtId="2" fontId="18000" fillId="8" borderId="1" xfId="0" applyNumberFormat="1" applyFont="1" applyFill="1" applyBorder="1" applyAlignment="1">
      <alignment horizontal="center" vertical="center"/>
    </xf>
    <xf numFmtId="2" fontId="18001" fillId="8" borderId="1" xfId="0" applyNumberFormat="1" applyFont="1" applyFill="1" applyBorder="1" applyAlignment="1">
      <alignment horizontal="center" vertical="center"/>
    </xf>
    <xf numFmtId="2" fontId="18002" fillId="8" borderId="1" xfId="0" applyNumberFormat="1" applyFont="1" applyFill="1" applyBorder="1" applyAlignment="1">
      <alignment horizontal="center" vertical="center"/>
    </xf>
    <xf numFmtId="2" fontId="18003" fillId="8" borderId="1" xfId="0" applyNumberFormat="1" applyFont="1" applyFill="1" applyBorder="1" applyAlignment="1">
      <alignment horizontal="center" vertical="center"/>
    </xf>
    <xf numFmtId="2" fontId="18004" fillId="8" borderId="1" xfId="0" applyNumberFormat="1" applyFont="1" applyFill="1" applyBorder="1" applyAlignment="1">
      <alignment horizontal="center" vertical="center"/>
    </xf>
    <xf numFmtId="2" fontId="18005" fillId="8" borderId="1" xfId="0" applyNumberFormat="1" applyFont="1" applyFill="1" applyBorder="1" applyAlignment="1">
      <alignment horizontal="center" vertical="center"/>
    </xf>
    <xf numFmtId="2" fontId="18006" fillId="8" borderId="1" xfId="0" applyNumberFormat="1" applyFont="1" applyFill="1" applyBorder="1" applyAlignment="1">
      <alignment horizontal="center" vertical="center"/>
    </xf>
    <xf numFmtId="2" fontId="18007" fillId="8" borderId="1" xfId="0" applyNumberFormat="1" applyFont="1" applyFill="1" applyBorder="1" applyAlignment="1">
      <alignment horizontal="center" vertical="center"/>
    </xf>
    <xf numFmtId="2" fontId="18008" fillId="8" borderId="1" xfId="0" applyNumberFormat="1" applyFont="1" applyFill="1" applyBorder="1" applyAlignment="1">
      <alignment horizontal="center" vertical="center"/>
    </xf>
    <xf numFmtId="2" fontId="18009" fillId="8" borderId="1" xfId="0" applyNumberFormat="1" applyFont="1" applyFill="1" applyBorder="1" applyAlignment="1">
      <alignment horizontal="center" vertical="center"/>
    </xf>
    <xf numFmtId="2" fontId="18010" fillId="8" borderId="1" xfId="0" applyNumberFormat="1" applyFont="1" applyFill="1" applyBorder="1" applyAlignment="1">
      <alignment horizontal="center" vertical="center"/>
    </xf>
    <xf numFmtId="2" fontId="18011" fillId="8" borderId="1" xfId="0" applyNumberFormat="1" applyFont="1" applyFill="1" applyBorder="1" applyAlignment="1">
      <alignment horizontal="center" vertical="center"/>
    </xf>
    <xf numFmtId="2" fontId="18012" fillId="8" borderId="1" xfId="0" applyNumberFormat="1" applyFont="1" applyFill="1" applyBorder="1" applyAlignment="1">
      <alignment horizontal="center" vertical="center"/>
    </xf>
    <xf numFmtId="2" fontId="18013" fillId="8" borderId="1" xfId="0" applyNumberFormat="1" applyFont="1" applyFill="1" applyBorder="1" applyAlignment="1">
      <alignment horizontal="center" vertical="center"/>
    </xf>
    <xf numFmtId="2" fontId="18014" fillId="8" borderId="1" xfId="0" applyNumberFormat="1" applyFont="1" applyFill="1" applyBorder="1" applyAlignment="1">
      <alignment horizontal="center" vertical="center"/>
    </xf>
    <xf numFmtId="2" fontId="18015" fillId="8" borderId="1" xfId="0" applyNumberFormat="1" applyFont="1" applyFill="1" applyBorder="1" applyAlignment="1">
      <alignment horizontal="center" vertical="center"/>
    </xf>
    <xf numFmtId="2" fontId="18016" fillId="8" borderId="1" xfId="0" applyNumberFormat="1" applyFont="1" applyFill="1" applyBorder="1" applyAlignment="1">
      <alignment horizontal="center" vertical="center"/>
    </xf>
    <xf numFmtId="2" fontId="18017" fillId="8" borderId="1" xfId="0" applyNumberFormat="1" applyFont="1" applyFill="1" applyBorder="1" applyAlignment="1">
      <alignment horizontal="center" vertical="center"/>
    </xf>
    <xf numFmtId="2" fontId="18018" fillId="8" borderId="1" xfId="0" applyNumberFormat="1" applyFont="1" applyFill="1" applyBorder="1" applyAlignment="1">
      <alignment horizontal="center" vertical="center"/>
    </xf>
    <xf numFmtId="0" fontId="18019" fillId="7" borderId="1" xfId="0" applyNumberFormat="1" applyFont="1" applyFill="1" applyBorder="1" applyAlignment="1">
      <alignment horizontal="left" vertical="center"/>
    </xf>
    <xf numFmtId="0" fontId="18020" fillId="8" borderId="1" xfId="0" applyNumberFormat="1" applyFont="1" applyFill="1" applyBorder="1" applyAlignment="1">
      <alignment horizontal="center" vertical="center"/>
    </xf>
    <xf numFmtId="164" fontId="18021" fillId="8" borderId="1" xfId="0" applyNumberFormat="1" applyFont="1" applyFill="1" applyBorder="1" applyAlignment="1">
      <alignment horizontal="center" vertical="center"/>
    </xf>
    <xf numFmtId="1" fontId="18022" fillId="8" borderId="1" xfId="0" applyNumberFormat="1" applyFont="1" applyFill="1" applyBorder="1" applyAlignment="1">
      <alignment horizontal="center" vertical="center"/>
    </xf>
    <xf numFmtId="1" fontId="18023" fillId="8" borderId="1" xfId="0" applyNumberFormat="1" applyFont="1" applyFill="1" applyBorder="1" applyAlignment="1">
      <alignment horizontal="center" vertical="center"/>
    </xf>
    <xf numFmtId="1" fontId="18024" fillId="8" borderId="1" xfId="0" applyNumberFormat="1" applyFont="1" applyFill="1" applyBorder="1" applyAlignment="1">
      <alignment horizontal="center" vertical="center"/>
    </xf>
    <xf numFmtId="1" fontId="18025" fillId="8" borderId="1" xfId="0" applyNumberFormat="1" applyFont="1" applyFill="1" applyBorder="1" applyAlignment="1">
      <alignment horizontal="center" vertical="center"/>
    </xf>
    <xf numFmtId="1" fontId="18026" fillId="8" borderId="1" xfId="0" applyNumberFormat="1" applyFont="1" applyFill="1" applyBorder="1" applyAlignment="1">
      <alignment horizontal="center" vertical="center"/>
    </xf>
    <xf numFmtId="1" fontId="18027" fillId="8" borderId="1" xfId="0" applyNumberFormat="1" applyFont="1" applyFill="1" applyBorder="1" applyAlignment="1">
      <alignment horizontal="center" vertical="center"/>
    </xf>
    <xf numFmtId="1" fontId="18028" fillId="8" borderId="1" xfId="0" applyNumberFormat="1" applyFont="1" applyFill="1" applyBorder="1" applyAlignment="1">
      <alignment horizontal="center" vertical="center"/>
    </xf>
    <xf numFmtId="0" fontId="18029" fillId="8" borderId="1" xfId="0" applyNumberFormat="1" applyFont="1" applyFill="1" applyBorder="1" applyAlignment="1">
      <alignment horizontal="center" vertical="center"/>
    </xf>
    <xf numFmtId="0" fontId="18030" fillId="8" borderId="1" xfId="0" applyNumberFormat="1" applyFont="1" applyFill="1" applyBorder="1" applyAlignment="1">
      <alignment horizontal="center" vertical="center"/>
    </xf>
    <xf numFmtId="1" fontId="18031" fillId="8" borderId="1" xfId="0" applyNumberFormat="1" applyFont="1" applyFill="1" applyBorder="1" applyAlignment="1">
      <alignment horizontal="center" vertical="center"/>
    </xf>
    <xf numFmtId="1" fontId="18032" fillId="8" borderId="1" xfId="0" applyNumberFormat="1" applyFont="1" applyFill="1" applyBorder="1" applyAlignment="1">
      <alignment horizontal="center" vertical="center"/>
    </xf>
    <xf numFmtId="1" fontId="18033" fillId="8" borderId="1" xfId="0" applyNumberFormat="1" applyFont="1" applyFill="1" applyBorder="1" applyAlignment="1">
      <alignment horizontal="center" vertical="center"/>
    </xf>
    <xf numFmtId="165" fontId="18034" fillId="8" borderId="1" xfId="0" applyNumberFormat="1" applyFont="1" applyFill="1" applyBorder="1" applyAlignment="1">
      <alignment horizontal="center" vertical="center"/>
    </xf>
    <xf numFmtId="1" fontId="18035" fillId="8" borderId="1" xfId="0" applyNumberFormat="1" applyFont="1" applyFill="1" applyBorder="1" applyAlignment="1">
      <alignment horizontal="center" vertical="center"/>
    </xf>
    <xf numFmtId="165" fontId="18036" fillId="8" borderId="1" xfId="0" applyNumberFormat="1" applyFont="1" applyFill="1" applyBorder="1" applyAlignment="1">
      <alignment horizontal="center" vertical="center"/>
    </xf>
    <xf numFmtId="1" fontId="18037" fillId="8" borderId="1" xfId="0" applyNumberFormat="1" applyFont="1" applyFill="1" applyBorder="1" applyAlignment="1">
      <alignment horizontal="center" vertical="center"/>
    </xf>
    <xf numFmtId="165" fontId="18038" fillId="8" borderId="1" xfId="0" applyNumberFormat="1" applyFont="1" applyFill="1" applyBorder="1" applyAlignment="1">
      <alignment horizontal="center" vertical="center"/>
    </xf>
    <xf numFmtId="1" fontId="18039" fillId="8" borderId="1" xfId="0" applyNumberFormat="1" applyFont="1" applyFill="1" applyBorder="1" applyAlignment="1">
      <alignment horizontal="center" vertical="center"/>
    </xf>
    <xf numFmtId="165" fontId="18040" fillId="8" borderId="1" xfId="0" applyNumberFormat="1" applyFont="1" applyFill="1" applyBorder="1" applyAlignment="1">
      <alignment horizontal="center" vertical="center"/>
    </xf>
    <xf numFmtId="165" fontId="18041" fillId="8" borderId="1" xfId="0" applyNumberFormat="1" applyFont="1" applyFill="1" applyBorder="1" applyAlignment="1">
      <alignment horizontal="center" vertical="center"/>
    </xf>
    <xf numFmtId="1" fontId="18042" fillId="8" borderId="1" xfId="0" applyNumberFormat="1" applyFont="1" applyFill="1" applyBorder="1" applyAlignment="1">
      <alignment horizontal="center" vertical="center"/>
    </xf>
    <xf numFmtId="1" fontId="18043" fillId="8" borderId="1" xfId="0" applyNumberFormat="1" applyFont="1" applyFill="1" applyBorder="1" applyAlignment="1">
      <alignment horizontal="center" vertical="center"/>
    </xf>
    <xf numFmtId="1" fontId="18044" fillId="8" borderId="1" xfId="0" applyNumberFormat="1" applyFont="1" applyFill="1" applyBorder="1" applyAlignment="1">
      <alignment horizontal="center" vertical="center"/>
    </xf>
    <xf numFmtId="165" fontId="18045" fillId="8" borderId="1" xfId="0" applyNumberFormat="1" applyFont="1" applyFill="1" applyBorder="1" applyAlignment="1">
      <alignment horizontal="center" vertical="center"/>
    </xf>
    <xf numFmtId="164" fontId="18046" fillId="8" borderId="1" xfId="0" applyNumberFormat="1" applyFont="1" applyFill="1" applyBorder="1" applyAlignment="1">
      <alignment horizontal="center" vertical="center"/>
    </xf>
    <xf numFmtId="164" fontId="18047" fillId="8" borderId="1" xfId="0" applyNumberFormat="1" applyFont="1" applyFill="1" applyBorder="1" applyAlignment="1">
      <alignment horizontal="center" vertical="center"/>
    </xf>
    <xf numFmtId="1" fontId="18048" fillId="8" borderId="1" xfId="0" applyNumberFormat="1" applyFont="1" applyFill="1" applyBorder="1" applyAlignment="1">
      <alignment horizontal="center" vertical="center"/>
    </xf>
    <xf numFmtId="1" fontId="18049" fillId="8" borderId="1" xfId="0" applyNumberFormat="1" applyFont="1" applyFill="1" applyBorder="1" applyAlignment="1">
      <alignment horizontal="center" vertical="center"/>
    </xf>
    <xf numFmtId="1" fontId="18050" fillId="8" borderId="1" xfId="0" applyNumberFormat="1" applyFont="1" applyFill="1" applyBorder="1" applyAlignment="1">
      <alignment horizontal="center" vertical="center"/>
    </xf>
    <xf numFmtId="165" fontId="18051" fillId="8" borderId="1" xfId="0" applyNumberFormat="1" applyFont="1" applyFill="1" applyBorder="1" applyAlignment="1">
      <alignment horizontal="center" vertical="center"/>
    </xf>
    <xf numFmtId="1" fontId="18052" fillId="8" borderId="1" xfId="0" applyNumberFormat="1" applyFont="1" applyFill="1" applyBorder="1" applyAlignment="1">
      <alignment horizontal="center" vertical="center"/>
    </xf>
    <xf numFmtId="165" fontId="18053" fillId="8" borderId="1" xfId="0" applyNumberFormat="1" applyFont="1" applyFill="1" applyBorder="1" applyAlignment="1">
      <alignment horizontal="center" vertical="center"/>
    </xf>
    <xf numFmtId="1" fontId="18054" fillId="8" borderId="1" xfId="0" applyNumberFormat="1" applyFont="1" applyFill="1" applyBorder="1" applyAlignment="1">
      <alignment horizontal="center" vertical="center"/>
    </xf>
    <xf numFmtId="1" fontId="18055" fillId="8" borderId="1" xfId="0" applyNumberFormat="1" applyFont="1" applyFill="1" applyBorder="1" applyAlignment="1">
      <alignment horizontal="center" vertical="center"/>
    </xf>
    <xf numFmtId="1" fontId="18056" fillId="8" borderId="1" xfId="0" applyNumberFormat="1" applyFont="1" applyFill="1" applyBorder="1" applyAlignment="1">
      <alignment horizontal="center" vertical="center"/>
    </xf>
    <xf numFmtId="1" fontId="18057" fillId="8" borderId="1" xfId="0" applyNumberFormat="1" applyFont="1" applyFill="1" applyBorder="1" applyAlignment="1">
      <alignment horizontal="center" vertical="center"/>
    </xf>
    <xf numFmtId="165" fontId="18058" fillId="8" borderId="1" xfId="0" applyNumberFormat="1" applyFont="1" applyFill="1" applyBorder="1" applyAlignment="1">
      <alignment horizontal="center" vertical="center"/>
    </xf>
    <xf numFmtId="1" fontId="18059" fillId="8" borderId="1" xfId="0" applyNumberFormat="1" applyFont="1" applyFill="1" applyBorder="1" applyAlignment="1">
      <alignment horizontal="center" vertical="center"/>
    </xf>
    <xf numFmtId="165" fontId="18060" fillId="8" borderId="1" xfId="0" applyNumberFormat="1" applyFont="1" applyFill="1" applyBorder="1" applyAlignment="1">
      <alignment horizontal="center" vertical="center"/>
    </xf>
    <xf numFmtId="1" fontId="18061" fillId="8" borderId="1" xfId="0" applyNumberFormat="1" applyFont="1" applyFill="1" applyBorder="1" applyAlignment="1">
      <alignment horizontal="center" vertical="center"/>
    </xf>
    <xf numFmtId="165" fontId="18062" fillId="8" borderId="1" xfId="0" applyNumberFormat="1" applyFont="1" applyFill="1" applyBorder="1" applyAlignment="1">
      <alignment horizontal="center" vertical="center"/>
    </xf>
    <xf numFmtId="2" fontId="18063" fillId="8" borderId="1" xfId="0" applyNumberFormat="1" applyFont="1" applyFill="1" applyBorder="1" applyAlignment="1">
      <alignment horizontal="center" vertical="center"/>
    </xf>
    <xf numFmtId="2" fontId="18064" fillId="8" borderId="1" xfId="0" applyNumberFormat="1" applyFont="1" applyFill="1" applyBorder="1" applyAlignment="1">
      <alignment horizontal="center" vertical="center"/>
    </xf>
    <xf numFmtId="2" fontId="18065" fillId="8" borderId="1" xfId="0" applyNumberFormat="1" applyFont="1" applyFill="1" applyBorder="1" applyAlignment="1">
      <alignment horizontal="center" vertical="center"/>
    </xf>
    <xf numFmtId="2" fontId="18066" fillId="8" borderId="1" xfId="0" applyNumberFormat="1" applyFont="1" applyFill="1" applyBorder="1" applyAlignment="1">
      <alignment horizontal="center" vertical="center"/>
    </xf>
    <xf numFmtId="2" fontId="18067" fillId="8" borderId="1" xfId="0" applyNumberFormat="1" applyFont="1" applyFill="1" applyBorder="1" applyAlignment="1">
      <alignment horizontal="center" vertical="center"/>
    </xf>
    <xf numFmtId="2" fontId="18068" fillId="8" borderId="1" xfId="0" applyNumberFormat="1" applyFont="1" applyFill="1" applyBorder="1" applyAlignment="1">
      <alignment horizontal="center" vertical="center"/>
    </xf>
    <xf numFmtId="2" fontId="18069" fillId="8" borderId="1" xfId="0" applyNumberFormat="1" applyFont="1" applyFill="1" applyBorder="1" applyAlignment="1">
      <alignment horizontal="center" vertical="center"/>
    </xf>
    <xf numFmtId="2" fontId="18070" fillId="8" borderId="1" xfId="0" applyNumberFormat="1" applyFont="1" applyFill="1" applyBorder="1" applyAlignment="1">
      <alignment horizontal="center" vertical="center"/>
    </xf>
    <xf numFmtId="2" fontId="18071" fillId="8" borderId="1" xfId="0" applyNumberFormat="1" applyFont="1" applyFill="1" applyBorder="1" applyAlignment="1">
      <alignment horizontal="center" vertical="center"/>
    </xf>
    <xf numFmtId="2" fontId="18072" fillId="8" borderId="1" xfId="0" applyNumberFormat="1" applyFont="1" applyFill="1" applyBorder="1" applyAlignment="1">
      <alignment horizontal="center" vertical="center"/>
    </xf>
    <xf numFmtId="2" fontId="18073" fillId="8" borderId="1" xfId="0" applyNumberFormat="1" applyFont="1" applyFill="1" applyBorder="1" applyAlignment="1">
      <alignment horizontal="center" vertical="center"/>
    </xf>
    <xf numFmtId="2" fontId="18074" fillId="8" borderId="1" xfId="0" applyNumberFormat="1" applyFont="1" applyFill="1" applyBorder="1" applyAlignment="1">
      <alignment horizontal="center" vertical="center"/>
    </xf>
    <xf numFmtId="2" fontId="18075" fillId="8" borderId="1" xfId="0" applyNumberFormat="1" applyFont="1" applyFill="1" applyBorder="1" applyAlignment="1">
      <alignment horizontal="center" vertical="center"/>
    </xf>
    <xf numFmtId="2" fontId="18076" fillId="8" borderId="1" xfId="0" applyNumberFormat="1" applyFont="1" applyFill="1" applyBorder="1" applyAlignment="1">
      <alignment horizontal="center" vertical="center"/>
    </xf>
    <xf numFmtId="2" fontId="18077" fillId="8" borderId="1" xfId="0" applyNumberFormat="1" applyFont="1" applyFill="1" applyBorder="1" applyAlignment="1">
      <alignment horizontal="center" vertical="center"/>
    </xf>
    <xf numFmtId="2" fontId="18078" fillId="8" borderId="1" xfId="0" applyNumberFormat="1" applyFont="1" applyFill="1" applyBorder="1" applyAlignment="1">
      <alignment horizontal="center" vertical="center"/>
    </xf>
    <xf numFmtId="2" fontId="18079" fillId="8" borderId="1" xfId="0" applyNumberFormat="1" applyFont="1" applyFill="1" applyBorder="1" applyAlignment="1">
      <alignment horizontal="center" vertical="center"/>
    </xf>
    <xf numFmtId="2" fontId="18080" fillId="8" borderId="1" xfId="0" applyNumberFormat="1" applyFont="1" applyFill="1" applyBorder="1" applyAlignment="1">
      <alignment horizontal="center" vertical="center"/>
    </xf>
    <xf numFmtId="2" fontId="18081" fillId="8" borderId="1" xfId="0" applyNumberFormat="1" applyFont="1" applyFill="1" applyBorder="1" applyAlignment="1">
      <alignment horizontal="center" vertical="center"/>
    </xf>
    <xf numFmtId="2" fontId="18082" fillId="8" borderId="1" xfId="0" applyNumberFormat="1" applyFont="1" applyFill="1" applyBorder="1" applyAlignment="1">
      <alignment horizontal="center" vertical="center"/>
    </xf>
    <xf numFmtId="2" fontId="18083" fillId="8" borderId="1" xfId="0" applyNumberFormat="1" applyFont="1" applyFill="1" applyBorder="1" applyAlignment="1">
      <alignment horizontal="center" vertical="center"/>
    </xf>
    <xf numFmtId="2" fontId="18084" fillId="8" borderId="1" xfId="0" applyNumberFormat="1" applyFont="1" applyFill="1" applyBorder="1" applyAlignment="1">
      <alignment horizontal="center" vertical="center"/>
    </xf>
    <xf numFmtId="2" fontId="18085" fillId="8" borderId="1" xfId="0" applyNumberFormat="1" applyFont="1" applyFill="1" applyBorder="1" applyAlignment="1">
      <alignment horizontal="center" vertical="center"/>
    </xf>
    <xf numFmtId="2" fontId="18086" fillId="8" borderId="1" xfId="0" applyNumberFormat="1" applyFont="1" applyFill="1" applyBorder="1" applyAlignment="1">
      <alignment horizontal="center" vertical="center"/>
    </xf>
    <xf numFmtId="2" fontId="18087" fillId="8" borderId="1" xfId="0" applyNumberFormat="1" applyFont="1" applyFill="1" applyBorder="1" applyAlignment="1">
      <alignment horizontal="center" vertical="center"/>
    </xf>
    <xf numFmtId="2" fontId="18088" fillId="8" borderId="1" xfId="0" applyNumberFormat="1" applyFont="1" applyFill="1" applyBorder="1" applyAlignment="1">
      <alignment horizontal="center" vertical="center"/>
    </xf>
    <xf numFmtId="2" fontId="18089" fillId="8" borderId="1" xfId="0" applyNumberFormat="1" applyFont="1" applyFill="1" applyBorder="1" applyAlignment="1">
      <alignment horizontal="center" vertical="center"/>
    </xf>
    <xf numFmtId="2" fontId="18090" fillId="8" borderId="1" xfId="0" applyNumberFormat="1" applyFont="1" applyFill="1" applyBorder="1" applyAlignment="1">
      <alignment horizontal="center" vertical="center"/>
    </xf>
    <xf numFmtId="2" fontId="18091" fillId="8" borderId="1" xfId="0" applyNumberFormat="1" applyFont="1" applyFill="1" applyBorder="1" applyAlignment="1">
      <alignment horizontal="center" vertical="center"/>
    </xf>
    <xf numFmtId="2" fontId="18092" fillId="8" borderId="1" xfId="0" applyNumberFormat="1" applyFont="1" applyFill="1" applyBorder="1" applyAlignment="1">
      <alignment horizontal="center" vertical="center"/>
    </xf>
    <xf numFmtId="2" fontId="18093" fillId="8" borderId="1" xfId="0" applyNumberFormat="1" applyFont="1" applyFill="1" applyBorder="1" applyAlignment="1">
      <alignment horizontal="center" vertical="center"/>
    </xf>
    <xf numFmtId="2" fontId="18094" fillId="8" borderId="1" xfId="0" applyNumberFormat="1" applyFont="1" applyFill="1" applyBorder="1" applyAlignment="1">
      <alignment horizontal="center" vertical="center"/>
    </xf>
    <xf numFmtId="2" fontId="18095" fillId="8" borderId="1" xfId="0" applyNumberFormat="1" applyFont="1" applyFill="1" applyBorder="1" applyAlignment="1">
      <alignment horizontal="center" vertical="center"/>
    </xf>
    <xf numFmtId="2" fontId="18096" fillId="8" borderId="1" xfId="0" applyNumberFormat="1" applyFont="1" applyFill="1" applyBorder="1" applyAlignment="1">
      <alignment horizontal="center" vertical="center"/>
    </xf>
    <xf numFmtId="0" fontId="18097" fillId="7" borderId="1" xfId="0" applyNumberFormat="1" applyFont="1" applyFill="1" applyBorder="1" applyAlignment="1">
      <alignment horizontal="left" vertical="center"/>
    </xf>
    <xf numFmtId="0" fontId="18098" fillId="8" borderId="1" xfId="0" applyNumberFormat="1" applyFont="1" applyFill="1" applyBorder="1" applyAlignment="1">
      <alignment horizontal="center" vertical="center"/>
    </xf>
    <xf numFmtId="164" fontId="18099" fillId="8" borderId="1" xfId="0" applyNumberFormat="1" applyFont="1" applyFill="1" applyBorder="1" applyAlignment="1">
      <alignment horizontal="center" vertical="center"/>
    </xf>
    <xf numFmtId="1" fontId="18100" fillId="8" borderId="1" xfId="0" applyNumberFormat="1" applyFont="1" applyFill="1" applyBorder="1" applyAlignment="1">
      <alignment horizontal="center" vertical="center"/>
    </xf>
    <xf numFmtId="1" fontId="18101" fillId="8" borderId="1" xfId="0" applyNumberFormat="1" applyFont="1" applyFill="1" applyBorder="1" applyAlignment="1">
      <alignment horizontal="center" vertical="center"/>
    </xf>
    <xf numFmtId="1" fontId="18102" fillId="8" borderId="1" xfId="0" applyNumberFormat="1" applyFont="1" applyFill="1" applyBorder="1" applyAlignment="1">
      <alignment horizontal="center" vertical="center"/>
    </xf>
    <xf numFmtId="1" fontId="18103" fillId="8" borderId="1" xfId="0" applyNumberFormat="1" applyFont="1" applyFill="1" applyBorder="1" applyAlignment="1">
      <alignment horizontal="center" vertical="center"/>
    </xf>
    <xf numFmtId="1" fontId="18104" fillId="8" borderId="1" xfId="0" applyNumberFormat="1" applyFont="1" applyFill="1" applyBorder="1" applyAlignment="1">
      <alignment horizontal="center" vertical="center"/>
    </xf>
    <xf numFmtId="1" fontId="18105" fillId="8" borderId="1" xfId="0" applyNumberFormat="1" applyFont="1" applyFill="1" applyBorder="1" applyAlignment="1">
      <alignment horizontal="center" vertical="center"/>
    </xf>
    <xf numFmtId="1" fontId="18106" fillId="8" borderId="1" xfId="0" applyNumberFormat="1" applyFont="1" applyFill="1" applyBorder="1" applyAlignment="1">
      <alignment horizontal="center" vertical="center"/>
    </xf>
    <xf numFmtId="0" fontId="18107" fillId="8" borderId="1" xfId="0" applyNumberFormat="1" applyFont="1" applyFill="1" applyBorder="1" applyAlignment="1">
      <alignment horizontal="center" vertical="center"/>
    </xf>
    <xf numFmtId="0" fontId="18108" fillId="8" borderId="1" xfId="0" applyNumberFormat="1" applyFont="1" applyFill="1" applyBorder="1" applyAlignment="1">
      <alignment horizontal="center" vertical="center"/>
    </xf>
    <xf numFmtId="1" fontId="18109" fillId="8" borderId="1" xfId="0" applyNumberFormat="1" applyFont="1" applyFill="1" applyBorder="1" applyAlignment="1">
      <alignment horizontal="center" vertical="center"/>
    </xf>
    <xf numFmtId="1" fontId="18110" fillId="8" borderId="1" xfId="0" applyNumberFormat="1" applyFont="1" applyFill="1" applyBorder="1" applyAlignment="1">
      <alignment horizontal="center" vertical="center"/>
    </xf>
    <xf numFmtId="1" fontId="18111" fillId="8" borderId="1" xfId="0" applyNumberFormat="1" applyFont="1" applyFill="1" applyBorder="1" applyAlignment="1">
      <alignment horizontal="center" vertical="center"/>
    </xf>
    <xf numFmtId="165" fontId="18112" fillId="8" borderId="1" xfId="0" applyNumberFormat="1" applyFont="1" applyFill="1" applyBorder="1" applyAlignment="1">
      <alignment horizontal="center" vertical="center"/>
    </xf>
    <xf numFmtId="1" fontId="18113" fillId="8" borderId="1" xfId="0" applyNumberFormat="1" applyFont="1" applyFill="1" applyBorder="1" applyAlignment="1">
      <alignment horizontal="center" vertical="center"/>
    </xf>
    <xf numFmtId="165" fontId="18114" fillId="8" borderId="1" xfId="0" applyNumberFormat="1" applyFont="1" applyFill="1" applyBorder="1" applyAlignment="1">
      <alignment horizontal="center" vertical="center"/>
    </xf>
    <xf numFmtId="1" fontId="18115" fillId="8" borderId="1" xfId="0" applyNumberFormat="1" applyFont="1" applyFill="1" applyBorder="1" applyAlignment="1">
      <alignment horizontal="center" vertical="center"/>
    </xf>
    <xf numFmtId="165" fontId="18116" fillId="8" borderId="1" xfId="0" applyNumberFormat="1" applyFont="1" applyFill="1" applyBorder="1" applyAlignment="1">
      <alignment horizontal="center" vertical="center"/>
    </xf>
    <xf numFmtId="1" fontId="18117" fillId="8" borderId="1" xfId="0" applyNumberFormat="1" applyFont="1" applyFill="1" applyBorder="1" applyAlignment="1">
      <alignment horizontal="center" vertical="center"/>
    </xf>
    <xf numFmtId="165" fontId="18118" fillId="8" borderId="1" xfId="0" applyNumberFormat="1" applyFont="1" applyFill="1" applyBorder="1" applyAlignment="1">
      <alignment horizontal="center" vertical="center"/>
    </xf>
    <xf numFmtId="165" fontId="18119" fillId="8" borderId="1" xfId="0" applyNumberFormat="1" applyFont="1" applyFill="1" applyBorder="1" applyAlignment="1">
      <alignment horizontal="center" vertical="center"/>
    </xf>
    <xf numFmtId="1" fontId="18120" fillId="8" borderId="1" xfId="0" applyNumberFormat="1" applyFont="1" applyFill="1" applyBorder="1" applyAlignment="1">
      <alignment horizontal="center" vertical="center"/>
    </xf>
    <xf numFmtId="1" fontId="18121" fillId="8" borderId="1" xfId="0" applyNumberFormat="1" applyFont="1" applyFill="1" applyBorder="1" applyAlignment="1">
      <alignment horizontal="center" vertical="center"/>
    </xf>
    <xf numFmtId="1" fontId="18122" fillId="8" borderId="1" xfId="0" applyNumberFormat="1" applyFont="1" applyFill="1" applyBorder="1" applyAlignment="1">
      <alignment horizontal="center" vertical="center"/>
    </xf>
    <xf numFmtId="165" fontId="18123" fillId="8" borderId="1" xfId="0" applyNumberFormat="1" applyFont="1" applyFill="1" applyBorder="1" applyAlignment="1">
      <alignment horizontal="center" vertical="center"/>
    </xf>
    <xf numFmtId="164" fontId="18124" fillId="8" borderId="1" xfId="0" applyNumberFormat="1" applyFont="1" applyFill="1" applyBorder="1" applyAlignment="1">
      <alignment horizontal="center" vertical="center"/>
    </xf>
    <xf numFmtId="164" fontId="18125" fillId="8" borderId="1" xfId="0" applyNumberFormat="1" applyFont="1" applyFill="1" applyBorder="1" applyAlignment="1">
      <alignment horizontal="center" vertical="center"/>
    </xf>
    <xf numFmtId="1" fontId="18126" fillId="8" borderId="1" xfId="0" applyNumberFormat="1" applyFont="1" applyFill="1" applyBorder="1" applyAlignment="1">
      <alignment horizontal="center" vertical="center"/>
    </xf>
    <xf numFmtId="1" fontId="18127" fillId="8" borderId="1" xfId="0" applyNumberFormat="1" applyFont="1" applyFill="1" applyBorder="1" applyAlignment="1">
      <alignment horizontal="center" vertical="center"/>
    </xf>
    <xf numFmtId="1" fontId="18128" fillId="8" borderId="1" xfId="0" applyNumberFormat="1" applyFont="1" applyFill="1" applyBorder="1" applyAlignment="1">
      <alignment horizontal="center" vertical="center"/>
    </xf>
    <xf numFmtId="165" fontId="18129" fillId="8" borderId="1" xfId="0" applyNumberFormat="1" applyFont="1" applyFill="1" applyBorder="1" applyAlignment="1">
      <alignment horizontal="center" vertical="center"/>
    </xf>
    <xf numFmtId="1" fontId="18130" fillId="8" borderId="1" xfId="0" applyNumberFormat="1" applyFont="1" applyFill="1" applyBorder="1" applyAlignment="1">
      <alignment horizontal="center" vertical="center"/>
    </xf>
    <xf numFmtId="165" fontId="18131" fillId="8" borderId="1" xfId="0" applyNumberFormat="1" applyFont="1" applyFill="1" applyBorder="1" applyAlignment="1">
      <alignment horizontal="center" vertical="center"/>
    </xf>
    <xf numFmtId="1" fontId="18132" fillId="8" borderId="1" xfId="0" applyNumberFormat="1" applyFont="1" applyFill="1" applyBorder="1" applyAlignment="1">
      <alignment horizontal="center" vertical="center"/>
    </xf>
    <xf numFmtId="1" fontId="18133" fillId="8" borderId="1" xfId="0" applyNumberFormat="1" applyFont="1" applyFill="1" applyBorder="1" applyAlignment="1">
      <alignment horizontal="center" vertical="center"/>
    </xf>
    <xf numFmtId="1" fontId="18134" fillId="8" borderId="1" xfId="0" applyNumberFormat="1" applyFont="1" applyFill="1" applyBorder="1" applyAlignment="1">
      <alignment horizontal="center" vertical="center"/>
    </xf>
    <xf numFmtId="1" fontId="18135" fillId="8" borderId="1" xfId="0" applyNumberFormat="1" applyFont="1" applyFill="1" applyBorder="1" applyAlignment="1">
      <alignment horizontal="center" vertical="center"/>
    </xf>
    <xf numFmtId="165" fontId="18136" fillId="8" borderId="1" xfId="0" applyNumberFormat="1" applyFont="1" applyFill="1" applyBorder="1" applyAlignment="1">
      <alignment horizontal="center" vertical="center"/>
    </xf>
    <xf numFmtId="1" fontId="18137" fillId="8" borderId="1" xfId="0" applyNumberFormat="1" applyFont="1" applyFill="1" applyBorder="1" applyAlignment="1">
      <alignment horizontal="center" vertical="center"/>
    </xf>
    <xf numFmtId="165" fontId="18138" fillId="8" borderId="1" xfId="0" applyNumberFormat="1" applyFont="1" applyFill="1" applyBorder="1" applyAlignment="1">
      <alignment horizontal="center" vertical="center"/>
    </xf>
    <xf numFmtId="1" fontId="18139" fillId="8" borderId="1" xfId="0" applyNumberFormat="1" applyFont="1" applyFill="1" applyBorder="1" applyAlignment="1">
      <alignment horizontal="center" vertical="center"/>
    </xf>
    <xf numFmtId="165" fontId="18140" fillId="8" borderId="1" xfId="0" applyNumberFormat="1" applyFont="1" applyFill="1" applyBorder="1" applyAlignment="1">
      <alignment horizontal="center" vertical="center"/>
    </xf>
    <xf numFmtId="2" fontId="18141" fillId="8" borderId="1" xfId="0" applyNumberFormat="1" applyFont="1" applyFill="1" applyBorder="1" applyAlignment="1">
      <alignment horizontal="center" vertical="center"/>
    </xf>
    <xf numFmtId="2" fontId="18142" fillId="8" borderId="1" xfId="0" applyNumberFormat="1" applyFont="1" applyFill="1" applyBorder="1" applyAlignment="1">
      <alignment horizontal="center" vertical="center"/>
    </xf>
    <xf numFmtId="2" fontId="18143" fillId="8" borderId="1" xfId="0" applyNumberFormat="1" applyFont="1" applyFill="1" applyBorder="1" applyAlignment="1">
      <alignment horizontal="center" vertical="center"/>
    </xf>
    <xf numFmtId="2" fontId="18144" fillId="8" borderId="1" xfId="0" applyNumberFormat="1" applyFont="1" applyFill="1" applyBorder="1" applyAlignment="1">
      <alignment horizontal="center" vertical="center"/>
    </xf>
    <xf numFmtId="2" fontId="18145" fillId="8" borderId="1" xfId="0" applyNumberFormat="1" applyFont="1" applyFill="1" applyBorder="1" applyAlignment="1">
      <alignment horizontal="center" vertical="center"/>
    </xf>
    <xf numFmtId="2" fontId="18146" fillId="8" borderId="1" xfId="0" applyNumberFormat="1" applyFont="1" applyFill="1" applyBorder="1" applyAlignment="1">
      <alignment horizontal="center" vertical="center"/>
    </xf>
    <xf numFmtId="2" fontId="18147" fillId="8" borderId="1" xfId="0" applyNumberFormat="1" applyFont="1" applyFill="1" applyBorder="1" applyAlignment="1">
      <alignment horizontal="center" vertical="center"/>
    </xf>
    <xf numFmtId="2" fontId="18148" fillId="8" borderId="1" xfId="0" applyNumberFormat="1" applyFont="1" applyFill="1" applyBorder="1" applyAlignment="1">
      <alignment horizontal="center" vertical="center"/>
    </xf>
    <xf numFmtId="2" fontId="18149" fillId="8" borderId="1" xfId="0" applyNumberFormat="1" applyFont="1" applyFill="1" applyBorder="1" applyAlignment="1">
      <alignment horizontal="center" vertical="center"/>
    </xf>
    <xf numFmtId="2" fontId="18150" fillId="8" borderId="1" xfId="0" applyNumberFormat="1" applyFont="1" applyFill="1" applyBorder="1" applyAlignment="1">
      <alignment horizontal="center" vertical="center"/>
    </xf>
    <xf numFmtId="2" fontId="18151" fillId="8" borderId="1" xfId="0" applyNumberFormat="1" applyFont="1" applyFill="1" applyBorder="1" applyAlignment="1">
      <alignment horizontal="center" vertical="center"/>
    </xf>
    <xf numFmtId="2" fontId="18152" fillId="8" borderId="1" xfId="0" applyNumberFormat="1" applyFont="1" applyFill="1" applyBorder="1" applyAlignment="1">
      <alignment horizontal="center" vertical="center"/>
    </xf>
    <xf numFmtId="2" fontId="18153" fillId="8" borderId="1" xfId="0" applyNumberFormat="1" applyFont="1" applyFill="1" applyBorder="1" applyAlignment="1">
      <alignment horizontal="center" vertical="center"/>
    </xf>
    <xf numFmtId="2" fontId="18154" fillId="8" borderId="1" xfId="0" applyNumberFormat="1" applyFont="1" applyFill="1" applyBorder="1" applyAlignment="1">
      <alignment horizontal="center" vertical="center"/>
    </xf>
    <xf numFmtId="2" fontId="18155" fillId="8" borderId="1" xfId="0" applyNumberFormat="1" applyFont="1" applyFill="1" applyBorder="1" applyAlignment="1">
      <alignment horizontal="center" vertical="center"/>
    </xf>
    <xf numFmtId="2" fontId="18156" fillId="8" borderId="1" xfId="0" applyNumberFormat="1" applyFont="1" applyFill="1" applyBorder="1" applyAlignment="1">
      <alignment horizontal="center" vertical="center"/>
    </xf>
    <xf numFmtId="2" fontId="18157" fillId="8" borderId="1" xfId="0" applyNumberFormat="1" applyFont="1" applyFill="1" applyBorder="1" applyAlignment="1">
      <alignment horizontal="center" vertical="center"/>
    </xf>
    <xf numFmtId="2" fontId="18158" fillId="8" borderId="1" xfId="0" applyNumberFormat="1" applyFont="1" applyFill="1" applyBorder="1" applyAlignment="1">
      <alignment horizontal="center" vertical="center"/>
    </xf>
    <xf numFmtId="2" fontId="18159" fillId="8" borderId="1" xfId="0" applyNumberFormat="1" applyFont="1" applyFill="1" applyBorder="1" applyAlignment="1">
      <alignment horizontal="center" vertical="center"/>
    </xf>
    <xf numFmtId="2" fontId="18160" fillId="8" borderId="1" xfId="0" applyNumberFormat="1" applyFont="1" applyFill="1" applyBorder="1" applyAlignment="1">
      <alignment horizontal="center" vertical="center"/>
    </xf>
    <xf numFmtId="2" fontId="18161" fillId="8" borderId="1" xfId="0" applyNumberFormat="1" applyFont="1" applyFill="1" applyBorder="1" applyAlignment="1">
      <alignment horizontal="center" vertical="center"/>
    </xf>
    <xf numFmtId="2" fontId="18162" fillId="8" borderId="1" xfId="0" applyNumberFormat="1" applyFont="1" applyFill="1" applyBorder="1" applyAlignment="1">
      <alignment horizontal="center" vertical="center"/>
    </xf>
    <xf numFmtId="2" fontId="18163" fillId="8" borderId="1" xfId="0" applyNumberFormat="1" applyFont="1" applyFill="1" applyBorder="1" applyAlignment="1">
      <alignment horizontal="center" vertical="center"/>
    </xf>
    <xf numFmtId="2" fontId="18164" fillId="8" borderId="1" xfId="0" applyNumberFormat="1" applyFont="1" applyFill="1" applyBorder="1" applyAlignment="1">
      <alignment horizontal="center" vertical="center"/>
    </xf>
    <xf numFmtId="2" fontId="18165" fillId="8" borderId="1" xfId="0" applyNumberFormat="1" applyFont="1" applyFill="1" applyBorder="1" applyAlignment="1">
      <alignment horizontal="center" vertical="center"/>
    </xf>
    <xf numFmtId="2" fontId="18166" fillId="8" borderId="1" xfId="0" applyNumberFormat="1" applyFont="1" applyFill="1" applyBorder="1" applyAlignment="1">
      <alignment horizontal="center" vertical="center"/>
    </xf>
    <xf numFmtId="2" fontId="18167" fillId="8" borderId="1" xfId="0" applyNumberFormat="1" applyFont="1" applyFill="1" applyBorder="1" applyAlignment="1">
      <alignment horizontal="center" vertical="center"/>
    </xf>
    <xf numFmtId="2" fontId="18168" fillId="8" borderId="1" xfId="0" applyNumberFormat="1" applyFont="1" applyFill="1" applyBorder="1" applyAlignment="1">
      <alignment horizontal="center" vertical="center"/>
    </xf>
    <xf numFmtId="2" fontId="18169" fillId="8" borderId="1" xfId="0" applyNumberFormat="1" applyFont="1" applyFill="1" applyBorder="1" applyAlignment="1">
      <alignment horizontal="center" vertical="center"/>
    </xf>
    <xf numFmtId="2" fontId="18170" fillId="8" borderId="1" xfId="0" applyNumberFormat="1" applyFont="1" applyFill="1" applyBorder="1" applyAlignment="1">
      <alignment horizontal="center" vertical="center"/>
    </xf>
    <xf numFmtId="2" fontId="18171" fillId="8" borderId="1" xfId="0" applyNumberFormat="1" applyFont="1" applyFill="1" applyBorder="1" applyAlignment="1">
      <alignment horizontal="center" vertical="center"/>
    </xf>
    <xf numFmtId="2" fontId="18172" fillId="8" borderId="1" xfId="0" applyNumberFormat="1" applyFont="1" applyFill="1" applyBorder="1" applyAlignment="1">
      <alignment horizontal="center" vertical="center"/>
    </xf>
    <xf numFmtId="2" fontId="18173" fillId="8" borderId="1" xfId="0" applyNumberFormat="1" applyFont="1" applyFill="1" applyBorder="1" applyAlignment="1">
      <alignment horizontal="center" vertical="center"/>
    </xf>
    <xf numFmtId="2" fontId="18174" fillId="8" borderId="1" xfId="0" applyNumberFormat="1" applyFont="1" applyFill="1" applyBorder="1" applyAlignment="1">
      <alignment horizontal="center" vertical="center"/>
    </xf>
    <xf numFmtId="0" fontId="18175" fillId="2" borderId="1" xfId="0" applyFont="1" applyFill="1" applyBorder="1" applyAlignment="1">
      <alignment horizontal="center" vertical="center"/>
    </xf>
    <xf numFmtId="0" fontId="18176" fillId="2" borderId="1" xfId="0" applyFont="1" applyFill="1" applyBorder="1" applyAlignment="1">
      <alignment horizontal="center" vertical="center"/>
    </xf>
    <xf numFmtId="0" fontId="18177" fillId="2" borderId="1" xfId="0" applyFont="1" applyFill="1" applyBorder="1" applyAlignment="1">
      <alignment horizontal="center" vertical="center"/>
    </xf>
    <xf numFmtId="0" fontId="18178" fillId="2" borderId="1" xfId="0" applyFont="1" applyFill="1" applyBorder="1" applyAlignment="1">
      <alignment horizontal="center" vertical="center"/>
    </xf>
    <xf numFmtId="0" fontId="18179" fillId="2" borderId="1" xfId="0" applyFont="1" applyFill="1" applyBorder="1" applyAlignment="1">
      <alignment horizontal="center" vertical="center"/>
    </xf>
    <xf numFmtId="0" fontId="18180" fillId="2" borderId="1" xfId="0" applyFont="1" applyFill="1" applyBorder="1" applyAlignment="1">
      <alignment horizontal="center" vertical="center"/>
    </xf>
    <xf numFmtId="0" fontId="18181" fillId="2" borderId="1" xfId="0" applyFont="1" applyFill="1" applyBorder="1" applyAlignment="1">
      <alignment horizontal="center" vertical="center"/>
    </xf>
    <xf numFmtId="0" fontId="18182" fillId="2" borderId="1" xfId="0" applyFont="1" applyFill="1" applyBorder="1" applyAlignment="1">
      <alignment horizontal="center" vertical="center"/>
    </xf>
    <xf numFmtId="0" fontId="18183" fillId="2" borderId="1" xfId="0" applyFont="1" applyFill="1" applyBorder="1" applyAlignment="1">
      <alignment horizontal="center" vertical="center"/>
    </xf>
    <xf numFmtId="0" fontId="18184" fillId="2" borderId="1" xfId="0" applyFont="1" applyFill="1" applyBorder="1" applyAlignment="1">
      <alignment horizontal="center" vertical="center"/>
    </xf>
    <xf numFmtId="0" fontId="18185" fillId="2" borderId="1" xfId="0" applyFont="1" applyFill="1" applyBorder="1" applyAlignment="1">
      <alignment horizontal="center" vertical="center"/>
    </xf>
    <xf numFmtId="0" fontId="18186" fillId="2" borderId="1" xfId="0" applyFont="1" applyFill="1" applyBorder="1" applyAlignment="1">
      <alignment horizontal="center" vertical="center"/>
    </xf>
    <xf numFmtId="0" fontId="18187" fillId="2" borderId="1" xfId="0" applyFont="1" applyFill="1" applyBorder="1" applyAlignment="1">
      <alignment horizontal="center" vertical="center"/>
    </xf>
    <xf numFmtId="0" fontId="18188" fillId="2" borderId="1" xfId="0" applyFont="1" applyFill="1" applyBorder="1" applyAlignment="1">
      <alignment horizontal="center" vertical="center"/>
    </xf>
    <xf numFmtId="0" fontId="18189" fillId="2" borderId="1" xfId="0" applyFont="1" applyFill="1" applyBorder="1" applyAlignment="1">
      <alignment horizontal="center" vertical="center"/>
    </xf>
    <xf numFmtId="0" fontId="18190" fillId="2" borderId="1" xfId="0" applyFont="1" applyFill="1" applyBorder="1" applyAlignment="1">
      <alignment horizontal="center" vertical="center"/>
    </xf>
    <xf numFmtId="0" fontId="18191" fillId="2" borderId="1" xfId="0" applyFont="1" applyFill="1" applyBorder="1" applyAlignment="1">
      <alignment horizontal="center" vertical="center"/>
    </xf>
    <xf numFmtId="0" fontId="18192" fillId="2" borderId="1" xfId="0" applyFont="1" applyFill="1" applyBorder="1" applyAlignment="1">
      <alignment horizontal="center" vertical="center"/>
    </xf>
    <xf numFmtId="0" fontId="18193" fillId="2" borderId="1" xfId="0" applyFont="1" applyFill="1" applyBorder="1" applyAlignment="1">
      <alignment horizontal="center" vertical="center"/>
    </xf>
    <xf numFmtId="0" fontId="18194" fillId="2" borderId="1" xfId="0" applyFont="1" applyFill="1" applyBorder="1" applyAlignment="1">
      <alignment horizontal="center" vertical="center"/>
    </xf>
    <xf numFmtId="0" fontId="18195" fillId="2" borderId="1" xfId="0" applyFont="1" applyFill="1" applyBorder="1" applyAlignment="1">
      <alignment horizontal="center" vertical="center"/>
    </xf>
    <xf numFmtId="0" fontId="18196" fillId="2" borderId="1" xfId="0" applyFont="1" applyFill="1" applyBorder="1" applyAlignment="1">
      <alignment horizontal="center" vertical="center"/>
    </xf>
    <xf numFmtId="0" fontId="18197" fillId="2" borderId="1" xfId="0" applyFont="1" applyFill="1" applyBorder="1" applyAlignment="1">
      <alignment horizontal="center" vertical="center"/>
    </xf>
    <xf numFmtId="0" fontId="18198" fillId="2" borderId="1" xfId="0" applyFont="1" applyFill="1" applyBorder="1" applyAlignment="1">
      <alignment horizontal="center" vertical="center"/>
    </xf>
    <xf numFmtId="0" fontId="18199" fillId="2" borderId="1" xfId="0" applyFont="1" applyFill="1" applyBorder="1" applyAlignment="1">
      <alignment horizontal="center" vertical="center"/>
    </xf>
    <xf numFmtId="0" fontId="18200" fillId="2" borderId="1" xfId="0" applyFont="1" applyFill="1" applyBorder="1" applyAlignment="1">
      <alignment horizontal="center" vertical="center"/>
    </xf>
    <xf numFmtId="0" fontId="18201" fillId="2" borderId="1" xfId="0" applyFont="1" applyFill="1" applyBorder="1" applyAlignment="1">
      <alignment horizontal="center" vertical="center"/>
    </xf>
    <xf numFmtId="0" fontId="18202" fillId="2" borderId="1" xfId="0" applyFont="1" applyFill="1" applyBorder="1" applyAlignment="1">
      <alignment horizontal="center" vertical="center"/>
    </xf>
    <xf numFmtId="0" fontId="18203" fillId="2" borderId="1" xfId="0" applyFont="1" applyFill="1" applyBorder="1" applyAlignment="1">
      <alignment horizontal="center" vertical="center"/>
    </xf>
    <xf numFmtId="0" fontId="18204" fillId="2" borderId="1" xfId="0" applyFont="1" applyFill="1" applyBorder="1" applyAlignment="1">
      <alignment horizontal="center" vertical="center"/>
    </xf>
    <xf numFmtId="0" fontId="18205" fillId="2" borderId="1" xfId="0" applyFont="1" applyFill="1" applyBorder="1" applyAlignment="1">
      <alignment horizontal="center" vertical="center"/>
    </xf>
    <xf numFmtId="0" fontId="18206" fillId="2" borderId="1" xfId="0" applyFont="1" applyFill="1" applyBorder="1" applyAlignment="1">
      <alignment horizontal="center" vertical="center"/>
    </xf>
    <xf numFmtId="0" fontId="18207" fillId="2" borderId="1" xfId="0" applyFont="1" applyFill="1" applyBorder="1" applyAlignment="1">
      <alignment horizontal="center" vertical="center"/>
    </xf>
    <xf numFmtId="0" fontId="18208" fillId="2" borderId="1" xfId="0" applyFont="1" applyFill="1" applyBorder="1" applyAlignment="1">
      <alignment horizontal="center" vertical="center"/>
    </xf>
    <xf numFmtId="0" fontId="18209" fillId="2" borderId="1" xfId="0" applyFont="1" applyFill="1" applyBorder="1" applyAlignment="1">
      <alignment horizontal="center" vertical="center"/>
    </xf>
    <xf numFmtId="0" fontId="18210" fillId="2" borderId="1" xfId="0" applyFont="1" applyFill="1" applyBorder="1" applyAlignment="1">
      <alignment horizontal="center" vertical="center"/>
    </xf>
    <xf numFmtId="0" fontId="18211" fillId="2" borderId="1" xfId="0" applyFont="1" applyFill="1" applyBorder="1" applyAlignment="1">
      <alignment horizontal="center" vertical="center"/>
    </xf>
    <xf numFmtId="0" fontId="18212" fillId="2" borderId="1" xfId="0" applyFont="1" applyFill="1" applyBorder="1" applyAlignment="1">
      <alignment horizontal="center" vertical="center"/>
    </xf>
    <xf numFmtId="0" fontId="18213" fillId="2" borderId="1" xfId="0" applyFont="1" applyFill="1" applyBorder="1" applyAlignment="1">
      <alignment horizontal="center" vertical="center"/>
    </xf>
    <xf numFmtId="0" fontId="18214" fillId="2" borderId="1" xfId="0" applyFont="1" applyFill="1" applyBorder="1" applyAlignment="1">
      <alignment horizontal="center" vertical="center"/>
    </xf>
    <xf numFmtId="0" fontId="18215" fillId="2" borderId="1" xfId="0" applyFont="1" applyFill="1" applyBorder="1" applyAlignment="1">
      <alignment horizontal="center" vertical="center"/>
    </xf>
    <xf numFmtId="0" fontId="18216" fillId="2" borderId="1" xfId="0" applyFont="1" applyFill="1" applyBorder="1" applyAlignment="1">
      <alignment horizontal="center" vertical="center"/>
    </xf>
    <xf numFmtId="0" fontId="18217" fillId="2" borderId="1" xfId="0" applyFont="1" applyFill="1" applyBorder="1" applyAlignment="1">
      <alignment horizontal="center" vertical="center"/>
    </xf>
    <xf numFmtId="0" fontId="18218" fillId="2" borderId="1" xfId="0" applyFont="1" applyFill="1" applyBorder="1" applyAlignment="1">
      <alignment horizontal="center" vertical="center"/>
    </xf>
    <xf numFmtId="0" fontId="18219" fillId="2" borderId="1" xfId="0" applyFont="1" applyFill="1" applyBorder="1" applyAlignment="1">
      <alignment horizontal="center" vertical="center"/>
    </xf>
    <xf numFmtId="0" fontId="18220" fillId="2" borderId="1" xfId="0" applyFont="1" applyFill="1" applyBorder="1" applyAlignment="1">
      <alignment horizontal="center" vertical="center"/>
    </xf>
    <xf numFmtId="0" fontId="18221" fillId="3" borderId="1" xfId="0" applyFont="1" applyFill="1" applyBorder="1" applyAlignment="1">
      <alignment horizontal="center" vertical="center"/>
    </xf>
    <xf numFmtId="0" fontId="18222" fillId="3" borderId="1" xfId="0" applyFont="1" applyFill="1" applyBorder="1" applyAlignment="1">
      <alignment horizontal="center" vertical="center"/>
    </xf>
    <xf numFmtId="0" fontId="18223" fillId="3" borderId="1" xfId="0" applyFont="1" applyFill="1" applyBorder="1" applyAlignment="1">
      <alignment horizontal="center" vertical="center"/>
    </xf>
    <xf numFmtId="0" fontId="18224" fillId="3" borderId="1" xfId="0" applyFont="1" applyFill="1" applyBorder="1" applyAlignment="1">
      <alignment horizontal="center" vertical="center"/>
    </xf>
    <xf numFmtId="0" fontId="18225" fillId="3" borderId="1" xfId="0" applyFont="1" applyFill="1" applyBorder="1" applyAlignment="1">
      <alignment horizontal="center" vertical="center"/>
    </xf>
    <xf numFmtId="0" fontId="18226" fillId="3" borderId="1" xfId="0" applyFont="1" applyFill="1" applyBorder="1" applyAlignment="1">
      <alignment horizontal="center" vertical="center"/>
    </xf>
    <xf numFmtId="0" fontId="18227" fillId="3" borderId="1" xfId="0" applyFont="1" applyFill="1" applyBorder="1" applyAlignment="1">
      <alignment horizontal="center" vertical="center"/>
    </xf>
    <xf numFmtId="0" fontId="18228" fillId="3" borderId="1" xfId="0" applyFont="1" applyFill="1" applyBorder="1" applyAlignment="1">
      <alignment horizontal="center" vertical="center"/>
    </xf>
    <xf numFmtId="0" fontId="18229" fillId="3" borderId="1" xfId="0" applyFont="1" applyFill="1" applyBorder="1" applyAlignment="1">
      <alignment horizontal="center" vertical="center"/>
    </xf>
    <xf numFmtId="0" fontId="18230" fillId="3" borderId="1" xfId="0" applyFont="1" applyFill="1" applyBorder="1" applyAlignment="1">
      <alignment horizontal="center" vertical="center"/>
    </xf>
    <xf numFmtId="0" fontId="18231" fillId="3" borderId="1" xfId="0" applyFont="1" applyFill="1" applyBorder="1" applyAlignment="1">
      <alignment horizontal="center" vertical="center"/>
    </xf>
    <xf numFmtId="0" fontId="18232" fillId="3" borderId="1" xfId="0" applyFont="1" applyFill="1" applyBorder="1" applyAlignment="1">
      <alignment horizontal="center" vertical="center"/>
    </xf>
    <xf numFmtId="0" fontId="18233" fillId="3" borderId="1" xfId="0" applyFont="1" applyFill="1" applyBorder="1" applyAlignment="1">
      <alignment horizontal="center" vertical="center"/>
    </xf>
    <xf numFmtId="0" fontId="18234" fillId="3" borderId="1" xfId="0" applyFont="1" applyFill="1" applyBorder="1" applyAlignment="1">
      <alignment horizontal="center" vertical="center"/>
    </xf>
    <xf numFmtId="0" fontId="18235" fillId="3" borderId="1" xfId="0" applyFont="1" applyFill="1" applyBorder="1" applyAlignment="1">
      <alignment horizontal="center" vertical="center"/>
    </xf>
    <xf numFmtId="0" fontId="18236" fillId="3" borderId="1" xfId="0" applyFont="1" applyFill="1" applyBorder="1" applyAlignment="1">
      <alignment horizontal="center" vertical="center"/>
    </xf>
    <xf numFmtId="0" fontId="18237" fillId="3" borderId="1" xfId="0" applyFont="1" applyFill="1" applyBorder="1" applyAlignment="1">
      <alignment horizontal="center" vertical="center"/>
    </xf>
    <xf numFmtId="0" fontId="18238" fillId="3" borderId="1" xfId="0" applyFont="1" applyFill="1" applyBorder="1" applyAlignment="1">
      <alignment horizontal="center" vertical="center"/>
    </xf>
    <xf numFmtId="0" fontId="18239" fillId="3" borderId="1" xfId="0" applyFont="1" applyFill="1" applyBorder="1" applyAlignment="1">
      <alignment horizontal="center" vertical="center"/>
    </xf>
    <xf numFmtId="0" fontId="18240" fillId="3" borderId="1" xfId="0" applyFont="1" applyFill="1" applyBorder="1" applyAlignment="1">
      <alignment horizontal="center" vertical="center"/>
    </xf>
    <xf numFmtId="0" fontId="18241" fillId="3" borderId="1" xfId="0" applyFont="1" applyFill="1" applyBorder="1" applyAlignment="1">
      <alignment horizontal="center" vertical="center"/>
    </xf>
    <xf numFmtId="0" fontId="18242" fillId="3" borderId="1" xfId="0" applyFont="1" applyFill="1" applyBorder="1" applyAlignment="1">
      <alignment horizontal="center" vertical="center"/>
    </xf>
    <xf numFmtId="0" fontId="18243" fillId="4" borderId="1" xfId="0" applyFont="1" applyFill="1" applyBorder="1" applyAlignment="1">
      <alignment horizontal="center" vertical="center"/>
    </xf>
    <xf numFmtId="0" fontId="18244" fillId="4" borderId="1" xfId="0" applyFont="1" applyFill="1" applyBorder="1" applyAlignment="1">
      <alignment horizontal="center" vertical="center"/>
    </xf>
    <xf numFmtId="0" fontId="18245" fillId="4" borderId="1" xfId="0" applyFont="1" applyFill="1" applyBorder="1" applyAlignment="1">
      <alignment horizontal="center" vertical="center"/>
    </xf>
    <xf numFmtId="0" fontId="18246" fillId="4" borderId="1" xfId="0" applyFont="1" applyFill="1" applyBorder="1" applyAlignment="1">
      <alignment horizontal="center" vertical="center"/>
    </xf>
    <xf numFmtId="0" fontId="18247" fillId="5" borderId="1" xfId="0" applyFont="1" applyFill="1" applyBorder="1" applyAlignment="1">
      <alignment horizontal="center" vertical="center"/>
    </xf>
    <xf numFmtId="0" fontId="18248" fillId="5" borderId="1" xfId="0" applyFont="1" applyFill="1" applyBorder="1" applyAlignment="1">
      <alignment horizontal="center" vertical="center"/>
    </xf>
    <xf numFmtId="0" fontId="18249" fillId="5" borderId="1" xfId="0" applyFont="1" applyFill="1" applyBorder="1" applyAlignment="1">
      <alignment horizontal="center" vertical="center"/>
    </xf>
    <xf numFmtId="0" fontId="18250" fillId="6" borderId="1" xfId="0" applyFont="1" applyFill="1" applyBorder="1" applyAlignment="1">
      <alignment horizontal="center" vertical="center"/>
    </xf>
    <xf numFmtId="0" fontId="18251" fillId="6" borderId="1" xfId="0" applyFont="1" applyFill="1" applyBorder="1" applyAlignment="1">
      <alignment horizontal="center" vertical="center"/>
    </xf>
    <xf numFmtId="0" fontId="18252" fillId="6" borderId="1" xfId="0" applyFont="1" applyFill="1" applyBorder="1" applyAlignment="1">
      <alignment horizontal="center" vertical="center"/>
    </xf>
    <xf numFmtId="0" fontId="18253" fillId="7" borderId="1" xfId="0" applyNumberFormat="1" applyFont="1" applyFill="1" applyBorder="1" applyAlignment="1">
      <alignment horizontal="left" vertical="center"/>
    </xf>
    <xf numFmtId="0" fontId="18254" fillId="8" borderId="1" xfId="0" applyNumberFormat="1" applyFont="1" applyFill="1" applyBorder="1" applyAlignment="1">
      <alignment horizontal="center" vertical="center"/>
    </xf>
    <xf numFmtId="164" fontId="18255" fillId="8" borderId="1" xfId="0" applyNumberFormat="1" applyFont="1" applyFill="1" applyBorder="1" applyAlignment="1">
      <alignment horizontal="center" vertical="center"/>
    </xf>
    <xf numFmtId="1" fontId="18256" fillId="8" borderId="1" xfId="0" applyNumberFormat="1" applyFont="1" applyFill="1" applyBorder="1" applyAlignment="1">
      <alignment horizontal="center" vertical="center"/>
    </xf>
    <xf numFmtId="1" fontId="18257" fillId="8" borderId="1" xfId="0" applyNumberFormat="1" applyFont="1" applyFill="1" applyBorder="1" applyAlignment="1">
      <alignment horizontal="center" vertical="center"/>
    </xf>
    <xf numFmtId="1" fontId="18258" fillId="8" borderId="1" xfId="0" applyNumberFormat="1" applyFont="1" applyFill="1" applyBorder="1" applyAlignment="1">
      <alignment horizontal="center" vertical="center"/>
    </xf>
    <xf numFmtId="1" fontId="18259" fillId="8" borderId="1" xfId="0" applyNumberFormat="1" applyFont="1" applyFill="1" applyBorder="1" applyAlignment="1">
      <alignment horizontal="center" vertical="center"/>
    </xf>
    <xf numFmtId="1" fontId="18260" fillId="8" borderId="1" xfId="0" applyNumberFormat="1" applyFont="1" applyFill="1" applyBorder="1" applyAlignment="1">
      <alignment horizontal="center" vertical="center"/>
    </xf>
    <xf numFmtId="1" fontId="18261" fillId="8" borderId="1" xfId="0" applyNumberFormat="1" applyFont="1" applyFill="1" applyBorder="1" applyAlignment="1">
      <alignment horizontal="center" vertical="center"/>
    </xf>
    <xf numFmtId="1" fontId="18262" fillId="8" borderId="1" xfId="0" applyNumberFormat="1" applyFont="1" applyFill="1" applyBorder="1" applyAlignment="1">
      <alignment horizontal="center" vertical="center"/>
    </xf>
    <xf numFmtId="0" fontId="18263" fillId="8" borderId="1" xfId="0" applyNumberFormat="1" applyFont="1" applyFill="1" applyBorder="1" applyAlignment="1">
      <alignment horizontal="center" vertical="center"/>
    </xf>
    <xf numFmtId="0" fontId="18264" fillId="8" borderId="1" xfId="0" applyNumberFormat="1" applyFont="1" applyFill="1" applyBorder="1" applyAlignment="1">
      <alignment horizontal="center" vertical="center"/>
    </xf>
    <xf numFmtId="1" fontId="18265" fillId="8" borderId="1" xfId="0" applyNumberFormat="1" applyFont="1" applyFill="1" applyBorder="1" applyAlignment="1">
      <alignment horizontal="center" vertical="center"/>
    </xf>
    <xf numFmtId="1" fontId="18266" fillId="8" borderId="1" xfId="0" applyNumberFormat="1" applyFont="1" applyFill="1" applyBorder="1" applyAlignment="1">
      <alignment horizontal="center" vertical="center"/>
    </xf>
    <xf numFmtId="1" fontId="18267" fillId="8" borderId="1" xfId="0" applyNumberFormat="1" applyFont="1" applyFill="1" applyBorder="1" applyAlignment="1">
      <alignment horizontal="center" vertical="center"/>
    </xf>
    <xf numFmtId="165" fontId="18268" fillId="8" borderId="1" xfId="0" applyNumberFormat="1" applyFont="1" applyFill="1" applyBorder="1" applyAlignment="1">
      <alignment horizontal="center" vertical="center"/>
    </xf>
    <xf numFmtId="1" fontId="18269" fillId="8" borderId="1" xfId="0" applyNumberFormat="1" applyFont="1" applyFill="1" applyBorder="1" applyAlignment="1">
      <alignment horizontal="center" vertical="center"/>
    </xf>
    <xf numFmtId="165" fontId="18270" fillId="8" borderId="1" xfId="0" applyNumberFormat="1" applyFont="1" applyFill="1" applyBorder="1" applyAlignment="1">
      <alignment horizontal="center" vertical="center"/>
    </xf>
    <xf numFmtId="1" fontId="18271" fillId="8" borderId="1" xfId="0" applyNumberFormat="1" applyFont="1" applyFill="1" applyBorder="1" applyAlignment="1">
      <alignment horizontal="center" vertical="center"/>
    </xf>
    <xf numFmtId="165" fontId="18272" fillId="8" borderId="1" xfId="0" applyNumberFormat="1" applyFont="1" applyFill="1" applyBorder="1" applyAlignment="1">
      <alignment horizontal="center" vertical="center"/>
    </xf>
    <xf numFmtId="1" fontId="18273" fillId="8" borderId="1" xfId="0" applyNumberFormat="1" applyFont="1" applyFill="1" applyBorder="1" applyAlignment="1">
      <alignment horizontal="center" vertical="center"/>
    </xf>
    <xf numFmtId="165" fontId="18274" fillId="8" borderId="1" xfId="0" applyNumberFormat="1" applyFont="1" applyFill="1" applyBorder="1" applyAlignment="1">
      <alignment horizontal="center" vertical="center"/>
    </xf>
    <xf numFmtId="165" fontId="18275" fillId="8" borderId="1" xfId="0" applyNumberFormat="1" applyFont="1" applyFill="1" applyBorder="1" applyAlignment="1">
      <alignment horizontal="center" vertical="center"/>
    </xf>
    <xf numFmtId="1" fontId="18276" fillId="8" borderId="1" xfId="0" applyNumberFormat="1" applyFont="1" applyFill="1" applyBorder="1" applyAlignment="1">
      <alignment horizontal="center" vertical="center"/>
    </xf>
    <xf numFmtId="1" fontId="18277" fillId="8" borderId="1" xfId="0" applyNumberFormat="1" applyFont="1" applyFill="1" applyBorder="1" applyAlignment="1">
      <alignment horizontal="center" vertical="center"/>
    </xf>
    <xf numFmtId="1" fontId="18278" fillId="8" borderId="1" xfId="0" applyNumberFormat="1" applyFont="1" applyFill="1" applyBorder="1" applyAlignment="1">
      <alignment horizontal="center" vertical="center"/>
    </xf>
    <xf numFmtId="165" fontId="18279" fillId="8" borderId="1" xfId="0" applyNumberFormat="1" applyFont="1" applyFill="1" applyBorder="1" applyAlignment="1">
      <alignment horizontal="center" vertical="center"/>
    </xf>
    <xf numFmtId="164" fontId="18280" fillId="8" borderId="1" xfId="0" applyNumberFormat="1" applyFont="1" applyFill="1" applyBorder="1" applyAlignment="1">
      <alignment horizontal="center" vertical="center"/>
    </xf>
    <xf numFmtId="164" fontId="18281" fillId="8" borderId="1" xfId="0" applyNumberFormat="1" applyFont="1" applyFill="1" applyBorder="1" applyAlignment="1">
      <alignment horizontal="center" vertical="center"/>
    </xf>
    <xf numFmtId="1" fontId="18282" fillId="8" borderId="1" xfId="0" applyNumberFormat="1" applyFont="1" applyFill="1" applyBorder="1" applyAlignment="1">
      <alignment horizontal="center" vertical="center"/>
    </xf>
    <xf numFmtId="1" fontId="18283" fillId="8" borderId="1" xfId="0" applyNumberFormat="1" applyFont="1" applyFill="1" applyBorder="1" applyAlignment="1">
      <alignment horizontal="center" vertical="center"/>
    </xf>
    <xf numFmtId="1" fontId="18284" fillId="8" borderId="1" xfId="0" applyNumberFormat="1" applyFont="1" applyFill="1" applyBorder="1" applyAlignment="1">
      <alignment horizontal="center" vertical="center"/>
    </xf>
    <xf numFmtId="165" fontId="18285" fillId="8" borderId="1" xfId="0" applyNumberFormat="1" applyFont="1" applyFill="1" applyBorder="1" applyAlignment="1">
      <alignment horizontal="center" vertical="center"/>
    </xf>
    <xf numFmtId="1" fontId="18286" fillId="8" borderId="1" xfId="0" applyNumberFormat="1" applyFont="1" applyFill="1" applyBorder="1" applyAlignment="1">
      <alignment horizontal="center" vertical="center"/>
    </xf>
    <xf numFmtId="165" fontId="18287" fillId="8" borderId="1" xfId="0" applyNumberFormat="1" applyFont="1" applyFill="1" applyBorder="1" applyAlignment="1">
      <alignment horizontal="center" vertical="center"/>
    </xf>
    <xf numFmtId="1" fontId="18288" fillId="8" borderId="1" xfId="0" applyNumberFormat="1" applyFont="1" applyFill="1" applyBorder="1" applyAlignment="1">
      <alignment horizontal="center" vertical="center"/>
    </xf>
    <xf numFmtId="1" fontId="18289" fillId="8" borderId="1" xfId="0" applyNumberFormat="1" applyFont="1" applyFill="1" applyBorder="1" applyAlignment="1">
      <alignment horizontal="center" vertical="center"/>
    </xf>
    <xf numFmtId="1" fontId="18290" fillId="8" borderId="1" xfId="0" applyNumberFormat="1" applyFont="1" applyFill="1" applyBorder="1" applyAlignment="1">
      <alignment horizontal="center" vertical="center"/>
    </xf>
    <xf numFmtId="1" fontId="18291" fillId="8" borderId="1" xfId="0" applyNumberFormat="1" applyFont="1" applyFill="1" applyBorder="1" applyAlignment="1">
      <alignment horizontal="center" vertical="center"/>
    </xf>
    <xf numFmtId="165" fontId="18292" fillId="8" borderId="1" xfId="0" applyNumberFormat="1" applyFont="1" applyFill="1" applyBorder="1" applyAlignment="1">
      <alignment horizontal="center" vertical="center"/>
    </xf>
    <xf numFmtId="1" fontId="18293" fillId="8" borderId="1" xfId="0" applyNumberFormat="1" applyFont="1" applyFill="1" applyBorder="1" applyAlignment="1">
      <alignment horizontal="center" vertical="center"/>
    </xf>
    <xf numFmtId="165" fontId="18294" fillId="8" borderId="1" xfId="0" applyNumberFormat="1" applyFont="1" applyFill="1" applyBorder="1" applyAlignment="1">
      <alignment horizontal="center" vertical="center"/>
    </xf>
    <xf numFmtId="1" fontId="18295" fillId="8" borderId="1" xfId="0" applyNumberFormat="1" applyFont="1" applyFill="1" applyBorder="1" applyAlignment="1">
      <alignment horizontal="center" vertical="center"/>
    </xf>
    <xf numFmtId="165" fontId="18296" fillId="8" borderId="1" xfId="0" applyNumberFormat="1" applyFont="1" applyFill="1" applyBorder="1" applyAlignment="1">
      <alignment horizontal="center" vertical="center"/>
    </xf>
    <xf numFmtId="2" fontId="18297" fillId="8" borderId="1" xfId="0" applyNumberFormat="1" applyFont="1" applyFill="1" applyBorder="1" applyAlignment="1">
      <alignment horizontal="center" vertical="center"/>
    </xf>
    <xf numFmtId="2" fontId="18298" fillId="8" borderId="1" xfId="0" applyNumberFormat="1" applyFont="1" applyFill="1" applyBorder="1" applyAlignment="1">
      <alignment horizontal="center" vertical="center"/>
    </xf>
    <xf numFmtId="2" fontId="18299" fillId="8" borderId="1" xfId="0" applyNumberFormat="1" applyFont="1" applyFill="1" applyBorder="1" applyAlignment="1">
      <alignment horizontal="center" vertical="center"/>
    </xf>
    <xf numFmtId="2" fontId="18300" fillId="8" borderId="1" xfId="0" applyNumberFormat="1" applyFont="1" applyFill="1" applyBorder="1" applyAlignment="1">
      <alignment horizontal="center" vertical="center"/>
    </xf>
    <xf numFmtId="2" fontId="18301" fillId="8" borderId="1" xfId="0" applyNumberFormat="1" applyFont="1" applyFill="1" applyBorder="1" applyAlignment="1">
      <alignment horizontal="center" vertical="center"/>
    </xf>
    <xf numFmtId="2" fontId="18302" fillId="8" borderId="1" xfId="0" applyNumberFormat="1" applyFont="1" applyFill="1" applyBorder="1" applyAlignment="1">
      <alignment horizontal="center" vertical="center"/>
    </xf>
    <xf numFmtId="2" fontId="18303" fillId="8" borderId="1" xfId="0" applyNumberFormat="1" applyFont="1" applyFill="1" applyBorder="1" applyAlignment="1">
      <alignment horizontal="center" vertical="center"/>
    </xf>
    <xf numFmtId="2" fontId="18304" fillId="8" borderId="1" xfId="0" applyNumberFormat="1" applyFont="1" applyFill="1" applyBorder="1" applyAlignment="1">
      <alignment horizontal="center" vertical="center"/>
    </xf>
    <xf numFmtId="2" fontId="18305" fillId="8" borderId="1" xfId="0" applyNumberFormat="1" applyFont="1" applyFill="1" applyBorder="1" applyAlignment="1">
      <alignment horizontal="center" vertical="center"/>
    </xf>
    <xf numFmtId="2" fontId="18306" fillId="8" borderId="1" xfId="0" applyNumberFormat="1" applyFont="1" applyFill="1" applyBorder="1" applyAlignment="1">
      <alignment horizontal="center" vertical="center"/>
    </xf>
    <xf numFmtId="2" fontId="18307" fillId="8" borderId="1" xfId="0" applyNumberFormat="1" applyFont="1" applyFill="1" applyBorder="1" applyAlignment="1">
      <alignment horizontal="center" vertical="center"/>
    </xf>
    <xf numFmtId="2" fontId="18308" fillId="8" borderId="1" xfId="0" applyNumberFormat="1" applyFont="1" applyFill="1" applyBorder="1" applyAlignment="1">
      <alignment horizontal="center" vertical="center"/>
    </xf>
    <xf numFmtId="2" fontId="18309" fillId="8" borderId="1" xfId="0" applyNumberFormat="1" applyFont="1" applyFill="1" applyBorder="1" applyAlignment="1">
      <alignment horizontal="center" vertical="center"/>
    </xf>
    <xf numFmtId="2" fontId="18310" fillId="8" borderId="1" xfId="0" applyNumberFormat="1" applyFont="1" applyFill="1" applyBorder="1" applyAlignment="1">
      <alignment horizontal="center" vertical="center"/>
    </xf>
    <xf numFmtId="2" fontId="18311" fillId="8" borderId="1" xfId="0" applyNumberFormat="1" applyFont="1" applyFill="1" applyBorder="1" applyAlignment="1">
      <alignment horizontal="center" vertical="center"/>
    </xf>
    <xf numFmtId="2" fontId="18312" fillId="8" borderId="1" xfId="0" applyNumberFormat="1" applyFont="1" applyFill="1" applyBorder="1" applyAlignment="1">
      <alignment horizontal="center" vertical="center"/>
    </xf>
    <xf numFmtId="2" fontId="18313" fillId="8" borderId="1" xfId="0" applyNumberFormat="1" applyFont="1" applyFill="1" applyBorder="1" applyAlignment="1">
      <alignment horizontal="center" vertical="center"/>
    </xf>
    <xf numFmtId="2" fontId="18314" fillId="8" borderId="1" xfId="0" applyNumberFormat="1" applyFont="1" applyFill="1" applyBorder="1" applyAlignment="1">
      <alignment horizontal="center" vertical="center"/>
    </xf>
    <xf numFmtId="2" fontId="18315" fillId="8" borderId="1" xfId="0" applyNumberFormat="1" applyFont="1" applyFill="1" applyBorder="1" applyAlignment="1">
      <alignment horizontal="center" vertical="center"/>
    </xf>
    <xf numFmtId="2" fontId="18316" fillId="8" borderId="1" xfId="0" applyNumberFormat="1" applyFont="1" applyFill="1" applyBorder="1" applyAlignment="1">
      <alignment horizontal="center" vertical="center"/>
    </xf>
    <xf numFmtId="2" fontId="18317" fillId="8" borderId="1" xfId="0" applyNumberFormat="1" applyFont="1" applyFill="1" applyBorder="1" applyAlignment="1">
      <alignment horizontal="center" vertical="center"/>
    </xf>
    <xf numFmtId="2" fontId="18318" fillId="8" borderId="1" xfId="0" applyNumberFormat="1" applyFont="1" applyFill="1" applyBorder="1" applyAlignment="1">
      <alignment horizontal="center" vertical="center"/>
    </xf>
    <xf numFmtId="2" fontId="18319" fillId="8" borderId="1" xfId="0" applyNumberFormat="1" applyFont="1" applyFill="1" applyBorder="1" applyAlignment="1">
      <alignment horizontal="center" vertical="center"/>
    </xf>
    <xf numFmtId="2" fontId="18320" fillId="8" borderId="1" xfId="0" applyNumberFormat="1" applyFont="1" applyFill="1" applyBorder="1" applyAlignment="1">
      <alignment horizontal="center" vertical="center"/>
    </xf>
    <xf numFmtId="2" fontId="18321" fillId="8" borderId="1" xfId="0" applyNumberFormat="1" applyFont="1" applyFill="1" applyBorder="1" applyAlignment="1">
      <alignment horizontal="center" vertical="center"/>
    </xf>
    <xf numFmtId="2" fontId="18322" fillId="8" borderId="1" xfId="0" applyNumberFormat="1" applyFont="1" applyFill="1" applyBorder="1" applyAlignment="1">
      <alignment horizontal="center" vertical="center"/>
    </xf>
    <xf numFmtId="2" fontId="18323" fillId="8" borderId="1" xfId="0" applyNumberFormat="1" applyFont="1" applyFill="1" applyBorder="1" applyAlignment="1">
      <alignment horizontal="center" vertical="center"/>
    </xf>
    <xf numFmtId="2" fontId="18324" fillId="8" borderId="1" xfId="0" applyNumberFormat="1" applyFont="1" applyFill="1" applyBorder="1" applyAlignment="1">
      <alignment horizontal="center" vertical="center"/>
    </xf>
    <xf numFmtId="2" fontId="18325" fillId="8" borderId="1" xfId="0" applyNumberFormat="1" applyFont="1" applyFill="1" applyBorder="1" applyAlignment="1">
      <alignment horizontal="center" vertical="center"/>
    </xf>
    <xf numFmtId="2" fontId="18326" fillId="8" borderId="1" xfId="0" applyNumberFormat="1" applyFont="1" applyFill="1" applyBorder="1" applyAlignment="1">
      <alignment horizontal="center" vertical="center"/>
    </xf>
    <xf numFmtId="2" fontId="18327" fillId="8" borderId="1" xfId="0" applyNumberFormat="1" applyFont="1" applyFill="1" applyBorder="1" applyAlignment="1">
      <alignment horizontal="center" vertical="center"/>
    </xf>
    <xf numFmtId="2" fontId="18328" fillId="8" borderId="1" xfId="0" applyNumberFormat="1" applyFont="1" applyFill="1" applyBorder="1" applyAlignment="1">
      <alignment horizontal="center" vertical="center"/>
    </xf>
    <xf numFmtId="2" fontId="18329" fillId="8" borderId="1" xfId="0" applyNumberFormat="1" applyFont="1" applyFill="1" applyBorder="1" applyAlignment="1">
      <alignment horizontal="center" vertical="center"/>
    </xf>
    <xf numFmtId="2" fontId="18330" fillId="8" borderId="1" xfId="0" applyNumberFormat="1" applyFont="1" applyFill="1" applyBorder="1" applyAlignment="1">
      <alignment horizontal="center" vertical="center"/>
    </xf>
    <xf numFmtId="0" fontId="18331" fillId="7" borderId="1" xfId="0" applyNumberFormat="1" applyFont="1" applyFill="1" applyBorder="1" applyAlignment="1">
      <alignment horizontal="left" vertical="center"/>
    </xf>
    <xf numFmtId="0" fontId="18332" fillId="8" borderId="1" xfId="0" applyNumberFormat="1" applyFont="1" applyFill="1" applyBorder="1" applyAlignment="1">
      <alignment horizontal="center" vertical="center"/>
    </xf>
    <xf numFmtId="164" fontId="18333" fillId="8" borderId="1" xfId="0" applyNumberFormat="1" applyFont="1" applyFill="1" applyBorder="1" applyAlignment="1">
      <alignment horizontal="center" vertical="center"/>
    </xf>
    <xf numFmtId="1" fontId="18334" fillId="8" borderId="1" xfId="0" applyNumberFormat="1" applyFont="1" applyFill="1" applyBorder="1" applyAlignment="1">
      <alignment horizontal="center" vertical="center"/>
    </xf>
    <xf numFmtId="1" fontId="18335" fillId="8" borderId="1" xfId="0" applyNumberFormat="1" applyFont="1" applyFill="1" applyBorder="1" applyAlignment="1">
      <alignment horizontal="center" vertical="center"/>
    </xf>
    <xf numFmtId="1" fontId="18336" fillId="8" borderId="1" xfId="0" applyNumberFormat="1" applyFont="1" applyFill="1" applyBorder="1" applyAlignment="1">
      <alignment horizontal="center" vertical="center"/>
    </xf>
    <xf numFmtId="1" fontId="18337" fillId="8" borderId="1" xfId="0" applyNumberFormat="1" applyFont="1" applyFill="1" applyBorder="1" applyAlignment="1">
      <alignment horizontal="center" vertical="center"/>
    </xf>
    <xf numFmtId="1" fontId="18338" fillId="8" borderId="1" xfId="0" applyNumberFormat="1" applyFont="1" applyFill="1" applyBorder="1" applyAlignment="1">
      <alignment horizontal="center" vertical="center"/>
    </xf>
    <xf numFmtId="1" fontId="18339" fillId="8" borderId="1" xfId="0" applyNumberFormat="1" applyFont="1" applyFill="1" applyBorder="1" applyAlignment="1">
      <alignment horizontal="center" vertical="center"/>
    </xf>
    <xf numFmtId="1" fontId="18340" fillId="8" borderId="1" xfId="0" applyNumberFormat="1" applyFont="1" applyFill="1" applyBorder="1" applyAlignment="1">
      <alignment horizontal="center" vertical="center"/>
    </xf>
    <xf numFmtId="0" fontId="18341" fillId="8" borderId="1" xfId="0" applyNumberFormat="1" applyFont="1" applyFill="1" applyBorder="1" applyAlignment="1">
      <alignment horizontal="center" vertical="center"/>
    </xf>
    <xf numFmtId="0" fontId="18342" fillId="8" borderId="1" xfId="0" applyNumberFormat="1" applyFont="1" applyFill="1" applyBorder="1" applyAlignment="1">
      <alignment horizontal="center" vertical="center"/>
    </xf>
    <xf numFmtId="1" fontId="18343" fillId="8" borderId="1" xfId="0" applyNumberFormat="1" applyFont="1" applyFill="1" applyBorder="1" applyAlignment="1">
      <alignment horizontal="center" vertical="center"/>
    </xf>
    <xf numFmtId="1" fontId="18344" fillId="8" borderId="1" xfId="0" applyNumberFormat="1" applyFont="1" applyFill="1" applyBorder="1" applyAlignment="1">
      <alignment horizontal="center" vertical="center"/>
    </xf>
    <xf numFmtId="1" fontId="18345" fillId="8" borderId="1" xfId="0" applyNumberFormat="1" applyFont="1" applyFill="1" applyBorder="1" applyAlignment="1">
      <alignment horizontal="center" vertical="center"/>
    </xf>
    <xf numFmtId="165" fontId="18346" fillId="8" borderId="1" xfId="0" applyNumberFormat="1" applyFont="1" applyFill="1" applyBorder="1" applyAlignment="1">
      <alignment horizontal="center" vertical="center"/>
    </xf>
    <xf numFmtId="1" fontId="18347" fillId="8" borderId="1" xfId="0" applyNumberFormat="1" applyFont="1" applyFill="1" applyBorder="1" applyAlignment="1">
      <alignment horizontal="center" vertical="center"/>
    </xf>
    <xf numFmtId="165" fontId="18348" fillId="8" borderId="1" xfId="0" applyNumberFormat="1" applyFont="1" applyFill="1" applyBorder="1" applyAlignment="1">
      <alignment horizontal="center" vertical="center"/>
    </xf>
    <xf numFmtId="1" fontId="18349" fillId="8" borderId="1" xfId="0" applyNumberFormat="1" applyFont="1" applyFill="1" applyBorder="1" applyAlignment="1">
      <alignment horizontal="center" vertical="center"/>
    </xf>
    <xf numFmtId="165" fontId="18350" fillId="8" borderId="1" xfId="0" applyNumberFormat="1" applyFont="1" applyFill="1" applyBorder="1" applyAlignment="1">
      <alignment horizontal="center" vertical="center"/>
    </xf>
    <xf numFmtId="1" fontId="18351" fillId="8" borderId="1" xfId="0" applyNumberFormat="1" applyFont="1" applyFill="1" applyBorder="1" applyAlignment="1">
      <alignment horizontal="center" vertical="center"/>
    </xf>
    <xf numFmtId="165" fontId="18352" fillId="8" borderId="1" xfId="0" applyNumberFormat="1" applyFont="1" applyFill="1" applyBorder="1" applyAlignment="1">
      <alignment horizontal="center" vertical="center"/>
    </xf>
    <xf numFmtId="165" fontId="18353" fillId="8" borderId="1" xfId="0" applyNumberFormat="1" applyFont="1" applyFill="1" applyBorder="1" applyAlignment="1">
      <alignment horizontal="center" vertical="center"/>
    </xf>
    <xf numFmtId="1" fontId="18354" fillId="8" borderId="1" xfId="0" applyNumberFormat="1" applyFont="1" applyFill="1" applyBorder="1" applyAlignment="1">
      <alignment horizontal="center" vertical="center"/>
    </xf>
    <xf numFmtId="1" fontId="18355" fillId="8" borderId="1" xfId="0" applyNumberFormat="1" applyFont="1" applyFill="1" applyBorder="1" applyAlignment="1">
      <alignment horizontal="center" vertical="center"/>
    </xf>
    <xf numFmtId="1" fontId="18356" fillId="8" borderId="1" xfId="0" applyNumberFormat="1" applyFont="1" applyFill="1" applyBorder="1" applyAlignment="1">
      <alignment horizontal="center" vertical="center"/>
    </xf>
    <xf numFmtId="165" fontId="18357" fillId="8" borderId="1" xfId="0" applyNumberFormat="1" applyFont="1" applyFill="1" applyBorder="1" applyAlignment="1">
      <alignment horizontal="center" vertical="center"/>
    </xf>
    <xf numFmtId="164" fontId="18358" fillId="8" borderId="1" xfId="0" applyNumberFormat="1" applyFont="1" applyFill="1" applyBorder="1" applyAlignment="1">
      <alignment horizontal="center" vertical="center"/>
    </xf>
    <xf numFmtId="164" fontId="18359" fillId="8" borderId="1" xfId="0" applyNumberFormat="1" applyFont="1" applyFill="1" applyBorder="1" applyAlignment="1">
      <alignment horizontal="center" vertical="center"/>
    </xf>
    <xf numFmtId="1" fontId="18360" fillId="8" borderId="1" xfId="0" applyNumberFormat="1" applyFont="1" applyFill="1" applyBorder="1" applyAlignment="1">
      <alignment horizontal="center" vertical="center"/>
    </xf>
    <xf numFmtId="1" fontId="18361" fillId="8" borderId="1" xfId="0" applyNumberFormat="1" applyFont="1" applyFill="1" applyBorder="1" applyAlignment="1">
      <alignment horizontal="center" vertical="center"/>
    </xf>
    <xf numFmtId="1" fontId="18362" fillId="8" borderId="1" xfId="0" applyNumberFormat="1" applyFont="1" applyFill="1" applyBorder="1" applyAlignment="1">
      <alignment horizontal="center" vertical="center"/>
    </xf>
    <xf numFmtId="165" fontId="18363" fillId="8" borderId="1" xfId="0" applyNumberFormat="1" applyFont="1" applyFill="1" applyBorder="1" applyAlignment="1">
      <alignment horizontal="center" vertical="center"/>
    </xf>
    <xf numFmtId="1" fontId="18364" fillId="8" borderId="1" xfId="0" applyNumberFormat="1" applyFont="1" applyFill="1" applyBorder="1" applyAlignment="1">
      <alignment horizontal="center" vertical="center"/>
    </xf>
    <xf numFmtId="165" fontId="18365" fillId="8" borderId="1" xfId="0" applyNumberFormat="1" applyFont="1" applyFill="1" applyBorder="1" applyAlignment="1">
      <alignment horizontal="center" vertical="center"/>
    </xf>
    <xf numFmtId="1" fontId="18366" fillId="8" borderId="1" xfId="0" applyNumberFormat="1" applyFont="1" applyFill="1" applyBorder="1" applyAlignment="1">
      <alignment horizontal="center" vertical="center"/>
    </xf>
    <xf numFmtId="1" fontId="18367" fillId="8" borderId="1" xfId="0" applyNumberFormat="1" applyFont="1" applyFill="1" applyBorder="1" applyAlignment="1">
      <alignment horizontal="center" vertical="center"/>
    </xf>
    <xf numFmtId="1" fontId="18368" fillId="8" borderId="1" xfId="0" applyNumberFormat="1" applyFont="1" applyFill="1" applyBorder="1" applyAlignment="1">
      <alignment horizontal="center" vertical="center"/>
    </xf>
    <xf numFmtId="1" fontId="18369" fillId="8" borderId="1" xfId="0" applyNumberFormat="1" applyFont="1" applyFill="1" applyBorder="1" applyAlignment="1">
      <alignment horizontal="center" vertical="center"/>
    </xf>
    <xf numFmtId="165" fontId="18370" fillId="8" borderId="1" xfId="0" applyNumberFormat="1" applyFont="1" applyFill="1" applyBorder="1" applyAlignment="1">
      <alignment horizontal="center" vertical="center"/>
    </xf>
    <xf numFmtId="1" fontId="18371" fillId="8" borderId="1" xfId="0" applyNumberFormat="1" applyFont="1" applyFill="1" applyBorder="1" applyAlignment="1">
      <alignment horizontal="center" vertical="center"/>
    </xf>
    <xf numFmtId="165" fontId="18372" fillId="8" borderId="1" xfId="0" applyNumberFormat="1" applyFont="1" applyFill="1" applyBorder="1" applyAlignment="1">
      <alignment horizontal="center" vertical="center"/>
    </xf>
    <xf numFmtId="1" fontId="18373" fillId="8" borderId="1" xfId="0" applyNumberFormat="1" applyFont="1" applyFill="1" applyBorder="1" applyAlignment="1">
      <alignment horizontal="center" vertical="center"/>
    </xf>
    <xf numFmtId="165" fontId="18374" fillId="8" borderId="1" xfId="0" applyNumberFormat="1" applyFont="1" applyFill="1" applyBorder="1" applyAlignment="1">
      <alignment horizontal="center" vertical="center"/>
    </xf>
    <xf numFmtId="2" fontId="18375" fillId="8" borderId="1" xfId="0" applyNumberFormat="1" applyFont="1" applyFill="1" applyBorder="1" applyAlignment="1">
      <alignment horizontal="center" vertical="center"/>
    </xf>
    <xf numFmtId="2" fontId="18376" fillId="8" borderId="1" xfId="0" applyNumberFormat="1" applyFont="1" applyFill="1" applyBorder="1" applyAlignment="1">
      <alignment horizontal="center" vertical="center"/>
    </xf>
    <xf numFmtId="2" fontId="18377" fillId="8" borderId="1" xfId="0" applyNumberFormat="1" applyFont="1" applyFill="1" applyBorder="1" applyAlignment="1">
      <alignment horizontal="center" vertical="center"/>
    </xf>
    <xf numFmtId="2" fontId="18378" fillId="8" borderId="1" xfId="0" applyNumberFormat="1" applyFont="1" applyFill="1" applyBorder="1" applyAlignment="1">
      <alignment horizontal="center" vertical="center"/>
    </xf>
    <xf numFmtId="2" fontId="18379" fillId="8" borderId="1" xfId="0" applyNumberFormat="1" applyFont="1" applyFill="1" applyBorder="1" applyAlignment="1">
      <alignment horizontal="center" vertical="center"/>
    </xf>
    <xf numFmtId="2" fontId="18380" fillId="8" borderId="1" xfId="0" applyNumberFormat="1" applyFont="1" applyFill="1" applyBorder="1" applyAlignment="1">
      <alignment horizontal="center" vertical="center"/>
    </xf>
    <xf numFmtId="2" fontId="18381" fillId="8" borderId="1" xfId="0" applyNumberFormat="1" applyFont="1" applyFill="1" applyBorder="1" applyAlignment="1">
      <alignment horizontal="center" vertical="center"/>
    </xf>
    <xf numFmtId="2" fontId="18382" fillId="8" borderId="1" xfId="0" applyNumberFormat="1" applyFont="1" applyFill="1" applyBorder="1" applyAlignment="1">
      <alignment horizontal="center" vertical="center"/>
    </xf>
    <xf numFmtId="2" fontId="18383" fillId="8" borderId="1" xfId="0" applyNumberFormat="1" applyFont="1" applyFill="1" applyBorder="1" applyAlignment="1">
      <alignment horizontal="center" vertical="center"/>
    </xf>
    <xf numFmtId="2" fontId="18384" fillId="8" borderId="1" xfId="0" applyNumberFormat="1" applyFont="1" applyFill="1" applyBorder="1" applyAlignment="1">
      <alignment horizontal="center" vertical="center"/>
    </xf>
    <xf numFmtId="2" fontId="18385" fillId="8" borderId="1" xfId="0" applyNumberFormat="1" applyFont="1" applyFill="1" applyBorder="1" applyAlignment="1">
      <alignment horizontal="center" vertical="center"/>
    </xf>
    <xf numFmtId="2" fontId="18386" fillId="8" borderId="1" xfId="0" applyNumberFormat="1" applyFont="1" applyFill="1" applyBorder="1" applyAlignment="1">
      <alignment horizontal="center" vertical="center"/>
    </xf>
    <xf numFmtId="2" fontId="18387" fillId="8" borderId="1" xfId="0" applyNumberFormat="1" applyFont="1" applyFill="1" applyBorder="1" applyAlignment="1">
      <alignment horizontal="center" vertical="center"/>
    </xf>
    <xf numFmtId="2" fontId="18388" fillId="8" borderId="1" xfId="0" applyNumberFormat="1" applyFont="1" applyFill="1" applyBorder="1" applyAlignment="1">
      <alignment horizontal="center" vertical="center"/>
    </xf>
    <xf numFmtId="2" fontId="18389" fillId="8" borderId="1" xfId="0" applyNumberFormat="1" applyFont="1" applyFill="1" applyBorder="1" applyAlignment="1">
      <alignment horizontal="center" vertical="center"/>
    </xf>
    <xf numFmtId="2" fontId="18390" fillId="8" borderId="1" xfId="0" applyNumberFormat="1" applyFont="1" applyFill="1" applyBorder="1" applyAlignment="1">
      <alignment horizontal="center" vertical="center"/>
    </xf>
    <xf numFmtId="2" fontId="18391" fillId="8" borderId="1" xfId="0" applyNumberFormat="1" applyFont="1" applyFill="1" applyBorder="1" applyAlignment="1">
      <alignment horizontal="center" vertical="center"/>
    </xf>
    <xf numFmtId="2" fontId="18392" fillId="8" borderId="1" xfId="0" applyNumberFormat="1" applyFont="1" applyFill="1" applyBorder="1" applyAlignment="1">
      <alignment horizontal="center" vertical="center"/>
    </xf>
    <xf numFmtId="2" fontId="18393" fillId="8" borderId="1" xfId="0" applyNumberFormat="1" applyFont="1" applyFill="1" applyBorder="1" applyAlignment="1">
      <alignment horizontal="center" vertical="center"/>
    </xf>
    <xf numFmtId="2" fontId="18394" fillId="8" borderId="1" xfId="0" applyNumberFormat="1" applyFont="1" applyFill="1" applyBorder="1" applyAlignment="1">
      <alignment horizontal="center" vertical="center"/>
    </xf>
    <xf numFmtId="2" fontId="18395" fillId="8" borderId="1" xfId="0" applyNumberFormat="1" applyFont="1" applyFill="1" applyBorder="1" applyAlignment="1">
      <alignment horizontal="center" vertical="center"/>
    </xf>
    <xf numFmtId="2" fontId="18396" fillId="8" borderId="1" xfId="0" applyNumberFormat="1" applyFont="1" applyFill="1" applyBorder="1" applyAlignment="1">
      <alignment horizontal="center" vertical="center"/>
    </xf>
    <xf numFmtId="2" fontId="18397" fillId="8" borderId="1" xfId="0" applyNumberFormat="1" applyFont="1" applyFill="1" applyBorder="1" applyAlignment="1">
      <alignment horizontal="center" vertical="center"/>
    </xf>
    <xf numFmtId="2" fontId="18398" fillId="8" borderId="1" xfId="0" applyNumberFormat="1" applyFont="1" applyFill="1" applyBorder="1" applyAlignment="1">
      <alignment horizontal="center" vertical="center"/>
    </xf>
    <xf numFmtId="2" fontId="18399" fillId="8" borderId="1" xfId="0" applyNumberFormat="1" applyFont="1" applyFill="1" applyBorder="1" applyAlignment="1">
      <alignment horizontal="center" vertical="center"/>
    </xf>
    <xf numFmtId="2" fontId="18400" fillId="8" borderId="1" xfId="0" applyNumberFormat="1" applyFont="1" applyFill="1" applyBorder="1" applyAlignment="1">
      <alignment horizontal="center" vertical="center"/>
    </xf>
    <xf numFmtId="2" fontId="18401" fillId="8" borderId="1" xfId="0" applyNumberFormat="1" applyFont="1" applyFill="1" applyBorder="1" applyAlignment="1">
      <alignment horizontal="center" vertical="center"/>
    </xf>
    <xf numFmtId="2" fontId="18402" fillId="8" borderId="1" xfId="0" applyNumberFormat="1" applyFont="1" applyFill="1" applyBorder="1" applyAlignment="1">
      <alignment horizontal="center" vertical="center"/>
    </xf>
    <xf numFmtId="2" fontId="18403" fillId="8" borderId="1" xfId="0" applyNumberFormat="1" applyFont="1" applyFill="1" applyBorder="1" applyAlignment="1">
      <alignment horizontal="center" vertical="center"/>
    </xf>
    <xf numFmtId="2" fontId="18404" fillId="8" borderId="1" xfId="0" applyNumberFormat="1" applyFont="1" applyFill="1" applyBorder="1" applyAlignment="1">
      <alignment horizontal="center" vertical="center"/>
    </xf>
    <xf numFmtId="2" fontId="18405" fillId="8" borderId="1" xfId="0" applyNumberFormat="1" applyFont="1" applyFill="1" applyBorder="1" applyAlignment="1">
      <alignment horizontal="center" vertical="center"/>
    </xf>
    <xf numFmtId="2" fontId="18406" fillId="8" borderId="1" xfId="0" applyNumberFormat="1" applyFont="1" applyFill="1" applyBorder="1" applyAlignment="1">
      <alignment horizontal="center" vertical="center"/>
    </xf>
    <xf numFmtId="2" fontId="18407" fillId="8" borderId="1" xfId="0" applyNumberFormat="1" applyFont="1" applyFill="1" applyBorder="1" applyAlignment="1">
      <alignment horizontal="center" vertical="center"/>
    </xf>
    <xf numFmtId="2" fontId="18408" fillId="8" borderId="1" xfId="0" applyNumberFormat="1" applyFont="1" applyFill="1" applyBorder="1" applyAlignment="1">
      <alignment horizontal="center" vertical="center"/>
    </xf>
    <xf numFmtId="0" fontId="18409" fillId="7" borderId="1" xfId="0" applyNumberFormat="1" applyFont="1" applyFill="1" applyBorder="1" applyAlignment="1">
      <alignment horizontal="left" vertical="center"/>
    </xf>
    <xf numFmtId="0" fontId="18410" fillId="8" borderId="1" xfId="0" applyNumberFormat="1" applyFont="1" applyFill="1" applyBorder="1" applyAlignment="1">
      <alignment horizontal="center" vertical="center"/>
    </xf>
    <xf numFmtId="164" fontId="18411" fillId="8" borderId="1" xfId="0" applyNumberFormat="1" applyFont="1" applyFill="1" applyBorder="1" applyAlignment="1">
      <alignment horizontal="center" vertical="center"/>
    </xf>
    <xf numFmtId="1" fontId="18412" fillId="8" borderId="1" xfId="0" applyNumberFormat="1" applyFont="1" applyFill="1" applyBorder="1" applyAlignment="1">
      <alignment horizontal="center" vertical="center"/>
    </xf>
    <xf numFmtId="1" fontId="18413" fillId="8" borderId="1" xfId="0" applyNumberFormat="1" applyFont="1" applyFill="1" applyBorder="1" applyAlignment="1">
      <alignment horizontal="center" vertical="center"/>
    </xf>
    <xf numFmtId="1" fontId="18414" fillId="8" borderId="1" xfId="0" applyNumberFormat="1" applyFont="1" applyFill="1" applyBorder="1" applyAlignment="1">
      <alignment horizontal="center" vertical="center"/>
    </xf>
    <xf numFmtId="1" fontId="18415" fillId="8" borderId="1" xfId="0" applyNumberFormat="1" applyFont="1" applyFill="1" applyBorder="1" applyAlignment="1">
      <alignment horizontal="center" vertical="center"/>
    </xf>
    <xf numFmtId="1" fontId="18416" fillId="8" borderId="1" xfId="0" applyNumberFormat="1" applyFont="1" applyFill="1" applyBorder="1" applyAlignment="1">
      <alignment horizontal="center" vertical="center"/>
    </xf>
    <xf numFmtId="1" fontId="18417" fillId="8" borderId="1" xfId="0" applyNumberFormat="1" applyFont="1" applyFill="1" applyBorder="1" applyAlignment="1">
      <alignment horizontal="center" vertical="center"/>
    </xf>
    <xf numFmtId="1" fontId="18418" fillId="8" borderId="1" xfId="0" applyNumberFormat="1" applyFont="1" applyFill="1" applyBorder="1" applyAlignment="1">
      <alignment horizontal="center" vertical="center"/>
    </xf>
    <xf numFmtId="0" fontId="18419" fillId="8" borderId="1" xfId="0" applyNumberFormat="1" applyFont="1" applyFill="1" applyBorder="1" applyAlignment="1">
      <alignment horizontal="center" vertical="center"/>
    </xf>
    <xf numFmtId="0" fontId="18420" fillId="8" borderId="1" xfId="0" applyNumberFormat="1" applyFont="1" applyFill="1" applyBorder="1" applyAlignment="1">
      <alignment horizontal="center" vertical="center"/>
    </xf>
    <xf numFmtId="1" fontId="18421" fillId="8" borderId="1" xfId="0" applyNumberFormat="1" applyFont="1" applyFill="1" applyBorder="1" applyAlignment="1">
      <alignment horizontal="center" vertical="center"/>
    </xf>
    <xf numFmtId="1" fontId="18422" fillId="8" borderId="1" xfId="0" applyNumberFormat="1" applyFont="1" applyFill="1" applyBorder="1" applyAlignment="1">
      <alignment horizontal="center" vertical="center"/>
    </xf>
    <xf numFmtId="1" fontId="18423" fillId="8" borderId="1" xfId="0" applyNumberFormat="1" applyFont="1" applyFill="1" applyBorder="1" applyAlignment="1">
      <alignment horizontal="center" vertical="center"/>
    </xf>
    <xf numFmtId="165" fontId="18424" fillId="8" borderId="1" xfId="0" applyNumberFormat="1" applyFont="1" applyFill="1" applyBorder="1" applyAlignment="1">
      <alignment horizontal="center" vertical="center"/>
    </xf>
    <xf numFmtId="1" fontId="18425" fillId="8" borderId="1" xfId="0" applyNumberFormat="1" applyFont="1" applyFill="1" applyBorder="1" applyAlignment="1">
      <alignment horizontal="center" vertical="center"/>
    </xf>
    <xf numFmtId="165" fontId="18426" fillId="8" borderId="1" xfId="0" applyNumberFormat="1" applyFont="1" applyFill="1" applyBorder="1" applyAlignment="1">
      <alignment horizontal="center" vertical="center"/>
    </xf>
    <xf numFmtId="1" fontId="18427" fillId="8" borderId="1" xfId="0" applyNumberFormat="1" applyFont="1" applyFill="1" applyBorder="1" applyAlignment="1">
      <alignment horizontal="center" vertical="center"/>
    </xf>
    <xf numFmtId="165" fontId="18428" fillId="8" borderId="1" xfId="0" applyNumberFormat="1" applyFont="1" applyFill="1" applyBorder="1" applyAlignment="1">
      <alignment horizontal="center" vertical="center"/>
    </xf>
    <xf numFmtId="1" fontId="18429" fillId="8" borderId="1" xfId="0" applyNumberFormat="1" applyFont="1" applyFill="1" applyBorder="1" applyAlignment="1">
      <alignment horizontal="center" vertical="center"/>
    </xf>
    <xf numFmtId="165" fontId="18430" fillId="8" borderId="1" xfId="0" applyNumberFormat="1" applyFont="1" applyFill="1" applyBorder="1" applyAlignment="1">
      <alignment horizontal="center" vertical="center"/>
    </xf>
    <xf numFmtId="165" fontId="18431" fillId="8" borderId="1" xfId="0" applyNumberFormat="1" applyFont="1" applyFill="1" applyBorder="1" applyAlignment="1">
      <alignment horizontal="center" vertical="center"/>
    </xf>
    <xf numFmtId="1" fontId="18432" fillId="8" borderId="1" xfId="0" applyNumberFormat="1" applyFont="1" applyFill="1" applyBorder="1" applyAlignment="1">
      <alignment horizontal="center" vertical="center"/>
    </xf>
    <xf numFmtId="1" fontId="18433" fillId="8" borderId="1" xfId="0" applyNumberFormat="1" applyFont="1" applyFill="1" applyBorder="1" applyAlignment="1">
      <alignment horizontal="center" vertical="center"/>
    </xf>
    <xf numFmtId="1" fontId="18434" fillId="8" borderId="1" xfId="0" applyNumberFormat="1" applyFont="1" applyFill="1" applyBorder="1" applyAlignment="1">
      <alignment horizontal="center" vertical="center"/>
    </xf>
    <xf numFmtId="165" fontId="18435" fillId="8" borderId="1" xfId="0" applyNumberFormat="1" applyFont="1" applyFill="1" applyBorder="1" applyAlignment="1">
      <alignment horizontal="center" vertical="center"/>
    </xf>
    <xf numFmtId="164" fontId="18436" fillId="8" borderId="1" xfId="0" applyNumberFormat="1" applyFont="1" applyFill="1" applyBorder="1" applyAlignment="1">
      <alignment horizontal="center" vertical="center"/>
    </xf>
    <xf numFmtId="164" fontId="18437" fillId="8" borderId="1" xfId="0" applyNumberFormat="1" applyFont="1" applyFill="1" applyBorder="1" applyAlignment="1">
      <alignment horizontal="center" vertical="center"/>
    </xf>
    <xf numFmtId="1" fontId="18438" fillId="8" borderId="1" xfId="0" applyNumberFormat="1" applyFont="1" applyFill="1" applyBorder="1" applyAlignment="1">
      <alignment horizontal="center" vertical="center"/>
    </xf>
    <xf numFmtId="1" fontId="18439" fillId="8" borderId="1" xfId="0" applyNumberFormat="1" applyFont="1" applyFill="1" applyBorder="1" applyAlignment="1">
      <alignment horizontal="center" vertical="center"/>
    </xf>
    <xf numFmtId="1" fontId="18440" fillId="8" borderId="1" xfId="0" applyNumberFormat="1" applyFont="1" applyFill="1" applyBorder="1" applyAlignment="1">
      <alignment horizontal="center" vertical="center"/>
    </xf>
    <xf numFmtId="165" fontId="18441" fillId="8" borderId="1" xfId="0" applyNumberFormat="1" applyFont="1" applyFill="1" applyBorder="1" applyAlignment="1">
      <alignment horizontal="center" vertical="center"/>
    </xf>
    <xf numFmtId="1" fontId="18442" fillId="8" borderId="1" xfId="0" applyNumberFormat="1" applyFont="1" applyFill="1" applyBorder="1" applyAlignment="1">
      <alignment horizontal="center" vertical="center"/>
    </xf>
    <xf numFmtId="165" fontId="18443" fillId="8" borderId="1" xfId="0" applyNumberFormat="1" applyFont="1" applyFill="1" applyBorder="1" applyAlignment="1">
      <alignment horizontal="center" vertical="center"/>
    </xf>
    <xf numFmtId="1" fontId="18444" fillId="8" borderId="1" xfId="0" applyNumberFormat="1" applyFont="1" applyFill="1" applyBorder="1" applyAlignment="1">
      <alignment horizontal="center" vertical="center"/>
    </xf>
    <xf numFmtId="1" fontId="18445" fillId="8" borderId="1" xfId="0" applyNumberFormat="1" applyFont="1" applyFill="1" applyBorder="1" applyAlignment="1">
      <alignment horizontal="center" vertical="center"/>
    </xf>
    <xf numFmtId="1" fontId="18446" fillId="8" borderId="1" xfId="0" applyNumberFormat="1" applyFont="1" applyFill="1" applyBorder="1" applyAlignment="1">
      <alignment horizontal="center" vertical="center"/>
    </xf>
    <xf numFmtId="1" fontId="18447" fillId="8" borderId="1" xfId="0" applyNumberFormat="1" applyFont="1" applyFill="1" applyBorder="1" applyAlignment="1">
      <alignment horizontal="center" vertical="center"/>
    </xf>
    <xf numFmtId="165" fontId="18448" fillId="8" borderId="1" xfId="0" applyNumberFormat="1" applyFont="1" applyFill="1" applyBorder="1" applyAlignment="1">
      <alignment horizontal="center" vertical="center"/>
    </xf>
    <xf numFmtId="1" fontId="18449" fillId="8" borderId="1" xfId="0" applyNumberFormat="1" applyFont="1" applyFill="1" applyBorder="1" applyAlignment="1">
      <alignment horizontal="center" vertical="center"/>
    </xf>
    <xf numFmtId="165" fontId="18450" fillId="8" borderId="1" xfId="0" applyNumberFormat="1" applyFont="1" applyFill="1" applyBorder="1" applyAlignment="1">
      <alignment horizontal="center" vertical="center"/>
    </xf>
    <xf numFmtId="1" fontId="18451" fillId="8" borderId="1" xfId="0" applyNumberFormat="1" applyFont="1" applyFill="1" applyBorder="1" applyAlignment="1">
      <alignment horizontal="center" vertical="center"/>
    </xf>
    <xf numFmtId="165" fontId="18452" fillId="8" borderId="1" xfId="0" applyNumberFormat="1" applyFont="1" applyFill="1" applyBorder="1" applyAlignment="1">
      <alignment horizontal="center" vertical="center"/>
    </xf>
    <xf numFmtId="2" fontId="18453" fillId="8" borderId="1" xfId="0" applyNumberFormat="1" applyFont="1" applyFill="1" applyBorder="1" applyAlignment="1">
      <alignment horizontal="center" vertical="center"/>
    </xf>
    <xf numFmtId="2" fontId="18454" fillId="8" borderId="1" xfId="0" applyNumberFormat="1" applyFont="1" applyFill="1" applyBorder="1" applyAlignment="1">
      <alignment horizontal="center" vertical="center"/>
    </xf>
    <xf numFmtId="2" fontId="18455" fillId="8" borderId="1" xfId="0" applyNumberFormat="1" applyFont="1" applyFill="1" applyBorder="1" applyAlignment="1">
      <alignment horizontal="center" vertical="center"/>
    </xf>
    <xf numFmtId="2" fontId="18456" fillId="8" borderId="1" xfId="0" applyNumberFormat="1" applyFont="1" applyFill="1" applyBorder="1" applyAlignment="1">
      <alignment horizontal="center" vertical="center"/>
    </xf>
    <xf numFmtId="2" fontId="18457" fillId="8" borderId="1" xfId="0" applyNumberFormat="1" applyFont="1" applyFill="1" applyBorder="1" applyAlignment="1">
      <alignment horizontal="center" vertical="center"/>
    </xf>
    <xf numFmtId="2" fontId="18458" fillId="8" borderId="1" xfId="0" applyNumberFormat="1" applyFont="1" applyFill="1" applyBorder="1" applyAlignment="1">
      <alignment horizontal="center" vertical="center"/>
    </xf>
    <xf numFmtId="2" fontId="18459" fillId="8" borderId="1" xfId="0" applyNumberFormat="1" applyFont="1" applyFill="1" applyBorder="1" applyAlignment="1">
      <alignment horizontal="center" vertical="center"/>
    </xf>
    <xf numFmtId="2" fontId="18460" fillId="8" borderId="1" xfId="0" applyNumberFormat="1" applyFont="1" applyFill="1" applyBorder="1" applyAlignment="1">
      <alignment horizontal="center" vertical="center"/>
    </xf>
    <xf numFmtId="2" fontId="18461" fillId="8" borderId="1" xfId="0" applyNumberFormat="1" applyFont="1" applyFill="1" applyBorder="1" applyAlignment="1">
      <alignment horizontal="center" vertical="center"/>
    </xf>
    <xf numFmtId="2" fontId="18462" fillId="8" borderId="1" xfId="0" applyNumberFormat="1" applyFont="1" applyFill="1" applyBorder="1" applyAlignment="1">
      <alignment horizontal="center" vertical="center"/>
    </xf>
    <xf numFmtId="2" fontId="18463" fillId="8" borderId="1" xfId="0" applyNumberFormat="1" applyFont="1" applyFill="1" applyBorder="1" applyAlignment="1">
      <alignment horizontal="center" vertical="center"/>
    </xf>
    <xf numFmtId="2" fontId="18464" fillId="8" borderId="1" xfId="0" applyNumberFormat="1" applyFont="1" applyFill="1" applyBorder="1" applyAlignment="1">
      <alignment horizontal="center" vertical="center"/>
    </xf>
    <xf numFmtId="2" fontId="18465" fillId="8" borderId="1" xfId="0" applyNumberFormat="1" applyFont="1" applyFill="1" applyBorder="1" applyAlignment="1">
      <alignment horizontal="center" vertical="center"/>
    </xf>
    <xf numFmtId="2" fontId="18466" fillId="8" borderId="1" xfId="0" applyNumberFormat="1" applyFont="1" applyFill="1" applyBorder="1" applyAlignment="1">
      <alignment horizontal="center" vertical="center"/>
    </xf>
    <xf numFmtId="2" fontId="18467" fillId="8" borderId="1" xfId="0" applyNumberFormat="1" applyFont="1" applyFill="1" applyBorder="1" applyAlignment="1">
      <alignment horizontal="center" vertical="center"/>
    </xf>
    <xf numFmtId="2" fontId="18468" fillId="8" borderId="1" xfId="0" applyNumberFormat="1" applyFont="1" applyFill="1" applyBorder="1" applyAlignment="1">
      <alignment horizontal="center" vertical="center"/>
    </xf>
    <xf numFmtId="2" fontId="18469" fillId="8" borderId="1" xfId="0" applyNumberFormat="1" applyFont="1" applyFill="1" applyBorder="1" applyAlignment="1">
      <alignment horizontal="center" vertical="center"/>
    </xf>
    <xf numFmtId="2" fontId="18470" fillId="8" borderId="1" xfId="0" applyNumberFormat="1" applyFont="1" applyFill="1" applyBorder="1" applyAlignment="1">
      <alignment horizontal="center" vertical="center"/>
    </xf>
    <xf numFmtId="2" fontId="18471" fillId="8" borderId="1" xfId="0" applyNumberFormat="1" applyFont="1" applyFill="1" applyBorder="1" applyAlignment="1">
      <alignment horizontal="center" vertical="center"/>
    </xf>
    <xf numFmtId="2" fontId="18472" fillId="8" borderId="1" xfId="0" applyNumberFormat="1" applyFont="1" applyFill="1" applyBorder="1" applyAlignment="1">
      <alignment horizontal="center" vertical="center"/>
    </xf>
    <xf numFmtId="2" fontId="18473" fillId="8" borderId="1" xfId="0" applyNumberFormat="1" applyFont="1" applyFill="1" applyBorder="1" applyAlignment="1">
      <alignment horizontal="center" vertical="center"/>
    </xf>
    <xf numFmtId="2" fontId="18474" fillId="8" borderId="1" xfId="0" applyNumberFormat="1" applyFont="1" applyFill="1" applyBorder="1" applyAlignment="1">
      <alignment horizontal="center" vertical="center"/>
    </xf>
    <xf numFmtId="2" fontId="18475" fillId="8" borderId="1" xfId="0" applyNumberFormat="1" applyFont="1" applyFill="1" applyBorder="1" applyAlignment="1">
      <alignment horizontal="center" vertical="center"/>
    </xf>
    <xf numFmtId="2" fontId="18476" fillId="8" borderId="1" xfId="0" applyNumberFormat="1" applyFont="1" applyFill="1" applyBorder="1" applyAlignment="1">
      <alignment horizontal="center" vertical="center"/>
    </xf>
    <xf numFmtId="2" fontId="18477" fillId="8" borderId="1" xfId="0" applyNumberFormat="1" applyFont="1" applyFill="1" applyBorder="1" applyAlignment="1">
      <alignment horizontal="center" vertical="center"/>
    </xf>
    <xf numFmtId="2" fontId="18478" fillId="8" borderId="1" xfId="0" applyNumberFormat="1" applyFont="1" applyFill="1" applyBorder="1" applyAlignment="1">
      <alignment horizontal="center" vertical="center"/>
    </xf>
    <xf numFmtId="2" fontId="18479" fillId="8" borderId="1" xfId="0" applyNumberFormat="1" applyFont="1" applyFill="1" applyBorder="1" applyAlignment="1">
      <alignment horizontal="center" vertical="center"/>
    </xf>
    <xf numFmtId="2" fontId="18480" fillId="8" borderId="1" xfId="0" applyNumberFormat="1" applyFont="1" applyFill="1" applyBorder="1" applyAlignment="1">
      <alignment horizontal="center" vertical="center"/>
    </xf>
    <xf numFmtId="2" fontId="18481" fillId="8" borderId="1" xfId="0" applyNumberFormat="1" applyFont="1" applyFill="1" applyBorder="1" applyAlignment="1">
      <alignment horizontal="center" vertical="center"/>
    </xf>
    <xf numFmtId="2" fontId="18482" fillId="8" borderId="1" xfId="0" applyNumberFormat="1" applyFont="1" applyFill="1" applyBorder="1" applyAlignment="1">
      <alignment horizontal="center" vertical="center"/>
    </xf>
    <xf numFmtId="2" fontId="18483" fillId="8" borderId="1" xfId="0" applyNumberFormat="1" applyFont="1" applyFill="1" applyBorder="1" applyAlignment="1">
      <alignment horizontal="center" vertical="center"/>
    </xf>
    <xf numFmtId="2" fontId="18484" fillId="8" borderId="1" xfId="0" applyNumberFormat="1" applyFont="1" applyFill="1" applyBorder="1" applyAlignment="1">
      <alignment horizontal="center" vertical="center"/>
    </xf>
    <xf numFmtId="2" fontId="18485" fillId="8" borderId="1" xfId="0" applyNumberFormat="1" applyFont="1" applyFill="1" applyBorder="1" applyAlignment="1">
      <alignment horizontal="center" vertical="center"/>
    </xf>
    <xf numFmtId="2" fontId="18486" fillId="8" borderId="1" xfId="0" applyNumberFormat="1" applyFont="1" applyFill="1" applyBorder="1" applyAlignment="1">
      <alignment horizontal="center" vertical="center"/>
    </xf>
    <xf numFmtId="0" fontId="18487" fillId="7" borderId="1" xfId="0" applyNumberFormat="1" applyFont="1" applyFill="1" applyBorder="1" applyAlignment="1">
      <alignment horizontal="left" vertical="center"/>
    </xf>
    <xf numFmtId="0" fontId="18488" fillId="8" borderId="1" xfId="0" applyNumberFormat="1" applyFont="1" applyFill="1" applyBorder="1" applyAlignment="1">
      <alignment horizontal="center" vertical="center"/>
    </xf>
    <xf numFmtId="164" fontId="18489" fillId="8" borderId="1" xfId="0" applyNumberFormat="1" applyFont="1" applyFill="1" applyBorder="1" applyAlignment="1">
      <alignment horizontal="center" vertical="center"/>
    </xf>
    <xf numFmtId="1" fontId="18490" fillId="8" borderId="1" xfId="0" applyNumberFormat="1" applyFont="1" applyFill="1" applyBorder="1" applyAlignment="1">
      <alignment horizontal="center" vertical="center"/>
    </xf>
    <xf numFmtId="1" fontId="18491" fillId="8" borderId="1" xfId="0" applyNumberFormat="1" applyFont="1" applyFill="1" applyBorder="1" applyAlignment="1">
      <alignment horizontal="center" vertical="center"/>
    </xf>
    <xf numFmtId="1" fontId="18492" fillId="8" borderId="1" xfId="0" applyNumberFormat="1" applyFont="1" applyFill="1" applyBorder="1" applyAlignment="1">
      <alignment horizontal="center" vertical="center"/>
    </xf>
    <xf numFmtId="1" fontId="18493" fillId="8" borderId="1" xfId="0" applyNumberFormat="1" applyFont="1" applyFill="1" applyBorder="1" applyAlignment="1">
      <alignment horizontal="center" vertical="center"/>
    </xf>
    <xf numFmtId="1" fontId="18494" fillId="8" borderId="1" xfId="0" applyNumberFormat="1" applyFont="1" applyFill="1" applyBorder="1" applyAlignment="1">
      <alignment horizontal="center" vertical="center"/>
    </xf>
    <xf numFmtId="1" fontId="18495" fillId="8" borderId="1" xfId="0" applyNumberFormat="1" applyFont="1" applyFill="1" applyBorder="1" applyAlignment="1">
      <alignment horizontal="center" vertical="center"/>
    </xf>
    <xf numFmtId="1" fontId="18496" fillId="8" borderId="1" xfId="0" applyNumberFormat="1" applyFont="1" applyFill="1" applyBorder="1" applyAlignment="1">
      <alignment horizontal="center" vertical="center"/>
    </xf>
    <xf numFmtId="0" fontId="18497" fillId="8" borderId="1" xfId="0" applyNumberFormat="1" applyFont="1" applyFill="1" applyBorder="1" applyAlignment="1">
      <alignment horizontal="center" vertical="center"/>
    </xf>
    <xf numFmtId="0" fontId="18498" fillId="8" borderId="1" xfId="0" applyNumberFormat="1" applyFont="1" applyFill="1" applyBorder="1" applyAlignment="1">
      <alignment horizontal="center" vertical="center"/>
    </xf>
    <xf numFmtId="1" fontId="18499" fillId="8" borderId="1" xfId="0" applyNumberFormat="1" applyFont="1" applyFill="1" applyBorder="1" applyAlignment="1">
      <alignment horizontal="center" vertical="center"/>
    </xf>
    <xf numFmtId="1" fontId="18500" fillId="8" borderId="1" xfId="0" applyNumberFormat="1" applyFont="1" applyFill="1" applyBorder="1" applyAlignment="1">
      <alignment horizontal="center" vertical="center"/>
    </xf>
    <xf numFmtId="1" fontId="18501" fillId="8" borderId="1" xfId="0" applyNumberFormat="1" applyFont="1" applyFill="1" applyBorder="1" applyAlignment="1">
      <alignment horizontal="center" vertical="center"/>
    </xf>
    <xf numFmtId="165" fontId="18502" fillId="8" borderId="1" xfId="0" applyNumberFormat="1" applyFont="1" applyFill="1" applyBorder="1" applyAlignment="1">
      <alignment horizontal="center" vertical="center"/>
    </xf>
    <xf numFmtId="1" fontId="18503" fillId="8" borderId="1" xfId="0" applyNumberFormat="1" applyFont="1" applyFill="1" applyBorder="1" applyAlignment="1">
      <alignment horizontal="center" vertical="center"/>
    </xf>
    <xf numFmtId="165" fontId="18504" fillId="8" borderId="1" xfId="0" applyNumberFormat="1" applyFont="1" applyFill="1" applyBorder="1" applyAlignment="1">
      <alignment horizontal="center" vertical="center"/>
    </xf>
    <xf numFmtId="1" fontId="18505" fillId="8" borderId="1" xfId="0" applyNumberFormat="1" applyFont="1" applyFill="1" applyBorder="1" applyAlignment="1">
      <alignment horizontal="center" vertical="center"/>
    </xf>
    <xf numFmtId="165" fontId="18506" fillId="8" borderId="1" xfId="0" applyNumberFormat="1" applyFont="1" applyFill="1" applyBorder="1" applyAlignment="1">
      <alignment horizontal="center" vertical="center"/>
    </xf>
    <xf numFmtId="1" fontId="18507" fillId="8" borderId="1" xfId="0" applyNumberFormat="1" applyFont="1" applyFill="1" applyBorder="1" applyAlignment="1">
      <alignment horizontal="center" vertical="center"/>
    </xf>
    <xf numFmtId="165" fontId="18508" fillId="8" borderId="1" xfId="0" applyNumberFormat="1" applyFont="1" applyFill="1" applyBorder="1" applyAlignment="1">
      <alignment horizontal="center" vertical="center"/>
    </xf>
    <xf numFmtId="165" fontId="18509" fillId="8" borderId="1" xfId="0" applyNumberFormat="1" applyFont="1" applyFill="1" applyBorder="1" applyAlignment="1">
      <alignment horizontal="center" vertical="center"/>
    </xf>
    <xf numFmtId="1" fontId="18510" fillId="8" borderId="1" xfId="0" applyNumberFormat="1" applyFont="1" applyFill="1" applyBorder="1" applyAlignment="1">
      <alignment horizontal="center" vertical="center"/>
    </xf>
    <xf numFmtId="1" fontId="18511" fillId="8" borderId="1" xfId="0" applyNumberFormat="1" applyFont="1" applyFill="1" applyBorder="1" applyAlignment="1">
      <alignment horizontal="center" vertical="center"/>
    </xf>
    <xf numFmtId="1" fontId="18512" fillId="8" borderId="1" xfId="0" applyNumberFormat="1" applyFont="1" applyFill="1" applyBorder="1" applyAlignment="1">
      <alignment horizontal="center" vertical="center"/>
    </xf>
    <xf numFmtId="165" fontId="18513" fillId="8" borderId="1" xfId="0" applyNumberFormat="1" applyFont="1" applyFill="1" applyBorder="1" applyAlignment="1">
      <alignment horizontal="center" vertical="center"/>
    </xf>
    <xf numFmtId="164" fontId="18514" fillId="8" borderId="1" xfId="0" applyNumberFormat="1" applyFont="1" applyFill="1" applyBorder="1" applyAlignment="1">
      <alignment horizontal="center" vertical="center"/>
    </xf>
    <xf numFmtId="164" fontId="18515" fillId="8" borderId="1" xfId="0" applyNumberFormat="1" applyFont="1" applyFill="1" applyBorder="1" applyAlignment="1">
      <alignment horizontal="center" vertical="center"/>
    </xf>
    <xf numFmtId="1" fontId="18516" fillId="8" borderId="1" xfId="0" applyNumberFormat="1" applyFont="1" applyFill="1" applyBorder="1" applyAlignment="1">
      <alignment horizontal="center" vertical="center"/>
    </xf>
    <xf numFmtId="1" fontId="18517" fillId="8" borderId="1" xfId="0" applyNumberFormat="1" applyFont="1" applyFill="1" applyBorder="1" applyAlignment="1">
      <alignment horizontal="center" vertical="center"/>
    </xf>
    <xf numFmtId="1" fontId="18518" fillId="8" borderId="1" xfId="0" applyNumberFormat="1" applyFont="1" applyFill="1" applyBorder="1" applyAlignment="1">
      <alignment horizontal="center" vertical="center"/>
    </xf>
    <xf numFmtId="165" fontId="18519" fillId="8" borderId="1" xfId="0" applyNumberFormat="1" applyFont="1" applyFill="1" applyBorder="1" applyAlignment="1">
      <alignment horizontal="center" vertical="center"/>
    </xf>
    <xf numFmtId="1" fontId="18520" fillId="8" borderId="1" xfId="0" applyNumberFormat="1" applyFont="1" applyFill="1" applyBorder="1" applyAlignment="1">
      <alignment horizontal="center" vertical="center"/>
    </xf>
    <xf numFmtId="165" fontId="18521" fillId="8" borderId="1" xfId="0" applyNumberFormat="1" applyFont="1" applyFill="1" applyBorder="1" applyAlignment="1">
      <alignment horizontal="center" vertical="center"/>
    </xf>
    <xf numFmtId="1" fontId="18522" fillId="8" borderId="1" xfId="0" applyNumberFormat="1" applyFont="1" applyFill="1" applyBorder="1" applyAlignment="1">
      <alignment horizontal="center" vertical="center"/>
    </xf>
    <xf numFmtId="1" fontId="18523" fillId="8" borderId="1" xfId="0" applyNumberFormat="1" applyFont="1" applyFill="1" applyBorder="1" applyAlignment="1">
      <alignment horizontal="center" vertical="center"/>
    </xf>
    <xf numFmtId="1" fontId="18524" fillId="8" borderId="1" xfId="0" applyNumberFormat="1" applyFont="1" applyFill="1" applyBorder="1" applyAlignment="1">
      <alignment horizontal="center" vertical="center"/>
    </xf>
    <xf numFmtId="1" fontId="18525" fillId="8" borderId="1" xfId="0" applyNumberFormat="1" applyFont="1" applyFill="1" applyBorder="1" applyAlignment="1">
      <alignment horizontal="center" vertical="center"/>
    </xf>
    <xf numFmtId="165" fontId="18526" fillId="8" borderId="1" xfId="0" applyNumberFormat="1" applyFont="1" applyFill="1" applyBorder="1" applyAlignment="1">
      <alignment horizontal="center" vertical="center"/>
    </xf>
    <xf numFmtId="1" fontId="18527" fillId="8" borderId="1" xfId="0" applyNumberFormat="1" applyFont="1" applyFill="1" applyBorder="1" applyAlignment="1">
      <alignment horizontal="center" vertical="center"/>
    </xf>
    <xf numFmtId="165" fontId="18528" fillId="8" borderId="1" xfId="0" applyNumberFormat="1" applyFont="1" applyFill="1" applyBorder="1" applyAlignment="1">
      <alignment horizontal="center" vertical="center"/>
    </xf>
    <xf numFmtId="1" fontId="18529" fillId="8" borderId="1" xfId="0" applyNumberFormat="1" applyFont="1" applyFill="1" applyBorder="1" applyAlignment="1">
      <alignment horizontal="center" vertical="center"/>
    </xf>
    <xf numFmtId="165" fontId="18530" fillId="8" borderId="1" xfId="0" applyNumberFormat="1" applyFont="1" applyFill="1" applyBorder="1" applyAlignment="1">
      <alignment horizontal="center" vertical="center"/>
    </xf>
    <xf numFmtId="2" fontId="18531" fillId="8" borderId="1" xfId="0" applyNumberFormat="1" applyFont="1" applyFill="1" applyBorder="1" applyAlignment="1">
      <alignment horizontal="center" vertical="center"/>
    </xf>
    <xf numFmtId="2" fontId="18532" fillId="8" borderId="1" xfId="0" applyNumberFormat="1" applyFont="1" applyFill="1" applyBorder="1" applyAlignment="1">
      <alignment horizontal="center" vertical="center"/>
    </xf>
    <xf numFmtId="2" fontId="18533" fillId="8" borderId="1" xfId="0" applyNumberFormat="1" applyFont="1" applyFill="1" applyBorder="1" applyAlignment="1">
      <alignment horizontal="center" vertical="center"/>
    </xf>
    <xf numFmtId="2" fontId="18534" fillId="8" borderId="1" xfId="0" applyNumberFormat="1" applyFont="1" applyFill="1" applyBorder="1" applyAlignment="1">
      <alignment horizontal="center" vertical="center"/>
    </xf>
    <xf numFmtId="2" fontId="18535" fillId="8" borderId="1" xfId="0" applyNumberFormat="1" applyFont="1" applyFill="1" applyBorder="1" applyAlignment="1">
      <alignment horizontal="center" vertical="center"/>
    </xf>
    <xf numFmtId="2" fontId="18536" fillId="8" borderId="1" xfId="0" applyNumberFormat="1" applyFont="1" applyFill="1" applyBorder="1" applyAlignment="1">
      <alignment horizontal="center" vertical="center"/>
    </xf>
    <xf numFmtId="2" fontId="18537" fillId="8" borderId="1" xfId="0" applyNumberFormat="1" applyFont="1" applyFill="1" applyBorder="1" applyAlignment="1">
      <alignment horizontal="center" vertical="center"/>
    </xf>
    <xf numFmtId="2" fontId="18538" fillId="8" borderId="1" xfId="0" applyNumberFormat="1" applyFont="1" applyFill="1" applyBorder="1" applyAlignment="1">
      <alignment horizontal="center" vertical="center"/>
    </xf>
    <xf numFmtId="2" fontId="18539" fillId="8" borderId="1" xfId="0" applyNumberFormat="1" applyFont="1" applyFill="1" applyBorder="1" applyAlignment="1">
      <alignment horizontal="center" vertical="center"/>
    </xf>
    <xf numFmtId="2" fontId="18540" fillId="8" borderId="1" xfId="0" applyNumberFormat="1" applyFont="1" applyFill="1" applyBorder="1" applyAlignment="1">
      <alignment horizontal="center" vertical="center"/>
    </xf>
    <xf numFmtId="2" fontId="18541" fillId="8" borderId="1" xfId="0" applyNumberFormat="1" applyFont="1" applyFill="1" applyBorder="1" applyAlignment="1">
      <alignment horizontal="center" vertical="center"/>
    </xf>
    <xf numFmtId="2" fontId="18542" fillId="8" borderId="1" xfId="0" applyNumberFormat="1" applyFont="1" applyFill="1" applyBorder="1" applyAlignment="1">
      <alignment horizontal="center" vertical="center"/>
    </xf>
    <xf numFmtId="2" fontId="18543" fillId="8" borderId="1" xfId="0" applyNumberFormat="1" applyFont="1" applyFill="1" applyBorder="1" applyAlignment="1">
      <alignment horizontal="center" vertical="center"/>
    </xf>
    <xf numFmtId="2" fontId="18544" fillId="8" borderId="1" xfId="0" applyNumberFormat="1" applyFont="1" applyFill="1" applyBorder="1" applyAlignment="1">
      <alignment horizontal="center" vertical="center"/>
    </xf>
    <xf numFmtId="2" fontId="18545" fillId="8" borderId="1" xfId="0" applyNumberFormat="1" applyFont="1" applyFill="1" applyBorder="1" applyAlignment="1">
      <alignment horizontal="center" vertical="center"/>
    </xf>
    <xf numFmtId="2" fontId="18546" fillId="8" borderId="1" xfId="0" applyNumberFormat="1" applyFont="1" applyFill="1" applyBorder="1" applyAlignment="1">
      <alignment horizontal="center" vertical="center"/>
    </xf>
    <xf numFmtId="2" fontId="18547" fillId="8" borderId="1" xfId="0" applyNumberFormat="1" applyFont="1" applyFill="1" applyBorder="1" applyAlignment="1">
      <alignment horizontal="center" vertical="center"/>
    </xf>
    <xf numFmtId="2" fontId="18548" fillId="8" borderId="1" xfId="0" applyNumberFormat="1" applyFont="1" applyFill="1" applyBorder="1" applyAlignment="1">
      <alignment horizontal="center" vertical="center"/>
    </xf>
    <xf numFmtId="2" fontId="18549" fillId="8" borderId="1" xfId="0" applyNumberFormat="1" applyFont="1" applyFill="1" applyBorder="1" applyAlignment="1">
      <alignment horizontal="center" vertical="center"/>
    </xf>
    <xf numFmtId="2" fontId="18550" fillId="8" borderId="1" xfId="0" applyNumberFormat="1" applyFont="1" applyFill="1" applyBorder="1" applyAlignment="1">
      <alignment horizontal="center" vertical="center"/>
    </xf>
    <xf numFmtId="2" fontId="18551" fillId="8" borderId="1" xfId="0" applyNumberFormat="1" applyFont="1" applyFill="1" applyBorder="1" applyAlignment="1">
      <alignment horizontal="center" vertical="center"/>
    </xf>
    <xf numFmtId="2" fontId="18552" fillId="8" borderId="1" xfId="0" applyNumberFormat="1" applyFont="1" applyFill="1" applyBorder="1" applyAlignment="1">
      <alignment horizontal="center" vertical="center"/>
    </xf>
    <xf numFmtId="2" fontId="18553" fillId="8" borderId="1" xfId="0" applyNumberFormat="1" applyFont="1" applyFill="1" applyBorder="1" applyAlignment="1">
      <alignment horizontal="center" vertical="center"/>
    </xf>
    <xf numFmtId="2" fontId="18554" fillId="8" borderId="1" xfId="0" applyNumberFormat="1" applyFont="1" applyFill="1" applyBorder="1" applyAlignment="1">
      <alignment horizontal="center" vertical="center"/>
    </xf>
    <xf numFmtId="2" fontId="18555" fillId="8" borderId="1" xfId="0" applyNumberFormat="1" applyFont="1" applyFill="1" applyBorder="1" applyAlignment="1">
      <alignment horizontal="center" vertical="center"/>
    </xf>
    <xf numFmtId="2" fontId="18556" fillId="8" borderId="1" xfId="0" applyNumberFormat="1" applyFont="1" applyFill="1" applyBorder="1" applyAlignment="1">
      <alignment horizontal="center" vertical="center"/>
    </xf>
    <xf numFmtId="2" fontId="18557" fillId="8" borderId="1" xfId="0" applyNumberFormat="1" applyFont="1" applyFill="1" applyBorder="1" applyAlignment="1">
      <alignment horizontal="center" vertical="center"/>
    </xf>
    <xf numFmtId="2" fontId="18558" fillId="8" borderId="1" xfId="0" applyNumberFormat="1" applyFont="1" applyFill="1" applyBorder="1" applyAlignment="1">
      <alignment horizontal="center" vertical="center"/>
    </xf>
    <xf numFmtId="2" fontId="18559" fillId="8" borderId="1" xfId="0" applyNumberFormat="1" applyFont="1" applyFill="1" applyBorder="1" applyAlignment="1">
      <alignment horizontal="center" vertical="center"/>
    </xf>
    <xf numFmtId="2" fontId="18560" fillId="8" borderId="1" xfId="0" applyNumberFormat="1" applyFont="1" applyFill="1" applyBorder="1" applyAlignment="1">
      <alignment horizontal="center" vertical="center"/>
    </xf>
    <xf numFmtId="2" fontId="18561" fillId="8" borderId="1" xfId="0" applyNumberFormat="1" applyFont="1" applyFill="1" applyBorder="1" applyAlignment="1">
      <alignment horizontal="center" vertical="center"/>
    </xf>
    <xf numFmtId="2" fontId="18562" fillId="8" borderId="1" xfId="0" applyNumberFormat="1" applyFont="1" applyFill="1" applyBorder="1" applyAlignment="1">
      <alignment horizontal="center" vertical="center"/>
    </xf>
    <xf numFmtId="2" fontId="18563" fillId="8" borderId="1" xfId="0" applyNumberFormat="1" applyFont="1" applyFill="1" applyBorder="1" applyAlignment="1">
      <alignment horizontal="center" vertical="center"/>
    </xf>
    <xf numFmtId="2" fontId="18564" fillId="8" borderId="1" xfId="0" applyNumberFormat="1" applyFont="1" applyFill="1" applyBorder="1" applyAlignment="1">
      <alignment horizontal="center" vertical="center"/>
    </xf>
    <xf numFmtId="0" fontId="18565" fillId="7" borderId="1" xfId="0" applyNumberFormat="1" applyFont="1" applyFill="1" applyBorder="1" applyAlignment="1">
      <alignment horizontal="left" vertical="center"/>
    </xf>
    <xf numFmtId="0" fontId="18566" fillId="8" borderId="1" xfId="0" applyNumberFormat="1" applyFont="1" applyFill="1" applyBorder="1" applyAlignment="1">
      <alignment horizontal="center" vertical="center"/>
    </xf>
    <xf numFmtId="164" fontId="18567" fillId="8" borderId="1" xfId="0" applyNumberFormat="1" applyFont="1" applyFill="1" applyBorder="1" applyAlignment="1">
      <alignment horizontal="center" vertical="center"/>
    </xf>
    <xf numFmtId="1" fontId="18568" fillId="8" borderId="1" xfId="0" applyNumberFormat="1" applyFont="1" applyFill="1" applyBorder="1" applyAlignment="1">
      <alignment horizontal="center" vertical="center"/>
    </xf>
    <xf numFmtId="1" fontId="18569" fillId="8" borderId="1" xfId="0" applyNumberFormat="1" applyFont="1" applyFill="1" applyBorder="1" applyAlignment="1">
      <alignment horizontal="center" vertical="center"/>
    </xf>
    <xf numFmtId="1" fontId="18570" fillId="8" borderId="1" xfId="0" applyNumberFormat="1" applyFont="1" applyFill="1" applyBorder="1" applyAlignment="1">
      <alignment horizontal="center" vertical="center"/>
    </xf>
    <xf numFmtId="1" fontId="18571" fillId="8" borderId="1" xfId="0" applyNumberFormat="1" applyFont="1" applyFill="1" applyBorder="1" applyAlignment="1">
      <alignment horizontal="center" vertical="center"/>
    </xf>
    <xf numFmtId="1" fontId="18572" fillId="8" borderId="1" xfId="0" applyNumberFormat="1" applyFont="1" applyFill="1" applyBorder="1" applyAlignment="1">
      <alignment horizontal="center" vertical="center"/>
    </xf>
    <xf numFmtId="1" fontId="18573" fillId="8" borderId="1" xfId="0" applyNumberFormat="1" applyFont="1" applyFill="1" applyBorder="1" applyAlignment="1">
      <alignment horizontal="center" vertical="center"/>
    </xf>
    <xf numFmtId="1" fontId="18574" fillId="8" borderId="1" xfId="0" applyNumberFormat="1" applyFont="1" applyFill="1" applyBorder="1" applyAlignment="1">
      <alignment horizontal="center" vertical="center"/>
    </xf>
    <xf numFmtId="0" fontId="18575" fillId="8" borderId="1" xfId="0" applyNumberFormat="1" applyFont="1" applyFill="1" applyBorder="1" applyAlignment="1">
      <alignment horizontal="center" vertical="center"/>
    </xf>
    <xf numFmtId="0" fontId="18576" fillId="8" borderId="1" xfId="0" applyNumberFormat="1" applyFont="1" applyFill="1" applyBorder="1" applyAlignment="1">
      <alignment horizontal="center" vertical="center"/>
    </xf>
    <xf numFmtId="1" fontId="18577" fillId="8" borderId="1" xfId="0" applyNumberFormat="1" applyFont="1" applyFill="1" applyBorder="1" applyAlignment="1">
      <alignment horizontal="center" vertical="center"/>
    </xf>
    <xf numFmtId="1" fontId="18578" fillId="8" borderId="1" xfId="0" applyNumberFormat="1" applyFont="1" applyFill="1" applyBorder="1" applyAlignment="1">
      <alignment horizontal="center" vertical="center"/>
    </xf>
    <xf numFmtId="1" fontId="18579" fillId="8" borderId="1" xfId="0" applyNumberFormat="1" applyFont="1" applyFill="1" applyBorder="1" applyAlignment="1">
      <alignment horizontal="center" vertical="center"/>
    </xf>
    <xf numFmtId="165" fontId="18580" fillId="8" borderId="1" xfId="0" applyNumberFormat="1" applyFont="1" applyFill="1" applyBorder="1" applyAlignment="1">
      <alignment horizontal="center" vertical="center"/>
    </xf>
    <xf numFmtId="1" fontId="18581" fillId="8" borderId="1" xfId="0" applyNumberFormat="1" applyFont="1" applyFill="1" applyBorder="1" applyAlignment="1">
      <alignment horizontal="center" vertical="center"/>
    </xf>
    <xf numFmtId="165" fontId="18582" fillId="8" borderId="1" xfId="0" applyNumberFormat="1" applyFont="1" applyFill="1" applyBorder="1" applyAlignment="1">
      <alignment horizontal="center" vertical="center"/>
    </xf>
    <xf numFmtId="1" fontId="18583" fillId="8" borderId="1" xfId="0" applyNumberFormat="1" applyFont="1" applyFill="1" applyBorder="1" applyAlignment="1">
      <alignment horizontal="center" vertical="center"/>
    </xf>
    <xf numFmtId="165" fontId="18584" fillId="8" borderId="1" xfId="0" applyNumberFormat="1" applyFont="1" applyFill="1" applyBorder="1" applyAlignment="1">
      <alignment horizontal="center" vertical="center"/>
    </xf>
    <xf numFmtId="1" fontId="18585" fillId="8" borderId="1" xfId="0" applyNumberFormat="1" applyFont="1" applyFill="1" applyBorder="1" applyAlignment="1">
      <alignment horizontal="center" vertical="center"/>
    </xf>
    <xf numFmtId="165" fontId="18586" fillId="8" borderId="1" xfId="0" applyNumberFormat="1" applyFont="1" applyFill="1" applyBorder="1" applyAlignment="1">
      <alignment horizontal="center" vertical="center"/>
    </xf>
    <xf numFmtId="165" fontId="18587" fillId="8" borderId="1" xfId="0" applyNumberFormat="1" applyFont="1" applyFill="1" applyBorder="1" applyAlignment="1">
      <alignment horizontal="center" vertical="center"/>
    </xf>
    <xf numFmtId="1" fontId="18588" fillId="8" borderId="1" xfId="0" applyNumberFormat="1" applyFont="1" applyFill="1" applyBorder="1" applyAlignment="1">
      <alignment horizontal="center" vertical="center"/>
    </xf>
    <xf numFmtId="1" fontId="18589" fillId="8" borderId="1" xfId="0" applyNumberFormat="1" applyFont="1" applyFill="1" applyBorder="1" applyAlignment="1">
      <alignment horizontal="center" vertical="center"/>
    </xf>
    <xf numFmtId="1" fontId="18590" fillId="8" borderId="1" xfId="0" applyNumberFormat="1" applyFont="1" applyFill="1" applyBorder="1" applyAlignment="1">
      <alignment horizontal="center" vertical="center"/>
    </xf>
    <xf numFmtId="165" fontId="18591" fillId="8" borderId="1" xfId="0" applyNumberFormat="1" applyFont="1" applyFill="1" applyBorder="1" applyAlignment="1">
      <alignment horizontal="center" vertical="center"/>
    </xf>
    <xf numFmtId="164" fontId="18592" fillId="8" borderId="1" xfId="0" applyNumberFormat="1" applyFont="1" applyFill="1" applyBorder="1" applyAlignment="1">
      <alignment horizontal="center" vertical="center"/>
    </xf>
    <xf numFmtId="164" fontId="18593" fillId="8" borderId="1" xfId="0" applyNumberFormat="1" applyFont="1" applyFill="1" applyBorder="1" applyAlignment="1">
      <alignment horizontal="center" vertical="center"/>
    </xf>
    <xf numFmtId="1" fontId="18594" fillId="8" borderId="1" xfId="0" applyNumberFormat="1" applyFont="1" applyFill="1" applyBorder="1" applyAlignment="1">
      <alignment horizontal="center" vertical="center"/>
    </xf>
    <xf numFmtId="1" fontId="18595" fillId="8" borderId="1" xfId="0" applyNumberFormat="1" applyFont="1" applyFill="1" applyBorder="1" applyAlignment="1">
      <alignment horizontal="center" vertical="center"/>
    </xf>
    <xf numFmtId="1" fontId="18596" fillId="8" borderId="1" xfId="0" applyNumberFormat="1" applyFont="1" applyFill="1" applyBorder="1" applyAlignment="1">
      <alignment horizontal="center" vertical="center"/>
    </xf>
    <xf numFmtId="165" fontId="18597" fillId="8" borderId="1" xfId="0" applyNumberFormat="1" applyFont="1" applyFill="1" applyBorder="1" applyAlignment="1">
      <alignment horizontal="center" vertical="center"/>
    </xf>
    <xf numFmtId="1" fontId="18598" fillId="8" borderId="1" xfId="0" applyNumberFormat="1" applyFont="1" applyFill="1" applyBorder="1" applyAlignment="1">
      <alignment horizontal="center" vertical="center"/>
    </xf>
    <xf numFmtId="165" fontId="18599" fillId="8" borderId="1" xfId="0" applyNumberFormat="1" applyFont="1" applyFill="1" applyBorder="1" applyAlignment="1">
      <alignment horizontal="center" vertical="center"/>
    </xf>
    <xf numFmtId="1" fontId="18600" fillId="8" borderId="1" xfId="0" applyNumberFormat="1" applyFont="1" applyFill="1" applyBorder="1" applyAlignment="1">
      <alignment horizontal="center" vertical="center"/>
    </xf>
    <xf numFmtId="1" fontId="18601" fillId="8" borderId="1" xfId="0" applyNumberFormat="1" applyFont="1" applyFill="1" applyBorder="1" applyAlignment="1">
      <alignment horizontal="center" vertical="center"/>
    </xf>
    <xf numFmtId="1" fontId="18602" fillId="8" borderId="1" xfId="0" applyNumberFormat="1" applyFont="1" applyFill="1" applyBorder="1" applyAlignment="1">
      <alignment horizontal="center" vertical="center"/>
    </xf>
    <xf numFmtId="1" fontId="18603" fillId="8" borderId="1" xfId="0" applyNumberFormat="1" applyFont="1" applyFill="1" applyBorder="1" applyAlignment="1">
      <alignment horizontal="center" vertical="center"/>
    </xf>
    <xf numFmtId="165" fontId="18604" fillId="8" borderId="1" xfId="0" applyNumberFormat="1" applyFont="1" applyFill="1" applyBorder="1" applyAlignment="1">
      <alignment horizontal="center" vertical="center"/>
    </xf>
    <xf numFmtId="1" fontId="18605" fillId="8" borderId="1" xfId="0" applyNumberFormat="1" applyFont="1" applyFill="1" applyBorder="1" applyAlignment="1">
      <alignment horizontal="center" vertical="center"/>
    </xf>
    <xf numFmtId="165" fontId="18606" fillId="8" borderId="1" xfId="0" applyNumberFormat="1" applyFont="1" applyFill="1" applyBorder="1" applyAlignment="1">
      <alignment horizontal="center" vertical="center"/>
    </xf>
    <xf numFmtId="1" fontId="18607" fillId="8" borderId="1" xfId="0" applyNumberFormat="1" applyFont="1" applyFill="1" applyBorder="1" applyAlignment="1">
      <alignment horizontal="center" vertical="center"/>
    </xf>
    <xf numFmtId="165" fontId="18608" fillId="8" borderId="1" xfId="0" applyNumberFormat="1" applyFont="1" applyFill="1" applyBorder="1" applyAlignment="1">
      <alignment horizontal="center" vertical="center"/>
    </xf>
    <xf numFmtId="2" fontId="18609" fillId="8" borderId="1" xfId="0" applyNumberFormat="1" applyFont="1" applyFill="1" applyBorder="1" applyAlignment="1">
      <alignment horizontal="center" vertical="center"/>
    </xf>
    <xf numFmtId="2" fontId="18610" fillId="8" borderId="1" xfId="0" applyNumberFormat="1" applyFont="1" applyFill="1" applyBorder="1" applyAlignment="1">
      <alignment horizontal="center" vertical="center"/>
    </xf>
    <xf numFmtId="2" fontId="18611" fillId="8" borderId="1" xfId="0" applyNumberFormat="1" applyFont="1" applyFill="1" applyBorder="1" applyAlignment="1">
      <alignment horizontal="center" vertical="center"/>
    </xf>
    <xf numFmtId="2" fontId="18612" fillId="8" borderId="1" xfId="0" applyNumberFormat="1" applyFont="1" applyFill="1" applyBorder="1" applyAlignment="1">
      <alignment horizontal="center" vertical="center"/>
    </xf>
    <xf numFmtId="2" fontId="18613" fillId="8" borderId="1" xfId="0" applyNumberFormat="1" applyFont="1" applyFill="1" applyBorder="1" applyAlignment="1">
      <alignment horizontal="center" vertical="center"/>
    </xf>
    <xf numFmtId="2" fontId="18614" fillId="8" borderId="1" xfId="0" applyNumberFormat="1" applyFont="1" applyFill="1" applyBorder="1" applyAlignment="1">
      <alignment horizontal="center" vertical="center"/>
    </xf>
    <xf numFmtId="2" fontId="18615" fillId="8" borderId="1" xfId="0" applyNumberFormat="1" applyFont="1" applyFill="1" applyBorder="1" applyAlignment="1">
      <alignment horizontal="center" vertical="center"/>
    </xf>
    <xf numFmtId="2" fontId="18616" fillId="8" borderId="1" xfId="0" applyNumberFormat="1" applyFont="1" applyFill="1" applyBorder="1" applyAlignment="1">
      <alignment horizontal="center" vertical="center"/>
    </xf>
    <xf numFmtId="2" fontId="18617" fillId="8" borderId="1" xfId="0" applyNumberFormat="1" applyFont="1" applyFill="1" applyBorder="1" applyAlignment="1">
      <alignment horizontal="center" vertical="center"/>
    </xf>
    <xf numFmtId="2" fontId="18618" fillId="8" borderId="1" xfId="0" applyNumberFormat="1" applyFont="1" applyFill="1" applyBorder="1" applyAlignment="1">
      <alignment horizontal="center" vertical="center"/>
    </xf>
    <xf numFmtId="2" fontId="18619" fillId="8" borderId="1" xfId="0" applyNumberFormat="1" applyFont="1" applyFill="1" applyBorder="1" applyAlignment="1">
      <alignment horizontal="center" vertical="center"/>
    </xf>
    <xf numFmtId="2" fontId="18620" fillId="8" borderId="1" xfId="0" applyNumberFormat="1" applyFont="1" applyFill="1" applyBorder="1" applyAlignment="1">
      <alignment horizontal="center" vertical="center"/>
    </xf>
    <xf numFmtId="2" fontId="18621" fillId="8" borderId="1" xfId="0" applyNumberFormat="1" applyFont="1" applyFill="1" applyBorder="1" applyAlignment="1">
      <alignment horizontal="center" vertical="center"/>
    </xf>
    <xf numFmtId="2" fontId="18622" fillId="8" borderId="1" xfId="0" applyNumberFormat="1" applyFont="1" applyFill="1" applyBorder="1" applyAlignment="1">
      <alignment horizontal="center" vertical="center"/>
    </xf>
    <xf numFmtId="2" fontId="18623" fillId="8" borderId="1" xfId="0" applyNumberFormat="1" applyFont="1" applyFill="1" applyBorder="1" applyAlignment="1">
      <alignment horizontal="center" vertical="center"/>
    </xf>
    <xf numFmtId="2" fontId="18624" fillId="8" borderId="1" xfId="0" applyNumberFormat="1" applyFont="1" applyFill="1" applyBorder="1" applyAlignment="1">
      <alignment horizontal="center" vertical="center"/>
    </xf>
    <xf numFmtId="2" fontId="18625" fillId="8" borderId="1" xfId="0" applyNumberFormat="1" applyFont="1" applyFill="1" applyBorder="1" applyAlignment="1">
      <alignment horizontal="center" vertical="center"/>
    </xf>
    <xf numFmtId="2" fontId="18626" fillId="8" borderId="1" xfId="0" applyNumberFormat="1" applyFont="1" applyFill="1" applyBorder="1" applyAlignment="1">
      <alignment horizontal="center" vertical="center"/>
    </xf>
    <xf numFmtId="2" fontId="18627" fillId="8" borderId="1" xfId="0" applyNumberFormat="1" applyFont="1" applyFill="1" applyBorder="1" applyAlignment="1">
      <alignment horizontal="center" vertical="center"/>
    </xf>
    <xf numFmtId="2" fontId="18628" fillId="8" borderId="1" xfId="0" applyNumberFormat="1" applyFont="1" applyFill="1" applyBorder="1" applyAlignment="1">
      <alignment horizontal="center" vertical="center"/>
    </xf>
    <xf numFmtId="2" fontId="18629" fillId="8" borderId="1" xfId="0" applyNumberFormat="1" applyFont="1" applyFill="1" applyBorder="1" applyAlignment="1">
      <alignment horizontal="center" vertical="center"/>
    </xf>
    <xf numFmtId="2" fontId="18630" fillId="8" borderId="1" xfId="0" applyNumberFormat="1" applyFont="1" applyFill="1" applyBorder="1" applyAlignment="1">
      <alignment horizontal="center" vertical="center"/>
    </xf>
    <xf numFmtId="2" fontId="18631" fillId="8" borderId="1" xfId="0" applyNumberFormat="1" applyFont="1" applyFill="1" applyBorder="1" applyAlignment="1">
      <alignment horizontal="center" vertical="center"/>
    </xf>
    <xf numFmtId="2" fontId="18632" fillId="8" borderId="1" xfId="0" applyNumberFormat="1" applyFont="1" applyFill="1" applyBorder="1" applyAlignment="1">
      <alignment horizontal="center" vertical="center"/>
    </xf>
    <xf numFmtId="2" fontId="18633" fillId="8" borderId="1" xfId="0" applyNumberFormat="1" applyFont="1" applyFill="1" applyBorder="1" applyAlignment="1">
      <alignment horizontal="center" vertical="center"/>
    </xf>
    <xf numFmtId="2" fontId="18634" fillId="8" borderId="1" xfId="0" applyNumberFormat="1" applyFont="1" applyFill="1" applyBorder="1" applyAlignment="1">
      <alignment horizontal="center" vertical="center"/>
    </xf>
    <xf numFmtId="2" fontId="18635" fillId="8" borderId="1" xfId="0" applyNumberFormat="1" applyFont="1" applyFill="1" applyBorder="1" applyAlignment="1">
      <alignment horizontal="center" vertical="center"/>
    </xf>
    <xf numFmtId="2" fontId="18636" fillId="8" borderId="1" xfId="0" applyNumberFormat="1" applyFont="1" applyFill="1" applyBorder="1" applyAlignment="1">
      <alignment horizontal="center" vertical="center"/>
    </xf>
    <xf numFmtId="2" fontId="18637" fillId="8" borderId="1" xfId="0" applyNumberFormat="1" applyFont="1" applyFill="1" applyBorder="1" applyAlignment="1">
      <alignment horizontal="center" vertical="center"/>
    </xf>
    <xf numFmtId="2" fontId="18638" fillId="8" borderId="1" xfId="0" applyNumberFormat="1" applyFont="1" applyFill="1" applyBorder="1" applyAlignment="1">
      <alignment horizontal="center" vertical="center"/>
    </xf>
    <xf numFmtId="2" fontId="18639" fillId="8" borderId="1" xfId="0" applyNumberFormat="1" applyFont="1" applyFill="1" applyBorder="1" applyAlignment="1">
      <alignment horizontal="center" vertical="center"/>
    </xf>
    <xf numFmtId="2" fontId="18640" fillId="8" borderId="1" xfId="0" applyNumberFormat="1" applyFont="1" applyFill="1" applyBorder="1" applyAlignment="1">
      <alignment horizontal="center" vertical="center"/>
    </xf>
    <xf numFmtId="2" fontId="18641" fillId="8" borderId="1" xfId="0" applyNumberFormat="1" applyFont="1" applyFill="1" applyBorder="1" applyAlignment="1">
      <alignment horizontal="center" vertical="center"/>
    </xf>
    <xf numFmtId="2" fontId="18642" fillId="8" borderId="1" xfId="0" applyNumberFormat="1" applyFont="1" applyFill="1" applyBorder="1" applyAlignment="1">
      <alignment horizontal="center" vertical="center"/>
    </xf>
    <xf numFmtId="0" fontId="18643" fillId="7" borderId="1" xfId="0" applyNumberFormat="1" applyFont="1" applyFill="1" applyBorder="1" applyAlignment="1">
      <alignment horizontal="left" vertical="center"/>
    </xf>
    <xf numFmtId="0" fontId="18644" fillId="8" borderId="1" xfId="0" applyNumberFormat="1" applyFont="1" applyFill="1" applyBorder="1" applyAlignment="1">
      <alignment horizontal="center" vertical="center"/>
    </xf>
    <xf numFmtId="164" fontId="18645" fillId="8" borderId="1" xfId="0" applyNumberFormat="1" applyFont="1" applyFill="1" applyBorder="1" applyAlignment="1">
      <alignment horizontal="center" vertical="center"/>
    </xf>
    <xf numFmtId="1" fontId="18646" fillId="8" borderId="1" xfId="0" applyNumberFormat="1" applyFont="1" applyFill="1" applyBorder="1" applyAlignment="1">
      <alignment horizontal="center" vertical="center"/>
    </xf>
    <xf numFmtId="1" fontId="18647" fillId="8" borderId="1" xfId="0" applyNumberFormat="1" applyFont="1" applyFill="1" applyBorder="1" applyAlignment="1">
      <alignment horizontal="center" vertical="center"/>
    </xf>
    <xf numFmtId="1" fontId="18648" fillId="8" borderId="1" xfId="0" applyNumberFormat="1" applyFont="1" applyFill="1" applyBorder="1" applyAlignment="1">
      <alignment horizontal="center" vertical="center"/>
    </xf>
    <xf numFmtId="1" fontId="18649" fillId="8" borderId="1" xfId="0" applyNumberFormat="1" applyFont="1" applyFill="1" applyBorder="1" applyAlignment="1">
      <alignment horizontal="center" vertical="center"/>
    </xf>
    <xf numFmtId="1" fontId="18650" fillId="8" borderId="1" xfId="0" applyNumberFormat="1" applyFont="1" applyFill="1" applyBorder="1" applyAlignment="1">
      <alignment horizontal="center" vertical="center"/>
    </xf>
    <xf numFmtId="1" fontId="18651" fillId="8" borderId="1" xfId="0" applyNumberFormat="1" applyFont="1" applyFill="1" applyBorder="1" applyAlignment="1">
      <alignment horizontal="center" vertical="center"/>
    </xf>
    <xf numFmtId="1" fontId="18652" fillId="8" borderId="1" xfId="0" applyNumberFormat="1" applyFont="1" applyFill="1" applyBorder="1" applyAlignment="1">
      <alignment horizontal="center" vertical="center"/>
    </xf>
    <xf numFmtId="0" fontId="18653" fillId="8" borderId="1" xfId="0" applyNumberFormat="1" applyFont="1" applyFill="1" applyBorder="1" applyAlignment="1">
      <alignment horizontal="center" vertical="center"/>
    </xf>
    <xf numFmtId="0" fontId="18654" fillId="8" borderId="1" xfId="0" applyNumberFormat="1" applyFont="1" applyFill="1" applyBorder="1" applyAlignment="1">
      <alignment horizontal="center" vertical="center"/>
    </xf>
    <xf numFmtId="1" fontId="18655" fillId="8" borderId="1" xfId="0" applyNumberFormat="1" applyFont="1" applyFill="1" applyBorder="1" applyAlignment="1">
      <alignment horizontal="center" vertical="center"/>
    </xf>
    <xf numFmtId="1" fontId="18656" fillId="8" borderId="1" xfId="0" applyNumberFormat="1" applyFont="1" applyFill="1" applyBorder="1" applyAlignment="1">
      <alignment horizontal="center" vertical="center"/>
    </xf>
    <xf numFmtId="1" fontId="18657" fillId="8" borderId="1" xfId="0" applyNumberFormat="1" applyFont="1" applyFill="1" applyBorder="1" applyAlignment="1">
      <alignment horizontal="center" vertical="center"/>
    </xf>
    <xf numFmtId="165" fontId="18658" fillId="8" borderId="1" xfId="0" applyNumberFormat="1" applyFont="1" applyFill="1" applyBorder="1" applyAlignment="1">
      <alignment horizontal="center" vertical="center"/>
    </xf>
    <xf numFmtId="1" fontId="18659" fillId="8" borderId="1" xfId="0" applyNumberFormat="1" applyFont="1" applyFill="1" applyBorder="1" applyAlignment="1">
      <alignment horizontal="center" vertical="center"/>
    </xf>
    <xf numFmtId="165" fontId="18660" fillId="8" borderId="1" xfId="0" applyNumberFormat="1" applyFont="1" applyFill="1" applyBorder="1" applyAlignment="1">
      <alignment horizontal="center" vertical="center"/>
    </xf>
    <xf numFmtId="1" fontId="18661" fillId="8" borderId="1" xfId="0" applyNumberFormat="1" applyFont="1" applyFill="1" applyBorder="1" applyAlignment="1">
      <alignment horizontal="center" vertical="center"/>
    </xf>
    <xf numFmtId="165" fontId="18662" fillId="8" borderId="1" xfId="0" applyNumberFormat="1" applyFont="1" applyFill="1" applyBorder="1" applyAlignment="1">
      <alignment horizontal="center" vertical="center"/>
    </xf>
    <xf numFmtId="1" fontId="18663" fillId="8" borderId="1" xfId="0" applyNumberFormat="1" applyFont="1" applyFill="1" applyBorder="1" applyAlignment="1">
      <alignment horizontal="center" vertical="center"/>
    </xf>
    <xf numFmtId="165" fontId="18664" fillId="8" borderId="1" xfId="0" applyNumberFormat="1" applyFont="1" applyFill="1" applyBorder="1" applyAlignment="1">
      <alignment horizontal="center" vertical="center"/>
    </xf>
    <xf numFmtId="165" fontId="18665" fillId="8" borderId="1" xfId="0" applyNumberFormat="1" applyFont="1" applyFill="1" applyBorder="1" applyAlignment="1">
      <alignment horizontal="center" vertical="center"/>
    </xf>
    <xf numFmtId="1" fontId="18666" fillId="8" borderId="1" xfId="0" applyNumberFormat="1" applyFont="1" applyFill="1" applyBorder="1" applyAlignment="1">
      <alignment horizontal="center" vertical="center"/>
    </xf>
    <xf numFmtId="1" fontId="18667" fillId="8" borderId="1" xfId="0" applyNumberFormat="1" applyFont="1" applyFill="1" applyBorder="1" applyAlignment="1">
      <alignment horizontal="center" vertical="center"/>
    </xf>
    <xf numFmtId="1" fontId="18668" fillId="8" borderId="1" xfId="0" applyNumberFormat="1" applyFont="1" applyFill="1" applyBorder="1" applyAlignment="1">
      <alignment horizontal="center" vertical="center"/>
    </xf>
    <xf numFmtId="165" fontId="18669" fillId="8" borderId="1" xfId="0" applyNumberFormat="1" applyFont="1" applyFill="1" applyBorder="1" applyAlignment="1">
      <alignment horizontal="center" vertical="center"/>
    </xf>
    <xf numFmtId="164" fontId="18670" fillId="8" borderId="1" xfId="0" applyNumberFormat="1" applyFont="1" applyFill="1" applyBorder="1" applyAlignment="1">
      <alignment horizontal="center" vertical="center"/>
    </xf>
    <xf numFmtId="164" fontId="18671" fillId="8" borderId="1" xfId="0" applyNumberFormat="1" applyFont="1" applyFill="1" applyBorder="1" applyAlignment="1">
      <alignment horizontal="center" vertical="center"/>
    </xf>
    <xf numFmtId="1" fontId="18672" fillId="8" borderId="1" xfId="0" applyNumberFormat="1" applyFont="1" applyFill="1" applyBorder="1" applyAlignment="1">
      <alignment horizontal="center" vertical="center"/>
    </xf>
    <xf numFmtId="1" fontId="18673" fillId="8" borderId="1" xfId="0" applyNumberFormat="1" applyFont="1" applyFill="1" applyBorder="1" applyAlignment="1">
      <alignment horizontal="center" vertical="center"/>
    </xf>
    <xf numFmtId="1" fontId="18674" fillId="8" borderId="1" xfId="0" applyNumberFormat="1" applyFont="1" applyFill="1" applyBorder="1" applyAlignment="1">
      <alignment horizontal="center" vertical="center"/>
    </xf>
    <xf numFmtId="165" fontId="18675" fillId="8" borderId="1" xfId="0" applyNumberFormat="1" applyFont="1" applyFill="1" applyBorder="1" applyAlignment="1">
      <alignment horizontal="center" vertical="center"/>
    </xf>
    <xf numFmtId="1" fontId="18676" fillId="8" borderId="1" xfId="0" applyNumberFormat="1" applyFont="1" applyFill="1" applyBorder="1" applyAlignment="1">
      <alignment horizontal="center" vertical="center"/>
    </xf>
    <xf numFmtId="165" fontId="18677" fillId="8" borderId="1" xfId="0" applyNumberFormat="1" applyFont="1" applyFill="1" applyBorder="1" applyAlignment="1">
      <alignment horizontal="center" vertical="center"/>
    </xf>
    <xf numFmtId="1" fontId="18678" fillId="8" borderId="1" xfId="0" applyNumberFormat="1" applyFont="1" applyFill="1" applyBorder="1" applyAlignment="1">
      <alignment horizontal="center" vertical="center"/>
    </xf>
    <xf numFmtId="1" fontId="18679" fillId="8" borderId="1" xfId="0" applyNumberFormat="1" applyFont="1" applyFill="1" applyBorder="1" applyAlignment="1">
      <alignment horizontal="center" vertical="center"/>
    </xf>
    <xf numFmtId="1" fontId="18680" fillId="8" borderId="1" xfId="0" applyNumberFormat="1" applyFont="1" applyFill="1" applyBorder="1" applyAlignment="1">
      <alignment horizontal="center" vertical="center"/>
    </xf>
    <xf numFmtId="1" fontId="18681" fillId="8" borderId="1" xfId="0" applyNumberFormat="1" applyFont="1" applyFill="1" applyBorder="1" applyAlignment="1">
      <alignment horizontal="center" vertical="center"/>
    </xf>
    <xf numFmtId="165" fontId="18682" fillId="8" borderId="1" xfId="0" applyNumberFormat="1" applyFont="1" applyFill="1" applyBorder="1" applyAlignment="1">
      <alignment horizontal="center" vertical="center"/>
    </xf>
    <xf numFmtId="1" fontId="18683" fillId="8" borderId="1" xfId="0" applyNumberFormat="1" applyFont="1" applyFill="1" applyBorder="1" applyAlignment="1">
      <alignment horizontal="center" vertical="center"/>
    </xf>
    <xf numFmtId="165" fontId="18684" fillId="8" borderId="1" xfId="0" applyNumberFormat="1" applyFont="1" applyFill="1" applyBorder="1" applyAlignment="1">
      <alignment horizontal="center" vertical="center"/>
    </xf>
    <xf numFmtId="1" fontId="18685" fillId="8" borderId="1" xfId="0" applyNumberFormat="1" applyFont="1" applyFill="1" applyBorder="1" applyAlignment="1">
      <alignment horizontal="center" vertical="center"/>
    </xf>
    <xf numFmtId="165" fontId="18686" fillId="8" borderId="1" xfId="0" applyNumberFormat="1" applyFont="1" applyFill="1" applyBorder="1" applyAlignment="1">
      <alignment horizontal="center" vertical="center"/>
    </xf>
    <xf numFmtId="2" fontId="18687" fillId="8" borderId="1" xfId="0" applyNumberFormat="1" applyFont="1" applyFill="1" applyBorder="1" applyAlignment="1">
      <alignment horizontal="center" vertical="center"/>
    </xf>
    <xf numFmtId="2" fontId="18688" fillId="8" borderId="1" xfId="0" applyNumberFormat="1" applyFont="1" applyFill="1" applyBorder="1" applyAlignment="1">
      <alignment horizontal="center" vertical="center"/>
    </xf>
    <xf numFmtId="2" fontId="18689" fillId="8" borderId="1" xfId="0" applyNumberFormat="1" applyFont="1" applyFill="1" applyBorder="1" applyAlignment="1">
      <alignment horizontal="center" vertical="center"/>
    </xf>
    <xf numFmtId="2" fontId="18690" fillId="8" borderId="1" xfId="0" applyNumberFormat="1" applyFont="1" applyFill="1" applyBorder="1" applyAlignment="1">
      <alignment horizontal="center" vertical="center"/>
    </xf>
    <xf numFmtId="2" fontId="18691" fillId="8" borderId="1" xfId="0" applyNumberFormat="1" applyFont="1" applyFill="1" applyBorder="1" applyAlignment="1">
      <alignment horizontal="center" vertical="center"/>
    </xf>
    <xf numFmtId="2" fontId="18692" fillId="8" borderId="1" xfId="0" applyNumberFormat="1" applyFont="1" applyFill="1" applyBorder="1" applyAlignment="1">
      <alignment horizontal="center" vertical="center"/>
    </xf>
    <xf numFmtId="2" fontId="18693" fillId="8" borderId="1" xfId="0" applyNumberFormat="1" applyFont="1" applyFill="1" applyBorder="1" applyAlignment="1">
      <alignment horizontal="center" vertical="center"/>
    </xf>
    <xf numFmtId="2" fontId="18694" fillId="8" borderId="1" xfId="0" applyNumberFormat="1" applyFont="1" applyFill="1" applyBorder="1" applyAlignment="1">
      <alignment horizontal="center" vertical="center"/>
    </xf>
    <xf numFmtId="2" fontId="18695" fillId="8" borderId="1" xfId="0" applyNumberFormat="1" applyFont="1" applyFill="1" applyBorder="1" applyAlignment="1">
      <alignment horizontal="center" vertical="center"/>
    </xf>
    <xf numFmtId="2" fontId="18696" fillId="8" borderId="1" xfId="0" applyNumberFormat="1" applyFont="1" applyFill="1" applyBorder="1" applyAlignment="1">
      <alignment horizontal="center" vertical="center"/>
    </xf>
    <xf numFmtId="2" fontId="18697" fillId="8" borderId="1" xfId="0" applyNumberFormat="1" applyFont="1" applyFill="1" applyBorder="1" applyAlignment="1">
      <alignment horizontal="center" vertical="center"/>
    </xf>
    <xf numFmtId="2" fontId="18698" fillId="8" borderId="1" xfId="0" applyNumberFormat="1" applyFont="1" applyFill="1" applyBorder="1" applyAlignment="1">
      <alignment horizontal="center" vertical="center"/>
    </xf>
    <xf numFmtId="2" fontId="18699" fillId="8" borderId="1" xfId="0" applyNumberFormat="1" applyFont="1" applyFill="1" applyBorder="1" applyAlignment="1">
      <alignment horizontal="center" vertical="center"/>
    </xf>
    <xf numFmtId="2" fontId="18700" fillId="8" borderId="1" xfId="0" applyNumberFormat="1" applyFont="1" applyFill="1" applyBorder="1" applyAlignment="1">
      <alignment horizontal="center" vertical="center"/>
    </xf>
    <xf numFmtId="2" fontId="18701" fillId="8" borderId="1" xfId="0" applyNumberFormat="1" applyFont="1" applyFill="1" applyBorder="1" applyAlignment="1">
      <alignment horizontal="center" vertical="center"/>
    </xf>
    <xf numFmtId="2" fontId="18702" fillId="8" borderId="1" xfId="0" applyNumberFormat="1" applyFont="1" applyFill="1" applyBorder="1" applyAlignment="1">
      <alignment horizontal="center" vertical="center"/>
    </xf>
    <xf numFmtId="2" fontId="18703" fillId="8" borderId="1" xfId="0" applyNumberFormat="1" applyFont="1" applyFill="1" applyBorder="1" applyAlignment="1">
      <alignment horizontal="center" vertical="center"/>
    </xf>
    <xf numFmtId="2" fontId="18704" fillId="8" borderId="1" xfId="0" applyNumberFormat="1" applyFont="1" applyFill="1" applyBorder="1" applyAlignment="1">
      <alignment horizontal="center" vertical="center"/>
    </xf>
    <xf numFmtId="2" fontId="18705" fillId="8" borderId="1" xfId="0" applyNumberFormat="1" applyFont="1" applyFill="1" applyBorder="1" applyAlignment="1">
      <alignment horizontal="center" vertical="center"/>
    </xf>
    <xf numFmtId="2" fontId="18706" fillId="8" borderId="1" xfId="0" applyNumberFormat="1" applyFont="1" applyFill="1" applyBorder="1" applyAlignment="1">
      <alignment horizontal="center" vertical="center"/>
    </xf>
    <xf numFmtId="2" fontId="18707" fillId="8" borderId="1" xfId="0" applyNumberFormat="1" applyFont="1" applyFill="1" applyBorder="1" applyAlignment="1">
      <alignment horizontal="center" vertical="center"/>
    </xf>
    <xf numFmtId="2" fontId="18708" fillId="8" borderId="1" xfId="0" applyNumberFormat="1" applyFont="1" applyFill="1" applyBorder="1" applyAlignment="1">
      <alignment horizontal="center" vertical="center"/>
    </xf>
    <xf numFmtId="2" fontId="18709" fillId="8" borderId="1" xfId="0" applyNumberFormat="1" applyFont="1" applyFill="1" applyBorder="1" applyAlignment="1">
      <alignment horizontal="center" vertical="center"/>
    </xf>
    <xf numFmtId="2" fontId="18710" fillId="8" borderId="1" xfId="0" applyNumberFormat="1" applyFont="1" applyFill="1" applyBorder="1" applyAlignment="1">
      <alignment horizontal="center" vertical="center"/>
    </xf>
    <xf numFmtId="2" fontId="18711" fillId="8" borderId="1" xfId="0" applyNumberFormat="1" applyFont="1" applyFill="1" applyBorder="1" applyAlignment="1">
      <alignment horizontal="center" vertical="center"/>
    </xf>
    <xf numFmtId="2" fontId="18712" fillId="8" borderId="1" xfId="0" applyNumberFormat="1" applyFont="1" applyFill="1" applyBorder="1" applyAlignment="1">
      <alignment horizontal="center" vertical="center"/>
    </xf>
    <xf numFmtId="2" fontId="18713" fillId="8" borderId="1" xfId="0" applyNumberFormat="1" applyFont="1" applyFill="1" applyBorder="1" applyAlignment="1">
      <alignment horizontal="center" vertical="center"/>
    </xf>
    <xf numFmtId="2" fontId="18714" fillId="8" borderId="1" xfId="0" applyNumberFormat="1" applyFont="1" applyFill="1" applyBorder="1" applyAlignment="1">
      <alignment horizontal="center" vertical="center"/>
    </xf>
    <xf numFmtId="2" fontId="18715" fillId="8" borderId="1" xfId="0" applyNumberFormat="1" applyFont="1" applyFill="1" applyBorder="1" applyAlignment="1">
      <alignment horizontal="center" vertical="center"/>
    </xf>
    <xf numFmtId="2" fontId="18716" fillId="8" borderId="1" xfId="0" applyNumberFormat="1" applyFont="1" applyFill="1" applyBorder="1" applyAlignment="1">
      <alignment horizontal="center" vertical="center"/>
    </xf>
    <xf numFmtId="2" fontId="18717" fillId="8" borderId="1" xfId="0" applyNumberFormat="1" applyFont="1" applyFill="1" applyBorder="1" applyAlignment="1">
      <alignment horizontal="center" vertical="center"/>
    </xf>
    <xf numFmtId="2" fontId="18718" fillId="8" borderId="1" xfId="0" applyNumberFormat="1" applyFont="1" applyFill="1" applyBorder="1" applyAlignment="1">
      <alignment horizontal="center" vertical="center"/>
    </xf>
    <xf numFmtId="2" fontId="18719" fillId="8" borderId="1" xfId="0" applyNumberFormat="1" applyFont="1" applyFill="1" applyBorder="1" applyAlignment="1">
      <alignment horizontal="center" vertical="center"/>
    </xf>
    <xf numFmtId="2" fontId="18720" fillId="8" borderId="1" xfId="0" applyNumberFormat="1" applyFont="1" applyFill="1" applyBorder="1" applyAlignment="1">
      <alignment horizontal="center" vertical="center"/>
    </xf>
    <xf numFmtId="0" fontId="18721" fillId="7" borderId="1" xfId="0" applyNumberFormat="1" applyFont="1" applyFill="1" applyBorder="1" applyAlignment="1">
      <alignment horizontal="left" vertical="center"/>
    </xf>
    <xf numFmtId="0" fontId="18722" fillId="8" borderId="1" xfId="0" applyNumberFormat="1" applyFont="1" applyFill="1" applyBorder="1" applyAlignment="1">
      <alignment horizontal="center" vertical="center"/>
    </xf>
    <xf numFmtId="164" fontId="18723" fillId="8" borderId="1" xfId="0" applyNumberFormat="1" applyFont="1" applyFill="1" applyBorder="1" applyAlignment="1">
      <alignment horizontal="center" vertical="center"/>
    </xf>
    <xf numFmtId="1" fontId="18724" fillId="8" borderId="1" xfId="0" applyNumberFormat="1" applyFont="1" applyFill="1" applyBorder="1" applyAlignment="1">
      <alignment horizontal="center" vertical="center"/>
    </xf>
    <xf numFmtId="1" fontId="18725" fillId="8" borderId="1" xfId="0" applyNumberFormat="1" applyFont="1" applyFill="1" applyBorder="1" applyAlignment="1">
      <alignment horizontal="center" vertical="center"/>
    </xf>
    <xf numFmtId="1" fontId="18726" fillId="8" borderId="1" xfId="0" applyNumberFormat="1" applyFont="1" applyFill="1" applyBorder="1" applyAlignment="1">
      <alignment horizontal="center" vertical="center"/>
    </xf>
    <xf numFmtId="1" fontId="18727" fillId="8" borderId="1" xfId="0" applyNumberFormat="1" applyFont="1" applyFill="1" applyBorder="1" applyAlignment="1">
      <alignment horizontal="center" vertical="center"/>
    </xf>
    <xf numFmtId="1" fontId="18728" fillId="8" borderId="1" xfId="0" applyNumberFormat="1" applyFont="1" applyFill="1" applyBorder="1" applyAlignment="1">
      <alignment horizontal="center" vertical="center"/>
    </xf>
    <xf numFmtId="1" fontId="18729" fillId="8" borderId="1" xfId="0" applyNumberFormat="1" applyFont="1" applyFill="1" applyBorder="1" applyAlignment="1">
      <alignment horizontal="center" vertical="center"/>
    </xf>
    <xf numFmtId="1" fontId="18730" fillId="8" borderId="1" xfId="0" applyNumberFormat="1" applyFont="1" applyFill="1" applyBorder="1" applyAlignment="1">
      <alignment horizontal="center" vertical="center"/>
    </xf>
    <xf numFmtId="0" fontId="18731" fillId="8" borderId="1" xfId="0" applyNumberFormat="1" applyFont="1" applyFill="1" applyBorder="1" applyAlignment="1">
      <alignment horizontal="center" vertical="center"/>
    </xf>
    <xf numFmtId="0" fontId="18732" fillId="8" borderId="1" xfId="0" applyNumberFormat="1" applyFont="1" applyFill="1" applyBorder="1" applyAlignment="1">
      <alignment horizontal="center" vertical="center"/>
    </xf>
    <xf numFmtId="1" fontId="18733" fillId="8" borderId="1" xfId="0" applyNumberFormat="1" applyFont="1" applyFill="1" applyBorder="1" applyAlignment="1">
      <alignment horizontal="center" vertical="center"/>
    </xf>
    <xf numFmtId="1" fontId="18734" fillId="8" borderId="1" xfId="0" applyNumberFormat="1" applyFont="1" applyFill="1" applyBorder="1" applyAlignment="1">
      <alignment horizontal="center" vertical="center"/>
    </xf>
    <xf numFmtId="1" fontId="18735" fillId="8" borderId="1" xfId="0" applyNumberFormat="1" applyFont="1" applyFill="1" applyBorder="1" applyAlignment="1">
      <alignment horizontal="center" vertical="center"/>
    </xf>
    <xf numFmtId="165" fontId="18736" fillId="8" borderId="1" xfId="0" applyNumberFormat="1" applyFont="1" applyFill="1" applyBorder="1" applyAlignment="1">
      <alignment horizontal="center" vertical="center"/>
    </xf>
    <xf numFmtId="1" fontId="18737" fillId="8" borderId="1" xfId="0" applyNumberFormat="1" applyFont="1" applyFill="1" applyBorder="1" applyAlignment="1">
      <alignment horizontal="center" vertical="center"/>
    </xf>
    <xf numFmtId="165" fontId="18738" fillId="8" borderId="1" xfId="0" applyNumberFormat="1" applyFont="1" applyFill="1" applyBorder="1" applyAlignment="1">
      <alignment horizontal="center" vertical="center"/>
    </xf>
    <xf numFmtId="1" fontId="18739" fillId="8" borderId="1" xfId="0" applyNumberFormat="1" applyFont="1" applyFill="1" applyBorder="1" applyAlignment="1">
      <alignment horizontal="center" vertical="center"/>
    </xf>
    <xf numFmtId="165" fontId="18740" fillId="8" borderId="1" xfId="0" applyNumberFormat="1" applyFont="1" applyFill="1" applyBorder="1" applyAlignment="1">
      <alignment horizontal="center" vertical="center"/>
    </xf>
    <xf numFmtId="1" fontId="18741" fillId="8" borderId="1" xfId="0" applyNumberFormat="1" applyFont="1" applyFill="1" applyBorder="1" applyAlignment="1">
      <alignment horizontal="center" vertical="center"/>
    </xf>
    <xf numFmtId="165" fontId="18742" fillId="8" borderId="1" xfId="0" applyNumberFormat="1" applyFont="1" applyFill="1" applyBorder="1" applyAlignment="1">
      <alignment horizontal="center" vertical="center"/>
    </xf>
    <xf numFmtId="165" fontId="18743" fillId="8" borderId="1" xfId="0" applyNumberFormat="1" applyFont="1" applyFill="1" applyBorder="1" applyAlignment="1">
      <alignment horizontal="center" vertical="center"/>
    </xf>
    <xf numFmtId="1" fontId="18744" fillId="8" borderId="1" xfId="0" applyNumberFormat="1" applyFont="1" applyFill="1" applyBorder="1" applyAlignment="1">
      <alignment horizontal="center" vertical="center"/>
    </xf>
    <xf numFmtId="1" fontId="18745" fillId="8" borderId="1" xfId="0" applyNumberFormat="1" applyFont="1" applyFill="1" applyBorder="1" applyAlignment="1">
      <alignment horizontal="center" vertical="center"/>
    </xf>
    <xf numFmtId="1" fontId="18746" fillId="8" borderId="1" xfId="0" applyNumberFormat="1" applyFont="1" applyFill="1" applyBorder="1" applyAlignment="1">
      <alignment horizontal="center" vertical="center"/>
    </xf>
    <xf numFmtId="165" fontId="18747" fillId="8" borderId="1" xfId="0" applyNumberFormat="1" applyFont="1" applyFill="1" applyBorder="1" applyAlignment="1">
      <alignment horizontal="center" vertical="center"/>
    </xf>
    <xf numFmtId="164" fontId="18748" fillId="8" borderId="1" xfId="0" applyNumberFormat="1" applyFont="1" applyFill="1" applyBorder="1" applyAlignment="1">
      <alignment horizontal="center" vertical="center"/>
    </xf>
    <xf numFmtId="164" fontId="18749" fillId="8" borderId="1" xfId="0" applyNumberFormat="1" applyFont="1" applyFill="1" applyBorder="1" applyAlignment="1">
      <alignment horizontal="center" vertical="center"/>
    </xf>
    <xf numFmtId="1" fontId="18750" fillId="8" borderId="1" xfId="0" applyNumberFormat="1" applyFont="1" applyFill="1" applyBorder="1" applyAlignment="1">
      <alignment horizontal="center" vertical="center"/>
    </xf>
    <xf numFmtId="1" fontId="18751" fillId="8" borderId="1" xfId="0" applyNumberFormat="1" applyFont="1" applyFill="1" applyBorder="1" applyAlignment="1">
      <alignment horizontal="center" vertical="center"/>
    </xf>
    <xf numFmtId="1" fontId="18752" fillId="8" borderId="1" xfId="0" applyNumberFormat="1" applyFont="1" applyFill="1" applyBorder="1" applyAlignment="1">
      <alignment horizontal="center" vertical="center"/>
    </xf>
    <xf numFmtId="165" fontId="18753" fillId="8" borderId="1" xfId="0" applyNumberFormat="1" applyFont="1" applyFill="1" applyBorder="1" applyAlignment="1">
      <alignment horizontal="center" vertical="center"/>
    </xf>
    <xf numFmtId="1" fontId="18754" fillId="8" borderId="1" xfId="0" applyNumberFormat="1" applyFont="1" applyFill="1" applyBorder="1" applyAlignment="1">
      <alignment horizontal="center" vertical="center"/>
    </xf>
    <xf numFmtId="165" fontId="18755" fillId="8" borderId="1" xfId="0" applyNumberFormat="1" applyFont="1" applyFill="1" applyBorder="1" applyAlignment="1">
      <alignment horizontal="center" vertical="center"/>
    </xf>
    <xf numFmtId="1" fontId="18756" fillId="8" borderId="1" xfId="0" applyNumberFormat="1" applyFont="1" applyFill="1" applyBorder="1" applyAlignment="1">
      <alignment horizontal="center" vertical="center"/>
    </xf>
    <xf numFmtId="1" fontId="18757" fillId="8" borderId="1" xfId="0" applyNumberFormat="1" applyFont="1" applyFill="1" applyBorder="1" applyAlignment="1">
      <alignment horizontal="center" vertical="center"/>
    </xf>
    <xf numFmtId="1" fontId="18758" fillId="8" borderId="1" xfId="0" applyNumberFormat="1" applyFont="1" applyFill="1" applyBorder="1" applyAlignment="1">
      <alignment horizontal="center" vertical="center"/>
    </xf>
    <xf numFmtId="1" fontId="18759" fillId="8" borderId="1" xfId="0" applyNumberFormat="1" applyFont="1" applyFill="1" applyBorder="1" applyAlignment="1">
      <alignment horizontal="center" vertical="center"/>
    </xf>
    <xf numFmtId="165" fontId="18760" fillId="8" borderId="1" xfId="0" applyNumberFormat="1" applyFont="1" applyFill="1" applyBorder="1" applyAlignment="1">
      <alignment horizontal="center" vertical="center"/>
    </xf>
    <xf numFmtId="1" fontId="18761" fillId="8" borderId="1" xfId="0" applyNumberFormat="1" applyFont="1" applyFill="1" applyBorder="1" applyAlignment="1">
      <alignment horizontal="center" vertical="center"/>
    </xf>
    <xf numFmtId="165" fontId="18762" fillId="8" borderId="1" xfId="0" applyNumberFormat="1" applyFont="1" applyFill="1" applyBorder="1" applyAlignment="1">
      <alignment horizontal="center" vertical="center"/>
    </xf>
    <xf numFmtId="1" fontId="18763" fillId="8" borderId="1" xfId="0" applyNumberFormat="1" applyFont="1" applyFill="1" applyBorder="1" applyAlignment="1">
      <alignment horizontal="center" vertical="center"/>
    </xf>
    <xf numFmtId="165" fontId="18764" fillId="8" borderId="1" xfId="0" applyNumberFormat="1" applyFont="1" applyFill="1" applyBorder="1" applyAlignment="1">
      <alignment horizontal="center" vertical="center"/>
    </xf>
    <xf numFmtId="2" fontId="18765" fillId="8" borderId="1" xfId="0" applyNumberFormat="1" applyFont="1" applyFill="1" applyBorder="1" applyAlignment="1">
      <alignment horizontal="center" vertical="center"/>
    </xf>
    <xf numFmtId="2" fontId="18766" fillId="8" borderId="1" xfId="0" applyNumberFormat="1" applyFont="1" applyFill="1" applyBorder="1" applyAlignment="1">
      <alignment horizontal="center" vertical="center"/>
    </xf>
    <xf numFmtId="2" fontId="18767" fillId="8" borderId="1" xfId="0" applyNumberFormat="1" applyFont="1" applyFill="1" applyBorder="1" applyAlignment="1">
      <alignment horizontal="center" vertical="center"/>
    </xf>
    <xf numFmtId="2" fontId="18768" fillId="8" borderId="1" xfId="0" applyNumberFormat="1" applyFont="1" applyFill="1" applyBorder="1" applyAlignment="1">
      <alignment horizontal="center" vertical="center"/>
    </xf>
    <xf numFmtId="2" fontId="18769" fillId="8" borderId="1" xfId="0" applyNumberFormat="1" applyFont="1" applyFill="1" applyBorder="1" applyAlignment="1">
      <alignment horizontal="center" vertical="center"/>
    </xf>
    <xf numFmtId="2" fontId="18770" fillId="8" borderId="1" xfId="0" applyNumberFormat="1" applyFont="1" applyFill="1" applyBorder="1" applyAlignment="1">
      <alignment horizontal="center" vertical="center"/>
    </xf>
    <xf numFmtId="2" fontId="18771" fillId="8" borderId="1" xfId="0" applyNumberFormat="1" applyFont="1" applyFill="1" applyBorder="1" applyAlignment="1">
      <alignment horizontal="center" vertical="center"/>
    </xf>
    <xf numFmtId="2" fontId="18772" fillId="8" borderId="1" xfId="0" applyNumberFormat="1" applyFont="1" applyFill="1" applyBorder="1" applyAlignment="1">
      <alignment horizontal="center" vertical="center"/>
    </xf>
    <xf numFmtId="2" fontId="18773" fillId="8" borderId="1" xfId="0" applyNumberFormat="1" applyFont="1" applyFill="1" applyBorder="1" applyAlignment="1">
      <alignment horizontal="center" vertical="center"/>
    </xf>
    <xf numFmtId="2" fontId="18774" fillId="8" borderId="1" xfId="0" applyNumberFormat="1" applyFont="1" applyFill="1" applyBorder="1" applyAlignment="1">
      <alignment horizontal="center" vertical="center"/>
    </xf>
    <xf numFmtId="2" fontId="18775" fillId="8" borderId="1" xfId="0" applyNumberFormat="1" applyFont="1" applyFill="1" applyBorder="1" applyAlignment="1">
      <alignment horizontal="center" vertical="center"/>
    </xf>
    <xf numFmtId="2" fontId="18776" fillId="8" borderId="1" xfId="0" applyNumberFormat="1" applyFont="1" applyFill="1" applyBorder="1" applyAlignment="1">
      <alignment horizontal="center" vertical="center"/>
    </xf>
    <xf numFmtId="2" fontId="18777" fillId="8" borderId="1" xfId="0" applyNumberFormat="1" applyFont="1" applyFill="1" applyBorder="1" applyAlignment="1">
      <alignment horizontal="center" vertical="center"/>
    </xf>
    <xf numFmtId="2" fontId="18778" fillId="8" borderId="1" xfId="0" applyNumberFormat="1" applyFont="1" applyFill="1" applyBorder="1" applyAlignment="1">
      <alignment horizontal="center" vertical="center"/>
    </xf>
    <xf numFmtId="2" fontId="18779" fillId="8" borderId="1" xfId="0" applyNumberFormat="1" applyFont="1" applyFill="1" applyBorder="1" applyAlignment="1">
      <alignment horizontal="center" vertical="center"/>
    </xf>
    <xf numFmtId="2" fontId="18780" fillId="8" borderId="1" xfId="0" applyNumberFormat="1" applyFont="1" applyFill="1" applyBorder="1" applyAlignment="1">
      <alignment horizontal="center" vertical="center"/>
    </xf>
    <xf numFmtId="2" fontId="18781" fillId="8" borderId="1" xfId="0" applyNumberFormat="1" applyFont="1" applyFill="1" applyBorder="1" applyAlignment="1">
      <alignment horizontal="center" vertical="center"/>
    </xf>
    <xf numFmtId="2" fontId="18782" fillId="8" borderId="1" xfId="0" applyNumberFormat="1" applyFont="1" applyFill="1" applyBorder="1" applyAlignment="1">
      <alignment horizontal="center" vertical="center"/>
    </xf>
    <xf numFmtId="2" fontId="18783" fillId="8" borderId="1" xfId="0" applyNumberFormat="1" applyFont="1" applyFill="1" applyBorder="1" applyAlignment="1">
      <alignment horizontal="center" vertical="center"/>
    </xf>
    <xf numFmtId="2" fontId="18784" fillId="8" borderId="1" xfId="0" applyNumberFormat="1" applyFont="1" applyFill="1" applyBorder="1" applyAlignment="1">
      <alignment horizontal="center" vertical="center"/>
    </xf>
    <xf numFmtId="2" fontId="18785" fillId="8" borderId="1" xfId="0" applyNumberFormat="1" applyFont="1" applyFill="1" applyBorder="1" applyAlignment="1">
      <alignment horizontal="center" vertical="center"/>
    </xf>
    <xf numFmtId="2" fontId="18786" fillId="8" borderId="1" xfId="0" applyNumberFormat="1" applyFont="1" applyFill="1" applyBorder="1" applyAlignment="1">
      <alignment horizontal="center" vertical="center"/>
    </xf>
    <xf numFmtId="2" fontId="18787" fillId="8" borderId="1" xfId="0" applyNumberFormat="1" applyFont="1" applyFill="1" applyBorder="1" applyAlignment="1">
      <alignment horizontal="center" vertical="center"/>
    </xf>
    <xf numFmtId="2" fontId="18788" fillId="8" borderId="1" xfId="0" applyNumberFormat="1" applyFont="1" applyFill="1" applyBorder="1" applyAlignment="1">
      <alignment horizontal="center" vertical="center"/>
    </xf>
    <xf numFmtId="2" fontId="18789" fillId="8" borderId="1" xfId="0" applyNumberFormat="1" applyFont="1" applyFill="1" applyBorder="1" applyAlignment="1">
      <alignment horizontal="center" vertical="center"/>
    </xf>
    <xf numFmtId="2" fontId="18790" fillId="8" borderId="1" xfId="0" applyNumberFormat="1" applyFont="1" applyFill="1" applyBorder="1" applyAlignment="1">
      <alignment horizontal="center" vertical="center"/>
    </xf>
    <xf numFmtId="2" fontId="18791" fillId="8" borderId="1" xfId="0" applyNumberFormat="1" applyFont="1" applyFill="1" applyBorder="1" applyAlignment="1">
      <alignment horizontal="center" vertical="center"/>
    </xf>
    <xf numFmtId="2" fontId="18792" fillId="8" borderId="1" xfId="0" applyNumberFormat="1" applyFont="1" applyFill="1" applyBorder="1" applyAlignment="1">
      <alignment horizontal="center" vertical="center"/>
    </xf>
    <xf numFmtId="2" fontId="18793" fillId="8" borderId="1" xfId="0" applyNumberFormat="1" applyFont="1" applyFill="1" applyBorder="1" applyAlignment="1">
      <alignment horizontal="center" vertical="center"/>
    </xf>
    <xf numFmtId="2" fontId="18794" fillId="8" borderId="1" xfId="0" applyNumberFormat="1" applyFont="1" applyFill="1" applyBorder="1" applyAlignment="1">
      <alignment horizontal="center" vertical="center"/>
    </xf>
    <xf numFmtId="2" fontId="18795" fillId="8" borderId="1" xfId="0" applyNumberFormat="1" applyFont="1" applyFill="1" applyBorder="1" applyAlignment="1">
      <alignment horizontal="center" vertical="center"/>
    </xf>
    <xf numFmtId="2" fontId="18796" fillId="8" borderId="1" xfId="0" applyNumberFormat="1" applyFont="1" applyFill="1" applyBorder="1" applyAlignment="1">
      <alignment horizontal="center" vertical="center"/>
    </xf>
    <xf numFmtId="2" fontId="18797" fillId="8" borderId="1" xfId="0" applyNumberFormat="1" applyFont="1" applyFill="1" applyBorder="1" applyAlignment="1">
      <alignment horizontal="center" vertical="center"/>
    </xf>
    <xf numFmtId="2" fontId="18798" fillId="8" borderId="1" xfId="0" applyNumberFormat="1" applyFont="1" applyFill="1" applyBorder="1" applyAlignment="1">
      <alignment horizontal="center" vertical="center"/>
    </xf>
    <xf numFmtId="0" fontId="18799" fillId="7" borderId="1" xfId="0" applyNumberFormat="1" applyFont="1" applyFill="1" applyBorder="1" applyAlignment="1">
      <alignment horizontal="left" vertical="center"/>
    </xf>
    <xf numFmtId="0" fontId="18800" fillId="8" borderId="1" xfId="0" applyNumberFormat="1" applyFont="1" applyFill="1" applyBorder="1" applyAlignment="1">
      <alignment horizontal="center" vertical="center"/>
    </xf>
    <xf numFmtId="164" fontId="18801" fillId="8" borderId="1" xfId="0" applyNumberFormat="1" applyFont="1" applyFill="1" applyBorder="1" applyAlignment="1">
      <alignment horizontal="center" vertical="center"/>
    </xf>
    <xf numFmtId="1" fontId="18802" fillId="8" borderId="1" xfId="0" applyNumberFormat="1" applyFont="1" applyFill="1" applyBorder="1" applyAlignment="1">
      <alignment horizontal="center" vertical="center"/>
    </xf>
    <xf numFmtId="1" fontId="18803" fillId="8" borderId="1" xfId="0" applyNumberFormat="1" applyFont="1" applyFill="1" applyBorder="1" applyAlignment="1">
      <alignment horizontal="center" vertical="center"/>
    </xf>
    <xf numFmtId="1" fontId="18804" fillId="8" borderId="1" xfId="0" applyNumberFormat="1" applyFont="1" applyFill="1" applyBorder="1" applyAlignment="1">
      <alignment horizontal="center" vertical="center"/>
    </xf>
    <xf numFmtId="1" fontId="18805" fillId="8" borderId="1" xfId="0" applyNumberFormat="1" applyFont="1" applyFill="1" applyBorder="1" applyAlignment="1">
      <alignment horizontal="center" vertical="center"/>
    </xf>
    <xf numFmtId="1" fontId="18806" fillId="8" borderId="1" xfId="0" applyNumberFormat="1" applyFont="1" applyFill="1" applyBorder="1" applyAlignment="1">
      <alignment horizontal="center" vertical="center"/>
    </xf>
    <xf numFmtId="1" fontId="18807" fillId="8" borderId="1" xfId="0" applyNumberFormat="1" applyFont="1" applyFill="1" applyBorder="1" applyAlignment="1">
      <alignment horizontal="center" vertical="center"/>
    </xf>
    <xf numFmtId="1" fontId="18808" fillId="8" borderId="1" xfId="0" applyNumberFormat="1" applyFont="1" applyFill="1" applyBorder="1" applyAlignment="1">
      <alignment horizontal="center" vertical="center"/>
    </xf>
    <xf numFmtId="0" fontId="18809" fillId="8" borderId="1" xfId="0" applyNumberFormat="1" applyFont="1" applyFill="1" applyBorder="1" applyAlignment="1">
      <alignment horizontal="center" vertical="center"/>
    </xf>
    <xf numFmtId="0" fontId="18810" fillId="8" borderId="1" xfId="0" applyNumberFormat="1" applyFont="1" applyFill="1" applyBorder="1" applyAlignment="1">
      <alignment horizontal="center" vertical="center"/>
    </xf>
    <xf numFmtId="1" fontId="18811" fillId="8" borderId="1" xfId="0" applyNumberFormat="1" applyFont="1" applyFill="1" applyBorder="1" applyAlignment="1">
      <alignment horizontal="center" vertical="center"/>
    </xf>
    <xf numFmtId="1" fontId="18812" fillId="8" borderId="1" xfId="0" applyNumberFormat="1" applyFont="1" applyFill="1" applyBorder="1" applyAlignment="1">
      <alignment horizontal="center" vertical="center"/>
    </xf>
    <xf numFmtId="1" fontId="18813" fillId="8" borderId="1" xfId="0" applyNumberFormat="1" applyFont="1" applyFill="1" applyBorder="1" applyAlignment="1">
      <alignment horizontal="center" vertical="center"/>
    </xf>
    <xf numFmtId="165" fontId="18814" fillId="8" borderId="1" xfId="0" applyNumberFormat="1" applyFont="1" applyFill="1" applyBorder="1" applyAlignment="1">
      <alignment horizontal="center" vertical="center"/>
    </xf>
    <xf numFmtId="1" fontId="18815" fillId="8" borderId="1" xfId="0" applyNumberFormat="1" applyFont="1" applyFill="1" applyBorder="1" applyAlignment="1">
      <alignment horizontal="center" vertical="center"/>
    </xf>
    <xf numFmtId="165" fontId="18816" fillId="8" borderId="1" xfId="0" applyNumberFormat="1" applyFont="1" applyFill="1" applyBorder="1" applyAlignment="1">
      <alignment horizontal="center" vertical="center"/>
    </xf>
    <xf numFmtId="1" fontId="18817" fillId="8" borderId="1" xfId="0" applyNumberFormat="1" applyFont="1" applyFill="1" applyBorder="1" applyAlignment="1">
      <alignment horizontal="center" vertical="center"/>
    </xf>
    <xf numFmtId="165" fontId="18818" fillId="8" borderId="1" xfId="0" applyNumberFormat="1" applyFont="1" applyFill="1" applyBorder="1" applyAlignment="1">
      <alignment horizontal="center" vertical="center"/>
    </xf>
    <xf numFmtId="1" fontId="18819" fillId="8" borderId="1" xfId="0" applyNumberFormat="1" applyFont="1" applyFill="1" applyBorder="1" applyAlignment="1">
      <alignment horizontal="center" vertical="center"/>
    </xf>
    <xf numFmtId="165" fontId="18820" fillId="8" borderId="1" xfId="0" applyNumberFormat="1" applyFont="1" applyFill="1" applyBorder="1" applyAlignment="1">
      <alignment horizontal="center" vertical="center"/>
    </xf>
    <xf numFmtId="165" fontId="18821" fillId="8" borderId="1" xfId="0" applyNumberFormat="1" applyFont="1" applyFill="1" applyBorder="1" applyAlignment="1">
      <alignment horizontal="center" vertical="center"/>
    </xf>
    <xf numFmtId="1" fontId="18822" fillId="8" borderId="1" xfId="0" applyNumberFormat="1" applyFont="1" applyFill="1" applyBorder="1" applyAlignment="1">
      <alignment horizontal="center" vertical="center"/>
    </xf>
    <xf numFmtId="1" fontId="18823" fillId="8" borderId="1" xfId="0" applyNumberFormat="1" applyFont="1" applyFill="1" applyBorder="1" applyAlignment="1">
      <alignment horizontal="center" vertical="center"/>
    </xf>
    <xf numFmtId="1" fontId="18824" fillId="8" borderId="1" xfId="0" applyNumberFormat="1" applyFont="1" applyFill="1" applyBorder="1" applyAlignment="1">
      <alignment horizontal="center" vertical="center"/>
    </xf>
    <xf numFmtId="165" fontId="18825" fillId="8" borderId="1" xfId="0" applyNumberFormat="1" applyFont="1" applyFill="1" applyBorder="1" applyAlignment="1">
      <alignment horizontal="center" vertical="center"/>
    </xf>
    <xf numFmtId="164" fontId="18826" fillId="8" borderId="1" xfId="0" applyNumberFormat="1" applyFont="1" applyFill="1" applyBorder="1" applyAlignment="1">
      <alignment horizontal="center" vertical="center"/>
    </xf>
    <xf numFmtId="164" fontId="18827" fillId="8" borderId="1" xfId="0" applyNumberFormat="1" applyFont="1" applyFill="1" applyBorder="1" applyAlignment="1">
      <alignment horizontal="center" vertical="center"/>
    </xf>
    <xf numFmtId="1" fontId="18828" fillId="8" borderId="1" xfId="0" applyNumberFormat="1" applyFont="1" applyFill="1" applyBorder="1" applyAlignment="1">
      <alignment horizontal="center" vertical="center"/>
    </xf>
    <xf numFmtId="1" fontId="18829" fillId="8" borderId="1" xfId="0" applyNumberFormat="1" applyFont="1" applyFill="1" applyBorder="1" applyAlignment="1">
      <alignment horizontal="center" vertical="center"/>
    </xf>
    <xf numFmtId="1" fontId="18830" fillId="8" borderId="1" xfId="0" applyNumberFormat="1" applyFont="1" applyFill="1" applyBorder="1" applyAlignment="1">
      <alignment horizontal="center" vertical="center"/>
    </xf>
    <xf numFmtId="165" fontId="18831" fillId="8" borderId="1" xfId="0" applyNumberFormat="1" applyFont="1" applyFill="1" applyBorder="1" applyAlignment="1">
      <alignment horizontal="center" vertical="center"/>
    </xf>
    <xf numFmtId="1" fontId="18832" fillId="8" borderId="1" xfId="0" applyNumberFormat="1" applyFont="1" applyFill="1" applyBorder="1" applyAlignment="1">
      <alignment horizontal="center" vertical="center"/>
    </xf>
    <xf numFmtId="165" fontId="18833" fillId="8" borderId="1" xfId="0" applyNumberFormat="1" applyFont="1" applyFill="1" applyBorder="1" applyAlignment="1">
      <alignment horizontal="center" vertical="center"/>
    </xf>
    <xf numFmtId="1" fontId="18834" fillId="8" borderId="1" xfId="0" applyNumberFormat="1" applyFont="1" applyFill="1" applyBorder="1" applyAlignment="1">
      <alignment horizontal="center" vertical="center"/>
    </xf>
    <xf numFmtId="1" fontId="18835" fillId="8" borderId="1" xfId="0" applyNumberFormat="1" applyFont="1" applyFill="1" applyBorder="1" applyAlignment="1">
      <alignment horizontal="center" vertical="center"/>
    </xf>
    <xf numFmtId="1" fontId="18836" fillId="8" borderId="1" xfId="0" applyNumberFormat="1" applyFont="1" applyFill="1" applyBorder="1" applyAlignment="1">
      <alignment horizontal="center" vertical="center"/>
    </xf>
    <xf numFmtId="1" fontId="18837" fillId="8" borderId="1" xfId="0" applyNumberFormat="1" applyFont="1" applyFill="1" applyBorder="1" applyAlignment="1">
      <alignment horizontal="center" vertical="center"/>
    </xf>
    <xf numFmtId="165" fontId="18838" fillId="8" borderId="1" xfId="0" applyNumberFormat="1" applyFont="1" applyFill="1" applyBorder="1" applyAlignment="1">
      <alignment horizontal="center" vertical="center"/>
    </xf>
    <xf numFmtId="1" fontId="18839" fillId="8" borderId="1" xfId="0" applyNumberFormat="1" applyFont="1" applyFill="1" applyBorder="1" applyAlignment="1">
      <alignment horizontal="center" vertical="center"/>
    </xf>
    <xf numFmtId="165" fontId="18840" fillId="8" borderId="1" xfId="0" applyNumberFormat="1" applyFont="1" applyFill="1" applyBorder="1" applyAlignment="1">
      <alignment horizontal="center" vertical="center"/>
    </xf>
    <xf numFmtId="1" fontId="18841" fillId="8" borderId="1" xfId="0" applyNumberFormat="1" applyFont="1" applyFill="1" applyBorder="1" applyAlignment="1">
      <alignment horizontal="center" vertical="center"/>
    </xf>
    <xf numFmtId="165" fontId="18842" fillId="8" borderId="1" xfId="0" applyNumberFormat="1" applyFont="1" applyFill="1" applyBorder="1" applyAlignment="1">
      <alignment horizontal="center" vertical="center"/>
    </xf>
    <xf numFmtId="2" fontId="18843" fillId="8" borderId="1" xfId="0" applyNumberFormat="1" applyFont="1" applyFill="1" applyBorder="1" applyAlignment="1">
      <alignment horizontal="center" vertical="center"/>
    </xf>
    <xf numFmtId="2" fontId="18844" fillId="8" borderId="1" xfId="0" applyNumberFormat="1" applyFont="1" applyFill="1" applyBorder="1" applyAlignment="1">
      <alignment horizontal="center" vertical="center"/>
    </xf>
    <xf numFmtId="2" fontId="18845" fillId="8" borderId="1" xfId="0" applyNumberFormat="1" applyFont="1" applyFill="1" applyBorder="1" applyAlignment="1">
      <alignment horizontal="center" vertical="center"/>
    </xf>
    <xf numFmtId="2" fontId="18846" fillId="8" borderId="1" xfId="0" applyNumberFormat="1" applyFont="1" applyFill="1" applyBorder="1" applyAlignment="1">
      <alignment horizontal="center" vertical="center"/>
    </xf>
    <xf numFmtId="2" fontId="18847" fillId="8" borderId="1" xfId="0" applyNumberFormat="1" applyFont="1" applyFill="1" applyBorder="1" applyAlignment="1">
      <alignment horizontal="center" vertical="center"/>
    </xf>
    <xf numFmtId="2" fontId="18848" fillId="8" borderId="1" xfId="0" applyNumberFormat="1" applyFont="1" applyFill="1" applyBorder="1" applyAlignment="1">
      <alignment horizontal="center" vertical="center"/>
    </xf>
    <xf numFmtId="2" fontId="18849" fillId="8" borderId="1" xfId="0" applyNumberFormat="1" applyFont="1" applyFill="1" applyBorder="1" applyAlignment="1">
      <alignment horizontal="center" vertical="center"/>
    </xf>
    <xf numFmtId="2" fontId="18850" fillId="8" borderId="1" xfId="0" applyNumberFormat="1" applyFont="1" applyFill="1" applyBorder="1" applyAlignment="1">
      <alignment horizontal="center" vertical="center"/>
    </xf>
    <xf numFmtId="2" fontId="18851" fillId="8" borderId="1" xfId="0" applyNumberFormat="1" applyFont="1" applyFill="1" applyBorder="1" applyAlignment="1">
      <alignment horizontal="center" vertical="center"/>
    </xf>
    <xf numFmtId="2" fontId="18852" fillId="8" borderId="1" xfId="0" applyNumberFormat="1" applyFont="1" applyFill="1" applyBorder="1" applyAlignment="1">
      <alignment horizontal="center" vertical="center"/>
    </xf>
    <xf numFmtId="2" fontId="18853" fillId="8" borderId="1" xfId="0" applyNumberFormat="1" applyFont="1" applyFill="1" applyBorder="1" applyAlignment="1">
      <alignment horizontal="center" vertical="center"/>
    </xf>
    <xf numFmtId="2" fontId="18854" fillId="8" borderId="1" xfId="0" applyNumberFormat="1" applyFont="1" applyFill="1" applyBorder="1" applyAlignment="1">
      <alignment horizontal="center" vertical="center"/>
    </xf>
    <xf numFmtId="2" fontId="18855" fillId="8" borderId="1" xfId="0" applyNumberFormat="1" applyFont="1" applyFill="1" applyBorder="1" applyAlignment="1">
      <alignment horizontal="center" vertical="center"/>
    </xf>
    <xf numFmtId="2" fontId="18856" fillId="8" borderId="1" xfId="0" applyNumberFormat="1" applyFont="1" applyFill="1" applyBorder="1" applyAlignment="1">
      <alignment horizontal="center" vertical="center"/>
    </xf>
    <xf numFmtId="2" fontId="18857" fillId="8" borderId="1" xfId="0" applyNumberFormat="1" applyFont="1" applyFill="1" applyBorder="1" applyAlignment="1">
      <alignment horizontal="center" vertical="center"/>
    </xf>
    <xf numFmtId="2" fontId="18858" fillId="8" borderId="1" xfId="0" applyNumberFormat="1" applyFont="1" applyFill="1" applyBorder="1" applyAlignment="1">
      <alignment horizontal="center" vertical="center"/>
    </xf>
    <xf numFmtId="2" fontId="18859" fillId="8" borderId="1" xfId="0" applyNumberFormat="1" applyFont="1" applyFill="1" applyBorder="1" applyAlignment="1">
      <alignment horizontal="center" vertical="center"/>
    </xf>
    <xf numFmtId="2" fontId="18860" fillId="8" borderId="1" xfId="0" applyNumberFormat="1" applyFont="1" applyFill="1" applyBorder="1" applyAlignment="1">
      <alignment horizontal="center" vertical="center"/>
    </xf>
    <xf numFmtId="2" fontId="18861" fillId="8" borderId="1" xfId="0" applyNumberFormat="1" applyFont="1" applyFill="1" applyBorder="1" applyAlignment="1">
      <alignment horizontal="center" vertical="center"/>
    </xf>
    <xf numFmtId="2" fontId="18862" fillId="8" borderId="1" xfId="0" applyNumberFormat="1" applyFont="1" applyFill="1" applyBorder="1" applyAlignment="1">
      <alignment horizontal="center" vertical="center"/>
    </xf>
    <xf numFmtId="2" fontId="18863" fillId="8" borderId="1" xfId="0" applyNumberFormat="1" applyFont="1" applyFill="1" applyBorder="1" applyAlignment="1">
      <alignment horizontal="center" vertical="center"/>
    </xf>
    <xf numFmtId="2" fontId="18864" fillId="8" borderId="1" xfId="0" applyNumberFormat="1" applyFont="1" applyFill="1" applyBorder="1" applyAlignment="1">
      <alignment horizontal="center" vertical="center"/>
    </xf>
    <xf numFmtId="2" fontId="18865" fillId="8" borderId="1" xfId="0" applyNumberFormat="1" applyFont="1" applyFill="1" applyBorder="1" applyAlignment="1">
      <alignment horizontal="center" vertical="center"/>
    </xf>
    <xf numFmtId="2" fontId="18866" fillId="8" borderId="1" xfId="0" applyNumberFormat="1" applyFont="1" applyFill="1" applyBorder="1" applyAlignment="1">
      <alignment horizontal="center" vertical="center"/>
    </xf>
    <xf numFmtId="2" fontId="18867" fillId="8" borderId="1" xfId="0" applyNumberFormat="1" applyFont="1" applyFill="1" applyBorder="1" applyAlignment="1">
      <alignment horizontal="center" vertical="center"/>
    </xf>
    <xf numFmtId="2" fontId="18868" fillId="8" borderId="1" xfId="0" applyNumberFormat="1" applyFont="1" applyFill="1" applyBorder="1" applyAlignment="1">
      <alignment horizontal="center" vertical="center"/>
    </xf>
    <xf numFmtId="2" fontId="18869" fillId="8" borderId="1" xfId="0" applyNumberFormat="1" applyFont="1" applyFill="1" applyBorder="1" applyAlignment="1">
      <alignment horizontal="center" vertical="center"/>
    </xf>
    <xf numFmtId="2" fontId="18870" fillId="8" borderId="1" xfId="0" applyNumberFormat="1" applyFont="1" applyFill="1" applyBorder="1" applyAlignment="1">
      <alignment horizontal="center" vertical="center"/>
    </xf>
    <xf numFmtId="2" fontId="18871" fillId="8" borderId="1" xfId="0" applyNumberFormat="1" applyFont="1" applyFill="1" applyBorder="1" applyAlignment="1">
      <alignment horizontal="center" vertical="center"/>
    </xf>
    <xf numFmtId="2" fontId="18872" fillId="8" borderId="1" xfId="0" applyNumberFormat="1" applyFont="1" applyFill="1" applyBorder="1" applyAlignment="1">
      <alignment horizontal="center" vertical="center"/>
    </xf>
    <xf numFmtId="2" fontId="18873" fillId="8" borderId="1" xfId="0" applyNumberFormat="1" applyFont="1" applyFill="1" applyBorder="1" applyAlignment="1">
      <alignment horizontal="center" vertical="center"/>
    </xf>
    <xf numFmtId="2" fontId="18874" fillId="8" borderId="1" xfId="0" applyNumberFormat="1" applyFont="1" applyFill="1" applyBorder="1" applyAlignment="1">
      <alignment horizontal="center" vertical="center"/>
    </xf>
    <xf numFmtId="2" fontId="18875" fillId="8" borderId="1" xfId="0" applyNumberFormat="1" applyFont="1" applyFill="1" applyBorder="1" applyAlignment="1">
      <alignment horizontal="center" vertical="center"/>
    </xf>
    <xf numFmtId="2" fontId="18876" fillId="8" borderId="1" xfId="0" applyNumberFormat="1" applyFont="1" applyFill="1" applyBorder="1" applyAlignment="1">
      <alignment horizontal="center" vertical="center"/>
    </xf>
    <xf numFmtId="0" fontId="18877" fillId="7" borderId="1" xfId="0" applyNumberFormat="1" applyFont="1" applyFill="1" applyBorder="1" applyAlignment="1">
      <alignment horizontal="left" vertical="center"/>
    </xf>
    <xf numFmtId="0" fontId="18878" fillId="8" borderId="1" xfId="0" applyNumberFormat="1" applyFont="1" applyFill="1" applyBorder="1" applyAlignment="1">
      <alignment horizontal="center" vertical="center"/>
    </xf>
    <xf numFmtId="164" fontId="18879" fillId="8" borderId="1" xfId="0" applyNumberFormat="1" applyFont="1" applyFill="1" applyBorder="1" applyAlignment="1">
      <alignment horizontal="center" vertical="center"/>
    </xf>
    <xf numFmtId="1" fontId="18880" fillId="8" borderId="1" xfId="0" applyNumberFormat="1" applyFont="1" applyFill="1" applyBorder="1" applyAlignment="1">
      <alignment horizontal="center" vertical="center"/>
    </xf>
    <xf numFmtId="1" fontId="18881" fillId="8" borderId="1" xfId="0" applyNumberFormat="1" applyFont="1" applyFill="1" applyBorder="1" applyAlignment="1">
      <alignment horizontal="center" vertical="center"/>
    </xf>
    <xf numFmtId="1" fontId="18882" fillId="8" borderId="1" xfId="0" applyNumberFormat="1" applyFont="1" applyFill="1" applyBorder="1" applyAlignment="1">
      <alignment horizontal="center" vertical="center"/>
    </xf>
    <xf numFmtId="1" fontId="18883" fillId="8" borderId="1" xfId="0" applyNumberFormat="1" applyFont="1" applyFill="1" applyBorder="1" applyAlignment="1">
      <alignment horizontal="center" vertical="center"/>
    </xf>
    <xf numFmtId="1" fontId="18884" fillId="8" borderId="1" xfId="0" applyNumberFormat="1" applyFont="1" applyFill="1" applyBorder="1" applyAlignment="1">
      <alignment horizontal="center" vertical="center"/>
    </xf>
    <xf numFmtId="1" fontId="18885" fillId="8" borderId="1" xfId="0" applyNumberFormat="1" applyFont="1" applyFill="1" applyBorder="1" applyAlignment="1">
      <alignment horizontal="center" vertical="center"/>
    </xf>
    <xf numFmtId="1" fontId="18886" fillId="8" borderId="1" xfId="0" applyNumberFormat="1" applyFont="1" applyFill="1" applyBorder="1" applyAlignment="1">
      <alignment horizontal="center" vertical="center"/>
    </xf>
    <xf numFmtId="0" fontId="18887" fillId="8" borderId="1" xfId="0" applyNumberFormat="1" applyFont="1" applyFill="1" applyBorder="1" applyAlignment="1">
      <alignment horizontal="center" vertical="center"/>
    </xf>
    <xf numFmtId="0" fontId="18888" fillId="8" borderId="1" xfId="0" applyNumberFormat="1" applyFont="1" applyFill="1" applyBorder="1" applyAlignment="1">
      <alignment horizontal="center" vertical="center"/>
    </xf>
    <xf numFmtId="1" fontId="18889" fillId="8" borderId="1" xfId="0" applyNumberFormat="1" applyFont="1" applyFill="1" applyBorder="1" applyAlignment="1">
      <alignment horizontal="center" vertical="center"/>
    </xf>
    <xf numFmtId="1" fontId="18890" fillId="8" borderId="1" xfId="0" applyNumberFormat="1" applyFont="1" applyFill="1" applyBorder="1" applyAlignment="1">
      <alignment horizontal="center" vertical="center"/>
    </xf>
    <xf numFmtId="1" fontId="18891" fillId="8" borderId="1" xfId="0" applyNumberFormat="1" applyFont="1" applyFill="1" applyBorder="1" applyAlignment="1">
      <alignment horizontal="center" vertical="center"/>
    </xf>
    <xf numFmtId="165" fontId="18892" fillId="8" borderId="1" xfId="0" applyNumberFormat="1" applyFont="1" applyFill="1" applyBorder="1" applyAlignment="1">
      <alignment horizontal="center" vertical="center"/>
    </xf>
    <xf numFmtId="1" fontId="18893" fillId="8" borderId="1" xfId="0" applyNumberFormat="1" applyFont="1" applyFill="1" applyBorder="1" applyAlignment="1">
      <alignment horizontal="center" vertical="center"/>
    </xf>
    <xf numFmtId="165" fontId="18894" fillId="8" borderId="1" xfId="0" applyNumberFormat="1" applyFont="1" applyFill="1" applyBorder="1" applyAlignment="1">
      <alignment horizontal="center" vertical="center"/>
    </xf>
    <xf numFmtId="1" fontId="18895" fillId="8" borderId="1" xfId="0" applyNumberFormat="1" applyFont="1" applyFill="1" applyBorder="1" applyAlignment="1">
      <alignment horizontal="center" vertical="center"/>
    </xf>
    <xf numFmtId="165" fontId="18896" fillId="8" borderId="1" xfId="0" applyNumberFormat="1" applyFont="1" applyFill="1" applyBorder="1" applyAlignment="1">
      <alignment horizontal="center" vertical="center"/>
    </xf>
    <xf numFmtId="1" fontId="18897" fillId="8" borderId="1" xfId="0" applyNumberFormat="1" applyFont="1" applyFill="1" applyBorder="1" applyAlignment="1">
      <alignment horizontal="center" vertical="center"/>
    </xf>
    <xf numFmtId="165" fontId="18898" fillId="8" borderId="1" xfId="0" applyNumberFormat="1" applyFont="1" applyFill="1" applyBorder="1" applyAlignment="1">
      <alignment horizontal="center" vertical="center"/>
    </xf>
    <xf numFmtId="165" fontId="18899" fillId="8" borderId="1" xfId="0" applyNumberFormat="1" applyFont="1" applyFill="1" applyBorder="1" applyAlignment="1">
      <alignment horizontal="center" vertical="center"/>
    </xf>
    <xf numFmtId="1" fontId="18900" fillId="8" borderId="1" xfId="0" applyNumberFormat="1" applyFont="1" applyFill="1" applyBorder="1" applyAlignment="1">
      <alignment horizontal="center" vertical="center"/>
    </xf>
    <xf numFmtId="1" fontId="18901" fillId="8" borderId="1" xfId="0" applyNumberFormat="1" applyFont="1" applyFill="1" applyBorder="1" applyAlignment="1">
      <alignment horizontal="center" vertical="center"/>
    </xf>
    <xf numFmtId="1" fontId="18902" fillId="8" borderId="1" xfId="0" applyNumberFormat="1" applyFont="1" applyFill="1" applyBorder="1" applyAlignment="1">
      <alignment horizontal="center" vertical="center"/>
    </xf>
    <xf numFmtId="165" fontId="18903" fillId="8" borderId="1" xfId="0" applyNumberFormat="1" applyFont="1" applyFill="1" applyBorder="1" applyAlignment="1">
      <alignment horizontal="center" vertical="center"/>
    </xf>
    <xf numFmtId="164" fontId="18904" fillId="8" borderId="1" xfId="0" applyNumberFormat="1" applyFont="1" applyFill="1" applyBorder="1" applyAlignment="1">
      <alignment horizontal="center" vertical="center"/>
    </xf>
    <xf numFmtId="164" fontId="18905" fillId="8" borderId="1" xfId="0" applyNumberFormat="1" applyFont="1" applyFill="1" applyBorder="1" applyAlignment="1">
      <alignment horizontal="center" vertical="center"/>
    </xf>
    <xf numFmtId="1" fontId="18906" fillId="8" borderId="1" xfId="0" applyNumberFormat="1" applyFont="1" applyFill="1" applyBorder="1" applyAlignment="1">
      <alignment horizontal="center" vertical="center"/>
    </xf>
    <xf numFmtId="1" fontId="18907" fillId="8" borderId="1" xfId="0" applyNumberFormat="1" applyFont="1" applyFill="1" applyBorder="1" applyAlignment="1">
      <alignment horizontal="center" vertical="center"/>
    </xf>
    <xf numFmtId="1" fontId="18908" fillId="8" borderId="1" xfId="0" applyNumberFormat="1" applyFont="1" applyFill="1" applyBorder="1" applyAlignment="1">
      <alignment horizontal="center" vertical="center"/>
    </xf>
    <xf numFmtId="165" fontId="18909" fillId="8" borderId="1" xfId="0" applyNumberFormat="1" applyFont="1" applyFill="1" applyBorder="1" applyAlignment="1">
      <alignment horizontal="center" vertical="center"/>
    </xf>
    <xf numFmtId="1" fontId="18910" fillId="8" borderId="1" xfId="0" applyNumberFormat="1" applyFont="1" applyFill="1" applyBorder="1" applyAlignment="1">
      <alignment horizontal="center" vertical="center"/>
    </xf>
    <xf numFmtId="165" fontId="18911" fillId="8" borderId="1" xfId="0" applyNumberFormat="1" applyFont="1" applyFill="1" applyBorder="1" applyAlignment="1">
      <alignment horizontal="center" vertical="center"/>
    </xf>
    <xf numFmtId="1" fontId="18912" fillId="8" borderId="1" xfId="0" applyNumberFormat="1" applyFont="1" applyFill="1" applyBorder="1" applyAlignment="1">
      <alignment horizontal="center" vertical="center"/>
    </xf>
    <xf numFmtId="1" fontId="18913" fillId="8" borderId="1" xfId="0" applyNumberFormat="1" applyFont="1" applyFill="1" applyBorder="1" applyAlignment="1">
      <alignment horizontal="center" vertical="center"/>
    </xf>
    <xf numFmtId="1" fontId="18914" fillId="8" borderId="1" xfId="0" applyNumberFormat="1" applyFont="1" applyFill="1" applyBorder="1" applyAlignment="1">
      <alignment horizontal="center" vertical="center"/>
    </xf>
    <xf numFmtId="1" fontId="18915" fillId="8" borderId="1" xfId="0" applyNumberFormat="1" applyFont="1" applyFill="1" applyBorder="1" applyAlignment="1">
      <alignment horizontal="center" vertical="center"/>
    </xf>
    <xf numFmtId="165" fontId="18916" fillId="8" borderId="1" xfId="0" applyNumberFormat="1" applyFont="1" applyFill="1" applyBorder="1" applyAlignment="1">
      <alignment horizontal="center" vertical="center"/>
    </xf>
    <xf numFmtId="1" fontId="18917" fillId="8" borderId="1" xfId="0" applyNumberFormat="1" applyFont="1" applyFill="1" applyBorder="1" applyAlignment="1">
      <alignment horizontal="center" vertical="center"/>
    </xf>
    <xf numFmtId="165" fontId="18918" fillId="8" borderId="1" xfId="0" applyNumberFormat="1" applyFont="1" applyFill="1" applyBorder="1" applyAlignment="1">
      <alignment horizontal="center" vertical="center"/>
    </xf>
    <xf numFmtId="1" fontId="18919" fillId="8" borderId="1" xfId="0" applyNumberFormat="1" applyFont="1" applyFill="1" applyBorder="1" applyAlignment="1">
      <alignment horizontal="center" vertical="center"/>
    </xf>
    <xf numFmtId="165" fontId="18920" fillId="8" borderId="1" xfId="0" applyNumberFormat="1" applyFont="1" applyFill="1" applyBorder="1" applyAlignment="1">
      <alignment horizontal="center" vertical="center"/>
    </xf>
    <xf numFmtId="2" fontId="18921" fillId="8" borderId="1" xfId="0" applyNumberFormat="1" applyFont="1" applyFill="1" applyBorder="1" applyAlignment="1">
      <alignment horizontal="center" vertical="center"/>
    </xf>
    <xf numFmtId="2" fontId="18922" fillId="8" borderId="1" xfId="0" applyNumberFormat="1" applyFont="1" applyFill="1" applyBorder="1" applyAlignment="1">
      <alignment horizontal="center" vertical="center"/>
    </xf>
    <xf numFmtId="2" fontId="18923" fillId="8" borderId="1" xfId="0" applyNumberFormat="1" applyFont="1" applyFill="1" applyBorder="1" applyAlignment="1">
      <alignment horizontal="center" vertical="center"/>
    </xf>
    <xf numFmtId="2" fontId="18924" fillId="8" borderId="1" xfId="0" applyNumberFormat="1" applyFont="1" applyFill="1" applyBorder="1" applyAlignment="1">
      <alignment horizontal="center" vertical="center"/>
    </xf>
    <xf numFmtId="2" fontId="18925" fillId="8" borderId="1" xfId="0" applyNumberFormat="1" applyFont="1" applyFill="1" applyBorder="1" applyAlignment="1">
      <alignment horizontal="center" vertical="center"/>
    </xf>
    <xf numFmtId="2" fontId="18926" fillId="8" borderId="1" xfId="0" applyNumberFormat="1" applyFont="1" applyFill="1" applyBorder="1" applyAlignment="1">
      <alignment horizontal="center" vertical="center"/>
    </xf>
    <xf numFmtId="2" fontId="18927" fillId="8" borderId="1" xfId="0" applyNumberFormat="1" applyFont="1" applyFill="1" applyBorder="1" applyAlignment="1">
      <alignment horizontal="center" vertical="center"/>
    </xf>
    <xf numFmtId="2" fontId="18928" fillId="8" borderId="1" xfId="0" applyNumberFormat="1" applyFont="1" applyFill="1" applyBorder="1" applyAlignment="1">
      <alignment horizontal="center" vertical="center"/>
    </xf>
    <xf numFmtId="2" fontId="18929" fillId="8" borderId="1" xfId="0" applyNumberFormat="1" applyFont="1" applyFill="1" applyBorder="1" applyAlignment="1">
      <alignment horizontal="center" vertical="center"/>
    </xf>
    <xf numFmtId="2" fontId="18930" fillId="8" borderId="1" xfId="0" applyNumberFormat="1" applyFont="1" applyFill="1" applyBorder="1" applyAlignment="1">
      <alignment horizontal="center" vertical="center"/>
    </xf>
    <xf numFmtId="2" fontId="18931" fillId="8" borderId="1" xfId="0" applyNumberFormat="1" applyFont="1" applyFill="1" applyBorder="1" applyAlignment="1">
      <alignment horizontal="center" vertical="center"/>
    </xf>
    <xf numFmtId="2" fontId="18932" fillId="8" borderId="1" xfId="0" applyNumberFormat="1" applyFont="1" applyFill="1" applyBorder="1" applyAlignment="1">
      <alignment horizontal="center" vertical="center"/>
    </xf>
    <xf numFmtId="2" fontId="18933" fillId="8" borderId="1" xfId="0" applyNumberFormat="1" applyFont="1" applyFill="1" applyBorder="1" applyAlignment="1">
      <alignment horizontal="center" vertical="center"/>
    </xf>
    <xf numFmtId="2" fontId="18934" fillId="8" borderId="1" xfId="0" applyNumberFormat="1" applyFont="1" applyFill="1" applyBorder="1" applyAlignment="1">
      <alignment horizontal="center" vertical="center"/>
    </xf>
    <xf numFmtId="2" fontId="18935" fillId="8" borderId="1" xfId="0" applyNumberFormat="1" applyFont="1" applyFill="1" applyBorder="1" applyAlignment="1">
      <alignment horizontal="center" vertical="center"/>
    </xf>
    <xf numFmtId="2" fontId="18936" fillId="8" borderId="1" xfId="0" applyNumberFormat="1" applyFont="1" applyFill="1" applyBorder="1" applyAlignment="1">
      <alignment horizontal="center" vertical="center"/>
    </xf>
    <xf numFmtId="2" fontId="18937" fillId="8" borderId="1" xfId="0" applyNumberFormat="1" applyFont="1" applyFill="1" applyBorder="1" applyAlignment="1">
      <alignment horizontal="center" vertical="center"/>
    </xf>
    <xf numFmtId="2" fontId="18938" fillId="8" borderId="1" xfId="0" applyNumberFormat="1" applyFont="1" applyFill="1" applyBorder="1" applyAlignment="1">
      <alignment horizontal="center" vertical="center"/>
    </xf>
    <xf numFmtId="2" fontId="18939" fillId="8" borderId="1" xfId="0" applyNumberFormat="1" applyFont="1" applyFill="1" applyBorder="1" applyAlignment="1">
      <alignment horizontal="center" vertical="center"/>
    </xf>
    <xf numFmtId="2" fontId="18940" fillId="8" borderId="1" xfId="0" applyNumberFormat="1" applyFont="1" applyFill="1" applyBorder="1" applyAlignment="1">
      <alignment horizontal="center" vertical="center"/>
    </xf>
    <xf numFmtId="2" fontId="18941" fillId="8" borderId="1" xfId="0" applyNumberFormat="1" applyFont="1" applyFill="1" applyBorder="1" applyAlignment="1">
      <alignment horizontal="center" vertical="center"/>
    </xf>
    <xf numFmtId="2" fontId="18942" fillId="8" borderId="1" xfId="0" applyNumberFormat="1" applyFont="1" applyFill="1" applyBorder="1" applyAlignment="1">
      <alignment horizontal="center" vertical="center"/>
    </xf>
    <xf numFmtId="2" fontId="18943" fillId="8" borderId="1" xfId="0" applyNumberFormat="1" applyFont="1" applyFill="1" applyBorder="1" applyAlignment="1">
      <alignment horizontal="center" vertical="center"/>
    </xf>
    <xf numFmtId="2" fontId="18944" fillId="8" borderId="1" xfId="0" applyNumberFormat="1" applyFont="1" applyFill="1" applyBorder="1" applyAlignment="1">
      <alignment horizontal="center" vertical="center"/>
    </xf>
    <xf numFmtId="2" fontId="18945" fillId="8" borderId="1" xfId="0" applyNumberFormat="1" applyFont="1" applyFill="1" applyBorder="1" applyAlignment="1">
      <alignment horizontal="center" vertical="center"/>
    </xf>
    <xf numFmtId="2" fontId="18946" fillId="8" borderId="1" xfId="0" applyNumberFormat="1" applyFont="1" applyFill="1" applyBorder="1" applyAlignment="1">
      <alignment horizontal="center" vertical="center"/>
    </xf>
    <xf numFmtId="2" fontId="18947" fillId="8" borderId="1" xfId="0" applyNumberFormat="1" applyFont="1" applyFill="1" applyBorder="1" applyAlignment="1">
      <alignment horizontal="center" vertical="center"/>
    </xf>
    <xf numFmtId="2" fontId="18948" fillId="8" borderId="1" xfId="0" applyNumberFormat="1" applyFont="1" applyFill="1" applyBorder="1" applyAlignment="1">
      <alignment horizontal="center" vertical="center"/>
    </xf>
    <xf numFmtId="2" fontId="18949" fillId="8" borderId="1" xfId="0" applyNumberFormat="1" applyFont="1" applyFill="1" applyBorder="1" applyAlignment="1">
      <alignment horizontal="center" vertical="center"/>
    </xf>
    <xf numFmtId="2" fontId="18950" fillId="8" borderId="1" xfId="0" applyNumberFormat="1" applyFont="1" applyFill="1" applyBorder="1" applyAlignment="1">
      <alignment horizontal="center" vertical="center"/>
    </xf>
    <xf numFmtId="2" fontId="18951" fillId="8" borderId="1" xfId="0" applyNumberFormat="1" applyFont="1" applyFill="1" applyBorder="1" applyAlignment="1">
      <alignment horizontal="center" vertical="center"/>
    </xf>
    <xf numFmtId="2" fontId="18952" fillId="8" borderId="1" xfId="0" applyNumberFormat="1" applyFont="1" applyFill="1" applyBorder="1" applyAlignment="1">
      <alignment horizontal="center" vertical="center"/>
    </xf>
    <xf numFmtId="2" fontId="18953" fillId="8" borderId="1" xfId="0" applyNumberFormat="1" applyFont="1" applyFill="1" applyBorder="1" applyAlignment="1">
      <alignment horizontal="center" vertical="center"/>
    </xf>
    <xf numFmtId="2" fontId="18954" fillId="8" borderId="1" xfId="0" applyNumberFormat="1" applyFont="1" applyFill="1" applyBorder="1" applyAlignment="1">
      <alignment horizontal="center" vertical="center"/>
    </xf>
    <xf numFmtId="0" fontId="18955" fillId="7" borderId="1" xfId="0" applyNumberFormat="1" applyFont="1" applyFill="1" applyBorder="1" applyAlignment="1">
      <alignment horizontal="left" vertical="center"/>
    </xf>
    <xf numFmtId="0" fontId="18956" fillId="8" borderId="1" xfId="0" applyNumberFormat="1" applyFont="1" applyFill="1" applyBorder="1" applyAlignment="1">
      <alignment horizontal="center" vertical="center"/>
    </xf>
    <xf numFmtId="164" fontId="18957" fillId="8" borderId="1" xfId="0" applyNumberFormat="1" applyFont="1" applyFill="1" applyBorder="1" applyAlignment="1">
      <alignment horizontal="center" vertical="center"/>
    </xf>
    <xf numFmtId="1" fontId="18958" fillId="8" borderId="1" xfId="0" applyNumberFormat="1" applyFont="1" applyFill="1" applyBorder="1" applyAlignment="1">
      <alignment horizontal="center" vertical="center"/>
    </xf>
    <xf numFmtId="1" fontId="18959" fillId="8" borderId="1" xfId="0" applyNumberFormat="1" applyFont="1" applyFill="1" applyBorder="1" applyAlignment="1">
      <alignment horizontal="center" vertical="center"/>
    </xf>
    <xf numFmtId="1" fontId="18960" fillId="8" borderId="1" xfId="0" applyNumberFormat="1" applyFont="1" applyFill="1" applyBorder="1" applyAlignment="1">
      <alignment horizontal="center" vertical="center"/>
    </xf>
    <xf numFmtId="1" fontId="18961" fillId="8" borderId="1" xfId="0" applyNumberFormat="1" applyFont="1" applyFill="1" applyBorder="1" applyAlignment="1">
      <alignment horizontal="center" vertical="center"/>
    </xf>
    <xf numFmtId="1" fontId="18962" fillId="8" borderId="1" xfId="0" applyNumberFormat="1" applyFont="1" applyFill="1" applyBorder="1" applyAlignment="1">
      <alignment horizontal="center" vertical="center"/>
    </xf>
    <xf numFmtId="1" fontId="18963" fillId="8" borderId="1" xfId="0" applyNumberFormat="1" applyFont="1" applyFill="1" applyBorder="1" applyAlignment="1">
      <alignment horizontal="center" vertical="center"/>
    </xf>
    <xf numFmtId="1" fontId="18964" fillId="8" borderId="1" xfId="0" applyNumberFormat="1" applyFont="1" applyFill="1" applyBorder="1" applyAlignment="1">
      <alignment horizontal="center" vertical="center"/>
    </xf>
    <xf numFmtId="0" fontId="18965" fillId="8" borderId="1" xfId="0" applyNumberFormat="1" applyFont="1" applyFill="1" applyBorder="1" applyAlignment="1">
      <alignment horizontal="center" vertical="center"/>
    </xf>
    <xf numFmtId="0" fontId="18966" fillId="8" borderId="1" xfId="0" applyNumberFormat="1" applyFont="1" applyFill="1" applyBorder="1" applyAlignment="1">
      <alignment horizontal="center" vertical="center"/>
    </xf>
    <xf numFmtId="1" fontId="18967" fillId="8" borderId="1" xfId="0" applyNumberFormat="1" applyFont="1" applyFill="1" applyBorder="1" applyAlignment="1">
      <alignment horizontal="center" vertical="center"/>
    </xf>
    <xf numFmtId="1" fontId="18968" fillId="8" borderId="1" xfId="0" applyNumberFormat="1" applyFont="1" applyFill="1" applyBorder="1" applyAlignment="1">
      <alignment horizontal="center" vertical="center"/>
    </xf>
    <xf numFmtId="1" fontId="18969" fillId="8" borderId="1" xfId="0" applyNumberFormat="1" applyFont="1" applyFill="1" applyBorder="1" applyAlignment="1">
      <alignment horizontal="center" vertical="center"/>
    </xf>
    <xf numFmtId="165" fontId="18970" fillId="8" borderId="1" xfId="0" applyNumberFormat="1" applyFont="1" applyFill="1" applyBorder="1" applyAlignment="1">
      <alignment horizontal="center" vertical="center"/>
    </xf>
    <xf numFmtId="1" fontId="18971" fillId="8" borderId="1" xfId="0" applyNumberFormat="1" applyFont="1" applyFill="1" applyBorder="1" applyAlignment="1">
      <alignment horizontal="center" vertical="center"/>
    </xf>
    <xf numFmtId="165" fontId="18972" fillId="8" borderId="1" xfId="0" applyNumberFormat="1" applyFont="1" applyFill="1" applyBorder="1" applyAlignment="1">
      <alignment horizontal="center" vertical="center"/>
    </xf>
    <xf numFmtId="1" fontId="18973" fillId="8" borderId="1" xfId="0" applyNumberFormat="1" applyFont="1" applyFill="1" applyBorder="1" applyAlignment="1">
      <alignment horizontal="center" vertical="center"/>
    </xf>
    <xf numFmtId="165" fontId="18974" fillId="8" borderId="1" xfId="0" applyNumberFormat="1" applyFont="1" applyFill="1" applyBorder="1" applyAlignment="1">
      <alignment horizontal="center" vertical="center"/>
    </xf>
    <xf numFmtId="1" fontId="18975" fillId="8" borderId="1" xfId="0" applyNumberFormat="1" applyFont="1" applyFill="1" applyBorder="1" applyAlignment="1">
      <alignment horizontal="center" vertical="center"/>
    </xf>
    <xf numFmtId="165" fontId="18976" fillId="8" borderId="1" xfId="0" applyNumberFormat="1" applyFont="1" applyFill="1" applyBorder="1" applyAlignment="1">
      <alignment horizontal="center" vertical="center"/>
    </xf>
    <xf numFmtId="165" fontId="18977" fillId="8" borderId="1" xfId="0" applyNumberFormat="1" applyFont="1" applyFill="1" applyBorder="1" applyAlignment="1">
      <alignment horizontal="center" vertical="center"/>
    </xf>
    <xf numFmtId="1" fontId="18978" fillId="8" borderId="1" xfId="0" applyNumberFormat="1" applyFont="1" applyFill="1" applyBorder="1" applyAlignment="1">
      <alignment horizontal="center" vertical="center"/>
    </xf>
    <xf numFmtId="1" fontId="18979" fillId="8" borderId="1" xfId="0" applyNumberFormat="1" applyFont="1" applyFill="1" applyBorder="1" applyAlignment="1">
      <alignment horizontal="center" vertical="center"/>
    </xf>
    <xf numFmtId="1" fontId="18980" fillId="8" borderId="1" xfId="0" applyNumberFormat="1" applyFont="1" applyFill="1" applyBorder="1" applyAlignment="1">
      <alignment horizontal="center" vertical="center"/>
    </xf>
    <xf numFmtId="165" fontId="18981" fillId="8" borderId="1" xfId="0" applyNumberFormat="1" applyFont="1" applyFill="1" applyBorder="1" applyAlignment="1">
      <alignment horizontal="center" vertical="center"/>
    </xf>
    <xf numFmtId="164" fontId="18982" fillId="8" borderId="1" xfId="0" applyNumberFormat="1" applyFont="1" applyFill="1" applyBorder="1" applyAlignment="1">
      <alignment horizontal="center" vertical="center"/>
    </xf>
    <xf numFmtId="164" fontId="18983" fillId="8" borderId="1" xfId="0" applyNumberFormat="1" applyFont="1" applyFill="1" applyBorder="1" applyAlignment="1">
      <alignment horizontal="center" vertical="center"/>
    </xf>
    <xf numFmtId="1" fontId="18984" fillId="8" borderId="1" xfId="0" applyNumberFormat="1" applyFont="1" applyFill="1" applyBorder="1" applyAlignment="1">
      <alignment horizontal="center" vertical="center"/>
    </xf>
    <xf numFmtId="1" fontId="18985" fillId="8" borderId="1" xfId="0" applyNumberFormat="1" applyFont="1" applyFill="1" applyBorder="1" applyAlignment="1">
      <alignment horizontal="center" vertical="center"/>
    </xf>
    <xf numFmtId="1" fontId="18986" fillId="8" borderId="1" xfId="0" applyNumberFormat="1" applyFont="1" applyFill="1" applyBorder="1" applyAlignment="1">
      <alignment horizontal="center" vertical="center"/>
    </xf>
    <xf numFmtId="165" fontId="18987" fillId="8" borderId="1" xfId="0" applyNumberFormat="1" applyFont="1" applyFill="1" applyBorder="1" applyAlignment="1">
      <alignment horizontal="center" vertical="center"/>
    </xf>
    <xf numFmtId="1" fontId="18988" fillId="8" borderId="1" xfId="0" applyNumberFormat="1" applyFont="1" applyFill="1" applyBorder="1" applyAlignment="1">
      <alignment horizontal="center" vertical="center"/>
    </xf>
    <xf numFmtId="165" fontId="18989" fillId="8" borderId="1" xfId="0" applyNumberFormat="1" applyFont="1" applyFill="1" applyBorder="1" applyAlignment="1">
      <alignment horizontal="center" vertical="center"/>
    </xf>
    <xf numFmtId="1" fontId="18990" fillId="8" borderId="1" xfId="0" applyNumberFormat="1" applyFont="1" applyFill="1" applyBorder="1" applyAlignment="1">
      <alignment horizontal="center" vertical="center"/>
    </xf>
    <xf numFmtId="1" fontId="18991" fillId="8" borderId="1" xfId="0" applyNumberFormat="1" applyFont="1" applyFill="1" applyBorder="1" applyAlignment="1">
      <alignment horizontal="center" vertical="center"/>
    </xf>
    <xf numFmtId="1" fontId="18992" fillId="8" borderId="1" xfId="0" applyNumberFormat="1" applyFont="1" applyFill="1" applyBorder="1" applyAlignment="1">
      <alignment horizontal="center" vertical="center"/>
    </xf>
    <xf numFmtId="1" fontId="18993" fillId="8" borderId="1" xfId="0" applyNumberFormat="1" applyFont="1" applyFill="1" applyBorder="1" applyAlignment="1">
      <alignment horizontal="center" vertical="center"/>
    </xf>
    <xf numFmtId="165" fontId="18994" fillId="8" borderId="1" xfId="0" applyNumberFormat="1" applyFont="1" applyFill="1" applyBorder="1" applyAlignment="1">
      <alignment horizontal="center" vertical="center"/>
    </xf>
    <xf numFmtId="1" fontId="18995" fillId="8" borderId="1" xfId="0" applyNumberFormat="1" applyFont="1" applyFill="1" applyBorder="1" applyAlignment="1">
      <alignment horizontal="center" vertical="center"/>
    </xf>
    <xf numFmtId="165" fontId="18996" fillId="8" borderId="1" xfId="0" applyNumberFormat="1" applyFont="1" applyFill="1" applyBorder="1" applyAlignment="1">
      <alignment horizontal="center" vertical="center"/>
    </xf>
    <xf numFmtId="1" fontId="18997" fillId="8" borderId="1" xfId="0" applyNumberFormat="1" applyFont="1" applyFill="1" applyBorder="1" applyAlignment="1">
      <alignment horizontal="center" vertical="center"/>
    </xf>
    <xf numFmtId="165" fontId="18998" fillId="8" borderId="1" xfId="0" applyNumberFormat="1" applyFont="1" applyFill="1" applyBorder="1" applyAlignment="1">
      <alignment horizontal="center" vertical="center"/>
    </xf>
    <xf numFmtId="2" fontId="18999" fillId="8" borderId="1" xfId="0" applyNumberFormat="1" applyFont="1" applyFill="1" applyBorder="1" applyAlignment="1">
      <alignment horizontal="center" vertical="center"/>
    </xf>
    <xf numFmtId="2" fontId="19000" fillId="8" borderId="1" xfId="0" applyNumberFormat="1" applyFont="1" applyFill="1" applyBorder="1" applyAlignment="1">
      <alignment horizontal="center" vertical="center"/>
    </xf>
    <xf numFmtId="2" fontId="19001" fillId="8" borderId="1" xfId="0" applyNumberFormat="1" applyFont="1" applyFill="1" applyBorder="1" applyAlignment="1">
      <alignment horizontal="center" vertical="center"/>
    </xf>
    <xf numFmtId="2" fontId="19002" fillId="8" borderId="1" xfId="0" applyNumberFormat="1" applyFont="1" applyFill="1" applyBorder="1" applyAlignment="1">
      <alignment horizontal="center" vertical="center"/>
    </xf>
    <xf numFmtId="2" fontId="19003" fillId="8" borderId="1" xfId="0" applyNumberFormat="1" applyFont="1" applyFill="1" applyBorder="1" applyAlignment="1">
      <alignment horizontal="center" vertical="center"/>
    </xf>
    <xf numFmtId="2" fontId="19004" fillId="8" borderId="1" xfId="0" applyNumberFormat="1" applyFont="1" applyFill="1" applyBorder="1" applyAlignment="1">
      <alignment horizontal="center" vertical="center"/>
    </xf>
    <xf numFmtId="2" fontId="19005" fillId="8" borderId="1" xfId="0" applyNumberFormat="1" applyFont="1" applyFill="1" applyBorder="1" applyAlignment="1">
      <alignment horizontal="center" vertical="center"/>
    </xf>
    <xf numFmtId="2" fontId="19006" fillId="8" borderId="1" xfId="0" applyNumberFormat="1" applyFont="1" applyFill="1" applyBorder="1" applyAlignment="1">
      <alignment horizontal="center" vertical="center"/>
    </xf>
    <xf numFmtId="2" fontId="19007" fillId="8" borderId="1" xfId="0" applyNumberFormat="1" applyFont="1" applyFill="1" applyBorder="1" applyAlignment="1">
      <alignment horizontal="center" vertical="center"/>
    </xf>
    <xf numFmtId="2" fontId="19008" fillId="8" borderId="1" xfId="0" applyNumberFormat="1" applyFont="1" applyFill="1" applyBorder="1" applyAlignment="1">
      <alignment horizontal="center" vertical="center"/>
    </xf>
    <xf numFmtId="2" fontId="19009" fillId="8" borderId="1" xfId="0" applyNumberFormat="1" applyFont="1" applyFill="1" applyBorder="1" applyAlignment="1">
      <alignment horizontal="center" vertical="center"/>
    </xf>
    <xf numFmtId="2" fontId="19010" fillId="8" borderId="1" xfId="0" applyNumberFormat="1" applyFont="1" applyFill="1" applyBorder="1" applyAlignment="1">
      <alignment horizontal="center" vertical="center"/>
    </xf>
    <xf numFmtId="2" fontId="19011" fillId="8" borderId="1" xfId="0" applyNumberFormat="1" applyFont="1" applyFill="1" applyBorder="1" applyAlignment="1">
      <alignment horizontal="center" vertical="center"/>
    </xf>
    <xf numFmtId="2" fontId="19012" fillId="8" borderId="1" xfId="0" applyNumberFormat="1" applyFont="1" applyFill="1" applyBorder="1" applyAlignment="1">
      <alignment horizontal="center" vertical="center"/>
    </xf>
    <xf numFmtId="2" fontId="19013" fillId="8" borderId="1" xfId="0" applyNumberFormat="1" applyFont="1" applyFill="1" applyBorder="1" applyAlignment="1">
      <alignment horizontal="center" vertical="center"/>
    </xf>
    <xf numFmtId="2" fontId="19014" fillId="8" borderId="1" xfId="0" applyNumberFormat="1" applyFont="1" applyFill="1" applyBorder="1" applyAlignment="1">
      <alignment horizontal="center" vertical="center"/>
    </xf>
    <xf numFmtId="2" fontId="19015" fillId="8" borderId="1" xfId="0" applyNumberFormat="1" applyFont="1" applyFill="1" applyBorder="1" applyAlignment="1">
      <alignment horizontal="center" vertical="center"/>
    </xf>
    <xf numFmtId="2" fontId="19016" fillId="8" borderId="1" xfId="0" applyNumberFormat="1" applyFont="1" applyFill="1" applyBorder="1" applyAlignment="1">
      <alignment horizontal="center" vertical="center"/>
    </xf>
    <xf numFmtId="2" fontId="19017" fillId="8" borderId="1" xfId="0" applyNumberFormat="1" applyFont="1" applyFill="1" applyBorder="1" applyAlignment="1">
      <alignment horizontal="center" vertical="center"/>
    </xf>
    <xf numFmtId="2" fontId="19018" fillId="8" borderId="1" xfId="0" applyNumberFormat="1" applyFont="1" applyFill="1" applyBorder="1" applyAlignment="1">
      <alignment horizontal="center" vertical="center"/>
    </xf>
    <xf numFmtId="2" fontId="19019" fillId="8" borderId="1" xfId="0" applyNumberFormat="1" applyFont="1" applyFill="1" applyBorder="1" applyAlignment="1">
      <alignment horizontal="center" vertical="center"/>
    </xf>
    <xf numFmtId="2" fontId="19020" fillId="8" borderId="1" xfId="0" applyNumberFormat="1" applyFont="1" applyFill="1" applyBorder="1" applyAlignment="1">
      <alignment horizontal="center" vertical="center"/>
    </xf>
    <xf numFmtId="2" fontId="19021" fillId="8" borderId="1" xfId="0" applyNumberFormat="1" applyFont="1" applyFill="1" applyBorder="1" applyAlignment="1">
      <alignment horizontal="center" vertical="center"/>
    </xf>
    <xf numFmtId="2" fontId="19022" fillId="8" borderId="1" xfId="0" applyNumberFormat="1" applyFont="1" applyFill="1" applyBorder="1" applyAlignment="1">
      <alignment horizontal="center" vertical="center"/>
    </xf>
    <xf numFmtId="2" fontId="19023" fillId="8" borderId="1" xfId="0" applyNumberFormat="1" applyFont="1" applyFill="1" applyBorder="1" applyAlignment="1">
      <alignment horizontal="center" vertical="center"/>
    </xf>
    <xf numFmtId="2" fontId="19024" fillId="8" borderId="1" xfId="0" applyNumberFormat="1" applyFont="1" applyFill="1" applyBorder="1" applyAlignment="1">
      <alignment horizontal="center" vertical="center"/>
    </xf>
    <xf numFmtId="2" fontId="19025" fillId="8" borderId="1" xfId="0" applyNumberFormat="1" applyFont="1" applyFill="1" applyBorder="1" applyAlignment="1">
      <alignment horizontal="center" vertical="center"/>
    </xf>
    <xf numFmtId="2" fontId="19026" fillId="8" borderId="1" xfId="0" applyNumberFormat="1" applyFont="1" applyFill="1" applyBorder="1" applyAlignment="1">
      <alignment horizontal="center" vertical="center"/>
    </xf>
    <xf numFmtId="2" fontId="19027" fillId="8" borderId="1" xfId="0" applyNumberFormat="1" applyFont="1" applyFill="1" applyBorder="1" applyAlignment="1">
      <alignment horizontal="center" vertical="center"/>
    </xf>
    <xf numFmtId="2" fontId="19028" fillId="8" borderId="1" xfId="0" applyNumberFormat="1" applyFont="1" applyFill="1" applyBorder="1" applyAlignment="1">
      <alignment horizontal="center" vertical="center"/>
    </xf>
    <xf numFmtId="2" fontId="19029" fillId="8" borderId="1" xfId="0" applyNumberFormat="1" applyFont="1" applyFill="1" applyBorder="1" applyAlignment="1">
      <alignment horizontal="center" vertical="center"/>
    </xf>
    <xf numFmtId="2" fontId="19030" fillId="8" borderId="1" xfId="0" applyNumberFormat="1" applyFont="1" applyFill="1" applyBorder="1" applyAlignment="1">
      <alignment horizontal="center" vertical="center"/>
    </xf>
    <xf numFmtId="2" fontId="19031" fillId="8" borderId="1" xfId="0" applyNumberFormat="1" applyFont="1" applyFill="1" applyBorder="1" applyAlignment="1">
      <alignment horizontal="center" vertical="center"/>
    </xf>
    <xf numFmtId="2" fontId="19032" fillId="8" borderId="1" xfId="0" applyNumberFormat="1" applyFont="1" applyFill="1" applyBorder="1" applyAlignment="1">
      <alignment horizontal="center" vertical="center"/>
    </xf>
    <xf numFmtId="0" fontId="19033" fillId="7" borderId="1" xfId="0" applyNumberFormat="1" applyFont="1" applyFill="1" applyBorder="1" applyAlignment="1">
      <alignment horizontal="left" vertical="center"/>
    </xf>
    <xf numFmtId="0" fontId="19034" fillId="8" borderId="1" xfId="0" applyNumberFormat="1" applyFont="1" applyFill="1" applyBorder="1" applyAlignment="1">
      <alignment horizontal="center" vertical="center"/>
    </xf>
    <xf numFmtId="164" fontId="19035" fillId="8" borderId="1" xfId="0" applyNumberFormat="1" applyFont="1" applyFill="1" applyBorder="1" applyAlignment="1">
      <alignment horizontal="center" vertical="center"/>
    </xf>
    <xf numFmtId="1" fontId="19036" fillId="8" borderId="1" xfId="0" applyNumberFormat="1" applyFont="1" applyFill="1" applyBorder="1" applyAlignment="1">
      <alignment horizontal="center" vertical="center"/>
    </xf>
    <xf numFmtId="1" fontId="19037" fillId="8" borderId="1" xfId="0" applyNumberFormat="1" applyFont="1" applyFill="1" applyBorder="1" applyAlignment="1">
      <alignment horizontal="center" vertical="center"/>
    </xf>
    <xf numFmtId="1" fontId="19038" fillId="8" borderId="1" xfId="0" applyNumberFormat="1" applyFont="1" applyFill="1" applyBorder="1" applyAlignment="1">
      <alignment horizontal="center" vertical="center"/>
    </xf>
    <xf numFmtId="1" fontId="19039" fillId="8" borderId="1" xfId="0" applyNumberFormat="1" applyFont="1" applyFill="1" applyBorder="1" applyAlignment="1">
      <alignment horizontal="center" vertical="center"/>
    </xf>
    <xf numFmtId="1" fontId="19040" fillId="8" borderId="1" xfId="0" applyNumberFormat="1" applyFont="1" applyFill="1" applyBorder="1" applyAlignment="1">
      <alignment horizontal="center" vertical="center"/>
    </xf>
    <xf numFmtId="1" fontId="19041" fillId="8" borderId="1" xfId="0" applyNumberFormat="1" applyFont="1" applyFill="1" applyBorder="1" applyAlignment="1">
      <alignment horizontal="center" vertical="center"/>
    </xf>
    <xf numFmtId="1" fontId="19042" fillId="8" borderId="1" xfId="0" applyNumberFormat="1" applyFont="1" applyFill="1" applyBorder="1" applyAlignment="1">
      <alignment horizontal="center" vertical="center"/>
    </xf>
    <xf numFmtId="0" fontId="19043" fillId="8" borderId="1" xfId="0" applyNumberFormat="1" applyFont="1" applyFill="1" applyBorder="1" applyAlignment="1">
      <alignment horizontal="center" vertical="center"/>
    </xf>
    <xf numFmtId="0" fontId="19044" fillId="8" borderId="1" xfId="0" applyNumberFormat="1" applyFont="1" applyFill="1" applyBorder="1" applyAlignment="1">
      <alignment horizontal="center" vertical="center"/>
    </xf>
    <xf numFmtId="1" fontId="19045" fillId="8" borderId="1" xfId="0" applyNumberFormat="1" applyFont="1" applyFill="1" applyBorder="1" applyAlignment="1">
      <alignment horizontal="center" vertical="center"/>
    </xf>
    <xf numFmtId="1" fontId="19046" fillId="8" borderId="1" xfId="0" applyNumberFormat="1" applyFont="1" applyFill="1" applyBorder="1" applyAlignment="1">
      <alignment horizontal="center" vertical="center"/>
    </xf>
    <xf numFmtId="1" fontId="19047" fillId="8" borderId="1" xfId="0" applyNumberFormat="1" applyFont="1" applyFill="1" applyBorder="1" applyAlignment="1">
      <alignment horizontal="center" vertical="center"/>
    </xf>
    <xf numFmtId="165" fontId="19048" fillId="8" borderId="1" xfId="0" applyNumberFormat="1" applyFont="1" applyFill="1" applyBorder="1" applyAlignment="1">
      <alignment horizontal="center" vertical="center"/>
    </xf>
    <xf numFmtId="1" fontId="19049" fillId="8" borderId="1" xfId="0" applyNumberFormat="1" applyFont="1" applyFill="1" applyBorder="1" applyAlignment="1">
      <alignment horizontal="center" vertical="center"/>
    </xf>
    <xf numFmtId="165" fontId="19050" fillId="8" borderId="1" xfId="0" applyNumberFormat="1" applyFont="1" applyFill="1" applyBorder="1" applyAlignment="1">
      <alignment horizontal="center" vertical="center"/>
    </xf>
    <xf numFmtId="1" fontId="19051" fillId="8" borderId="1" xfId="0" applyNumberFormat="1" applyFont="1" applyFill="1" applyBorder="1" applyAlignment="1">
      <alignment horizontal="center" vertical="center"/>
    </xf>
    <xf numFmtId="165" fontId="19052" fillId="8" borderId="1" xfId="0" applyNumberFormat="1" applyFont="1" applyFill="1" applyBorder="1" applyAlignment="1">
      <alignment horizontal="center" vertical="center"/>
    </xf>
    <xf numFmtId="1" fontId="19053" fillId="8" borderId="1" xfId="0" applyNumberFormat="1" applyFont="1" applyFill="1" applyBorder="1" applyAlignment="1">
      <alignment horizontal="center" vertical="center"/>
    </xf>
    <xf numFmtId="165" fontId="19054" fillId="8" borderId="1" xfId="0" applyNumberFormat="1" applyFont="1" applyFill="1" applyBorder="1" applyAlignment="1">
      <alignment horizontal="center" vertical="center"/>
    </xf>
    <xf numFmtId="165" fontId="19055" fillId="8" borderId="1" xfId="0" applyNumberFormat="1" applyFont="1" applyFill="1" applyBorder="1" applyAlignment="1">
      <alignment horizontal="center" vertical="center"/>
    </xf>
    <xf numFmtId="1" fontId="19056" fillId="8" borderId="1" xfId="0" applyNumberFormat="1" applyFont="1" applyFill="1" applyBorder="1" applyAlignment="1">
      <alignment horizontal="center" vertical="center"/>
    </xf>
    <xf numFmtId="1" fontId="19057" fillId="8" borderId="1" xfId="0" applyNumberFormat="1" applyFont="1" applyFill="1" applyBorder="1" applyAlignment="1">
      <alignment horizontal="center" vertical="center"/>
    </xf>
    <xf numFmtId="1" fontId="19058" fillId="8" borderId="1" xfId="0" applyNumberFormat="1" applyFont="1" applyFill="1" applyBorder="1" applyAlignment="1">
      <alignment horizontal="center" vertical="center"/>
    </xf>
    <xf numFmtId="165" fontId="19059" fillId="8" borderId="1" xfId="0" applyNumberFormat="1" applyFont="1" applyFill="1" applyBorder="1" applyAlignment="1">
      <alignment horizontal="center" vertical="center"/>
    </xf>
    <xf numFmtId="164" fontId="19060" fillId="8" borderId="1" xfId="0" applyNumberFormat="1" applyFont="1" applyFill="1" applyBorder="1" applyAlignment="1">
      <alignment horizontal="center" vertical="center"/>
    </xf>
    <xf numFmtId="164" fontId="19061" fillId="8" borderId="1" xfId="0" applyNumberFormat="1" applyFont="1" applyFill="1" applyBorder="1" applyAlignment="1">
      <alignment horizontal="center" vertical="center"/>
    </xf>
    <xf numFmtId="1" fontId="19062" fillId="8" borderId="1" xfId="0" applyNumberFormat="1" applyFont="1" applyFill="1" applyBorder="1" applyAlignment="1">
      <alignment horizontal="center" vertical="center"/>
    </xf>
    <xf numFmtId="1" fontId="19063" fillId="8" borderId="1" xfId="0" applyNumberFormat="1" applyFont="1" applyFill="1" applyBorder="1" applyAlignment="1">
      <alignment horizontal="center" vertical="center"/>
    </xf>
    <xf numFmtId="1" fontId="19064" fillId="8" borderId="1" xfId="0" applyNumberFormat="1" applyFont="1" applyFill="1" applyBorder="1" applyAlignment="1">
      <alignment horizontal="center" vertical="center"/>
    </xf>
    <xf numFmtId="165" fontId="19065" fillId="8" borderId="1" xfId="0" applyNumberFormat="1" applyFont="1" applyFill="1" applyBorder="1" applyAlignment="1">
      <alignment horizontal="center" vertical="center"/>
    </xf>
    <xf numFmtId="1" fontId="19066" fillId="8" borderId="1" xfId="0" applyNumberFormat="1" applyFont="1" applyFill="1" applyBorder="1" applyAlignment="1">
      <alignment horizontal="center" vertical="center"/>
    </xf>
    <xf numFmtId="165" fontId="19067" fillId="8" borderId="1" xfId="0" applyNumberFormat="1" applyFont="1" applyFill="1" applyBorder="1" applyAlignment="1">
      <alignment horizontal="center" vertical="center"/>
    </xf>
    <xf numFmtId="1" fontId="19068" fillId="8" borderId="1" xfId="0" applyNumberFormat="1" applyFont="1" applyFill="1" applyBorder="1" applyAlignment="1">
      <alignment horizontal="center" vertical="center"/>
    </xf>
    <xf numFmtId="1" fontId="19069" fillId="8" borderId="1" xfId="0" applyNumberFormat="1" applyFont="1" applyFill="1" applyBorder="1" applyAlignment="1">
      <alignment horizontal="center" vertical="center"/>
    </xf>
    <xf numFmtId="1" fontId="19070" fillId="8" borderId="1" xfId="0" applyNumberFormat="1" applyFont="1" applyFill="1" applyBorder="1" applyAlignment="1">
      <alignment horizontal="center" vertical="center"/>
    </xf>
    <xf numFmtId="1" fontId="19071" fillId="8" borderId="1" xfId="0" applyNumberFormat="1" applyFont="1" applyFill="1" applyBorder="1" applyAlignment="1">
      <alignment horizontal="center" vertical="center"/>
    </xf>
    <xf numFmtId="165" fontId="19072" fillId="8" borderId="1" xfId="0" applyNumberFormat="1" applyFont="1" applyFill="1" applyBorder="1" applyAlignment="1">
      <alignment horizontal="center" vertical="center"/>
    </xf>
    <xf numFmtId="1" fontId="19073" fillId="8" borderId="1" xfId="0" applyNumberFormat="1" applyFont="1" applyFill="1" applyBorder="1" applyAlignment="1">
      <alignment horizontal="center" vertical="center"/>
    </xf>
    <xf numFmtId="165" fontId="19074" fillId="8" borderId="1" xfId="0" applyNumberFormat="1" applyFont="1" applyFill="1" applyBorder="1" applyAlignment="1">
      <alignment horizontal="center" vertical="center"/>
    </xf>
    <xf numFmtId="1" fontId="19075" fillId="8" borderId="1" xfId="0" applyNumberFormat="1" applyFont="1" applyFill="1" applyBorder="1" applyAlignment="1">
      <alignment horizontal="center" vertical="center"/>
    </xf>
    <xf numFmtId="165" fontId="19076" fillId="8" borderId="1" xfId="0" applyNumberFormat="1" applyFont="1" applyFill="1" applyBorder="1" applyAlignment="1">
      <alignment horizontal="center" vertical="center"/>
    </xf>
    <xf numFmtId="2" fontId="19077" fillId="8" borderId="1" xfId="0" applyNumberFormat="1" applyFont="1" applyFill="1" applyBorder="1" applyAlignment="1">
      <alignment horizontal="center" vertical="center"/>
    </xf>
    <xf numFmtId="2" fontId="19078" fillId="8" borderId="1" xfId="0" applyNumberFormat="1" applyFont="1" applyFill="1" applyBorder="1" applyAlignment="1">
      <alignment horizontal="center" vertical="center"/>
    </xf>
    <xf numFmtId="2" fontId="19079" fillId="8" borderId="1" xfId="0" applyNumberFormat="1" applyFont="1" applyFill="1" applyBorder="1" applyAlignment="1">
      <alignment horizontal="center" vertical="center"/>
    </xf>
    <xf numFmtId="2" fontId="19080" fillId="8" borderId="1" xfId="0" applyNumberFormat="1" applyFont="1" applyFill="1" applyBorder="1" applyAlignment="1">
      <alignment horizontal="center" vertical="center"/>
    </xf>
    <xf numFmtId="2" fontId="19081" fillId="8" borderId="1" xfId="0" applyNumberFormat="1" applyFont="1" applyFill="1" applyBorder="1" applyAlignment="1">
      <alignment horizontal="center" vertical="center"/>
    </xf>
    <xf numFmtId="2" fontId="19082" fillId="8" borderId="1" xfId="0" applyNumberFormat="1" applyFont="1" applyFill="1" applyBorder="1" applyAlignment="1">
      <alignment horizontal="center" vertical="center"/>
    </xf>
    <xf numFmtId="2" fontId="19083" fillId="8" borderId="1" xfId="0" applyNumberFormat="1" applyFont="1" applyFill="1" applyBorder="1" applyAlignment="1">
      <alignment horizontal="center" vertical="center"/>
    </xf>
    <xf numFmtId="2" fontId="19084" fillId="8" borderId="1" xfId="0" applyNumberFormat="1" applyFont="1" applyFill="1" applyBorder="1" applyAlignment="1">
      <alignment horizontal="center" vertical="center"/>
    </xf>
    <xf numFmtId="2" fontId="19085" fillId="8" borderId="1" xfId="0" applyNumberFormat="1" applyFont="1" applyFill="1" applyBorder="1" applyAlignment="1">
      <alignment horizontal="center" vertical="center"/>
    </xf>
    <xf numFmtId="2" fontId="19086" fillId="8" borderId="1" xfId="0" applyNumberFormat="1" applyFont="1" applyFill="1" applyBorder="1" applyAlignment="1">
      <alignment horizontal="center" vertical="center"/>
    </xf>
    <xf numFmtId="2" fontId="19087" fillId="8" borderId="1" xfId="0" applyNumberFormat="1" applyFont="1" applyFill="1" applyBorder="1" applyAlignment="1">
      <alignment horizontal="center" vertical="center"/>
    </xf>
    <xf numFmtId="2" fontId="19088" fillId="8" borderId="1" xfId="0" applyNumberFormat="1" applyFont="1" applyFill="1" applyBorder="1" applyAlignment="1">
      <alignment horizontal="center" vertical="center"/>
    </xf>
    <xf numFmtId="2" fontId="19089" fillId="8" borderId="1" xfId="0" applyNumberFormat="1" applyFont="1" applyFill="1" applyBorder="1" applyAlignment="1">
      <alignment horizontal="center" vertical="center"/>
    </xf>
    <xf numFmtId="2" fontId="19090" fillId="8" borderId="1" xfId="0" applyNumberFormat="1" applyFont="1" applyFill="1" applyBorder="1" applyAlignment="1">
      <alignment horizontal="center" vertical="center"/>
    </xf>
    <xf numFmtId="2" fontId="19091" fillId="8" borderId="1" xfId="0" applyNumberFormat="1" applyFont="1" applyFill="1" applyBorder="1" applyAlignment="1">
      <alignment horizontal="center" vertical="center"/>
    </xf>
    <xf numFmtId="2" fontId="19092" fillId="8" borderId="1" xfId="0" applyNumberFormat="1" applyFont="1" applyFill="1" applyBorder="1" applyAlignment="1">
      <alignment horizontal="center" vertical="center"/>
    </xf>
    <xf numFmtId="2" fontId="19093" fillId="8" borderId="1" xfId="0" applyNumberFormat="1" applyFont="1" applyFill="1" applyBorder="1" applyAlignment="1">
      <alignment horizontal="center" vertical="center"/>
    </xf>
    <xf numFmtId="2" fontId="19094" fillId="8" borderId="1" xfId="0" applyNumberFormat="1" applyFont="1" applyFill="1" applyBorder="1" applyAlignment="1">
      <alignment horizontal="center" vertical="center"/>
    </xf>
    <xf numFmtId="2" fontId="19095" fillId="8" borderId="1" xfId="0" applyNumberFormat="1" applyFont="1" applyFill="1" applyBorder="1" applyAlignment="1">
      <alignment horizontal="center" vertical="center"/>
    </xf>
    <xf numFmtId="2" fontId="19096" fillId="8" borderId="1" xfId="0" applyNumberFormat="1" applyFont="1" applyFill="1" applyBorder="1" applyAlignment="1">
      <alignment horizontal="center" vertical="center"/>
    </xf>
    <xf numFmtId="2" fontId="19097" fillId="8" borderId="1" xfId="0" applyNumberFormat="1" applyFont="1" applyFill="1" applyBorder="1" applyAlignment="1">
      <alignment horizontal="center" vertical="center"/>
    </xf>
    <xf numFmtId="2" fontId="19098" fillId="8" borderId="1" xfId="0" applyNumberFormat="1" applyFont="1" applyFill="1" applyBorder="1" applyAlignment="1">
      <alignment horizontal="center" vertical="center"/>
    </xf>
    <xf numFmtId="2" fontId="19099" fillId="8" borderId="1" xfId="0" applyNumberFormat="1" applyFont="1" applyFill="1" applyBorder="1" applyAlignment="1">
      <alignment horizontal="center" vertical="center"/>
    </xf>
    <xf numFmtId="2" fontId="19100" fillId="8" borderId="1" xfId="0" applyNumberFormat="1" applyFont="1" applyFill="1" applyBorder="1" applyAlignment="1">
      <alignment horizontal="center" vertical="center"/>
    </xf>
    <xf numFmtId="2" fontId="19101" fillId="8" borderId="1" xfId="0" applyNumberFormat="1" applyFont="1" applyFill="1" applyBorder="1" applyAlignment="1">
      <alignment horizontal="center" vertical="center"/>
    </xf>
    <xf numFmtId="2" fontId="19102" fillId="8" borderId="1" xfId="0" applyNumberFormat="1" applyFont="1" applyFill="1" applyBorder="1" applyAlignment="1">
      <alignment horizontal="center" vertical="center"/>
    </xf>
    <xf numFmtId="2" fontId="19103" fillId="8" borderId="1" xfId="0" applyNumberFormat="1" applyFont="1" applyFill="1" applyBorder="1" applyAlignment="1">
      <alignment horizontal="center" vertical="center"/>
    </xf>
    <xf numFmtId="2" fontId="19104" fillId="8" borderId="1" xfId="0" applyNumberFormat="1" applyFont="1" applyFill="1" applyBorder="1" applyAlignment="1">
      <alignment horizontal="center" vertical="center"/>
    </xf>
    <xf numFmtId="2" fontId="19105" fillId="8" borderId="1" xfId="0" applyNumberFormat="1" applyFont="1" applyFill="1" applyBorder="1" applyAlignment="1">
      <alignment horizontal="center" vertical="center"/>
    </xf>
    <xf numFmtId="2" fontId="19106" fillId="8" borderId="1" xfId="0" applyNumberFormat="1" applyFont="1" applyFill="1" applyBorder="1" applyAlignment="1">
      <alignment horizontal="center" vertical="center"/>
    </xf>
    <xf numFmtId="2" fontId="19107" fillId="8" borderId="1" xfId="0" applyNumberFormat="1" applyFont="1" applyFill="1" applyBorder="1" applyAlignment="1">
      <alignment horizontal="center" vertical="center"/>
    </xf>
    <xf numFmtId="2" fontId="19108" fillId="8" borderId="1" xfId="0" applyNumberFormat="1" applyFont="1" applyFill="1" applyBorder="1" applyAlignment="1">
      <alignment horizontal="center" vertical="center"/>
    </xf>
    <xf numFmtId="2" fontId="19109" fillId="8" borderId="1" xfId="0" applyNumberFormat="1" applyFont="1" applyFill="1" applyBorder="1" applyAlignment="1">
      <alignment horizontal="center" vertical="center"/>
    </xf>
    <xf numFmtId="2" fontId="19110" fillId="8" borderId="1" xfId="0" applyNumberFormat="1" applyFont="1" applyFill="1" applyBorder="1" applyAlignment="1">
      <alignment horizontal="center" vertical="center"/>
    </xf>
    <xf numFmtId="0" fontId="19111" fillId="7" borderId="1" xfId="0" applyNumberFormat="1" applyFont="1" applyFill="1" applyBorder="1" applyAlignment="1">
      <alignment horizontal="left" vertical="center"/>
    </xf>
    <xf numFmtId="0" fontId="19112" fillId="8" borderId="1" xfId="0" applyNumberFormat="1" applyFont="1" applyFill="1" applyBorder="1" applyAlignment="1">
      <alignment horizontal="center" vertical="center"/>
    </xf>
    <xf numFmtId="164" fontId="19113" fillId="8" borderId="1" xfId="0" applyNumberFormat="1" applyFont="1" applyFill="1" applyBorder="1" applyAlignment="1">
      <alignment horizontal="center" vertical="center"/>
    </xf>
    <xf numFmtId="1" fontId="19114" fillId="8" borderId="1" xfId="0" applyNumberFormat="1" applyFont="1" applyFill="1" applyBorder="1" applyAlignment="1">
      <alignment horizontal="center" vertical="center"/>
    </xf>
    <xf numFmtId="1" fontId="19115" fillId="8" borderId="1" xfId="0" applyNumberFormat="1" applyFont="1" applyFill="1" applyBorder="1" applyAlignment="1">
      <alignment horizontal="center" vertical="center"/>
    </xf>
    <xf numFmtId="1" fontId="19116" fillId="8" borderId="1" xfId="0" applyNumberFormat="1" applyFont="1" applyFill="1" applyBorder="1" applyAlignment="1">
      <alignment horizontal="center" vertical="center"/>
    </xf>
    <xf numFmtId="1" fontId="19117" fillId="8" borderId="1" xfId="0" applyNumberFormat="1" applyFont="1" applyFill="1" applyBorder="1" applyAlignment="1">
      <alignment horizontal="center" vertical="center"/>
    </xf>
    <xf numFmtId="1" fontId="19118" fillId="8" borderId="1" xfId="0" applyNumberFormat="1" applyFont="1" applyFill="1" applyBorder="1" applyAlignment="1">
      <alignment horizontal="center" vertical="center"/>
    </xf>
    <xf numFmtId="1" fontId="19119" fillId="8" borderId="1" xfId="0" applyNumberFormat="1" applyFont="1" applyFill="1" applyBorder="1" applyAlignment="1">
      <alignment horizontal="center" vertical="center"/>
    </xf>
    <xf numFmtId="1" fontId="19120" fillId="8" borderId="1" xfId="0" applyNumberFormat="1" applyFont="1" applyFill="1" applyBorder="1" applyAlignment="1">
      <alignment horizontal="center" vertical="center"/>
    </xf>
    <xf numFmtId="0" fontId="19121" fillId="8" borderId="1" xfId="0" applyNumberFormat="1" applyFont="1" applyFill="1" applyBorder="1" applyAlignment="1">
      <alignment horizontal="center" vertical="center"/>
    </xf>
    <xf numFmtId="0" fontId="19122" fillId="8" borderId="1" xfId="0" applyNumberFormat="1" applyFont="1" applyFill="1" applyBorder="1" applyAlignment="1">
      <alignment horizontal="center" vertical="center"/>
    </xf>
    <xf numFmtId="1" fontId="19123" fillId="8" borderId="1" xfId="0" applyNumberFormat="1" applyFont="1" applyFill="1" applyBorder="1" applyAlignment="1">
      <alignment horizontal="center" vertical="center"/>
    </xf>
    <xf numFmtId="1" fontId="19124" fillId="8" borderId="1" xfId="0" applyNumberFormat="1" applyFont="1" applyFill="1" applyBorder="1" applyAlignment="1">
      <alignment horizontal="center" vertical="center"/>
    </xf>
    <xf numFmtId="1" fontId="19125" fillId="8" borderId="1" xfId="0" applyNumberFormat="1" applyFont="1" applyFill="1" applyBorder="1" applyAlignment="1">
      <alignment horizontal="center" vertical="center"/>
    </xf>
    <xf numFmtId="165" fontId="19126" fillId="8" borderId="1" xfId="0" applyNumberFormat="1" applyFont="1" applyFill="1" applyBorder="1" applyAlignment="1">
      <alignment horizontal="center" vertical="center"/>
    </xf>
    <xf numFmtId="1" fontId="19127" fillId="8" borderId="1" xfId="0" applyNumberFormat="1" applyFont="1" applyFill="1" applyBorder="1" applyAlignment="1">
      <alignment horizontal="center" vertical="center"/>
    </xf>
    <xf numFmtId="165" fontId="19128" fillId="8" borderId="1" xfId="0" applyNumberFormat="1" applyFont="1" applyFill="1" applyBorder="1" applyAlignment="1">
      <alignment horizontal="center" vertical="center"/>
    </xf>
    <xf numFmtId="1" fontId="19129" fillId="8" borderId="1" xfId="0" applyNumberFormat="1" applyFont="1" applyFill="1" applyBorder="1" applyAlignment="1">
      <alignment horizontal="center" vertical="center"/>
    </xf>
    <xf numFmtId="165" fontId="19130" fillId="8" borderId="1" xfId="0" applyNumberFormat="1" applyFont="1" applyFill="1" applyBorder="1" applyAlignment="1">
      <alignment horizontal="center" vertical="center"/>
    </xf>
    <xf numFmtId="1" fontId="19131" fillId="8" borderId="1" xfId="0" applyNumberFormat="1" applyFont="1" applyFill="1" applyBorder="1" applyAlignment="1">
      <alignment horizontal="center" vertical="center"/>
    </xf>
    <xf numFmtId="165" fontId="19132" fillId="8" borderId="1" xfId="0" applyNumberFormat="1" applyFont="1" applyFill="1" applyBorder="1" applyAlignment="1">
      <alignment horizontal="center" vertical="center"/>
    </xf>
    <xf numFmtId="165" fontId="19133" fillId="8" borderId="1" xfId="0" applyNumberFormat="1" applyFont="1" applyFill="1" applyBorder="1" applyAlignment="1">
      <alignment horizontal="center" vertical="center"/>
    </xf>
    <xf numFmtId="1" fontId="19134" fillId="8" borderId="1" xfId="0" applyNumberFormat="1" applyFont="1" applyFill="1" applyBorder="1" applyAlignment="1">
      <alignment horizontal="center" vertical="center"/>
    </xf>
    <xf numFmtId="1" fontId="19135" fillId="8" borderId="1" xfId="0" applyNumberFormat="1" applyFont="1" applyFill="1" applyBorder="1" applyAlignment="1">
      <alignment horizontal="center" vertical="center"/>
    </xf>
    <xf numFmtId="1" fontId="19136" fillId="8" borderId="1" xfId="0" applyNumberFormat="1" applyFont="1" applyFill="1" applyBorder="1" applyAlignment="1">
      <alignment horizontal="center" vertical="center"/>
    </xf>
    <xf numFmtId="165" fontId="19137" fillId="8" borderId="1" xfId="0" applyNumberFormat="1" applyFont="1" applyFill="1" applyBorder="1" applyAlignment="1">
      <alignment horizontal="center" vertical="center"/>
    </xf>
    <xf numFmtId="164" fontId="19138" fillId="8" borderId="1" xfId="0" applyNumberFormat="1" applyFont="1" applyFill="1" applyBorder="1" applyAlignment="1">
      <alignment horizontal="center" vertical="center"/>
    </xf>
    <xf numFmtId="164" fontId="19139" fillId="8" borderId="1" xfId="0" applyNumberFormat="1" applyFont="1" applyFill="1" applyBorder="1" applyAlignment="1">
      <alignment horizontal="center" vertical="center"/>
    </xf>
    <xf numFmtId="1" fontId="19140" fillId="8" borderId="1" xfId="0" applyNumberFormat="1" applyFont="1" applyFill="1" applyBorder="1" applyAlignment="1">
      <alignment horizontal="center" vertical="center"/>
    </xf>
    <xf numFmtId="1" fontId="19141" fillId="8" borderId="1" xfId="0" applyNumberFormat="1" applyFont="1" applyFill="1" applyBorder="1" applyAlignment="1">
      <alignment horizontal="center" vertical="center"/>
    </xf>
    <xf numFmtId="1" fontId="19142" fillId="8" borderId="1" xfId="0" applyNumberFormat="1" applyFont="1" applyFill="1" applyBorder="1" applyAlignment="1">
      <alignment horizontal="center" vertical="center"/>
    </xf>
    <xf numFmtId="165" fontId="19143" fillId="8" borderId="1" xfId="0" applyNumberFormat="1" applyFont="1" applyFill="1" applyBorder="1" applyAlignment="1">
      <alignment horizontal="center" vertical="center"/>
    </xf>
    <xf numFmtId="1" fontId="19144" fillId="8" borderId="1" xfId="0" applyNumberFormat="1" applyFont="1" applyFill="1" applyBorder="1" applyAlignment="1">
      <alignment horizontal="center" vertical="center"/>
    </xf>
    <xf numFmtId="165" fontId="19145" fillId="8" borderId="1" xfId="0" applyNumberFormat="1" applyFont="1" applyFill="1" applyBorder="1" applyAlignment="1">
      <alignment horizontal="center" vertical="center"/>
    </xf>
    <xf numFmtId="1" fontId="19146" fillId="8" borderId="1" xfId="0" applyNumberFormat="1" applyFont="1" applyFill="1" applyBorder="1" applyAlignment="1">
      <alignment horizontal="center" vertical="center"/>
    </xf>
    <xf numFmtId="1" fontId="19147" fillId="8" borderId="1" xfId="0" applyNumberFormat="1" applyFont="1" applyFill="1" applyBorder="1" applyAlignment="1">
      <alignment horizontal="center" vertical="center"/>
    </xf>
    <xf numFmtId="1" fontId="19148" fillId="8" borderId="1" xfId="0" applyNumberFormat="1" applyFont="1" applyFill="1" applyBorder="1" applyAlignment="1">
      <alignment horizontal="center" vertical="center"/>
    </xf>
    <xf numFmtId="1" fontId="19149" fillId="8" borderId="1" xfId="0" applyNumberFormat="1" applyFont="1" applyFill="1" applyBorder="1" applyAlignment="1">
      <alignment horizontal="center" vertical="center"/>
    </xf>
    <xf numFmtId="165" fontId="19150" fillId="8" borderId="1" xfId="0" applyNumberFormat="1" applyFont="1" applyFill="1" applyBorder="1" applyAlignment="1">
      <alignment horizontal="center" vertical="center"/>
    </xf>
    <xf numFmtId="1" fontId="19151" fillId="8" borderId="1" xfId="0" applyNumberFormat="1" applyFont="1" applyFill="1" applyBorder="1" applyAlignment="1">
      <alignment horizontal="center" vertical="center"/>
    </xf>
    <xf numFmtId="165" fontId="19152" fillId="8" borderId="1" xfId="0" applyNumberFormat="1" applyFont="1" applyFill="1" applyBorder="1" applyAlignment="1">
      <alignment horizontal="center" vertical="center"/>
    </xf>
    <xf numFmtId="1" fontId="19153" fillId="8" borderId="1" xfId="0" applyNumberFormat="1" applyFont="1" applyFill="1" applyBorder="1" applyAlignment="1">
      <alignment horizontal="center" vertical="center"/>
    </xf>
    <xf numFmtId="165" fontId="19154" fillId="8" borderId="1" xfId="0" applyNumberFormat="1" applyFont="1" applyFill="1" applyBorder="1" applyAlignment="1">
      <alignment horizontal="center" vertical="center"/>
    </xf>
    <xf numFmtId="2" fontId="19155" fillId="8" borderId="1" xfId="0" applyNumberFormat="1" applyFont="1" applyFill="1" applyBorder="1" applyAlignment="1">
      <alignment horizontal="center" vertical="center"/>
    </xf>
    <xf numFmtId="2" fontId="19156" fillId="8" borderId="1" xfId="0" applyNumberFormat="1" applyFont="1" applyFill="1" applyBorder="1" applyAlignment="1">
      <alignment horizontal="center" vertical="center"/>
    </xf>
    <xf numFmtId="2" fontId="19157" fillId="8" borderId="1" xfId="0" applyNumberFormat="1" applyFont="1" applyFill="1" applyBorder="1" applyAlignment="1">
      <alignment horizontal="center" vertical="center"/>
    </xf>
    <xf numFmtId="2" fontId="19158" fillId="8" borderId="1" xfId="0" applyNumberFormat="1" applyFont="1" applyFill="1" applyBorder="1" applyAlignment="1">
      <alignment horizontal="center" vertical="center"/>
    </xf>
    <xf numFmtId="2" fontId="19159" fillId="8" borderId="1" xfId="0" applyNumberFormat="1" applyFont="1" applyFill="1" applyBorder="1" applyAlignment="1">
      <alignment horizontal="center" vertical="center"/>
    </xf>
    <xf numFmtId="2" fontId="19160" fillId="8" borderId="1" xfId="0" applyNumberFormat="1" applyFont="1" applyFill="1" applyBorder="1" applyAlignment="1">
      <alignment horizontal="center" vertical="center"/>
    </xf>
    <xf numFmtId="2" fontId="19161" fillId="8" borderId="1" xfId="0" applyNumberFormat="1" applyFont="1" applyFill="1" applyBorder="1" applyAlignment="1">
      <alignment horizontal="center" vertical="center"/>
    </xf>
    <xf numFmtId="2" fontId="19162" fillId="8" borderId="1" xfId="0" applyNumberFormat="1" applyFont="1" applyFill="1" applyBorder="1" applyAlignment="1">
      <alignment horizontal="center" vertical="center"/>
    </xf>
    <xf numFmtId="2" fontId="19163" fillId="8" borderId="1" xfId="0" applyNumberFormat="1" applyFont="1" applyFill="1" applyBorder="1" applyAlignment="1">
      <alignment horizontal="center" vertical="center"/>
    </xf>
    <xf numFmtId="2" fontId="19164" fillId="8" borderId="1" xfId="0" applyNumberFormat="1" applyFont="1" applyFill="1" applyBorder="1" applyAlignment="1">
      <alignment horizontal="center" vertical="center"/>
    </xf>
    <xf numFmtId="2" fontId="19165" fillId="8" borderId="1" xfId="0" applyNumberFormat="1" applyFont="1" applyFill="1" applyBorder="1" applyAlignment="1">
      <alignment horizontal="center" vertical="center"/>
    </xf>
    <xf numFmtId="2" fontId="19166" fillId="8" borderId="1" xfId="0" applyNumberFormat="1" applyFont="1" applyFill="1" applyBorder="1" applyAlignment="1">
      <alignment horizontal="center" vertical="center"/>
    </xf>
    <xf numFmtId="2" fontId="19167" fillId="8" borderId="1" xfId="0" applyNumberFormat="1" applyFont="1" applyFill="1" applyBorder="1" applyAlignment="1">
      <alignment horizontal="center" vertical="center"/>
    </xf>
    <xf numFmtId="2" fontId="19168" fillId="8" borderId="1" xfId="0" applyNumberFormat="1" applyFont="1" applyFill="1" applyBorder="1" applyAlignment="1">
      <alignment horizontal="center" vertical="center"/>
    </xf>
    <xf numFmtId="2" fontId="19169" fillId="8" borderId="1" xfId="0" applyNumberFormat="1" applyFont="1" applyFill="1" applyBorder="1" applyAlignment="1">
      <alignment horizontal="center" vertical="center"/>
    </xf>
    <xf numFmtId="2" fontId="19170" fillId="8" borderId="1" xfId="0" applyNumberFormat="1" applyFont="1" applyFill="1" applyBorder="1" applyAlignment="1">
      <alignment horizontal="center" vertical="center"/>
    </xf>
    <xf numFmtId="2" fontId="19171" fillId="8" borderId="1" xfId="0" applyNumberFormat="1" applyFont="1" applyFill="1" applyBorder="1" applyAlignment="1">
      <alignment horizontal="center" vertical="center"/>
    </xf>
    <xf numFmtId="2" fontId="19172" fillId="8" borderId="1" xfId="0" applyNumberFormat="1" applyFont="1" applyFill="1" applyBorder="1" applyAlignment="1">
      <alignment horizontal="center" vertical="center"/>
    </xf>
    <xf numFmtId="2" fontId="19173" fillId="8" borderId="1" xfId="0" applyNumberFormat="1" applyFont="1" applyFill="1" applyBorder="1" applyAlignment="1">
      <alignment horizontal="center" vertical="center"/>
    </xf>
    <xf numFmtId="2" fontId="19174" fillId="8" borderId="1" xfId="0" applyNumberFormat="1" applyFont="1" applyFill="1" applyBorder="1" applyAlignment="1">
      <alignment horizontal="center" vertical="center"/>
    </xf>
    <xf numFmtId="2" fontId="19175" fillId="8" borderId="1" xfId="0" applyNumberFormat="1" applyFont="1" applyFill="1" applyBorder="1" applyAlignment="1">
      <alignment horizontal="center" vertical="center"/>
    </xf>
    <xf numFmtId="2" fontId="19176" fillId="8" borderId="1" xfId="0" applyNumberFormat="1" applyFont="1" applyFill="1" applyBorder="1" applyAlignment="1">
      <alignment horizontal="center" vertical="center"/>
    </xf>
    <xf numFmtId="2" fontId="19177" fillId="8" borderId="1" xfId="0" applyNumberFormat="1" applyFont="1" applyFill="1" applyBorder="1" applyAlignment="1">
      <alignment horizontal="center" vertical="center"/>
    </xf>
    <xf numFmtId="2" fontId="19178" fillId="8" borderId="1" xfId="0" applyNumberFormat="1" applyFont="1" applyFill="1" applyBorder="1" applyAlignment="1">
      <alignment horizontal="center" vertical="center"/>
    </xf>
    <xf numFmtId="2" fontId="19179" fillId="8" borderId="1" xfId="0" applyNumberFormat="1" applyFont="1" applyFill="1" applyBorder="1" applyAlignment="1">
      <alignment horizontal="center" vertical="center"/>
    </xf>
    <xf numFmtId="2" fontId="19180" fillId="8" borderId="1" xfId="0" applyNumberFormat="1" applyFont="1" applyFill="1" applyBorder="1" applyAlignment="1">
      <alignment horizontal="center" vertical="center"/>
    </xf>
    <xf numFmtId="2" fontId="19181" fillId="8" borderId="1" xfId="0" applyNumberFormat="1" applyFont="1" applyFill="1" applyBorder="1" applyAlignment="1">
      <alignment horizontal="center" vertical="center"/>
    </xf>
    <xf numFmtId="2" fontId="19182" fillId="8" borderId="1" xfId="0" applyNumberFormat="1" applyFont="1" applyFill="1" applyBorder="1" applyAlignment="1">
      <alignment horizontal="center" vertical="center"/>
    </xf>
    <xf numFmtId="2" fontId="19183" fillId="8" borderId="1" xfId="0" applyNumberFormat="1" applyFont="1" applyFill="1" applyBorder="1" applyAlignment="1">
      <alignment horizontal="center" vertical="center"/>
    </xf>
    <xf numFmtId="2" fontId="19184" fillId="8" borderId="1" xfId="0" applyNumberFormat="1" applyFont="1" applyFill="1" applyBorder="1" applyAlignment="1">
      <alignment horizontal="center" vertical="center"/>
    </xf>
    <xf numFmtId="2" fontId="19185" fillId="8" borderId="1" xfId="0" applyNumberFormat="1" applyFont="1" applyFill="1" applyBorder="1" applyAlignment="1">
      <alignment horizontal="center" vertical="center"/>
    </xf>
    <xf numFmtId="2" fontId="19186" fillId="8" borderId="1" xfId="0" applyNumberFormat="1" applyFont="1" applyFill="1" applyBorder="1" applyAlignment="1">
      <alignment horizontal="center" vertical="center"/>
    </xf>
    <xf numFmtId="2" fontId="19187" fillId="8" borderId="1" xfId="0" applyNumberFormat="1" applyFont="1" applyFill="1" applyBorder="1" applyAlignment="1">
      <alignment horizontal="center" vertical="center"/>
    </xf>
    <xf numFmtId="2" fontId="19188" fillId="8" borderId="1" xfId="0" applyNumberFormat="1" applyFont="1" applyFill="1" applyBorder="1" applyAlignment="1">
      <alignment horizontal="center" vertical="center"/>
    </xf>
    <xf numFmtId="0" fontId="19189" fillId="7" borderId="1" xfId="0" applyNumberFormat="1" applyFont="1" applyFill="1" applyBorder="1" applyAlignment="1">
      <alignment horizontal="left" vertical="center"/>
    </xf>
    <xf numFmtId="0" fontId="19190" fillId="8" borderId="1" xfId="0" applyNumberFormat="1" applyFont="1" applyFill="1" applyBorder="1" applyAlignment="1">
      <alignment horizontal="center" vertical="center"/>
    </xf>
    <xf numFmtId="164" fontId="19191" fillId="8" borderId="1" xfId="0" applyNumberFormat="1" applyFont="1" applyFill="1" applyBorder="1" applyAlignment="1">
      <alignment horizontal="center" vertical="center"/>
    </xf>
    <xf numFmtId="1" fontId="19192" fillId="8" borderId="1" xfId="0" applyNumberFormat="1" applyFont="1" applyFill="1" applyBorder="1" applyAlignment="1">
      <alignment horizontal="center" vertical="center"/>
    </xf>
    <xf numFmtId="1" fontId="19193" fillId="8" borderId="1" xfId="0" applyNumberFormat="1" applyFont="1" applyFill="1" applyBorder="1" applyAlignment="1">
      <alignment horizontal="center" vertical="center"/>
    </xf>
    <xf numFmtId="1" fontId="19194" fillId="8" borderId="1" xfId="0" applyNumberFormat="1" applyFont="1" applyFill="1" applyBorder="1" applyAlignment="1">
      <alignment horizontal="center" vertical="center"/>
    </xf>
    <xf numFmtId="1" fontId="19195" fillId="8" borderId="1" xfId="0" applyNumberFormat="1" applyFont="1" applyFill="1" applyBorder="1" applyAlignment="1">
      <alignment horizontal="center" vertical="center"/>
    </xf>
    <xf numFmtId="1" fontId="19196" fillId="8" borderId="1" xfId="0" applyNumberFormat="1" applyFont="1" applyFill="1" applyBorder="1" applyAlignment="1">
      <alignment horizontal="center" vertical="center"/>
    </xf>
    <xf numFmtId="1" fontId="19197" fillId="8" borderId="1" xfId="0" applyNumberFormat="1" applyFont="1" applyFill="1" applyBorder="1" applyAlignment="1">
      <alignment horizontal="center" vertical="center"/>
    </xf>
    <xf numFmtId="1" fontId="19198" fillId="8" borderId="1" xfId="0" applyNumberFormat="1" applyFont="1" applyFill="1" applyBorder="1" applyAlignment="1">
      <alignment horizontal="center" vertical="center"/>
    </xf>
    <xf numFmtId="0" fontId="19199" fillId="8" borderId="1" xfId="0" applyNumberFormat="1" applyFont="1" applyFill="1" applyBorder="1" applyAlignment="1">
      <alignment horizontal="center" vertical="center"/>
    </xf>
    <xf numFmtId="0" fontId="19200" fillId="8" borderId="1" xfId="0" applyNumberFormat="1" applyFont="1" applyFill="1" applyBorder="1" applyAlignment="1">
      <alignment horizontal="center" vertical="center"/>
    </xf>
    <xf numFmtId="1" fontId="19201" fillId="8" borderId="1" xfId="0" applyNumberFormat="1" applyFont="1" applyFill="1" applyBorder="1" applyAlignment="1">
      <alignment horizontal="center" vertical="center"/>
    </xf>
    <xf numFmtId="1" fontId="19202" fillId="8" borderId="1" xfId="0" applyNumberFormat="1" applyFont="1" applyFill="1" applyBorder="1" applyAlignment="1">
      <alignment horizontal="center" vertical="center"/>
    </xf>
    <xf numFmtId="1" fontId="19203" fillId="8" borderId="1" xfId="0" applyNumberFormat="1" applyFont="1" applyFill="1" applyBorder="1" applyAlignment="1">
      <alignment horizontal="center" vertical="center"/>
    </xf>
    <xf numFmtId="165" fontId="19204" fillId="8" borderId="1" xfId="0" applyNumberFormat="1" applyFont="1" applyFill="1" applyBorder="1" applyAlignment="1">
      <alignment horizontal="center" vertical="center"/>
    </xf>
    <xf numFmtId="1" fontId="19205" fillId="8" borderId="1" xfId="0" applyNumberFormat="1" applyFont="1" applyFill="1" applyBorder="1" applyAlignment="1">
      <alignment horizontal="center" vertical="center"/>
    </xf>
    <xf numFmtId="165" fontId="19206" fillId="8" borderId="1" xfId="0" applyNumberFormat="1" applyFont="1" applyFill="1" applyBorder="1" applyAlignment="1">
      <alignment horizontal="center" vertical="center"/>
    </xf>
    <xf numFmtId="1" fontId="19207" fillId="8" borderId="1" xfId="0" applyNumberFormat="1" applyFont="1" applyFill="1" applyBorder="1" applyAlignment="1">
      <alignment horizontal="center" vertical="center"/>
    </xf>
    <xf numFmtId="165" fontId="19208" fillId="8" borderId="1" xfId="0" applyNumberFormat="1" applyFont="1" applyFill="1" applyBorder="1" applyAlignment="1">
      <alignment horizontal="center" vertical="center"/>
    </xf>
    <xf numFmtId="1" fontId="19209" fillId="8" borderId="1" xfId="0" applyNumberFormat="1" applyFont="1" applyFill="1" applyBorder="1" applyAlignment="1">
      <alignment horizontal="center" vertical="center"/>
    </xf>
    <xf numFmtId="165" fontId="19210" fillId="8" borderId="1" xfId="0" applyNumberFormat="1" applyFont="1" applyFill="1" applyBorder="1" applyAlignment="1">
      <alignment horizontal="center" vertical="center"/>
    </xf>
    <xf numFmtId="165" fontId="19211" fillId="8" borderId="1" xfId="0" applyNumberFormat="1" applyFont="1" applyFill="1" applyBorder="1" applyAlignment="1">
      <alignment horizontal="center" vertical="center"/>
    </xf>
    <xf numFmtId="1" fontId="19212" fillId="8" borderId="1" xfId="0" applyNumberFormat="1" applyFont="1" applyFill="1" applyBorder="1" applyAlignment="1">
      <alignment horizontal="center" vertical="center"/>
    </xf>
    <xf numFmtId="1" fontId="19213" fillId="8" borderId="1" xfId="0" applyNumberFormat="1" applyFont="1" applyFill="1" applyBorder="1" applyAlignment="1">
      <alignment horizontal="center" vertical="center"/>
    </xf>
    <xf numFmtId="1" fontId="19214" fillId="8" borderId="1" xfId="0" applyNumberFormat="1" applyFont="1" applyFill="1" applyBorder="1" applyAlignment="1">
      <alignment horizontal="center" vertical="center"/>
    </xf>
    <xf numFmtId="165" fontId="19215" fillId="8" borderId="1" xfId="0" applyNumberFormat="1" applyFont="1" applyFill="1" applyBorder="1" applyAlignment="1">
      <alignment horizontal="center" vertical="center"/>
    </xf>
    <xf numFmtId="164" fontId="19216" fillId="8" borderId="1" xfId="0" applyNumberFormat="1" applyFont="1" applyFill="1" applyBorder="1" applyAlignment="1">
      <alignment horizontal="center" vertical="center"/>
    </xf>
    <xf numFmtId="164" fontId="19217" fillId="8" borderId="1" xfId="0" applyNumberFormat="1" applyFont="1" applyFill="1" applyBorder="1" applyAlignment="1">
      <alignment horizontal="center" vertical="center"/>
    </xf>
    <xf numFmtId="1" fontId="19218" fillId="8" borderId="1" xfId="0" applyNumberFormat="1" applyFont="1" applyFill="1" applyBorder="1" applyAlignment="1">
      <alignment horizontal="center" vertical="center"/>
    </xf>
    <xf numFmtId="1" fontId="19219" fillId="8" borderId="1" xfId="0" applyNumberFormat="1" applyFont="1" applyFill="1" applyBorder="1" applyAlignment="1">
      <alignment horizontal="center" vertical="center"/>
    </xf>
    <xf numFmtId="1" fontId="19220" fillId="8" borderId="1" xfId="0" applyNumberFormat="1" applyFont="1" applyFill="1" applyBorder="1" applyAlignment="1">
      <alignment horizontal="center" vertical="center"/>
    </xf>
    <xf numFmtId="165" fontId="19221" fillId="8" borderId="1" xfId="0" applyNumberFormat="1" applyFont="1" applyFill="1" applyBorder="1" applyAlignment="1">
      <alignment horizontal="center" vertical="center"/>
    </xf>
    <xf numFmtId="1" fontId="19222" fillId="8" borderId="1" xfId="0" applyNumberFormat="1" applyFont="1" applyFill="1" applyBorder="1" applyAlignment="1">
      <alignment horizontal="center" vertical="center"/>
    </xf>
    <xf numFmtId="165" fontId="19223" fillId="8" borderId="1" xfId="0" applyNumberFormat="1" applyFont="1" applyFill="1" applyBorder="1" applyAlignment="1">
      <alignment horizontal="center" vertical="center"/>
    </xf>
    <xf numFmtId="1" fontId="19224" fillId="8" borderId="1" xfId="0" applyNumberFormat="1" applyFont="1" applyFill="1" applyBorder="1" applyAlignment="1">
      <alignment horizontal="center" vertical="center"/>
    </xf>
    <xf numFmtId="1" fontId="19225" fillId="8" borderId="1" xfId="0" applyNumberFormat="1" applyFont="1" applyFill="1" applyBorder="1" applyAlignment="1">
      <alignment horizontal="center" vertical="center"/>
    </xf>
    <xf numFmtId="1" fontId="19226" fillId="8" borderId="1" xfId="0" applyNumberFormat="1" applyFont="1" applyFill="1" applyBorder="1" applyAlignment="1">
      <alignment horizontal="center" vertical="center"/>
    </xf>
    <xf numFmtId="1" fontId="19227" fillId="8" borderId="1" xfId="0" applyNumberFormat="1" applyFont="1" applyFill="1" applyBorder="1" applyAlignment="1">
      <alignment horizontal="center" vertical="center"/>
    </xf>
    <xf numFmtId="165" fontId="19228" fillId="8" borderId="1" xfId="0" applyNumberFormat="1" applyFont="1" applyFill="1" applyBorder="1" applyAlignment="1">
      <alignment horizontal="center" vertical="center"/>
    </xf>
    <xf numFmtId="1" fontId="19229" fillId="8" borderId="1" xfId="0" applyNumberFormat="1" applyFont="1" applyFill="1" applyBorder="1" applyAlignment="1">
      <alignment horizontal="center" vertical="center"/>
    </xf>
    <xf numFmtId="165" fontId="19230" fillId="8" borderId="1" xfId="0" applyNumberFormat="1" applyFont="1" applyFill="1" applyBorder="1" applyAlignment="1">
      <alignment horizontal="center" vertical="center"/>
    </xf>
    <xf numFmtId="1" fontId="19231" fillId="8" borderId="1" xfId="0" applyNumberFormat="1" applyFont="1" applyFill="1" applyBorder="1" applyAlignment="1">
      <alignment horizontal="center" vertical="center"/>
    </xf>
    <xf numFmtId="165" fontId="19232" fillId="8" borderId="1" xfId="0" applyNumberFormat="1" applyFont="1" applyFill="1" applyBorder="1" applyAlignment="1">
      <alignment horizontal="center" vertical="center"/>
    </xf>
    <xf numFmtId="2" fontId="19233" fillId="8" borderId="1" xfId="0" applyNumberFormat="1" applyFont="1" applyFill="1" applyBorder="1" applyAlignment="1">
      <alignment horizontal="center" vertical="center"/>
    </xf>
    <xf numFmtId="2" fontId="19234" fillId="8" borderId="1" xfId="0" applyNumberFormat="1" applyFont="1" applyFill="1" applyBorder="1" applyAlignment="1">
      <alignment horizontal="center" vertical="center"/>
    </xf>
    <xf numFmtId="2" fontId="19235" fillId="8" borderId="1" xfId="0" applyNumberFormat="1" applyFont="1" applyFill="1" applyBorder="1" applyAlignment="1">
      <alignment horizontal="center" vertical="center"/>
    </xf>
    <xf numFmtId="2" fontId="19236" fillId="8" borderId="1" xfId="0" applyNumberFormat="1" applyFont="1" applyFill="1" applyBorder="1" applyAlignment="1">
      <alignment horizontal="center" vertical="center"/>
    </xf>
    <xf numFmtId="2" fontId="19237" fillId="8" borderId="1" xfId="0" applyNumberFormat="1" applyFont="1" applyFill="1" applyBorder="1" applyAlignment="1">
      <alignment horizontal="center" vertical="center"/>
    </xf>
    <xf numFmtId="2" fontId="19238" fillId="8" borderId="1" xfId="0" applyNumberFormat="1" applyFont="1" applyFill="1" applyBorder="1" applyAlignment="1">
      <alignment horizontal="center" vertical="center"/>
    </xf>
    <xf numFmtId="2" fontId="19239" fillId="8" borderId="1" xfId="0" applyNumberFormat="1" applyFont="1" applyFill="1" applyBorder="1" applyAlignment="1">
      <alignment horizontal="center" vertical="center"/>
    </xf>
    <xf numFmtId="2" fontId="19240" fillId="8" borderId="1" xfId="0" applyNumberFormat="1" applyFont="1" applyFill="1" applyBorder="1" applyAlignment="1">
      <alignment horizontal="center" vertical="center"/>
    </xf>
    <xf numFmtId="2" fontId="19241" fillId="8" borderId="1" xfId="0" applyNumberFormat="1" applyFont="1" applyFill="1" applyBorder="1" applyAlignment="1">
      <alignment horizontal="center" vertical="center"/>
    </xf>
    <xf numFmtId="2" fontId="19242" fillId="8" borderId="1" xfId="0" applyNumberFormat="1" applyFont="1" applyFill="1" applyBorder="1" applyAlignment="1">
      <alignment horizontal="center" vertical="center"/>
    </xf>
    <xf numFmtId="2" fontId="19243" fillId="8" borderId="1" xfId="0" applyNumberFormat="1" applyFont="1" applyFill="1" applyBorder="1" applyAlignment="1">
      <alignment horizontal="center" vertical="center"/>
    </xf>
    <xf numFmtId="2" fontId="19244" fillId="8" borderId="1" xfId="0" applyNumberFormat="1" applyFont="1" applyFill="1" applyBorder="1" applyAlignment="1">
      <alignment horizontal="center" vertical="center"/>
    </xf>
    <xf numFmtId="2" fontId="19245" fillId="8" borderId="1" xfId="0" applyNumberFormat="1" applyFont="1" applyFill="1" applyBorder="1" applyAlignment="1">
      <alignment horizontal="center" vertical="center"/>
    </xf>
    <xf numFmtId="2" fontId="19246" fillId="8" borderId="1" xfId="0" applyNumberFormat="1" applyFont="1" applyFill="1" applyBorder="1" applyAlignment="1">
      <alignment horizontal="center" vertical="center"/>
    </xf>
    <xf numFmtId="2" fontId="19247" fillId="8" borderId="1" xfId="0" applyNumberFormat="1" applyFont="1" applyFill="1" applyBorder="1" applyAlignment="1">
      <alignment horizontal="center" vertical="center"/>
    </xf>
    <xf numFmtId="2" fontId="19248" fillId="8" borderId="1" xfId="0" applyNumberFormat="1" applyFont="1" applyFill="1" applyBorder="1" applyAlignment="1">
      <alignment horizontal="center" vertical="center"/>
    </xf>
    <xf numFmtId="2" fontId="19249" fillId="8" borderId="1" xfId="0" applyNumberFormat="1" applyFont="1" applyFill="1" applyBorder="1" applyAlignment="1">
      <alignment horizontal="center" vertical="center"/>
    </xf>
    <xf numFmtId="2" fontId="19250" fillId="8" borderId="1" xfId="0" applyNumberFormat="1" applyFont="1" applyFill="1" applyBorder="1" applyAlignment="1">
      <alignment horizontal="center" vertical="center"/>
    </xf>
    <xf numFmtId="2" fontId="19251" fillId="8" borderId="1" xfId="0" applyNumberFormat="1" applyFont="1" applyFill="1" applyBorder="1" applyAlignment="1">
      <alignment horizontal="center" vertical="center"/>
    </xf>
    <xf numFmtId="2" fontId="19252" fillId="8" borderId="1" xfId="0" applyNumberFormat="1" applyFont="1" applyFill="1" applyBorder="1" applyAlignment="1">
      <alignment horizontal="center" vertical="center"/>
    </xf>
    <xf numFmtId="2" fontId="19253" fillId="8" borderId="1" xfId="0" applyNumberFormat="1" applyFont="1" applyFill="1" applyBorder="1" applyAlignment="1">
      <alignment horizontal="center" vertical="center"/>
    </xf>
    <xf numFmtId="2" fontId="19254" fillId="8" borderId="1" xfId="0" applyNumberFormat="1" applyFont="1" applyFill="1" applyBorder="1" applyAlignment="1">
      <alignment horizontal="center" vertical="center"/>
    </xf>
    <xf numFmtId="2" fontId="19255" fillId="8" borderId="1" xfId="0" applyNumberFormat="1" applyFont="1" applyFill="1" applyBorder="1" applyAlignment="1">
      <alignment horizontal="center" vertical="center"/>
    </xf>
    <xf numFmtId="2" fontId="19256" fillId="8" borderId="1" xfId="0" applyNumberFormat="1" applyFont="1" applyFill="1" applyBorder="1" applyAlignment="1">
      <alignment horizontal="center" vertical="center"/>
    </xf>
    <xf numFmtId="2" fontId="19257" fillId="8" borderId="1" xfId="0" applyNumberFormat="1" applyFont="1" applyFill="1" applyBorder="1" applyAlignment="1">
      <alignment horizontal="center" vertical="center"/>
    </xf>
    <xf numFmtId="2" fontId="19258" fillId="8" borderId="1" xfId="0" applyNumberFormat="1" applyFont="1" applyFill="1" applyBorder="1" applyAlignment="1">
      <alignment horizontal="center" vertical="center"/>
    </xf>
    <xf numFmtId="2" fontId="19259" fillId="8" borderId="1" xfId="0" applyNumberFormat="1" applyFont="1" applyFill="1" applyBorder="1" applyAlignment="1">
      <alignment horizontal="center" vertical="center"/>
    </xf>
    <xf numFmtId="2" fontId="19260" fillId="8" borderId="1" xfId="0" applyNumberFormat="1" applyFont="1" applyFill="1" applyBorder="1" applyAlignment="1">
      <alignment horizontal="center" vertical="center"/>
    </xf>
    <xf numFmtId="2" fontId="19261" fillId="8" borderId="1" xfId="0" applyNumberFormat="1" applyFont="1" applyFill="1" applyBorder="1" applyAlignment="1">
      <alignment horizontal="center" vertical="center"/>
    </xf>
    <xf numFmtId="2" fontId="19262" fillId="8" borderId="1" xfId="0" applyNumberFormat="1" applyFont="1" applyFill="1" applyBorder="1" applyAlignment="1">
      <alignment horizontal="center" vertical="center"/>
    </xf>
    <xf numFmtId="2" fontId="19263" fillId="8" borderId="1" xfId="0" applyNumberFormat="1" applyFont="1" applyFill="1" applyBorder="1" applyAlignment="1">
      <alignment horizontal="center" vertical="center"/>
    </xf>
    <xf numFmtId="2" fontId="19264" fillId="8" borderId="1" xfId="0" applyNumberFormat="1" applyFont="1" applyFill="1" applyBorder="1" applyAlignment="1">
      <alignment horizontal="center" vertical="center"/>
    </xf>
    <xf numFmtId="2" fontId="19265" fillId="8" borderId="1" xfId="0" applyNumberFormat="1" applyFont="1" applyFill="1" applyBorder="1" applyAlignment="1">
      <alignment horizontal="center" vertical="center"/>
    </xf>
    <xf numFmtId="2" fontId="19266" fillId="8" borderId="1" xfId="0" applyNumberFormat="1" applyFont="1" applyFill="1" applyBorder="1" applyAlignment="1">
      <alignment horizontal="center" vertical="center"/>
    </xf>
    <xf numFmtId="0" fontId="19267" fillId="7" borderId="1" xfId="0" applyNumberFormat="1" applyFont="1" applyFill="1" applyBorder="1" applyAlignment="1">
      <alignment horizontal="left" vertical="center"/>
    </xf>
    <xf numFmtId="0" fontId="19268" fillId="8" borderId="1" xfId="0" applyNumberFormat="1" applyFont="1" applyFill="1" applyBorder="1" applyAlignment="1">
      <alignment horizontal="center" vertical="center"/>
    </xf>
    <xf numFmtId="164" fontId="19269" fillId="8" borderId="1" xfId="0" applyNumberFormat="1" applyFont="1" applyFill="1" applyBorder="1" applyAlignment="1">
      <alignment horizontal="center" vertical="center"/>
    </xf>
    <xf numFmtId="1" fontId="19270" fillId="8" borderId="1" xfId="0" applyNumberFormat="1" applyFont="1" applyFill="1" applyBorder="1" applyAlignment="1">
      <alignment horizontal="center" vertical="center"/>
    </xf>
    <xf numFmtId="1" fontId="19271" fillId="8" borderId="1" xfId="0" applyNumberFormat="1" applyFont="1" applyFill="1" applyBorder="1" applyAlignment="1">
      <alignment horizontal="center" vertical="center"/>
    </xf>
    <xf numFmtId="1" fontId="19272" fillId="8" borderId="1" xfId="0" applyNumberFormat="1" applyFont="1" applyFill="1" applyBorder="1" applyAlignment="1">
      <alignment horizontal="center" vertical="center"/>
    </xf>
    <xf numFmtId="1" fontId="19273" fillId="8" borderId="1" xfId="0" applyNumberFormat="1" applyFont="1" applyFill="1" applyBorder="1" applyAlignment="1">
      <alignment horizontal="center" vertical="center"/>
    </xf>
    <xf numFmtId="1" fontId="19274" fillId="8" borderId="1" xfId="0" applyNumberFormat="1" applyFont="1" applyFill="1" applyBorder="1" applyAlignment="1">
      <alignment horizontal="center" vertical="center"/>
    </xf>
    <xf numFmtId="1" fontId="19275" fillId="8" borderId="1" xfId="0" applyNumberFormat="1" applyFont="1" applyFill="1" applyBorder="1" applyAlignment="1">
      <alignment horizontal="center" vertical="center"/>
    </xf>
    <xf numFmtId="1" fontId="19276" fillId="8" borderId="1" xfId="0" applyNumberFormat="1" applyFont="1" applyFill="1" applyBorder="1" applyAlignment="1">
      <alignment horizontal="center" vertical="center"/>
    </xf>
    <xf numFmtId="0" fontId="19277" fillId="8" borderId="1" xfId="0" applyNumberFormat="1" applyFont="1" applyFill="1" applyBorder="1" applyAlignment="1">
      <alignment horizontal="center" vertical="center"/>
    </xf>
    <xf numFmtId="0" fontId="19278" fillId="8" borderId="1" xfId="0" applyNumberFormat="1" applyFont="1" applyFill="1" applyBorder="1" applyAlignment="1">
      <alignment horizontal="center" vertical="center"/>
    </xf>
    <xf numFmtId="1" fontId="19279" fillId="8" borderId="1" xfId="0" applyNumberFormat="1" applyFont="1" applyFill="1" applyBorder="1" applyAlignment="1">
      <alignment horizontal="center" vertical="center"/>
    </xf>
    <xf numFmtId="1" fontId="19280" fillId="8" borderId="1" xfId="0" applyNumberFormat="1" applyFont="1" applyFill="1" applyBorder="1" applyAlignment="1">
      <alignment horizontal="center" vertical="center"/>
    </xf>
    <xf numFmtId="1" fontId="19281" fillId="8" borderId="1" xfId="0" applyNumberFormat="1" applyFont="1" applyFill="1" applyBorder="1" applyAlignment="1">
      <alignment horizontal="center" vertical="center"/>
    </xf>
    <xf numFmtId="165" fontId="19282" fillId="8" borderId="1" xfId="0" applyNumberFormat="1" applyFont="1" applyFill="1" applyBorder="1" applyAlignment="1">
      <alignment horizontal="center" vertical="center"/>
    </xf>
    <xf numFmtId="1" fontId="19283" fillId="8" borderId="1" xfId="0" applyNumberFormat="1" applyFont="1" applyFill="1" applyBorder="1" applyAlignment="1">
      <alignment horizontal="center" vertical="center"/>
    </xf>
    <xf numFmtId="165" fontId="19284" fillId="8" borderId="1" xfId="0" applyNumberFormat="1" applyFont="1" applyFill="1" applyBorder="1" applyAlignment="1">
      <alignment horizontal="center" vertical="center"/>
    </xf>
    <xf numFmtId="1" fontId="19285" fillId="8" borderId="1" xfId="0" applyNumberFormat="1" applyFont="1" applyFill="1" applyBorder="1" applyAlignment="1">
      <alignment horizontal="center" vertical="center"/>
    </xf>
    <xf numFmtId="165" fontId="19286" fillId="8" borderId="1" xfId="0" applyNumberFormat="1" applyFont="1" applyFill="1" applyBorder="1" applyAlignment="1">
      <alignment horizontal="center" vertical="center"/>
    </xf>
    <xf numFmtId="1" fontId="19287" fillId="8" borderId="1" xfId="0" applyNumberFormat="1" applyFont="1" applyFill="1" applyBorder="1" applyAlignment="1">
      <alignment horizontal="center" vertical="center"/>
    </xf>
    <xf numFmtId="165" fontId="19288" fillId="8" borderId="1" xfId="0" applyNumberFormat="1" applyFont="1" applyFill="1" applyBorder="1" applyAlignment="1">
      <alignment horizontal="center" vertical="center"/>
    </xf>
    <xf numFmtId="165" fontId="19289" fillId="8" borderId="1" xfId="0" applyNumberFormat="1" applyFont="1" applyFill="1" applyBorder="1" applyAlignment="1">
      <alignment horizontal="center" vertical="center"/>
    </xf>
    <xf numFmtId="1" fontId="19290" fillId="8" borderId="1" xfId="0" applyNumberFormat="1" applyFont="1" applyFill="1" applyBorder="1" applyAlignment="1">
      <alignment horizontal="center" vertical="center"/>
    </xf>
    <xf numFmtId="1" fontId="19291" fillId="8" borderId="1" xfId="0" applyNumberFormat="1" applyFont="1" applyFill="1" applyBorder="1" applyAlignment="1">
      <alignment horizontal="center" vertical="center"/>
    </xf>
    <xf numFmtId="1" fontId="19292" fillId="8" borderId="1" xfId="0" applyNumberFormat="1" applyFont="1" applyFill="1" applyBorder="1" applyAlignment="1">
      <alignment horizontal="center" vertical="center"/>
    </xf>
    <xf numFmtId="165" fontId="19293" fillId="8" borderId="1" xfId="0" applyNumberFormat="1" applyFont="1" applyFill="1" applyBorder="1" applyAlignment="1">
      <alignment horizontal="center" vertical="center"/>
    </xf>
    <xf numFmtId="164" fontId="19294" fillId="8" borderId="1" xfId="0" applyNumberFormat="1" applyFont="1" applyFill="1" applyBorder="1" applyAlignment="1">
      <alignment horizontal="center" vertical="center"/>
    </xf>
    <xf numFmtId="164" fontId="19295" fillId="8" borderId="1" xfId="0" applyNumberFormat="1" applyFont="1" applyFill="1" applyBorder="1" applyAlignment="1">
      <alignment horizontal="center" vertical="center"/>
    </xf>
    <xf numFmtId="1" fontId="19296" fillId="8" borderId="1" xfId="0" applyNumberFormat="1" applyFont="1" applyFill="1" applyBorder="1" applyAlignment="1">
      <alignment horizontal="center" vertical="center"/>
    </xf>
    <xf numFmtId="1" fontId="19297" fillId="8" borderId="1" xfId="0" applyNumberFormat="1" applyFont="1" applyFill="1" applyBorder="1" applyAlignment="1">
      <alignment horizontal="center" vertical="center"/>
    </xf>
    <xf numFmtId="1" fontId="19298" fillId="8" borderId="1" xfId="0" applyNumberFormat="1" applyFont="1" applyFill="1" applyBorder="1" applyAlignment="1">
      <alignment horizontal="center" vertical="center"/>
    </xf>
    <xf numFmtId="165" fontId="19299" fillId="8" borderId="1" xfId="0" applyNumberFormat="1" applyFont="1" applyFill="1" applyBorder="1" applyAlignment="1">
      <alignment horizontal="center" vertical="center"/>
    </xf>
    <xf numFmtId="1" fontId="19300" fillId="8" borderId="1" xfId="0" applyNumberFormat="1" applyFont="1" applyFill="1" applyBorder="1" applyAlignment="1">
      <alignment horizontal="center" vertical="center"/>
    </xf>
    <xf numFmtId="165" fontId="19301" fillId="8" borderId="1" xfId="0" applyNumberFormat="1" applyFont="1" applyFill="1" applyBorder="1" applyAlignment="1">
      <alignment horizontal="center" vertical="center"/>
    </xf>
    <xf numFmtId="1" fontId="19302" fillId="8" borderId="1" xfId="0" applyNumberFormat="1" applyFont="1" applyFill="1" applyBorder="1" applyAlignment="1">
      <alignment horizontal="center" vertical="center"/>
    </xf>
    <xf numFmtId="1" fontId="19303" fillId="8" borderId="1" xfId="0" applyNumberFormat="1" applyFont="1" applyFill="1" applyBorder="1" applyAlignment="1">
      <alignment horizontal="center" vertical="center"/>
    </xf>
    <xf numFmtId="1" fontId="19304" fillId="8" borderId="1" xfId="0" applyNumberFormat="1" applyFont="1" applyFill="1" applyBorder="1" applyAlignment="1">
      <alignment horizontal="center" vertical="center"/>
    </xf>
    <xf numFmtId="1" fontId="19305" fillId="8" borderId="1" xfId="0" applyNumberFormat="1" applyFont="1" applyFill="1" applyBorder="1" applyAlignment="1">
      <alignment horizontal="center" vertical="center"/>
    </xf>
    <xf numFmtId="165" fontId="19306" fillId="8" borderId="1" xfId="0" applyNumberFormat="1" applyFont="1" applyFill="1" applyBorder="1" applyAlignment="1">
      <alignment horizontal="center" vertical="center"/>
    </xf>
    <xf numFmtId="1" fontId="19307" fillId="8" borderId="1" xfId="0" applyNumberFormat="1" applyFont="1" applyFill="1" applyBorder="1" applyAlignment="1">
      <alignment horizontal="center" vertical="center"/>
    </xf>
    <xf numFmtId="165" fontId="19308" fillId="8" borderId="1" xfId="0" applyNumberFormat="1" applyFont="1" applyFill="1" applyBorder="1" applyAlignment="1">
      <alignment horizontal="center" vertical="center"/>
    </xf>
    <xf numFmtId="1" fontId="19309" fillId="8" borderId="1" xfId="0" applyNumberFormat="1" applyFont="1" applyFill="1" applyBorder="1" applyAlignment="1">
      <alignment horizontal="center" vertical="center"/>
    </xf>
    <xf numFmtId="165" fontId="19310" fillId="8" borderId="1" xfId="0" applyNumberFormat="1" applyFont="1" applyFill="1" applyBorder="1" applyAlignment="1">
      <alignment horizontal="center" vertical="center"/>
    </xf>
    <xf numFmtId="2" fontId="19311" fillId="8" borderId="1" xfId="0" applyNumberFormat="1" applyFont="1" applyFill="1" applyBorder="1" applyAlignment="1">
      <alignment horizontal="center" vertical="center"/>
    </xf>
    <xf numFmtId="2" fontId="19312" fillId="8" borderId="1" xfId="0" applyNumberFormat="1" applyFont="1" applyFill="1" applyBorder="1" applyAlignment="1">
      <alignment horizontal="center" vertical="center"/>
    </xf>
    <xf numFmtId="2" fontId="19313" fillId="8" borderId="1" xfId="0" applyNumberFormat="1" applyFont="1" applyFill="1" applyBorder="1" applyAlignment="1">
      <alignment horizontal="center" vertical="center"/>
    </xf>
    <xf numFmtId="2" fontId="19314" fillId="8" borderId="1" xfId="0" applyNumberFormat="1" applyFont="1" applyFill="1" applyBorder="1" applyAlignment="1">
      <alignment horizontal="center" vertical="center"/>
    </xf>
    <xf numFmtId="2" fontId="19315" fillId="8" borderId="1" xfId="0" applyNumberFormat="1" applyFont="1" applyFill="1" applyBorder="1" applyAlignment="1">
      <alignment horizontal="center" vertical="center"/>
    </xf>
    <xf numFmtId="2" fontId="19316" fillId="8" borderId="1" xfId="0" applyNumberFormat="1" applyFont="1" applyFill="1" applyBorder="1" applyAlignment="1">
      <alignment horizontal="center" vertical="center"/>
    </xf>
    <xf numFmtId="2" fontId="19317" fillId="8" borderId="1" xfId="0" applyNumberFormat="1" applyFont="1" applyFill="1" applyBorder="1" applyAlignment="1">
      <alignment horizontal="center" vertical="center"/>
    </xf>
    <xf numFmtId="2" fontId="19318" fillId="8" borderId="1" xfId="0" applyNumberFormat="1" applyFont="1" applyFill="1" applyBorder="1" applyAlignment="1">
      <alignment horizontal="center" vertical="center"/>
    </xf>
    <xf numFmtId="2" fontId="19319" fillId="8" borderId="1" xfId="0" applyNumberFormat="1" applyFont="1" applyFill="1" applyBorder="1" applyAlignment="1">
      <alignment horizontal="center" vertical="center"/>
    </xf>
    <xf numFmtId="2" fontId="19320" fillId="8" borderId="1" xfId="0" applyNumberFormat="1" applyFont="1" applyFill="1" applyBorder="1" applyAlignment="1">
      <alignment horizontal="center" vertical="center"/>
    </xf>
    <xf numFmtId="2" fontId="19321" fillId="8" borderId="1" xfId="0" applyNumberFormat="1" applyFont="1" applyFill="1" applyBorder="1" applyAlignment="1">
      <alignment horizontal="center" vertical="center"/>
    </xf>
    <xf numFmtId="2" fontId="19322" fillId="8" borderId="1" xfId="0" applyNumberFormat="1" applyFont="1" applyFill="1" applyBorder="1" applyAlignment="1">
      <alignment horizontal="center" vertical="center"/>
    </xf>
    <xf numFmtId="2" fontId="19323" fillId="8" borderId="1" xfId="0" applyNumberFormat="1" applyFont="1" applyFill="1" applyBorder="1" applyAlignment="1">
      <alignment horizontal="center" vertical="center"/>
    </xf>
    <xf numFmtId="2" fontId="19324" fillId="8" borderId="1" xfId="0" applyNumberFormat="1" applyFont="1" applyFill="1" applyBorder="1" applyAlignment="1">
      <alignment horizontal="center" vertical="center"/>
    </xf>
    <xf numFmtId="2" fontId="19325" fillId="8" borderId="1" xfId="0" applyNumberFormat="1" applyFont="1" applyFill="1" applyBorder="1" applyAlignment="1">
      <alignment horizontal="center" vertical="center"/>
    </xf>
    <xf numFmtId="2" fontId="19326" fillId="8" borderId="1" xfId="0" applyNumberFormat="1" applyFont="1" applyFill="1" applyBorder="1" applyAlignment="1">
      <alignment horizontal="center" vertical="center"/>
    </xf>
    <xf numFmtId="2" fontId="19327" fillId="8" borderId="1" xfId="0" applyNumberFormat="1" applyFont="1" applyFill="1" applyBorder="1" applyAlignment="1">
      <alignment horizontal="center" vertical="center"/>
    </xf>
    <xf numFmtId="2" fontId="19328" fillId="8" borderId="1" xfId="0" applyNumberFormat="1" applyFont="1" applyFill="1" applyBorder="1" applyAlignment="1">
      <alignment horizontal="center" vertical="center"/>
    </xf>
    <xf numFmtId="2" fontId="19329" fillId="8" borderId="1" xfId="0" applyNumberFormat="1" applyFont="1" applyFill="1" applyBorder="1" applyAlignment="1">
      <alignment horizontal="center" vertical="center"/>
    </xf>
    <xf numFmtId="2" fontId="19330" fillId="8" borderId="1" xfId="0" applyNumberFormat="1" applyFont="1" applyFill="1" applyBorder="1" applyAlignment="1">
      <alignment horizontal="center" vertical="center"/>
    </xf>
    <xf numFmtId="2" fontId="19331" fillId="8" borderId="1" xfId="0" applyNumberFormat="1" applyFont="1" applyFill="1" applyBorder="1" applyAlignment="1">
      <alignment horizontal="center" vertical="center"/>
    </xf>
    <xf numFmtId="2" fontId="19332" fillId="8" borderId="1" xfId="0" applyNumberFormat="1" applyFont="1" applyFill="1" applyBorder="1" applyAlignment="1">
      <alignment horizontal="center" vertical="center"/>
    </xf>
    <xf numFmtId="2" fontId="19333" fillId="8" borderId="1" xfId="0" applyNumberFormat="1" applyFont="1" applyFill="1" applyBorder="1" applyAlignment="1">
      <alignment horizontal="center" vertical="center"/>
    </xf>
    <xf numFmtId="2" fontId="19334" fillId="8" borderId="1" xfId="0" applyNumberFormat="1" applyFont="1" applyFill="1" applyBorder="1" applyAlignment="1">
      <alignment horizontal="center" vertical="center"/>
    </xf>
    <xf numFmtId="2" fontId="19335" fillId="8" borderId="1" xfId="0" applyNumberFormat="1" applyFont="1" applyFill="1" applyBorder="1" applyAlignment="1">
      <alignment horizontal="center" vertical="center"/>
    </xf>
    <xf numFmtId="2" fontId="19336" fillId="8" borderId="1" xfId="0" applyNumberFormat="1" applyFont="1" applyFill="1" applyBorder="1" applyAlignment="1">
      <alignment horizontal="center" vertical="center"/>
    </xf>
    <xf numFmtId="2" fontId="19337" fillId="8" borderId="1" xfId="0" applyNumberFormat="1" applyFont="1" applyFill="1" applyBorder="1" applyAlignment="1">
      <alignment horizontal="center" vertical="center"/>
    </xf>
    <xf numFmtId="2" fontId="19338" fillId="8" borderId="1" xfId="0" applyNumberFormat="1" applyFont="1" applyFill="1" applyBorder="1" applyAlignment="1">
      <alignment horizontal="center" vertical="center"/>
    </xf>
    <xf numFmtId="2" fontId="19339" fillId="8" borderId="1" xfId="0" applyNumberFormat="1" applyFont="1" applyFill="1" applyBorder="1" applyAlignment="1">
      <alignment horizontal="center" vertical="center"/>
    </xf>
    <xf numFmtId="2" fontId="19340" fillId="8" borderId="1" xfId="0" applyNumberFormat="1" applyFont="1" applyFill="1" applyBorder="1" applyAlignment="1">
      <alignment horizontal="center" vertical="center"/>
    </xf>
    <xf numFmtId="2" fontId="19341" fillId="8" borderId="1" xfId="0" applyNumberFormat="1" applyFont="1" applyFill="1" applyBorder="1" applyAlignment="1">
      <alignment horizontal="center" vertical="center"/>
    </xf>
    <xf numFmtId="2" fontId="19342" fillId="8" borderId="1" xfId="0" applyNumberFormat="1" applyFont="1" applyFill="1" applyBorder="1" applyAlignment="1">
      <alignment horizontal="center" vertical="center"/>
    </xf>
    <xf numFmtId="2" fontId="19343" fillId="8" borderId="1" xfId="0" applyNumberFormat="1" applyFont="1" applyFill="1" applyBorder="1" applyAlignment="1">
      <alignment horizontal="center" vertical="center"/>
    </xf>
    <xf numFmtId="2" fontId="19344" fillId="8" borderId="1" xfId="0" applyNumberFormat="1" applyFont="1" applyFill="1" applyBorder="1" applyAlignment="1">
      <alignment horizontal="center" vertical="center"/>
    </xf>
    <xf numFmtId="0" fontId="19345" fillId="7" borderId="1" xfId="0" applyNumberFormat="1" applyFont="1" applyFill="1" applyBorder="1" applyAlignment="1">
      <alignment horizontal="left" vertical="center"/>
    </xf>
    <xf numFmtId="0" fontId="19346" fillId="8" borderId="1" xfId="0" applyNumberFormat="1" applyFont="1" applyFill="1" applyBorder="1" applyAlignment="1">
      <alignment horizontal="center" vertical="center"/>
    </xf>
    <xf numFmtId="164" fontId="19347" fillId="8" borderId="1" xfId="0" applyNumberFormat="1" applyFont="1" applyFill="1" applyBorder="1" applyAlignment="1">
      <alignment horizontal="center" vertical="center"/>
    </xf>
    <xf numFmtId="1" fontId="19348" fillId="8" borderId="1" xfId="0" applyNumberFormat="1" applyFont="1" applyFill="1" applyBorder="1" applyAlignment="1">
      <alignment horizontal="center" vertical="center"/>
    </xf>
    <xf numFmtId="1" fontId="19349" fillId="8" borderId="1" xfId="0" applyNumberFormat="1" applyFont="1" applyFill="1" applyBorder="1" applyAlignment="1">
      <alignment horizontal="center" vertical="center"/>
    </xf>
    <xf numFmtId="1" fontId="19350" fillId="8" borderId="1" xfId="0" applyNumberFormat="1" applyFont="1" applyFill="1" applyBorder="1" applyAlignment="1">
      <alignment horizontal="center" vertical="center"/>
    </xf>
    <xf numFmtId="1" fontId="19351" fillId="8" borderId="1" xfId="0" applyNumberFormat="1" applyFont="1" applyFill="1" applyBorder="1" applyAlignment="1">
      <alignment horizontal="center" vertical="center"/>
    </xf>
    <xf numFmtId="1" fontId="19352" fillId="8" borderId="1" xfId="0" applyNumberFormat="1" applyFont="1" applyFill="1" applyBorder="1" applyAlignment="1">
      <alignment horizontal="center" vertical="center"/>
    </xf>
    <xf numFmtId="1" fontId="19353" fillId="8" borderId="1" xfId="0" applyNumberFormat="1" applyFont="1" applyFill="1" applyBorder="1" applyAlignment="1">
      <alignment horizontal="center" vertical="center"/>
    </xf>
    <xf numFmtId="1" fontId="19354" fillId="8" borderId="1" xfId="0" applyNumberFormat="1" applyFont="1" applyFill="1" applyBorder="1" applyAlignment="1">
      <alignment horizontal="center" vertical="center"/>
    </xf>
    <xf numFmtId="0" fontId="19355" fillId="8" borderId="1" xfId="0" applyNumberFormat="1" applyFont="1" applyFill="1" applyBorder="1" applyAlignment="1">
      <alignment horizontal="center" vertical="center"/>
    </xf>
    <xf numFmtId="0" fontId="19356" fillId="8" borderId="1" xfId="0" applyNumberFormat="1" applyFont="1" applyFill="1" applyBorder="1" applyAlignment="1">
      <alignment horizontal="center" vertical="center"/>
    </xf>
    <xf numFmtId="1" fontId="19357" fillId="8" borderId="1" xfId="0" applyNumberFormat="1" applyFont="1" applyFill="1" applyBorder="1" applyAlignment="1">
      <alignment horizontal="center" vertical="center"/>
    </xf>
    <xf numFmtId="1" fontId="19358" fillId="8" borderId="1" xfId="0" applyNumberFormat="1" applyFont="1" applyFill="1" applyBorder="1" applyAlignment="1">
      <alignment horizontal="center" vertical="center"/>
    </xf>
    <xf numFmtId="1" fontId="19359" fillId="8" borderId="1" xfId="0" applyNumberFormat="1" applyFont="1" applyFill="1" applyBorder="1" applyAlignment="1">
      <alignment horizontal="center" vertical="center"/>
    </xf>
    <xf numFmtId="165" fontId="19360" fillId="8" borderId="1" xfId="0" applyNumberFormat="1" applyFont="1" applyFill="1" applyBorder="1" applyAlignment="1">
      <alignment horizontal="center" vertical="center"/>
    </xf>
    <xf numFmtId="1" fontId="19361" fillId="8" borderId="1" xfId="0" applyNumberFormat="1" applyFont="1" applyFill="1" applyBorder="1" applyAlignment="1">
      <alignment horizontal="center" vertical="center"/>
    </xf>
    <xf numFmtId="165" fontId="19362" fillId="8" borderId="1" xfId="0" applyNumberFormat="1" applyFont="1" applyFill="1" applyBorder="1" applyAlignment="1">
      <alignment horizontal="center" vertical="center"/>
    </xf>
    <xf numFmtId="1" fontId="19363" fillId="8" borderId="1" xfId="0" applyNumberFormat="1" applyFont="1" applyFill="1" applyBorder="1" applyAlignment="1">
      <alignment horizontal="center" vertical="center"/>
    </xf>
    <xf numFmtId="165" fontId="19364" fillId="8" borderId="1" xfId="0" applyNumberFormat="1" applyFont="1" applyFill="1" applyBorder="1" applyAlignment="1">
      <alignment horizontal="center" vertical="center"/>
    </xf>
    <xf numFmtId="1" fontId="19365" fillId="8" borderId="1" xfId="0" applyNumberFormat="1" applyFont="1" applyFill="1" applyBorder="1" applyAlignment="1">
      <alignment horizontal="center" vertical="center"/>
    </xf>
    <xf numFmtId="165" fontId="19366" fillId="8" borderId="1" xfId="0" applyNumberFormat="1" applyFont="1" applyFill="1" applyBorder="1" applyAlignment="1">
      <alignment horizontal="center" vertical="center"/>
    </xf>
    <xf numFmtId="165" fontId="19367" fillId="8" borderId="1" xfId="0" applyNumberFormat="1" applyFont="1" applyFill="1" applyBorder="1" applyAlignment="1">
      <alignment horizontal="center" vertical="center"/>
    </xf>
    <xf numFmtId="1" fontId="19368" fillId="8" borderId="1" xfId="0" applyNumberFormat="1" applyFont="1" applyFill="1" applyBorder="1" applyAlignment="1">
      <alignment horizontal="center" vertical="center"/>
    </xf>
    <xf numFmtId="1" fontId="19369" fillId="8" borderId="1" xfId="0" applyNumberFormat="1" applyFont="1" applyFill="1" applyBorder="1" applyAlignment="1">
      <alignment horizontal="center" vertical="center"/>
    </xf>
    <xf numFmtId="1" fontId="19370" fillId="8" borderId="1" xfId="0" applyNumberFormat="1" applyFont="1" applyFill="1" applyBorder="1" applyAlignment="1">
      <alignment horizontal="center" vertical="center"/>
    </xf>
    <xf numFmtId="165" fontId="19371" fillId="8" borderId="1" xfId="0" applyNumberFormat="1" applyFont="1" applyFill="1" applyBorder="1" applyAlignment="1">
      <alignment horizontal="center" vertical="center"/>
    </xf>
    <xf numFmtId="164" fontId="19372" fillId="8" borderId="1" xfId="0" applyNumberFormat="1" applyFont="1" applyFill="1" applyBorder="1" applyAlignment="1">
      <alignment horizontal="center" vertical="center"/>
    </xf>
    <xf numFmtId="164" fontId="19373" fillId="8" borderId="1" xfId="0" applyNumberFormat="1" applyFont="1" applyFill="1" applyBorder="1" applyAlignment="1">
      <alignment horizontal="center" vertical="center"/>
    </xf>
    <xf numFmtId="1" fontId="19374" fillId="8" borderId="1" xfId="0" applyNumberFormat="1" applyFont="1" applyFill="1" applyBorder="1" applyAlignment="1">
      <alignment horizontal="center" vertical="center"/>
    </xf>
    <xf numFmtId="1" fontId="19375" fillId="8" borderId="1" xfId="0" applyNumberFormat="1" applyFont="1" applyFill="1" applyBorder="1" applyAlignment="1">
      <alignment horizontal="center" vertical="center"/>
    </xf>
    <xf numFmtId="1" fontId="19376" fillId="8" borderId="1" xfId="0" applyNumberFormat="1" applyFont="1" applyFill="1" applyBorder="1" applyAlignment="1">
      <alignment horizontal="center" vertical="center"/>
    </xf>
    <xf numFmtId="165" fontId="19377" fillId="8" borderId="1" xfId="0" applyNumberFormat="1" applyFont="1" applyFill="1" applyBorder="1" applyAlignment="1">
      <alignment horizontal="center" vertical="center"/>
    </xf>
    <xf numFmtId="1" fontId="19378" fillId="8" borderId="1" xfId="0" applyNumberFormat="1" applyFont="1" applyFill="1" applyBorder="1" applyAlignment="1">
      <alignment horizontal="center" vertical="center"/>
    </xf>
    <xf numFmtId="165" fontId="19379" fillId="8" borderId="1" xfId="0" applyNumberFormat="1" applyFont="1" applyFill="1" applyBorder="1" applyAlignment="1">
      <alignment horizontal="center" vertical="center"/>
    </xf>
    <xf numFmtId="1" fontId="19380" fillId="8" borderId="1" xfId="0" applyNumberFormat="1" applyFont="1" applyFill="1" applyBorder="1" applyAlignment="1">
      <alignment horizontal="center" vertical="center"/>
    </xf>
    <xf numFmtId="1" fontId="19381" fillId="8" borderId="1" xfId="0" applyNumberFormat="1" applyFont="1" applyFill="1" applyBorder="1" applyAlignment="1">
      <alignment horizontal="center" vertical="center"/>
    </xf>
    <xf numFmtId="1" fontId="19382" fillId="8" borderId="1" xfId="0" applyNumberFormat="1" applyFont="1" applyFill="1" applyBorder="1" applyAlignment="1">
      <alignment horizontal="center" vertical="center"/>
    </xf>
    <xf numFmtId="1" fontId="19383" fillId="8" borderId="1" xfId="0" applyNumberFormat="1" applyFont="1" applyFill="1" applyBorder="1" applyAlignment="1">
      <alignment horizontal="center" vertical="center"/>
    </xf>
    <xf numFmtId="165" fontId="19384" fillId="8" borderId="1" xfId="0" applyNumberFormat="1" applyFont="1" applyFill="1" applyBorder="1" applyAlignment="1">
      <alignment horizontal="center" vertical="center"/>
    </xf>
    <xf numFmtId="1" fontId="19385" fillId="8" borderId="1" xfId="0" applyNumberFormat="1" applyFont="1" applyFill="1" applyBorder="1" applyAlignment="1">
      <alignment horizontal="center" vertical="center"/>
    </xf>
    <xf numFmtId="165" fontId="19386" fillId="8" borderId="1" xfId="0" applyNumberFormat="1" applyFont="1" applyFill="1" applyBorder="1" applyAlignment="1">
      <alignment horizontal="center" vertical="center"/>
    </xf>
    <xf numFmtId="1" fontId="19387" fillId="8" borderId="1" xfId="0" applyNumberFormat="1" applyFont="1" applyFill="1" applyBorder="1" applyAlignment="1">
      <alignment horizontal="center" vertical="center"/>
    </xf>
    <xf numFmtId="165" fontId="19388" fillId="8" borderId="1" xfId="0" applyNumberFormat="1" applyFont="1" applyFill="1" applyBorder="1" applyAlignment="1">
      <alignment horizontal="center" vertical="center"/>
    </xf>
    <xf numFmtId="2" fontId="19389" fillId="8" borderId="1" xfId="0" applyNumberFormat="1" applyFont="1" applyFill="1" applyBorder="1" applyAlignment="1">
      <alignment horizontal="center" vertical="center"/>
    </xf>
    <xf numFmtId="2" fontId="19390" fillId="8" borderId="1" xfId="0" applyNumberFormat="1" applyFont="1" applyFill="1" applyBorder="1" applyAlignment="1">
      <alignment horizontal="center" vertical="center"/>
    </xf>
    <xf numFmtId="2" fontId="19391" fillId="8" borderId="1" xfId="0" applyNumberFormat="1" applyFont="1" applyFill="1" applyBorder="1" applyAlignment="1">
      <alignment horizontal="center" vertical="center"/>
    </xf>
    <xf numFmtId="2" fontId="19392" fillId="8" borderId="1" xfId="0" applyNumberFormat="1" applyFont="1" applyFill="1" applyBorder="1" applyAlignment="1">
      <alignment horizontal="center" vertical="center"/>
    </xf>
    <xf numFmtId="2" fontId="19393" fillId="8" borderId="1" xfId="0" applyNumberFormat="1" applyFont="1" applyFill="1" applyBorder="1" applyAlignment="1">
      <alignment horizontal="center" vertical="center"/>
    </xf>
    <xf numFmtId="2" fontId="19394" fillId="8" borderId="1" xfId="0" applyNumberFormat="1" applyFont="1" applyFill="1" applyBorder="1" applyAlignment="1">
      <alignment horizontal="center" vertical="center"/>
    </xf>
    <xf numFmtId="2" fontId="19395" fillId="8" borderId="1" xfId="0" applyNumberFormat="1" applyFont="1" applyFill="1" applyBorder="1" applyAlignment="1">
      <alignment horizontal="center" vertical="center"/>
    </xf>
    <xf numFmtId="2" fontId="19396" fillId="8" borderId="1" xfId="0" applyNumberFormat="1" applyFont="1" applyFill="1" applyBorder="1" applyAlignment="1">
      <alignment horizontal="center" vertical="center"/>
    </xf>
    <xf numFmtId="2" fontId="19397" fillId="8" borderId="1" xfId="0" applyNumberFormat="1" applyFont="1" applyFill="1" applyBorder="1" applyAlignment="1">
      <alignment horizontal="center" vertical="center"/>
    </xf>
    <xf numFmtId="2" fontId="19398" fillId="8" borderId="1" xfId="0" applyNumberFormat="1" applyFont="1" applyFill="1" applyBorder="1" applyAlignment="1">
      <alignment horizontal="center" vertical="center"/>
    </xf>
    <xf numFmtId="2" fontId="19399" fillId="8" borderId="1" xfId="0" applyNumberFormat="1" applyFont="1" applyFill="1" applyBorder="1" applyAlignment="1">
      <alignment horizontal="center" vertical="center"/>
    </xf>
    <xf numFmtId="2" fontId="19400" fillId="8" borderId="1" xfId="0" applyNumberFormat="1" applyFont="1" applyFill="1" applyBorder="1" applyAlignment="1">
      <alignment horizontal="center" vertical="center"/>
    </xf>
    <xf numFmtId="2" fontId="19401" fillId="8" borderId="1" xfId="0" applyNumberFormat="1" applyFont="1" applyFill="1" applyBorder="1" applyAlignment="1">
      <alignment horizontal="center" vertical="center"/>
    </xf>
    <xf numFmtId="2" fontId="19402" fillId="8" borderId="1" xfId="0" applyNumberFormat="1" applyFont="1" applyFill="1" applyBorder="1" applyAlignment="1">
      <alignment horizontal="center" vertical="center"/>
    </xf>
    <xf numFmtId="2" fontId="19403" fillId="8" borderId="1" xfId="0" applyNumberFormat="1" applyFont="1" applyFill="1" applyBorder="1" applyAlignment="1">
      <alignment horizontal="center" vertical="center"/>
    </xf>
    <xf numFmtId="2" fontId="19404" fillId="8" borderId="1" xfId="0" applyNumberFormat="1" applyFont="1" applyFill="1" applyBorder="1" applyAlignment="1">
      <alignment horizontal="center" vertical="center"/>
    </xf>
    <xf numFmtId="2" fontId="19405" fillId="8" borderId="1" xfId="0" applyNumberFormat="1" applyFont="1" applyFill="1" applyBorder="1" applyAlignment="1">
      <alignment horizontal="center" vertical="center"/>
    </xf>
    <xf numFmtId="2" fontId="19406" fillId="8" borderId="1" xfId="0" applyNumberFormat="1" applyFont="1" applyFill="1" applyBorder="1" applyAlignment="1">
      <alignment horizontal="center" vertical="center"/>
    </xf>
    <xf numFmtId="2" fontId="19407" fillId="8" borderId="1" xfId="0" applyNumberFormat="1" applyFont="1" applyFill="1" applyBorder="1" applyAlignment="1">
      <alignment horizontal="center" vertical="center"/>
    </xf>
    <xf numFmtId="2" fontId="19408" fillId="8" borderId="1" xfId="0" applyNumberFormat="1" applyFont="1" applyFill="1" applyBorder="1" applyAlignment="1">
      <alignment horizontal="center" vertical="center"/>
    </xf>
    <xf numFmtId="2" fontId="19409" fillId="8" borderId="1" xfId="0" applyNumberFormat="1" applyFont="1" applyFill="1" applyBorder="1" applyAlignment="1">
      <alignment horizontal="center" vertical="center"/>
    </xf>
    <xf numFmtId="2" fontId="19410" fillId="8" borderId="1" xfId="0" applyNumberFormat="1" applyFont="1" applyFill="1" applyBorder="1" applyAlignment="1">
      <alignment horizontal="center" vertical="center"/>
    </xf>
    <xf numFmtId="2" fontId="19411" fillId="8" borderId="1" xfId="0" applyNumberFormat="1" applyFont="1" applyFill="1" applyBorder="1" applyAlignment="1">
      <alignment horizontal="center" vertical="center"/>
    </xf>
    <xf numFmtId="2" fontId="19412" fillId="8" borderId="1" xfId="0" applyNumberFormat="1" applyFont="1" applyFill="1" applyBorder="1" applyAlignment="1">
      <alignment horizontal="center" vertical="center"/>
    </xf>
    <xf numFmtId="2" fontId="19413" fillId="8" borderId="1" xfId="0" applyNumberFormat="1" applyFont="1" applyFill="1" applyBorder="1" applyAlignment="1">
      <alignment horizontal="center" vertical="center"/>
    </xf>
    <xf numFmtId="2" fontId="19414" fillId="8" borderId="1" xfId="0" applyNumberFormat="1" applyFont="1" applyFill="1" applyBorder="1" applyAlignment="1">
      <alignment horizontal="center" vertical="center"/>
    </xf>
    <xf numFmtId="2" fontId="19415" fillId="8" borderId="1" xfId="0" applyNumberFormat="1" applyFont="1" applyFill="1" applyBorder="1" applyAlignment="1">
      <alignment horizontal="center" vertical="center"/>
    </xf>
    <xf numFmtId="2" fontId="19416" fillId="8" borderId="1" xfId="0" applyNumberFormat="1" applyFont="1" applyFill="1" applyBorder="1" applyAlignment="1">
      <alignment horizontal="center" vertical="center"/>
    </xf>
    <xf numFmtId="2" fontId="19417" fillId="8" borderId="1" xfId="0" applyNumberFormat="1" applyFont="1" applyFill="1" applyBorder="1" applyAlignment="1">
      <alignment horizontal="center" vertical="center"/>
    </xf>
    <xf numFmtId="2" fontId="19418" fillId="8" borderId="1" xfId="0" applyNumberFormat="1" applyFont="1" applyFill="1" applyBorder="1" applyAlignment="1">
      <alignment horizontal="center" vertical="center"/>
    </xf>
    <xf numFmtId="2" fontId="19419" fillId="8" borderId="1" xfId="0" applyNumberFormat="1" applyFont="1" applyFill="1" applyBorder="1" applyAlignment="1">
      <alignment horizontal="center" vertical="center"/>
    </xf>
    <xf numFmtId="2" fontId="19420" fillId="8" borderId="1" xfId="0" applyNumberFormat="1" applyFont="1" applyFill="1" applyBorder="1" applyAlignment="1">
      <alignment horizontal="center" vertical="center"/>
    </xf>
    <xf numFmtId="2" fontId="19421" fillId="8" borderId="1" xfId="0" applyNumberFormat="1" applyFont="1" applyFill="1" applyBorder="1" applyAlignment="1">
      <alignment horizontal="center" vertical="center"/>
    </xf>
    <xf numFmtId="2" fontId="19422" fillId="8" borderId="1" xfId="0" applyNumberFormat="1" applyFont="1" applyFill="1" applyBorder="1" applyAlignment="1">
      <alignment horizontal="center" vertical="center"/>
    </xf>
    <xf numFmtId="0" fontId="19423" fillId="7" borderId="1" xfId="0" applyNumberFormat="1" applyFont="1" applyFill="1" applyBorder="1" applyAlignment="1">
      <alignment horizontal="left" vertical="center"/>
    </xf>
    <xf numFmtId="0" fontId="19424" fillId="8" borderId="1" xfId="0" applyNumberFormat="1" applyFont="1" applyFill="1" applyBorder="1" applyAlignment="1">
      <alignment horizontal="center" vertical="center"/>
    </xf>
    <xf numFmtId="164" fontId="19425" fillId="8" borderId="1" xfId="0" applyNumberFormat="1" applyFont="1" applyFill="1" applyBorder="1" applyAlignment="1">
      <alignment horizontal="center" vertical="center"/>
    </xf>
    <xf numFmtId="1" fontId="19426" fillId="8" borderId="1" xfId="0" applyNumberFormat="1" applyFont="1" applyFill="1" applyBorder="1" applyAlignment="1">
      <alignment horizontal="center" vertical="center"/>
    </xf>
    <xf numFmtId="1" fontId="19427" fillId="8" borderId="1" xfId="0" applyNumberFormat="1" applyFont="1" applyFill="1" applyBorder="1" applyAlignment="1">
      <alignment horizontal="center" vertical="center"/>
    </xf>
    <xf numFmtId="1" fontId="19428" fillId="8" borderId="1" xfId="0" applyNumberFormat="1" applyFont="1" applyFill="1" applyBorder="1" applyAlignment="1">
      <alignment horizontal="center" vertical="center"/>
    </xf>
    <xf numFmtId="1" fontId="19429" fillId="8" borderId="1" xfId="0" applyNumberFormat="1" applyFont="1" applyFill="1" applyBorder="1" applyAlignment="1">
      <alignment horizontal="center" vertical="center"/>
    </xf>
    <xf numFmtId="1" fontId="19430" fillId="8" borderId="1" xfId="0" applyNumberFormat="1" applyFont="1" applyFill="1" applyBorder="1" applyAlignment="1">
      <alignment horizontal="center" vertical="center"/>
    </xf>
    <xf numFmtId="1" fontId="19431" fillId="8" borderId="1" xfId="0" applyNumberFormat="1" applyFont="1" applyFill="1" applyBorder="1" applyAlignment="1">
      <alignment horizontal="center" vertical="center"/>
    </xf>
    <xf numFmtId="1" fontId="19432" fillId="8" borderId="1" xfId="0" applyNumberFormat="1" applyFont="1" applyFill="1" applyBorder="1" applyAlignment="1">
      <alignment horizontal="center" vertical="center"/>
    </xf>
    <xf numFmtId="0" fontId="19433" fillId="8" borderId="1" xfId="0" applyNumberFormat="1" applyFont="1" applyFill="1" applyBorder="1" applyAlignment="1">
      <alignment horizontal="center" vertical="center"/>
    </xf>
    <xf numFmtId="0" fontId="19434" fillId="8" borderId="1" xfId="0" applyNumberFormat="1" applyFont="1" applyFill="1" applyBorder="1" applyAlignment="1">
      <alignment horizontal="center" vertical="center"/>
    </xf>
    <xf numFmtId="1" fontId="19435" fillId="8" borderId="1" xfId="0" applyNumberFormat="1" applyFont="1" applyFill="1" applyBorder="1" applyAlignment="1">
      <alignment horizontal="center" vertical="center"/>
    </xf>
    <xf numFmtId="1" fontId="19436" fillId="8" borderId="1" xfId="0" applyNumberFormat="1" applyFont="1" applyFill="1" applyBorder="1" applyAlignment="1">
      <alignment horizontal="center" vertical="center"/>
    </xf>
    <xf numFmtId="1" fontId="19437" fillId="8" borderId="1" xfId="0" applyNumberFormat="1" applyFont="1" applyFill="1" applyBorder="1" applyAlignment="1">
      <alignment horizontal="center" vertical="center"/>
    </xf>
    <xf numFmtId="165" fontId="19438" fillId="8" borderId="1" xfId="0" applyNumberFormat="1" applyFont="1" applyFill="1" applyBorder="1" applyAlignment="1">
      <alignment horizontal="center" vertical="center"/>
    </xf>
    <xf numFmtId="1" fontId="19439" fillId="8" borderId="1" xfId="0" applyNumberFormat="1" applyFont="1" applyFill="1" applyBorder="1" applyAlignment="1">
      <alignment horizontal="center" vertical="center"/>
    </xf>
    <xf numFmtId="165" fontId="19440" fillId="8" borderId="1" xfId="0" applyNumberFormat="1" applyFont="1" applyFill="1" applyBorder="1" applyAlignment="1">
      <alignment horizontal="center" vertical="center"/>
    </xf>
    <xf numFmtId="1" fontId="19441" fillId="8" borderId="1" xfId="0" applyNumberFormat="1" applyFont="1" applyFill="1" applyBorder="1" applyAlignment="1">
      <alignment horizontal="center" vertical="center"/>
    </xf>
    <xf numFmtId="165" fontId="19442" fillId="8" borderId="1" xfId="0" applyNumberFormat="1" applyFont="1" applyFill="1" applyBorder="1" applyAlignment="1">
      <alignment horizontal="center" vertical="center"/>
    </xf>
    <xf numFmtId="1" fontId="19443" fillId="8" borderId="1" xfId="0" applyNumberFormat="1" applyFont="1" applyFill="1" applyBorder="1" applyAlignment="1">
      <alignment horizontal="center" vertical="center"/>
    </xf>
    <xf numFmtId="165" fontId="19444" fillId="8" borderId="1" xfId="0" applyNumberFormat="1" applyFont="1" applyFill="1" applyBorder="1" applyAlignment="1">
      <alignment horizontal="center" vertical="center"/>
    </xf>
    <xf numFmtId="165" fontId="19445" fillId="8" borderId="1" xfId="0" applyNumberFormat="1" applyFont="1" applyFill="1" applyBorder="1" applyAlignment="1">
      <alignment horizontal="center" vertical="center"/>
    </xf>
    <xf numFmtId="1" fontId="19446" fillId="8" borderId="1" xfId="0" applyNumberFormat="1" applyFont="1" applyFill="1" applyBorder="1" applyAlignment="1">
      <alignment horizontal="center" vertical="center"/>
    </xf>
    <xf numFmtId="1" fontId="19447" fillId="8" borderId="1" xfId="0" applyNumberFormat="1" applyFont="1" applyFill="1" applyBorder="1" applyAlignment="1">
      <alignment horizontal="center" vertical="center"/>
    </xf>
    <xf numFmtId="1" fontId="19448" fillId="8" borderId="1" xfId="0" applyNumberFormat="1" applyFont="1" applyFill="1" applyBorder="1" applyAlignment="1">
      <alignment horizontal="center" vertical="center"/>
    </xf>
    <xf numFmtId="165" fontId="19449" fillId="8" borderId="1" xfId="0" applyNumberFormat="1" applyFont="1" applyFill="1" applyBorder="1" applyAlignment="1">
      <alignment horizontal="center" vertical="center"/>
    </xf>
    <xf numFmtId="164" fontId="19450" fillId="8" borderId="1" xfId="0" applyNumberFormat="1" applyFont="1" applyFill="1" applyBorder="1" applyAlignment="1">
      <alignment horizontal="center" vertical="center"/>
    </xf>
    <xf numFmtId="164" fontId="19451" fillId="8" borderId="1" xfId="0" applyNumberFormat="1" applyFont="1" applyFill="1" applyBorder="1" applyAlignment="1">
      <alignment horizontal="center" vertical="center"/>
    </xf>
    <xf numFmtId="1" fontId="19452" fillId="8" borderId="1" xfId="0" applyNumberFormat="1" applyFont="1" applyFill="1" applyBorder="1" applyAlignment="1">
      <alignment horizontal="center" vertical="center"/>
    </xf>
    <xf numFmtId="1" fontId="19453" fillId="8" borderId="1" xfId="0" applyNumberFormat="1" applyFont="1" applyFill="1" applyBorder="1" applyAlignment="1">
      <alignment horizontal="center" vertical="center"/>
    </xf>
    <xf numFmtId="1" fontId="19454" fillId="8" borderId="1" xfId="0" applyNumberFormat="1" applyFont="1" applyFill="1" applyBorder="1" applyAlignment="1">
      <alignment horizontal="center" vertical="center"/>
    </xf>
    <xf numFmtId="165" fontId="19455" fillId="8" borderId="1" xfId="0" applyNumberFormat="1" applyFont="1" applyFill="1" applyBorder="1" applyAlignment="1">
      <alignment horizontal="center" vertical="center"/>
    </xf>
    <xf numFmtId="1" fontId="19456" fillId="8" borderId="1" xfId="0" applyNumberFormat="1" applyFont="1" applyFill="1" applyBorder="1" applyAlignment="1">
      <alignment horizontal="center" vertical="center"/>
    </xf>
    <xf numFmtId="165" fontId="19457" fillId="8" borderId="1" xfId="0" applyNumberFormat="1" applyFont="1" applyFill="1" applyBorder="1" applyAlignment="1">
      <alignment horizontal="center" vertical="center"/>
    </xf>
    <xf numFmtId="1" fontId="19458" fillId="8" borderId="1" xfId="0" applyNumberFormat="1" applyFont="1" applyFill="1" applyBorder="1" applyAlignment="1">
      <alignment horizontal="center" vertical="center"/>
    </xf>
    <xf numFmtId="1" fontId="19459" fillId="8" borderId="1" xfId="0" applyNumberFormat="1" applyFont="1" applyFill="1" applyBorder="1" applyAlignment="1">
      <alignment horizontal="center" vertical="center"/>
    </xf>
    <xf numFmtId="1" fontId="19460" fillId="8" borderId="1" xfId="0" applyNumberFormat="1" applyFont="1" applyFill="1" applyBorder="1" applyAlignment="1">
      <alignment horizontal="center" vertical="center"/>
    </xf>
    <xf numFmtId="1" fontId="19461" fillId="8" borderId="1" xfId="0" applyNumberFormat="1" applyFont="1" applyFill="1" applyBorder="1" applyAlignment="1">
      <alignment horizontal="center" vertical="center"/>
    </xf>
    <xf numFmtId="165" fontId="19462" fillId="8" borderId="1" xfId="0" applyNumberFormat="1" applyFont="1" applyFill="1" applyBorder="1" applyAlignment="1">
      <alignment horizontal="center" vertical="center"/>
    </xf>
    <xf numFmtId="1" fontId="19463" fillId="8" borderId="1" xfId="0" applyNumberFormat="1" applyFont="1" applyFill="1" applyBorder="1" applyAlignment="1">
      <alignment horizontal="center" vertical="center"/>
    </xf>
    <xf numFmtId="165" fontId="19464" fillId="8" borderId="1" xfId="0" applyNumberFormat="1" applyFont="1" applyFill="1" applyBorder="1" applyAlignment="1">
      <alignment horizontal="center" vertical="center"/>
    </xf>
    <xf numFmtId="1" fontId="19465" fillId="8" borderId="1" xfId="0" applyNumberFormat="1" applyFont="1" applyFill="1" applyBorder="1" applyAlignment="1">
      <alignment horizontal="center" vertical="center"/>
    </xf>
    <xf numFmtId="165" fontId="19466" fillId="8" borderId="1" xfId="0" applyNumberFormat="1" applyFont="1" applyFill="1" applyBorder="1" applyAlignment="1">
      <alignment horizontal="center" vertical="center"/>
    </xf>
    <xf numFmtId="2" fontId="19467" fillId="8" borderId="1" xfId="0" applyNumberFormat="1" applyFont="1" applyFill="1" applyBorder="1" applyAlignment="1">
      <alignment horizontal="center" vertical="center"/>
    </xf>
    <xf numFmtId="2" fontId="19468" fillId="8" borderId="1" xfId="0" applyNumberFormat="1" applyFont="1" applyFill="1" applyBorder="1" applyAlignment="1">
      <alignment horizontal="center" vertical="center"/>
    </xf>
    <xf numFmtId="2" fontId="19469" fillId="8" borderId="1" xfId="0" applyNumberFormat="1" applyFont="1" applyFill="1" applyBorder="1" applyAlignment="1">
      <alignment horizontal="center" vertical="center"/>
    </xf>
    <xf numFmtId="2" fontId="19470" fillId="8" borderId="1" xfId="0" applyNumberFormat="1" applyFont="1" applyFill="1" applyBorder="1" applyAlignment="1">
      <alignment horizontal="center" vertical="center"/>
    </xf>
    <xf numFmtId="2" fontId="19471" fillId="8" borderId="1" xfId="0" applyNumberFormat="1" applyFont="1" applyFill="1" applyBorder="1" applyAlignment="1">
      <alignment horizontal="center" vertical="center"/>
    </xf>
    <xf numFmtId="2" fontId="19472" fillId="8" borderId="1" xfId="0" applyNumberFormat="1" applyFont="1" applyFill="1" applyBorder="1" applyAlignment="1">
      <alignment horizontal="center" vertical="center"/>
    </xf>
    <xf numFmtId="2" fontId="19473" fillId="8" borderId="1" xfId="0" applyNumberFormat="1" applyFont="1" applyFill="1" applyBorder="1" applyAlignment="1">
      <alignment horizontal="center" vertical="center"/>
    </xf>
    <xf numFmtId="2" fontId="19474" fillId="8" borderId="1" xfId="0" applyNumberFormat="1" applyFont="1" applyFill="1" applyBorder="1" applyAlignment="1">
      <alignment horizontal="center" vertical="center"/>
    </xf>
    <xf numFmtId="2" fontId="19475" fillId="8" borderId="1" xfId="0" applyNumberFormat="1" applyFont="1" applyFill="1" applyBorder="1" applyAlignment="1">
      <alignment horizontal="center" vertical="center"/>
    </xf>
    <xf numFmtId="2" fontId="19476" fillId="8" borderId="1" xfId="0" applyNumberFormat="1" applyFont="1" applyFill="1" applyBorder="1" applyAlignment="1">
      <alignment horizontal="center" vertical="center"/>
    </xf>
    <xf numFmtId="2" fontId="19477" fillId="8" borderId="1" xfId="0" applyNumberFormat="1" applyFont="1" applyFill="1" applyBorder="1" applyAlignment="1">
      <alignment horizontal="center" vertical="center"/>
    </xf>
    <xf numFmtId="2" fontId="19478" fillId="8" borderId="1" xfId="0" applyNumberFormat="1" applyFont="1" applyFill="1" applyBorder="1" applyAlignment="1">
      <alignment horizontal="center" vertical="center"/>
    </xf>
    <xf numFmtId="2" fontId="19479" fillId="8" borderId="1" xfId="0" applyNumberFormat="1" applyFont="1" applyFill="1" applyBorder="1" applyAlignment="1">
      <alignment horizontal="center" vertical="center"/>
    </xf>
    <xf numFmtId="2" fontId="19480" fillId="8" borderId="1" xfId="0" applyNumberFormat="1" applyFont="1" applyFill="1" applyBorder="1" applyAlignment="1">
      <alignment horizontal="center" vertical="center"/>
    </xf>
    <xf numFmtId="2" fontId="19481" fillId="8" borderId="1" xfId="0" applyNumberFormat="1" applyFont="1" applyFill="1" applyBorder="1" applyAlignment="1">
      <alignment horizontal="center" vertical="center"/>
    </xf>
    <xf numFmtId="2" fontId="19482" fillId="8" borderId="1" xfId="0" applyNumberFormat="1" applyFont="1" applyFill="1" applyBorder="1" applyAlignment="1">
      <alignment horizontal="center" vertical="center"/>
    </xf>
    <xf numFmtId="2" fontId="19483" fillId="8" borderId="1" xfId="0" applyNumberFormat="1" applyFont="1" applyFill="1" applyBorder="1" applyAlignment="1">
      <alignment horizontal="center" vertical="center"/>
    </xf>
    <xf numFmtId="2" fontId="19484" fillId="8" borderId="1" xfId="0" applyNumberFormat="1" applyFont="1" applyFill="1" applyBorder="1" applyAlignment="1">
      <alignment horizontal="center" vertical="center"/>
    </xf>
    <xf numFmtId="2" fontId="19485" fillId="8" borderId="1" xfId="0" applyNumberFormat="1" applyFont="1" applyFill="1" applyBorder="1" applyAlignment="1">
      <alignment horizontal="center" vertical="center"/>
    </xf>
    <xf numFmtId="2" fontId="19486" fillId="8" borderId="1" xfId="0" applyNumberFormat="1" applyFont="1" applyFill="1" applyBorder="1" applyAlignment="1">
      <alignment horizontal="center" vertical="center"/>
    </xf>
    <xf numFmtId="2" fontId="19487" fillId="8" borderId="1" xfId="0" applyNumberFormat="1" applyFont="1" applyFill="1" applyBorder="1" applyAlignment="1">
      <alignment horizontal="center" vertical="center"/>
    </xf>
    <xf numFmtId="2" fontId="19488" fillId="8" borderId="1" xfId="0" applyNumberFormat="1" applyFont="1" applyFill="1" applyBorder="1" applyAlignment="1">
      <alignment horizontal="center" vertical="center"/>
    </xf>
    <xf numFmtId="2" fontId="19489" fillId="8" borderId="1" xfId="0" applyNumberFormat="1" applyFont="1" applyFill="1" applyBorder="1" applyAlignment="1">
      <alignment horizontal="center" vertical="center"/>
    </xf>
    <xf numFmtId="2" fontId="19490" fillId="8" borderId="1" xfId="0" applyNumberFormat="1" applyFont="1" applyFill="1" applyBorder="1" applyAlignment="1">
      <alignment horizontal="center" vertical="center"/>
    </xf>
    <xf numFmtId="2" fontId="19491" fillId="8" borderId="1" xfId="0" applyNumberFormat="1" applyFont="1" applyFill="1" applyBorder="1" applyAlignment="1">
      <alignment horizontal="center" vertical="center"/>
    </xf>
    <xf numFmtId="2" fontId="19492" fillId="8" borderId="1" xfId="0" applyNumberFormat="1" applyFont="1" applyFill="1" applyBorder="1" applyAlignment="1">
      <alignment horizontal="center" vertical="center"/>
    </xf>
    <xf numFmtId="2" fontId="19493" fillId="8" borderId="1" xfId="0" applyNumberFormat="1" applyFont="1" applyFill="1" applyBorder="1" applyAlignment="1">
      <alignment horizontal="center" vertical="center"/>
    </xf>
    <xf numFmtId="2" fontId="19494" fillId="8" borderId="1" xfId="0" applyNumberFormat="1" applyFont="1" applyFill="1" applyBorder="1" applyAlignment="1">
      <alignment horizontal="center" vertical="center"/>
    </xf>
    <xf numFmtId="2" fontId="19495" fillId="8" borderId="1" xfId="0" applyNumberFormat="1" applyFont="1" applyFill="1" applyBorder="1" applyAlignment="1">
      <alignment horizontal="center" vertical="center"/>
    </xf>
    <xf numFmtId="2" fontId="19496" fillId="8" borderId="1" xfId="0" applyNumberFormat="1" applyFont="1" applyFill="1" applyBorder="1" applyAlignment="1">
      <alignment horizontal="center" vertical="center"/>
    </xf>
    <xf numFmtId="2" fontId="19497" fillId="8" borderId="1" xfId="0" applyNumberFormat="1" applyFont="1" applyFill="1" applyBorder="1" applyAlignment="1">
      <alignment horizontal="center" vertical="center"/>
    </xf>
    <xf numFmtId="2" fontId="19498" fillId="8" borderId="1" xfId="0" applyNumberFormat="1" applyFont="1" applyFill="1" applyBorder="1" applyAlignment="1">
      <alignment horizontal="center" vertical="center"/>
    </xf>
    <xf numFmtId="2" fontId="19499" fillId="8" borderId="1" xfId="0" applyNumberFormat="1" applyFont="1" applyFill="1" applyBorder="1" applyAlignment="1">
      <alignment horizontal="center" vertical="center"/>
    </xf>
    <xf numFmtId="2" fontId="19500" fillId="8" borderId="1" xfId="0" applyNumberFormat="1" applyFont="1" applyFill="1" applyBorder="1" applyAlignment="1">
      <alignment horizontal="center" vertical="center"/>
    </xf>
    <xf numFmtId="0" fontId="19501" fillId="7" borderId="1" xfId="0" applyNumberFormat="1" applyFont="1" applyFill="1" applyBorder="1" applyAlignment="1">
      <alignment horizontal="left" vertical="center"/>
    </xf>
    <xf numFmtId="0" fontId="19502" fillId="8" borderId="1" xfId="0" applyNumberFormat="1" applyFont="1" applyFill="1" applyBorder="1" applyAlignment="1">
      <alignment horizontal="center" vertical="center"/>
    </xf>
    <xf numFmtId="164" fontId="19503" fillId="8" borderId="1" xfId="0" applyNumberFormat="1" applyFont="1" applyFill="1" applyBorder="1" applyAlignment="1">
      <alignment horizontal="center" vertical="center"/>
    </xf>
    <xf numFmtId="1" fontId="19504" fillId="8" borderId="1" xfId="0" applyNumberFormat="1" applyFont="1" applyFill="1" applyBorder="1" applyAlignment="1">
      <alignment horizontal="center" vertical="center"/>
    </xf>
    <xf numFmtId="1" fontId="19505" fillId="8" borderId="1" xfId="0" applyNumberFormat="1" applyFont="1" applyFill="1" applyBorder="1" applyAlignment="1">
      <alignment horizontal="center" vertical="center"/>
    </xf>
    <xf numFmtId="1" fontId="19506" fillId="8" borderId="1" xfId="0" applyNumberFormat="1" applyFont="1" applyFill="1" applyBorder="1" applyAlignment="1">
      <alignment horizontal="center" vertical="center"/>
    </xf>
    <xf numFmtId="1" fontId="19507" fillId="8" borderId="1" xfId="0" applyNumberFormat="1" applyFont="1" applyFill="1" applyBorder="1" applyAlignment="1">
      <alignment horizontal="center" vertical="center"/>
    </xf>
    <xf numFmtId="1" fontId="19508" fillId="8" borderId="1" xfId="0" applyNumberFormat="1" applyFont="1" applyFill="1" applyBorder="1" applyAlignment="1">
      <alignment horizontal="center" vertical="center"/>
    </xf>
    <xf numFmtId="1" fontId="19509" fillId="8" borderId="1" xfId="0" applyNumberFormat="1" applyFont="1" applyFill="1" applyBorder="1" applyAlignment="1">
      <alignment horizontal="center" vertical="center"/>
    </xf>
    <xf numFmtId="1" fontId="19510" fillId="8" borderId="1" xfId="0" applyNumberFormat="1" applyFont="1" applyFill="1" applyBorder="1" applyAlignment="1">
      <alignment horizontal="center" vertical="center"/>
    </xf>
    <xf numFmtId="0" fontId="19511" fillId="8" borderId="1" xfId="0" applyNumberFormat="1" applyFont="1" applyFill="1" applyBorder="1" applyAlignment="1">
      <alignment horizontal="center" vertical="center"/>
    </xf>
    <xf numFmtId="0" fontId="19512" fillId="8" borderId="1" xfId="0" applyNumberFormat="1" applyFont="1" applyFill="1" applyBorder="1" applyAlignment="1">
      <alignment horizontal="center" vertical="center"/>
    </xf>
    <xf numFmtId="1" fontId="19513" fillId="8" borderId="1" xfId="0" applyNumberFormat="1" applyFont="1" applyFill="1" applyBorder="1" applyAlignment="1">
      <alignment horizontal="center" vertical="center"/>
    </xf>
    <xf numFmtId="1" fontId="19514" fillId="8" borderId="1" xfId="0" applyNumberFormat="1" applyFont="1" applyFill="1" applyBorder="1" applyAlignment="1">
      <alignment horizontal="center" vertical="center"/>
    </xf>
    <xf numFmtId="1" fontId="19515" fillId="8" borderId="1" xfId="0" applyNumberFormat="1" applyFont="1" applyFill="1" applyBorder="1" applyAlignment="1">
      <alignment horizontal="center" vertical="center"/>
    </xf>
    <xf numFmtId="165" fontId="19516" fillId="8" borderId="1" xfId="0" applyNumberFormat="1" applyFont="1" applyFill="1" applyBorder="1" applyAlignment="1">
      <alignment horizontal="center" vertical="center"/>
    </xf>
    <xf numFmtId="1" fontId="19517" fillId="8" borderId="1" xfId="0" applyNumberFormat="1" applyFont="1" applyFill="1" applyBorder="1" applyAlignment="1">
      <alignment horizontal="center" vertical="center"/>
    </xf>
    <xf numFmtId="165" fontId="19518" fillId="8" borderId="1" xfId="0" applyNumberFormat="1" applyFont="1" applyFill="1" applyBorder="1" applyAlignment="1">
      <alignment horizontal="center" vertical="center"/>
    </xf>
    <xf numFmtId="1" fontId="19519" fillId="8" borderId="1" xfId="0" applyNumberFormat="1" applyFont="1" applyFill="1" applyBorder="1" applyAlignment="1">
      <alignment horizontal="center" vertical="center"/>
    </xf>
    <xf numFmtId="165" fontId="19520" fillId="8" borderId="1" xfId="0" applyNumberFormat="1" applyFont="1" applyFill="1" applyBorder="1" applyAlignment="1">
      <alignment horizontal="center" vertical="center"/>
    </xf>
    <xf numFmtId="1" fontId="19521" fillId="8" borderId="1" xfId="0" applyNumberFormat="1" applyFont="1" applyFill="1" applyBorder="1" applyAlignment="1">
      <alignment horizontal="center" vertical="center"/>
    </xf>
    <xf numFmtId="165" fontId="19522" fillId="8" borderId="1" xfId="0" applyNumberFormat="1" applyFont="1" applyFill="1" applyBorder="1" applyAlignment="1">
      <alignment horizontal="center" vertical="center"/>
    </xf>
    <xf numFmtId="165" fontId="19523" fillId="8" borderId="1" xfId="0" applyNumberFormat="1" applyFont="1" applyFill="1" applyBorder="1" applyAlignment="1">
      <alignment horizontal="center" vertical="center"/>
    </xf>
    <xf numFmtId="1" fontId="19524" fillId="8" borderId="1" xfId="0" applyNumberFormat="1" applyFont="1" applyFill="1" applyBorder="1" applyAlignment="1">
      <alignment horizontal="center" vertical="center"/>
    </xf>
    <xf numFmtId="1" fontId="19525" fillId="8" borderId="1" xfId="0" applyNumberFormat="1" applyFont="1" applyFill="1" applyBorder="1" applyAlignment="1">
      <alignment horizontal="center" vertical="center"/>
    </xf>
    <xf numFmtId="1" fontId="19526" fillId="8" borderId="1" xfId="0" applyNumberFormat="1" applyFont="1" applyFill="1" applyBorder="1" applyAlignment="1">
      <alignment horizontal="center" vertical="center"/>
    </xf>
    <xf numFmtId="165" fontId="19527" fillId="8" borderId="1" xfId="0" applyNumberFormat="1" applyFont="1" applyFill="1" applyBorder="1" applyAlignment="1">
      <alignment horizontal="center" vertical="center"/>
    </xf>
    <xf numFmtId="164" fontId="19528" fillId="8" borderId="1" xfId="0" applyNumberFormat="1" applyFont="1" applyFill="1" applyBorder="1" applyAlignment="1">
      <alignment horizontal="center" vertical="center"/>
    </xf>
    <xf numFmtId="164" fontId="19529" fillId="8" borderId="1" xfId="0" applyNumberFormat="1" applyFont="1" applyFill="1" applyBorder="1" applyAlignment="1">
      <alignment horizontal="center" vertical="center"/>
    </xf>
    <xf numFmtId="1" fontId="19530" fillId="8" borderId="1" xfId="0" applyNumberFormat="1" applyFont="1" applyFill="1" applyBorder="1" applyAlignment="1">
      <alignment horizontal="center" vertical="center"/>
    </xf>
    <xf numFmtId="1" fontId="19531" fillId="8" borderId="1" xfId="0" applyNumberFormat="1" applyFont="1" applyFill="1" applyBorder="1" applyAlignment="1">
      <alignment horizontal="center" vertical="center"/>
    </xf>
    <xf numFmtId="1" fontId="19532" fillId="8" borderId="1" xfId="0" applyNumberFormat="1" applyFont="1" applyFill="1" applyBorder="1" applyAlignment="1">
      <alignment horizontal="center" vertical="center"/>
    </xf>
    <xf numFmtId="165" fontId="19533" fillId="8" borderId="1" xfId="0" applyNumberFormat="1" applyFont="1" applyFill="1" applyBorder="1" applyAlignment="1">
      <alignment horizontal="center" vertical="center"/>
    </xf>
    <xf numFmtId="1" fontId="19534" fillId="8" borderId="1" xfId="0" applyNumberFormat="1" applyFont="1" applyFill="1" applyBorder="1" applyAlignment="1">
      <alignment horizontal="center" vertical="center"/>
    </xf>
    <xf numFmtId="165" fontId="19535" fillId="8" borderId="1" xfId="0" applyNumberFormat="1" applyFont="1" applyFill="1" applyBorder="1" applyAlignment="1">
      <alignment horizontal="center" vertical="center"/>
    </xf>
    <xf numFmtId="1" fontId="19536" fillId="8" borderId="1" xfId="0" applyNumberFormat="1" applyFont="1" applyFill="1" applyBorder="1" applyAlignment="1">
      <alignment horizontal="center" vertical="center"/>
    </xf>
    <xf numFmtId="1" fontId="19537" fillId="8" borderId="1" xfId="0" applyNumberFormat="1" applyFont="1" applyFill="1" applyBorder="1" applyAlignment="1">
      <alignment horizontal="center" vertical="center"/>
    </xf>
    <xf numFmtId="1" fontId="19538" fillId="8" borderId="1" xfId="0" applyNumberFormat="1" applyFont="1" applyFill="1" applyBorder="1" applyAlignment="1">
      <alignment horizontal="center" vertical="center"/>
    </xf>
    <xf numFmtId="1" fontId="19539" fillId="8" borderId="1" xfId="0" applyNumberFormat="1" applyFont="1" applyFill="1" applyBorder="1" applyAlignment="1">
      <alignment horizontal="center" vertical="center"/>
    </xf>
    <xf numFmtId="165" fontId="19540" fillId="8" borderId="1" xfId="0" applyNumberFormat="1" applyFont="1" applyFill="1" applyBorder="1" applyAlignment="1">
      <alignment horizontal="center" vertical="center"/>
    </xf>
    <xf numFmtId="1" fontId="19541" fillId="8" borderId="1" xfId="0" applyNumberFormat="1" applyFont="1" applyFill="1" applyBorder="1" applyAlignment="1">
      <alignment horizontal="center" vertical="center"/>
    </xf>
    <xf numFmtId="165" fontId="19542" fillId="8" borderId="1" xfId="0" applyNumberFormat="1" applyFont="1" applyFill="1" applyBorder="1" applyAlignment="1">
      <alignment horizontal="center" vertical="center"/>
    </xf>
    <xf numFmtId="1" fontId="19543" fillId="8" borderId="1" xfId="0" applyNumberFormat="1" applyFont="1" applyFill="1" applyBorder="1" applyAlignment="1">
      <alignment horizontal="center" vertical="center"/>
    </xf>
    <xf numFmtId="165" fontId="19544" fillId="8" borderId="1" xfId="0" applyNumberFormat="1" applyFont="1" applyFill="1" applyBorder="1" applyAlignment="1">
      <alignment horizontal="center" vertical="center"/>
    </xf>
    <xf numFmtId="2" fontId="19545" fillId="8" borderId="1" xfId="0" applyNumberFormat="1" applyFont="1" applyFill="1" applyBorder="1" applyAlignment="1">
      <alignment horizontal="center" vertical="center"/>
    </xf>
    <xf numFmtId="2" fontId="19546" fillId="8" borderId="1" xfId="0" applyNumberFormat="1" applyFont="1" applyFill="1" applyBorder="1" applyAlignment="1">
      <alignment horizontal="center" vertical="center"/>
    </xf>
    <xf numFmtId="2" fontId="19547" fillId="8" borderId="1" xfId="0" applyNumberFormat="1" applyFont="1" applyFill="1" applyBorder="1" applyAlignment="1">
      <alignment horizontal="center" vertical="center"/>
    </xf>
    <xf numFmtId="2" fontId="19548" fillId="8" borderId="1" xfId="0" applyNumberFormat="1" applyFont="1" applyFill="1" applyBorder="1" applyAlignment="1">
      <alignment horizontal="center" vertical="center"/>
    </xf>
    <xf numFmtId="2" fontId="19549" fillId="8" borderId="1" xfId="0" applyNumberFormat="1" applyFont="1" applyFill="1" applyBorder="1" applyAlignment="1">
      <alignment horizontal="center" vertical="center"/>
    </xf>
    <xf numFmtId="2" fontId="19550" fillId="8" borderId="1" xfId="0" applyNumberFormat="1" applyFont="1" applyFill="1" applyBorder="1" applyAlignment="1">
      <alignment horizontal="center" vertical="center"/>
    </xf>
    <xf numFmtId="2" fontId="19551" fillId="8" borderId="1" xfId="0" applyNumberFormat="1" applyFont="1" applyFill="1" applyBorder="1" applyAlignment="1">
      <alignment horizontal="center" vertical="center"/>
    </xf>
    <xf numFmtId="2" fontId="19552" fillId="8" borderId="1" xfId="0" applyNumberFormat="1" applyFont="1" applyFill="1" applyBorder="1" applyAlignment="1">
      <alignment horizontal="center" vertical="center"/>
    </xf>
    <xf numFmtId="2" fontId="19553" fillId="8" borderId="1" xfId="0" applyNumberFormat="1" applyFont="1" applyFill="1" applyBorder="1" applyAlignment="1">
      <alignment horizontal="center" vertical="center"/>
    </xf>
    <xf numFmtId="2" fontId="19554" fillId="8" borderId="1" xfId="0" applyNumberFormat="1" applyFont="1" applyFill="1" applyBorder="1" applyAlignment="1">
      <alignment horizontal="center" vertical="center"/>
    </xf>
    <xf numFmtId="2" fontId="19555" fillId="8" borderId="1" xfId="0" applyNumberFormat="1" applyFont="1" applyFill="1" applyBorder="1" applyAlignment="1">
      <alignment horizontal="center" vertical="center"/>
    </xf>
    <xf numFmtId="2" fontId="19556" fillId="8" borderId="1" xfId="0" applyNumberFormat="1" applyFont="1" applyFill="1" applyBorder="1" applyAlignment="1">
      <alignment horizontal="center" vertical="center"/>
    </xf>
    <xf numFmtId="2" fontId="19557" fillId="8" borderId="1" xfId="0" applyNumberFormat="1" applyFont="1" applyFill="1" applyBorder="1" applyAlignment="1">
      <alignment horizontal="center" vertical="center"/>
    </xf>
    <xf numFmtId="2" fontId="19558" fillId="8" borderId="1" xfId="0" applyNumberFormat="1" applyFont="1" applyFill="1" applyBorder="1" applyAlignment="1">
      <alignment horizontal="center" vertical="center"/>
    </xf>
    <xf numFmtId="2" fontId="19559" fillId="8" borderId="1" xfId="0" applyNumberFormat="1" applyFont="1" applyFill="1" applyBorder="1" applyAlignment="1">
      <alignment horizontal="center" vertical="center"/>
    </xf>
    <xf numFmtId="2" fontId="19560" fillId="8" borderId="1" xfId="0" applyNumberFormat="1" applyFont="1" applyFill="1" applyBorder="1" applyAlignment="1">
      <alignment horizontal="center" vertical="center"/>
    </xf>
    <xf numFmtId="2" fontId="19561" fillId="8" borderId="1" xfId="0" applyNumberFormat="1" applyFont="1" applyFill="1" applyBorder="1" applyAlignment="1">
      <alignment horizontal="center" vertical="center"/>
    </xf>
    <xf numFmtId="2" fontId="19562" fillId="8" borderId="1" xfId="0" applyNumberFormat="1" applyFont="1" applyFill="1" applyBorder="1" applyAlignment="1">
      <alignment horizontal="center" vertical="center"/>
    </xf>
    <xf numFmtId="2" fontId="19563" fillId="8" borderId="1" xfId="0" applyNumberFormat="1" applyFont="1" applyFill="1" applyBorder="1" applyAlignment="1">
      <alignment horizontal="center" vertical="center"/>
    </xf>
    <xf numFmtId="2" fontId="19564" fillId="8" borderId="1" xfId="0" applyNumberFormat="1" applyFont="1" applyFill="1" applyBorder="1" applyAlignment="1">
      <alignment horizontal="center" vertical="center"/>
    </xf>
    <xf numFmtId="2" fontId="19565" fillId="8" borderId="1" xfId="0" applyNumberFormat="1" applyFont="1" applyFill="1" applyBorder="1" applyAlignment="1">
      <alignment horizontal="center" vertical="center"/>
    </xf>
    <xf numFmtId="2" fontId="19566" fillId="8" borderId="1" xfId="0" applyNumberFormat="1" applyFont="1" applyFill="1" applyBorder="1" applyAlignment="1">
      <alignment horizontal="center" vertical="center"/>
    </xf>
    <xf numFmtId="2" fontId="19567" fillId="8" borderId="1" xfId="0" applyNumberFormat="1" applyFont="1" applyFill="1" applyBorder="1" applyAlignment="1">
      <alignment horizontal="center" vertical="center"/>
    </xf>
    <xf numFmtId="2" fontId="19568" fillId="8" borderId="1" xfId="0" applyNumberFormat="1" applyFont="1" applyFill="1" applyBorder="1" applyAlignment="1">
      <alignment horizontal="center" vertical="center"/>
    </xf>
    <xf numFmtId="2" fontId="19569" fillId="8" borderId="1" xfId="0" applyNumberFormat="1" applyFont="1" applyFill="1" applyBorder="1" applyAlignment="1">
      <alignment horizontal="center" vertical="center"/>
    </xf>
    <xf numFmtId="2" fontId="19570" fillId="8" borderId="1" xfId="0" applyNumberFormat="1" applyFont="1" applyFill="1" applyBorder="1" applyAlignment="1">
      <alignment horizontal="center" vertical="center"/>
    </xf>
    <xf numFmtId="2" fontId="19571" fillId="8" borderId="1" xfId="0" applyNumberFormat="1" applyFont="1" applyFill="1" applyBorder="1" applyAlignment="1">
      <alignment horizontal="center" vertical="center"/>
    </xf>
    <xf numFmtId="2" fontId="19572" fillId="8" borderId="1" xfId="0" applyNumberFormat="1" applyFont="1" applyFill="1" applyBorder="1" applyAlignment="1">
      <alignment horizontal="center" vertical="center"/>
    </xf>
    <xf numFmtId="2" fontId="19573" fillId="8" borderId="1" xfId="0" applyNumberFormat="1" applyFont="1" applyFill="1" applyBorder="1" applyAlignment="1">
      <alignment horizontal="center" vertical="center"/>
    </xf>
    <xf numFmtId="2" fontId="19574" fillId="8" borderId="1" xfId="0" applyNumberFormat="1" applyFont="1" applyFill="1" applyBorder="1" applyAlignment="1">
      <alignment horizontal="center" vertical="center"/>
    </xf>
    <xf numFmtId="2" fontId="19575" fillId="8" borderId="1" xfId="0" applyNumberFormat="1" applyFont="1" applyFill="1" applyBorder="1" applyAlignment="1">
      <alignment horizontal="center" vertical="center"/>
    </xf>
    <xf numFmtId="2" fontId="19576" fillId="8" borderId="1" xfId="0" applyNumberFormat="1" applyFont="1" applyFill="1" applyBorder="1" applyAlignment="1">
      <alignment horizontal="center" vertical="center"/>
    </xf>
    <xf numFmtId="2" fontId="19577" fillId="8" borderId="1" xfId="0" applyNumberFormat="1" applyFont="1" applyFill="1" applyBorder="1" applyAlignment="1">
      <alignment horizontal="center" vertical="center"/>
    </xf>
    <xf numFmtId="2" fontId="19578" fillId="8" borderId="1" xfId="0" applyNumberFormat="1" applyFont="1" applyFill="1" applyBorder="1" applyAlignment="1">
      <alignment horizontal="center" vertical="center"/>
    </xf>
    <xf numFmtId="0" fontId="19579" fillId="7" borderId="1" xfId="0" applyNumberFormat="1" applyFont="1" applyFill="1" applyBorder="1" applyAlignment="1">
      <alignment horizontal="left" vertical="center"/>
    </xf>
    <xf numFmtId="0" fontId="19580" fillId="8" borderId="1" xfId="0" applyNumberFormat="1" applyFont="1" applyFill="1" applyBorder="1" applyAlignment="1">
      <alignment horizontal="center" vertical="center"/>
    </xf>
    <xf numFmtId="164" fontId="19581" fillId="8" borderId="1" xfId="0" applyNumberFormat="1" applyFont="1" applyFill="1" applyBorder="1" applyAlignment="1">
      <alignment horizontal="center" vertical="center"/>
    </xf>
    <xf numFmtId="1" fontId="19582" fillId="8" borderId="1" xfId="0" applyNumberFormat="1" applyFont="1" applyFill="1" applyBorder="1" applyAlignment="1">
      <alignment horizontal="center" vertical="center"/>
    </xf>
    <xf numFmtId="1" fontId="19583" fillId="8" borderId="1" xfId="0" applyNumberFormat="1" applyFont="1" applyFill="1" applyBorder="1" applyAlignment="1">
      <alignment horizontal="center" vertical="center"/>
    </xf>
    <xf numFmtId="1" fontId="19584" fillId="8" borderId="1" xfId="0" applyNumberFormat="1" applyFont="1" applyFill="1" applyBorder="1" applyAlignment="1">
      <alignment horizontal="center" vertical="center"/>
    </xf>
    <xf numFmtId="1" fontId="19585" fillId="8" borderId="1" xfId="0" applyNumberFormat="1" applyFont="1" applyFill="1" applyBorder="1" applyAlignment="1">
      <alignment horizontal="center" vertical="center"/>
    </xf>
    <xf numFmtId="1" fontId="19586" fillId="8" borderId="1" xfId="0" applyNumberFormat="1" applyFont="1" applyFill="1" applyBorder="1" applyAlignment="1">
      <alignment horizontal="center" vertical="center"/>
    </xf>
    <xf numFmtId="1" fontId="19587" fillId="8" borderId="1" xfId="0" applyNumberFormat="1" applyFont="1" applyFill="1" applyBorder="1" applyAlignment="1">
      <alignment horizontal="center" vertical="center"/>
    </xf>
    <xf numFmtId="1" fontId="19588" fillId="8" borderId="1" xfId="0" applyNumberFormat="1" applyFont="1" applyFill="1" applyBorder="1" applyAlignment="1">
      <alignment horizontal="center" vertical="center"/>
    </xf>
    <xf numFmtId="0" fontId="19589" fillId="8" borderId="1" xfId="0" applyNumberFormat="1" applyFont="1" applyFill="1" applyBorder="1" applyAlignment="1">
      <alignment horizontal="center" vertical="center"/>
    </xf>
    <xf numFmtId="0" fontId="19590" fillId="8" borderId="1" xfId="0" applyNumberFormat="1" applyFont="1" applyFill="1" applyBorder="1" applyAlignment="1">
      <alignment horizontal="center" vertical="center"/>
    </xf>
    <xf numFmtId="1" fontId="19591" fillId="8" borderId="1" xfId="0" applyNumberFormat="1" applyFont="1" applyFill="1" applyBorder="1" applyAlignment="1">
      <alignment horizontal="center" vertical="center"/>
    </xf>
    <xf numFmtId="1" fontId="19592" fillId="8" borderId="1" xfId="0" applyNumberFormat="1" applyFont="1" applyFill="1" applyBorder="1" applyAlignment="1">
      <alignment horizontal="center" vertical="center"/>
    </xf>
    <xf numFmtId="1" fontId="19593" fillId="8" borderId="1" xfId="0" applyNumberFormat="1" applyFont="1" applyFill="1" applyBorder="1" applyAlignment="1">
      <alignment horizontal="center" vertical="center"/>
    </xf>
    <xf numFmtId="165" fontId="19594" fillId="8" borderId="1" xfId="0" applyNumberFormat="1" applyFont="1" applyFill="1" applyBorder="1" applyAlignment="1">
      <alignment horizontal="center" vertical="center"/>
    </xf>
    <xf numFmtId="1" fontId="19595" fillId="8" borderId="1" xfId="0" applyNumberFormat="1" applyFont="1" applyFill="1" applyBorder="1" applyAlignment="1">
      <alignment horizontal="center" vertical="center"/>
    </xf>
    <xf numFmtId="165" fontId="19596" fillId="8" borderId="1" xfId="0" applyNumberFormat="1" applyFont="1" applyFill="1" applyBorder="1" applyAlignment="1">
      <alignment horizontal="center" vertical="center"/>
    </xf>
    <xf numFmtId="1" fontId="19597" fillId="8" borderId="1" xfId="0" applyNumberFormat="1" applyFont="1" applyFill="1" applyBorder="1" applyAlignment="1">
      <alignment horizontal="center" vertical="center"/>
    </xf>
    <xf numFmtId="165" fontId="19598" fillId="8" borderId="1" xfId="0" applyNumberFormat="1" applyFont="1" applyFill="1" applyBorder="1" applyAlignment="1">
      <alignment horizontal="center" vertical="center"/>
    </xf>
    <xf numFmtId="1" fontId="19599" fillId="8" borderId="1" xfId="0" applyNumberFormat="1" applyFont="1" applyFill="1" applyBorder="1" applyAlignment="1">
      <alignment horizontal="center" vertical="center"/>
    </xf>
    <xf numFmtId="165" fontId="19600" fillId="8" borderId="1" xfId="0" applyNumberFormat="1" applyFont="1" applyFill="1" applyBorder="1" applyAlignment="1">
      <alignment horizontal="center" vertical="center"/>
    </xf>
    <xf numFmtId="165" fontId="19601" fillId="8" borderId="1" xfId="0" applyNumberFormat="1" applyFont="1" applyFill="1" applyBorder="1" applyAlignment="1">
      <alignment horizontal="center" vertical="center"/>
    </xf>
    <xf numFmtId="1" fontId="19602" fillId="8" borderId="1" xfId="0" applyNumberFormat="1" applyFont="1" applyFill="1" applyBorder="1" applyAlignment="1">
      <alignment horizontal="center" vertical="center"/>
    </xf>
    <xf numFmtId="1" fontId="19603" fillId="8" borderId="1" xfId="0" applyNumberFormat="1" applyFont="1" applyFill="1" applyBorder="1" applyAlignment="1">
      <alignment horizontal="center" vertical="center"/>
    </xf>
    <xf numFmtId="1" fontId="19604" fillId="8" borderId="1" xfId="0" applyNumberFormat="1" applyFont="1" applyFill="1" applyBorder="1" applyAlignment="1">
      <alignment horizontal="center" vertical="center"/>
    </xf>
    <xf numFmtId="165" fontId="19605" fillId="8" borderId="1" xfId="0" applyNumberFormat="1" applyFont="1" applyFill="1" applyBorder="1" applyAlignment="1">
      <alignment horizontal="center" vertical="center"/>
    </xf>
    <xf numFmtId="164" fontId="19606" fillId="8" borderId="1" xfId="0" applyNumberFormat="1" applyFont="1" applyFill="1" applyBorder="1" applyAlignment="1">
      <alignment horizontal="center" vertical="center"/>
    </xf>
    <xf numFmtId="164" fontId="19607" fillId="8" borderId="1" xfId="0" applyNumberFormat="1" applyFont="1" applyFill="1" applyBorder="1" applyAlignment="1">
      <alignment horizontal="center" vertical="center"/>
    </xf>
    <xf numFmtId="1" fontId="19608" fillId="8" borderId="1" xfId="0" applyNumberFormat="1" applyFont="1" applyFill="1" applyBorder="1" applyAlignment="1">
      <alignment horizontal="center" vertical="center"/>
    </xf>
    <xf numFmtId="1" fontId="19609" fillId="8" borderId="1" xfId="0" applyNumberFormat="1" applyFont="1" applyFill="1" applyBorder="1" applyAlignment="1">
      <alignment horizontal="center" vertical="center"/>
    </xf>
    <xf numFmtId="1" fontId="19610" fillId="8" borderId="1" xfId="0" applyNumberFormat="1" applyFont="1" applyFill="1" applyBorder="1" applyAlignment="1">
      <alignment horizontal="center" vertical="center"/>
    </xf>
    <xf numFmtId="165" fontId="19611" fillId="8" borderId="1" xfId="0" applyNumberFormat="1" applyFont="1" applyFill="1" applyBorder="1" applyAlignment="1">
      <alignment horizontal="center" vertical="center"/>
    </xf>
    <xf numFmtId="1" fontId="19612" fillId="8" borderId="1" xfId="0" applyNumberFormat="1" applyFont="1" applyFill="1" applyBorder="1" applyAlignment="1">
      <alignment horizontal="center" vertical="center"/>
    </xf>
    <xf numFmtId="165" fontId="19613" fillId="8" borderId="1" xfId="0" applyNumberFormat="1" applyFont="1" applyFill="1" applyBorder="1" applyAlignment="1">
      <alignment horizontal="center" vertical="center"/>
    </xf>
    <xf numFmtId="1" fontId="19614" fillId="8" borderId="1" xfId="0" applyNumberFormat="1" applyFont="1" applyFill="1" applyBorder="1" applyAlignment="1">
      <alignment horizontal="center" vertical="center"/>
    </xf>
    <xf numFmtId="1" fontId="19615" fillId="8" borderId="1" xfId="0" applyNumberFormat="1" applyFont="1" applyFill="1" applyBorder="1" applyAlignment="1">
      <alignment horizontal="center" vertical="center"/>
    </xf>
    <xf numFmtId="1" fontId="19616" fillId="8" borderId="1" xfId="0" applyNumberFormat="1" applyFont="1" applyFill="1" applyBorder="1" applyAlignment="1">
      <alignment horizontal="center" vertical="center"/>
    </xf>
    <xf numFmtId="1" fontId="19617" fillId="8" borderId="1" xfId="0" applyNumberFormat="1" applyFont="1" applyFill="1" applyBorder="1" applyAlignment="1">
      <alignment horizontal="center" vertical="center"/>
    </xf>
    <xf numFmtId="165" fontId="19618" fillId="8" borderId="1" xfId="0" applyNumberFormat="1" applyFont="1" applyFill="1" applyBorder="1" applyAlignment="1">
      <alignment horizontal="center" vertical="center"/>
    </xf>
    <xf numFmtId="1" fontId="19619" fillId="8" borderId="1" xfId="0" applyNumberFormat="1" applyFont="1" applyFill="1" applyBorder="1" applyAlignment="1">
      <alignment horizontal="center" vertical="center"/>
    </xf>
    <xf numFmtId="165" fontId="19620" fillId="8" borderId="1" xfId="0" applyNumberFormat="1" applyFont="1" applyFill="1" applyBorder="1" applyAlignment="1">
      <alignment horizontal="center" vertical="center"/>
    </xf>
    <xf numFmtId="1" fontId="19621" fillId="8" borderId="1" xfId="0" applyNumberFormat="1" applyFont="1" applyFill="1" applyBorder="1" applyAlignment="1">
      <alignment horizontal="center" vertical="center"/>
    </xf>
    <xf numFmtId="165" fontId="19622" fillId="8" borderId="1" xfId="0" applyNumberFormat="1" applyFont="1" applyFill="1" applyBorder="1" applyAlignment="1">
      <alignment horizontal="center" vertical="center"/>
    </xf>
    <xf numFmtId="2" fontId="19623" fillId="8" borderId="1" xfId="0" applyNumberFormat="1" applyFont="1" applyFill="1" applyBorder="1" applyAlignment="1">
      <alignment horizontal="center" vertical="center"/>
    </xf>
    <xf numFmtId="2" fontId="19624" fillId="8" borderId="1" xfId="0" applyNumberFormat="1" applyFont="1" applyFill="1" applyBorder="1" applyAlignment="1">
      <alignment horizontal="center" vertical="center"/>
    </xf>
    <xf numFmtId="2" fontId="19625" fillId="8" borderId="1" xfId="0" applyNumberFormat="1" applyFont="1" applyFill="1" applyBorder="1" applyAlignment="1">
      <alignment horizontal="center" vertical="center"/>
    </xf>
    <xf numFmtId="2" fontId="19626" fillId="8" borderId="1" xfId="0" applyNumberFormat="1" applyFont="1" applyFill="1" applyBorder="1" applyAlignment="1">
      <alignment horizontal="center" vertical="center"/>
    </xf>
    <xf numFmtId="2" fontId="19627" fillId="8" borderId="1" xfId="0" applyNumberFormat="1" applyFont="1" applyFill="1" applyBorder="1" applyAlignment="1">
      <alignment horizontal="center" vertical="center"/>
    </xf>
    <xf numFmtId="2" fontId="19628" fillId="8" borderId="1" xfId="0" applyNumberFormat="1" applyFont="1" applyFill="1" applyBorder="1" applyAlignment="1">
      <alignment horizontal="center" vertical="center"/>
    </xf>
    <xf numFmtId="2" fontId="19629" fillId="8" borderId="1" xfId="0" applyNumberFormat="1" applyFont="1" applyFill="1" applyBorder="1" applyAlignment="1">
      <alignment horizontal="center" vertical="center"/>
    </xf>
    <xf numFmtId="2" fontId="19630" fillId="8" borderId="1" xfId="0" applyNumberFormat="1" applyFont="1" applyFill="1" applyBorder="1" applyAlignment="1">
      <alignment horizontal="center" vertical="center"/>
    </xf>
    <xf numFmtId="2" fontId="19631" fillId="8" borderId="1" xfId="0" applyNumberFormat="1" applyFont="1" applyFill="1" applyBorder="1" applyAlignment="1">
      <alignment horizontal="center" vertical="center"/>
    </xf>
    <xf numFmtId="2" fontId="19632" fillId="8" borderId="1" xfId="0" applyNumberFormat="1" applyFont="1" applyFill="1" applyBorder="1" applyAlignment="1">
      <alignment horizontal="center" vertical="center"/>
    </xf>
    <xf numFmtId="2" fontId="19633" fillId="8" borderId="1" xfId="0" applyNumberFormat="1" applyFont="1" applyFill="1" applyBorder="1" applyAlignment="1">
      <alignment horizontal="center" vertical="center"/>
    </xf>
    <xf numFmtId="2" fontId="19634" fillId="8" borderId="1" xfId="0" applyNumberFormat="1" applyFont="1" applyFill="1" applyBorder="1" applyAlignment="1">
      <alignment horizontal="center" vertical="center"/>
    </xf>
    <xf numFmtId="2" fontId="19635" fillId="8" borderId="1" xfId="0" applyNumberFormat="1" applyFont="1" applyFill="1" applyBorder="1" applyAlignment="1">
      <alignment horizontal="center" vertical="center"/>
    </xf>
    <xf numFmtId="2" fontId="19636" fillId="8" borderId="1" xfId="0" applyNumberFormat="1" applyFont="1" applyFill="1" applyBorder="1" applyAlignment="1">
      <alignment horizontal="center" vertical="center"/>
    </xf>
    <xf numFmtId="2" fontId="19637" fillId="8" borderId="1" xfId="0" applyNumberFormat="1" applyFont="1" applyFill="1" applyBorder="1" applyAlignment="1">
      <alignment horizontal="center" vertical="center"/>
    </xf>
    <xf numFmtId="2" fontId="19638" fillId="8" borderId="1" xfId="0" applyNumberFormat="1" applyFont="1" applyFill="1" applyBorder="1" applyAlignment="1">
      <alignment horizontal="center" vertical="center"/>
    </xf>
    <xf numFmtId="2" fontId="19639" fillId="8" borderId="1" xfId="0" applyNumberFormat="1" applyFont="1" applyFill="1" applyBorder="1" applyAlignment="1">
      <alignment horizontal="center" vertical="center"/>
    </xf>
    <xf numFmtId="2" fontId="19640" fillId="8" borderId="1" xfId="0" applyNumberFormat="1" applyFont="1" applyFill="1" applyBorder="1" applyAlignment="1">
      <alignment horizontal="center" vertical="center"/>
    </xf>
    <xf numFmtId="2" fontId="19641" fillId="8" borderId="1" xfId="0" applyNumberFormat="1" applyFont="1" applyFill="1" applyBorder="1" applyAlignment="1">
      <alignment horizontal="center" vertical="center"/>
    </xf>
    <xf numFmtId="2" fontId="19642" fillId="8" borderId="1" xfId="0" applyNumberFormat="1" applyFont="1" applyFill="1" applyBorder="1" applyAlignment="1">
      <alignment horizontal="center" vertical="center"/>
    </xf>
    <xf numFmtId="2" fontId="19643" fillId="8" borderId="1" xfId="0" applyNumberFormat="1" applyFont="1" applyFill="1" applyBorder="1" applyAlignment="1">
      <alignment horizontal="center" vertical="center"/>
    </xf>
    <xf numFmtId="2" fontId="19644" fillId="8" borderId="1" xfId="0" applyNumberFormat="1" applyFont="1" applyFill="1" applyBorder="1" applyAlignment="1">
      <alignment horizontal="center" vertical="center"/>
    </xf>
    <xf numFmtId="2" fontId="19645" fillId="8" borderId="1" xfId="0" applyNumberFormat="1" applyFont="1" applyFill="1" applyBorder="1" applyAlignment="1">
      <alignment horizontal="center" vertical="center"/>
    </xf>
    <xf numFmtId="2" fontId="19646" fillId="8" borderId="1" xfId="0" applyNumberFormat="1" applyFont="1" applyFill="1" applyBorder="1" applyAlignment="1">
      <alignment horizontal="center" vertical="center"/>
    </xf>
    <xf numFmtId="2" fontId="19647" fillId="8" borderId="1" xfId="0" applyNumberFormat="1" applyFont="1" applyFill="1" applyBorder="1" applyAlignment="1">
      <alignment horizontal="center" vertical="center"/>
    </xf>
    <xf numFmtId="2" fontId="19648" fillId="8" borderId="1" xfId="0" applyNumberFormat="1" applyFont="1" applyFill="1" applyBorder="1" applyAlignment="1">
      <alignment horizontal="center" vertical="center"/>
    </xf>
    <xf numFmtId="2" fontId="19649" fillId="8" borderId="1" xfId="0" applyNumberFormat="1" applyFont="1" applyFill="1" applyBorder="1" applyAlignment="1">
      <alignment horizontal="center" vertical="center"/>
    </xf>
    <xf numFmtId="2" fontId="19650" fillId="8" borderId="1" xfId="0" applyNumberFormat="1" applyFont="1" applyFill="1" applyBorder="1" applyAlignment="1">
      <alignment horizontal="center" vertical="center"/>
    </xf>
    <xf numFmtId="2" fontId="19651" fillId="8" borderId="1" xfId="0" applyNumberFormat="1" applyFont="1" applyFill="1" applyBorder="1" applyAlignment="1">
      <alignment horizontal="center" vertical="center"/>
    </xf>
    <xf numFmtId="2" fontId="19652" fillId="8" borderId="1" xfId="0" applyNumberFormat="1" applyFont="1" applyFill="1" applyBorder="1" applyAlignment="1">
      <alignment horizontal="center" vertical="center"/>
    </xf>
    <xf numFmtId="2" fontId="19653" fillId="8" borderId="1" xfId="0" applyNumberFormat="1" applyFont="1" applyFill="1" applyBorder="1" applyAlignment="1">
      <alignment horizontal="center" vertical="center"/>
    </xf>
    <xf numFmtId="2" fontId="19654" fillId="8" borderId="1" xfId="0" applyNumberFormat="1" applyFont="1" applyFill="1" applyBorder="1" applyAlignment="1">
      <alignment horizontal="center" vertical="center"/>
    </xf>
    <xf numFmtId="2" fontId="19655" fillId="8" borderId="1" xfId="0" applyNumberFormat="1" applyFont="1" applyFill="1" applyBorder="1" applyAlignment="1">
      <alignment horizontal="center" vertical="center"/>
    </xf>
    <xf numFmtId="2" fontId="19656" fillId="8" borderId="1" xfId="0" applyNumberFormat="1" applyFont="1" applyFill="1" applyBorder="1" applyAlignment="1">
      <alignment horizontal="center" vertical="center"/>
    </xf>
    <xf numFmtId="0" fontId="19657" fillId="7" borderId="1" xfId="0" applyNumberFormat="1" applyFont="1" applyFill="1" applyBorder="1" applyAlignment="1">
      <alignment horizontal="left" vertical="center"/>
    </xf>
    <xf numFmtId="0" fontId="19658" fillId="8" borderId="1" xfId="0" applyNumberFormat="1" applyFont="1" applyFill="1" applyBorder="1" applyAlignment="1">
      <alignment horizontal="center" vertical="center"/>
    </xf>
    <xf numFmtId="164" fontId="19659" fillId="8" borderId="1" xfId="0" applyNumberFormat="1" applyFont="1" applyFill="1" applyBorder="1" applyAlignment="1">
      <alignment horizontal="center" vertical="center"/>
    </xf>
    <xf numFmtId="1" fontId="19660" fillId="8" borderId="1" xfId="0" applyNumberFormat="1" applyFont="1" applyFill="1" applyBorder="1" applyAlignment="1">
      <alignment horizontal="center" vertical="center"/>
    </xf>
    <xf numFmtId="1" fontId="19661" fillId="8" borderId="1" xfId="0" applyNumberFormat="1" applyFont="1" applyFill="1" applyBorder="1" applyAlignment="1">
      <alignment horizontal="center" vertical="center"/>
    </xf>
    <xf numFmtId="1" fontId="19662" fillId="8" borderId="1" xfId="0" applyNumberFormat="1" applyFont="1" applyFill="1" applyBorder="1" applyAlignment="1">
      <alignment horizontal="center" vertical="center"/>
    </xf>
    <xf numFmtId="1" fontId="19663" fillId="8" borderId="1" xfId="0" applyNumberFormat="1" applyFont="1" applyFill="1" applyBorder="1" applyAlignment="1">
      <alignment horizontal="center" vertical="center"/>
    </xf>
    <xf numFmtId="1" fontId="19664" fillId="8" borderId="1" xfId="0" applyNumberFormat="1" applyFont="1" applyFill="1" applyBorder="1" applyAlignment="1">
      <alignment horizontal="center" vertical="center"/>
    </xf>
    <xf numFmtId="1" fontId="19665" fillId="8" borderId="1" xfId="0" applyNumberFormat="1" applyFont="1" applyFill="1" applyBorder="1" applyAlignment="1">
      <alignment horizontal="center" vertical="center"/>
    </xf>
    <xf numFmtId="1" fontId="19666" fillId="8" borderId="1" xfId="0" applyNumberFormat="1" applyFont="1" applyFill="1" applyBorder="1" applyAlignment="1">
      <alignment horizontal="center" vertical="center"/>
    </xf>
    <xf numFmtId="0" fontId="19667" fillId="8" borderId="1" xfId="0" applyNumberFormat="1" applyFont="1" applyFill="1" applyBorder="1" applyAlignment="1">
      <alignment horizontal="center" vertical="center"/>
    </xf>
    <xf numFmtId="0" fontId="19668" fillId="8" borderId="1" xfId="0" applyNumberFormat="1" applyFont="1" applyFill="1" applyBorder="1" applyAlignment="1">
      <alignment horizontal="center" vertical="center"/>
    </xf>
    <xf numFmtId="1" fontId="19669" fillId="8" borderId="1" xfId="0" applyNumberFormat="1" applyFont="1" applyFill="1" applyBorder="1" applyAlignment="1">
      <alignment horizontal="center" vertical="center"/>
    </xf>
    <xf numFmtId="1" fontId="19670" fillId="8" borderId="1" xfId="0" applyNumberFormat="1" applyFont="1" applyFill="1" applyBorder="1" applyAlignment="1">
      <alignment horizontal="center" vertical="center"/>
    </xf>
    <xf numFmtId="1" fontId="19671" fillId="8" borderId="1" xfId="0" applyNumberFormat="1" applyFont="1" applyFill="1" applyBorder="1" applyAlignment="1">
      <alignment horizontal="center" vertical="center"/>
    </xf>
    <xf numFmtId="165" fontId="19672" fillId="8" borderId="1" xfId="0" applyNumberFormat="1" applyFont="1" applyFill="1" applyBorder="1" applyAlignment="1">
      <alignment horizontal="center" vertical="center"/>
    </xf>
    <xf numFmtId="1" fontId="19673" fillId="8" borderId="1" xfId="0" applyNumberFormat="1" applyFont="1" applyFill="1" applyBorder="1" applyAlignment="1">
      <alignment horizontal="center" vertical="center"/>
    </xf>
    <xf numFmtId="165" fontId="19674" fillId="8" borderId="1" xfId="0" applyNumberFormat="1" applyFont="1" applyFill="1" applyBorder="1" applyAlignment="1">
      <alignment horizontal="center" vertical="center"/>
    </xf>
    <xf numFmtId="1" fontId="19675" fillId="8" borderId="1" xfId="0" applyNumberFormat="1" applyFont="1" applyFill="1" applyBorder="1" applyAlignment="1">
      <alignment horizontal="center" vertical="center"/>
    </xf>
    <xf numFmtId="165" fontId="19676" fillId="8" borderId="1" xfId="0" applyNumberFormat="1" applyFont="1" applyFill="1" applyBorder="1" applyAlignment="1">
      <alignment horizontal="center" vertical="center"/>
    </xf>
    <xf numFmtId="1" fontId="19677" fillId="8" borderId="1" xfId="0" applyNumberFormat="1" applyFont="1" applyFill="1" applyBorder="1" applyAlignment="1">
      <alignment horizontal="center" vertical="center"/>
    </xf>
    <xf numFmtId="165" fontId="19678" fillId="8" borderId="1" xfId="0" applyNumberFormat="1" applyFont="1" applyFill="1" applyBorder="1" applyAlignment="1">
      <alignment horizontal="center" vertical="center"/>
    </xf>
    <xf numFmtId="165" fontId="19679" fillId="8" borderId="1" xfId="0" applyNumberFormat="1" applyFont="1" applyFill="1" applyBorder="1" applyAlignment="1">
      <alignment horizontal="center" vertical="center"/>
    </xf>
    <xf numFmtId="1" fontId="19680" fillId="8" borderId="1" xfId="0" applyNumberFormat="1" applyFont="1" applyFill="1" applyBorder="1" applyAlignment="1">
      <alignment horizontal="center" vertical="center"/>
    </xf>
    <xf numFmtId="1" fontId="19681" fillId="8" borderId="1" xfId="0" applyNumberFormat="1" applyFont="1" applyFill="1" applyBorder="1" applyAlignment="1">
      <alignment horizontal="center" vertical="center"/>
    </xf>
    <xf numFmtId="1" fontId="19682" fillId="8" borderId="1" xfId="0" applyNumberFormat="1" applyFont="1" applyFill="1" applyBorder="1" applyAlignment="1">
      <alignment horizontal="center" vertical="center"/>
    </xf>
    <xf numFmtId="165" fontId="19683" fillId="8" borderId="1" xfId="0" applyNumberFormat="1" applyFont="1" applyFill="1" applyBorder="1" applyAlignment="1">
      <alignment horizontal="center" vertical="center"/>
    </xf>
    <xf numFmtId="164" fontId="19684" fillId="8" borderId="1" xfId="0" applyNumberFormat="1" applyFont="1" applyFill="1" applyBorder="1" applyAlignment="1">
      <alignment horizontal="center" vertical="center"/>
    </xf>
    <xf numFmtId="164" fontId="19685" fillId="8" borderId="1" xfId="0" applyNumberFormat="1" applyFont="1" applyFill="1" applyBorder="1" applyAlignment="1">
      <alignment horizontal="center" vertical="center"/>
    </xf>
    <xf numFmtId="1" fontId="19686" fillId="8" borderId="1" xfId="0" applyNumberFormat="1" applyFont="1" applyFill="1" applyBorder="1" applyAlignment="1">
      <alignment horizontal="center" vertical="center"/>
    </xf>
    <xf numFmtId="1" fontId="19687" fillId="8" borderId="1" xfId="0" applyNumberFormat="1" applyFont="1" applyFill="1" applyBorder="1" applyAlignment="1">
      <alignment horizontal="center" vertical="center"/>
    </xf>
    <xf numFmtId="1" fontId="19688" fillId="8" borderId="1" xfId="0" applyNumberFormat="1" applyFont="1" applyFill="1" applyBorder="1" applyAlignment="1">
      <alignment horizontal="center" vertical="center"/>
    </xf>
    <xf numFmtId="165" fontId="19689" fillId="8" borderId="1" xfId="0" applyNumberFormat="1" applyFont="1" applyFill="1" applyBorder="1" applyAlignment="1">
      <alignment horizontal="center" vertical="center"/>
    </xf>
    <xf numFmtId="1" fontId="19690" fillId="8" borderId="1" xfId="0" applyNumberFormat="1" applyFont="1" applyFill="1" applyBorder="1" applyAlignment="1">
      <alignment horizontal="center" vertical="center"/>
    </xf>
    <xf numFmtId="165" fontId="19691" fillId="8" borderId="1" xfId="0" applyNumberFormat="1" applyFont="1" applyFill="1" applyBorder="1" applyAlignment="1">
      <alignment horizontal="center" vertical="center"/>
    </xf>
    <xf numFmtId="1" fontId="19692" fillId="8" borderId="1" xfId="0" applyNumberFormat="1" applyFont="1" applyFill="1" applyBorder="1" applyAlignment="1">
      <alignment horizontal="center" vertical="center"/>
    </xf>
    <xf numFmtId="1" fontId="19693" fillId="8" borderId="1" xfId="0" applyNumberFormat="1" applyFont="1" applyFill="1" applyBorder="1" applyAlignment="1">
      <alignment horizontal="center" vertical="center"/>
    </xf>
    <xf numFmtId="1" fontId="19694" fillId="8" borderId="1" xfId="0" applyNumberFormat="1" applyFont="1" applyFill="1" applyBorder="1" applyAlignment="1">
      <alignment horizontal="center" vertical="center"/>
    </xf>
    <xf numFmtId="1" fontId="19695" fillId="8" borderId="1" xfId="0" applyNumberFormat="1" applyFont="1" applyFill="1" applyBorder="1" applyAlignment="1">
      <alignment horizontal="center" vertical="center"/>
    </xf>
    <xf numFmtId="165" fontId="19696" fillId="8" borderId="1" xfId="0" applyNumberFormat="1" applyFont="1" applyFill="1" applyBorder="1" applyAlignment="1">
      <alignment horizontal="center" vertical="center"/>
    </xf>
    <xf numFmtId="1" fontId="19697" fillId="8" borderId="1" xfId="0" applyNumberFormat="1" applyFont="1" applyFill="1" applyBorder="1" applyAlignment="1">
      <alignment horizontal="center" vertical="center"/>
    </xf>
    <xf numFmtId="165" fontId="19698" fillId="8" borderId="1" xfId="0" applyNumberFormat="1" applyFont="1" applyFill="1" applyBorder="1" applyAlignment="1">
      <alignment horizontal="center" vertical="center"/>
    </xf>
    <xf numFmtId="1" fontId="19699" fillId="8" borderId="1" xfId="0" applyNumberFormat="1" applyFont="1" applyFill="1" applyBorder="1" applyAlignment="1">
      <alignment horizontal="center" vertical="center"/>
    </xf>
    <xf numFmtId="165" fontId="19700" fillId="8" borderId="1" xfId="0" applyNumberFormat="1" applyFont="1" applyFill="1" applyBorder="1" applyAlignment="1">
      <alignment horizontal="center" vertical="center"/>
    </xf>
    <xf numFmtId="2" fontId="19701" fillId="8" borderId="1" xfId="0" applyNumberFormat="1" applyFont="1" applyFill="1" applyBorder="1" applyAlignment="1">
      <alignment horizontal="center" vertical="center"/>
    </xf>
    <xf numFmtId="2" fontId="19702" fillId="8" borderId="1" xfId="0" applyNumberFormat="1" applyFont="1" applyFill="1" applyBorder="1" applyAlignment="1">
      <alignment horizontal="center" vertical="center"/>
    </xf>
    <xf numFmtId="2" fontId="19703" fillId="8" borderId="1" xfId="0" applyNumberFormat="1" applyFont="1" applyFill="1" applyBorder="1" applyAlignment="1">
      <alignment horizontal="center" vertical="center"/>
    </xf>
    <xf numFmtId="2" fontId="19704" fillId="8" borderId="1" xfId="0" applyNumberFormat="1" applyFont="1" applyFill="1" applyBorder="1" applyAlignment="1">
      <alignment horizontal="center" vertical="center"/>
    </xf>
    <xf numFmtId="2" fontId="19705" fillId="8" borderId="1" xfId="0" applyNumberFormat="1" applyFont="1" applyFill="1" applyBorder="1" applyAlignment="1">
      <alignment horizontal="center" vertical="center"/>
    </xf>
    <xf numFmtId="2" fontId="19706" fillId="8" borderId="1" xfId="0" applyNumberFormat="1" applyFont="1" applyFill="1" applyBorder="1" applyAlignment="1">
      <alignment horizontal="center" vertical="center"/>
    </xf>
    <xf numFmtId="2" fontId="19707" fillId="8" borderId="1" xfId="0" applyNumberFormat="1" applyFont="1" applyFill="1" applyBorder="1" applyAlignment="1">
      <alignment horizontal="center" vertical="center"/>
    </xf>
    <xf numFmtId="2" fontId="19708" fillId="8" borderId="1" xfId="0" applyNumberFormat="1" applyFont="1" applyFill="1" applyBorder="1" applyAlignment="1">
      <alignment horizontal="center" vertical="center"/>
    </xf>
    <xf numFmtId="2" fontId="19709" fillId="8" borderId="1" xfId="0" applyNumberFormat="1" applyFont="1" applyFill="1" applyBorder="1" applyAlignment="1">
      <alignment horizontal="center" vertical="center"/>
    </xf>
    <xf numFmtId="2" fontId="19710" fillId="8" borderId="1" xfId="0" applyNumberFormat="1" applyFont="1" applyFill="1" applyBorder="1" applyAlignment="1">
      <alignment horizontal="center" vertical="center"/>
    </xf>
    <xf numFmtId="2" fontId="19711" fillId="8" borderId="1" xfId="0" applyNumberFormat="1" applyFont="1" applyFill="1" applyBorder="1" applyAlignment="1">
      <alignment horizontal="center" vertical="center"/>
    </xf>
    <xf numFmtId="2" fontId="19712" fillId="8" borderId="1" xfId="0" applyNumberFormat="1" applyFont="1" applyFill="1" applyBorder="1" applyAlignment="1">
      <alignment horizontal="center" vertical="center"/>
    </xf>
    <xf numFmtId="2" fontId="19713" fillId="8" borderId="1" xfId="0" applyNumberFormat="1" applyFont="1" applyFill="1" applyBorder="1" applyAlignment="1">
      <alignment horizontal="center" vertical="center"/>
    </xf>
    <xf numFmtId="2" fontId="19714" fillId="8" borderId="1" xfId="0" applyNumberFormat="1" applyFont="1" applyFill="1" applyBorder="1" applyAlignment="1">
      <alignment horizontal="center" vertical="center"/>
    </xf>
    <xf numFmtId="2" fontId="19715" fillId="8" borderId="1" xfId="0" applyNumberFormat="1" applyFont="1" applyFill="1" applyBorder="1" applyAlignment="1">
      <alignment horizontal="center" vertical="center"/>
    </xf>
    <xf numFmtId="2" fontId="19716" fillId="8" borderId="1" xfId="0" applyNumberFormat="1" applyFont="1" applyFill="1" applyBorder="1" applyAlignment="1">
      <alignment horizontal="center" vertical="center"/>
    </xf>
    <xf numFmtId="2" fontId="19717" fillId="8" borderId="1" xfId="0" applyNumberFormat="1" applyFont="1" applyFill="1" applyBorder="1" applyAlignment="1">
      <alignment horizontal="center" vertical="center"/>
    </xf>
    <xf numFmtId="2" fontId="19718" fillId="8" borderId="1" xfId="0" applyNumberFormat="1" applyFont="1" applyFill="1" applyBorder="1" applyAlignment="1">
      <alignment horizontal="center" vertical="center"/>
    </xf>
    <xf numFmtId="2" fontId="19719" fillId="8" borderId="1" xfId="0" applyNumberFormat="1" applyFont="1" applyFill="1" applyBorder="1" applyAlignment="1">
      <alignment horizontal="center" vertical="center"/>
    </xf>
    <xf numFmtId="2" fontId="19720" fillId="8" borderId="1" xfId="0" applyNumberFormat="1" applyFont="1" applyFill="1" applyBorder="1" applyAlignment="1">
      <alignment horizontal="center" vertical="center"/>
    </xf>
    <xf numFmtId="2" fontId="19721" fillId="8" borderId="1" xfId="0" applyNumberFormat="1" applyFont="1" applyFill="1" applyBorder="1" applyAlignment="1">
      <alignment horizontal="center" vertical="center"/>
    </xf>
    <xf numFmtId="2" fontId="19722" fillId="8" borderId="1" xfId="0" applyNumberFormat="1" applyFont="1" applyFill="1" applyBorder="1" applyAlignment="1">
      <alignment horizontal="center" vertical="center"/>
    </xf>
    <xf numFmtId="2" fontId="19723" fillId="8" borderId="1" xfId="0" applyNumberFormat="1" applyFont="1" applyFill="1" applyBorder="1" applyAlignment="1">
      <alignment horizontal="center" vertical="center"/>
    </xf>
    <xf numFmtId="2" fontId="19724" fillId="8" borderId="1" xfId="0" applyNumberFormat="1" applyFont="1" applyFill="1" applyBorder="1" applyAlignment="1">
      <alignment horizontal="center" vertical="center"/>
    </xf>
    <xf numFmtId="2" fontId="19725" fillId="8" borderId="1" xfId="0" applyNumberFormat="1" applyFont="1" applyFill="1" applyBorder="1" applyAlignment="1">
      <alignment horizontal="center" vertical="center"/>
    </xf>
    <xf numFmtId="2" fontId="19726" fillId="8" borderId="1" xfId="0" applyNumberFormat="1" applyFont="1" applyFill="1" applyBorder="1" applyAlignment="1">
      <alignment horizontal="center" vertical="center"/>
    </xf>
    <xf numFmtId="2" fontId="19727" fillId="8" borderId="1" xfId="0" applyNumberFormat="1" applyFont="1" applyFill="1" applyBorder="1" applyAlignment="1">
      <alignment horizontal="center" vertical="center"/>
    </xf>
    <xf numFmtId="2" fontId="19728" fillId="8" borderId="1" xfId="0" applyNumberFormat="1" applyFont="1" applyFill="1" applyBorder="1" applyAlignment="1">
      <alignment horizontal="center" vertical="center"/>
    </xf>
    <xf numFmtId="2" fontId="19729" fillId="8" borderId="1" xfId="0" applyNumberFormat="1" applyFont="1" applyFill="1" applyBorder="1" applyAlignment="1">
      <alignment horizontal="center" vertical="center"/>
    </xf>
    <xf numFmtId="2" fontId="19730" fillId="8" borderId="1" xfId="0" applyNumberFormat="1" applyFont="1" applyFill="1" applyBorder="1" applyAlignment="1">
      <alignment horizontal="center" vertical="center"/>
    </xf>
    <xf numFmtId="2" fontId="19731" fillId="8" borderId="1" xfId="0" applyNumberFormat="1" applyFont="1" applyFill="1" applyBorder="1" applyAlignment="1">
      <alignment horizontal="center" vertical="center"/>
    </xf>
    <xf numFmtId="2" fontId="19732" fillId="8" borderId="1" xfId="0" applyNumberFormat="1" applyFont="1" applyFill="1" applyBorder="1" applyAlignment="1">
      <alignment horizontal="center" vertical="center"/>
    </xf>
    <xf numFmtId="2" fontId="19733" fillId="8" borderId="1" xfId="0" applyNumberFormat="1" applyFont="1" applyFill="1" applyBorder="1" applyAlignment="1">
      <alignment horizontal="center" vertical="center"/>
    </xf>
    <xf numFmtId="2" fontId="19734" fillId="8" borderId="1" xfId="0" applyNumberFormat="1" applyFont="1" applyFill="1" applyBorder="1" applyAlignment="1">
      <alignment horizontal="center" vertical="center"/>
    </xf>
    <xf numFmtId="0" fontId="19735" fillId="7" borderId="1" xfId="0" applyNumberFormat="1" applyFont="1" applyFill="1" applyBorder="1" applyAlignment="1">
      <alignment horizontal="left" vertical="center"/>
    </xf>
    <xf numFmtId="0" fontId="19736" fillId="8" borderId="1" xfId="0" applyNumberFormat="1" applyFont="1" applyFill="1" applyBorder="1" applyAlignment="1">
      <alignment horizontal="center" vertical="center"/>
    </xf>
    <xf numFmtId="164" fontId="19737" fillId="8" borderId="1" xfId="0" applyNumberFormat="1" applyFont="1" applyFill="1" applyBorder="1" applyAlignment="1">
      <alignment horizontal="center" vertical="center"/>
    </xf>
    <xf numFmtId="1" fontId="19738" fillId="8" borderId="1" xfId="0" applyNumberFormat="1" applyFont="1" applyFill="1" applyBorder="1" applyAlignment="1">
      <alignment horizontal="center" vertical="center"/>
    </xf>
    <xf numFmtId="1" fontId="19739" fillId="8" borderId="1" xfId="0" applyNumberFormat="1" applyFont="1" applyFill="1" applyBorder="1" applyAlignment="1">
      <alignment horizontal="center" vertical="center"/>
    </xf>
    <xf numFmtId="1" fontId="19740" fillId="8" borderId="1" xfId="0" applyNumberFormat="1" applyFont="1" applyFill="1" applyBorder="1" applyAlignment="1">
      <alignment horizontal="center" vertical="center"/>
    </xf>
    <xf numFmtId="1" fontId="19741" fillId="8" borderId="1" xfId="0" applyNumberFormat="1" applyFont="1" applyFill="1" applyBorder="1" applyAlignment="1">
      <alignment horizontal="center" vertical="center"/>
    </xf>
    <xf numFmtId="1" fontId="19742" fillId="8" borderId="1" xfId="0" applyNumberFormat="1" applyFont="1" applyFill="1" applyBorder="1" applyAlignment="1">
      <alignment horizontal="center" vertical="center"/>
    </xf>
    <xf numFmtId="1" fontId="19743" fillId="8" borderId="1" xfId="0" applyNumberFormat="1" applyFont="1" applyFill="1" applyBorder="1" applyAlignment="1">
      <alignment horizontal="center" vertical="center"/>
    </xf>
    <xf numFmtId="1" fontId="19744" fillId="8" borderId="1" xfId="0" applyNumberFormat="1" applyFont="1" applyFill="1" applyBorder="1" applyAlignment="1">
      <alignment horizontal="center" vertical="center"/>
    </xf>
    <xf numFmtId="0" fontId="19745" fillId="8" borderId="1" xfId="0" applyNumberFormat="1" applyFont="1" applyFill="1" applyBorder="1" applyAlignment="1">
      <alignment horizontal="center" vertical="center"/>
    </xf>
    <xf numFmtId="0" fontId="19746" fillId="8" borderId="1" xfId="0" applyNumberFormat="1" applyFont="1" applyFill="1" applyBorder="1" applyAlignment="1">
      <alignment horizontal="center" vertical="center"/>
    </xf>
    <xf numFmtId="1" fontId="19747" fillId="8" borderId="1" xfId="0" applyNumberFormat="1" applyFont="1" applyFill="1" applyBorder="1" applyAlignment="1">
      <alignment horizontal="center" vertical="center"/>
    </xf>
    <xf numFmtId="1" fontId="19748" fillId="8" borderId="1" xfId="0" applyNumberFormat="1" applyFont="1" applyFill="1" applyBorder="1" applyAlignment="1">
      <alignment horizontal="center" vertical="center"/>
    </xf>
    <xf numFmtId="1" fontId="19749" fillId="8" borderId="1" xfId="0" applyNumberFormat="1" applyFont="1" applyFill="1" applyBorder="1" applyAlignment="1">
      <alignment horizontal="center" vertical="center"/>
    </xf>
    <xf numFmtId="165" fontId="19750" fillId="8" borderId="1" xfId="0" applyNumberFormat="1" applyFont="1" applyFill="1" applyBorder="1" applyAlignment="1">
      <alignment horizontal="center" vertical="center"/>
    </xf>
    <xf numFmtId="1" fontId="19751" fillId="8" borderId="1" xfId="0" applyNumberFormat="1" applyFont="1" applyFill="1" applyBorder="1" applyAlignment="1">
      <alignment horizontal="center" vertical="center"/>
    </xf>
    <xf numFmtId="165" fontId="19752" fillId="8" borderId="1" xfId="0" applyNumberFormat="1" applyFont="1" applyFill="1" applyBorder="1" applyAlignment="1">
      <alignment horizontal="center" vertical="center"/>
    </xf>
    <xf numFmtId="1" fontId="19753" fillId="8" borderId="1" xfId="0" applyNumberFormat="1" applyFont="1" applyFill="1" applyBorder="1" applyAlignment="1">
      <alignment horizontal="center" vertical="center"/>
    </xf>
    <xf numFmtId="165" fontId="19754" fillId="8" borderId="1" xfId="0" applyNumberFormat="1" applyFont="1" applyFill="1" applyBorder="1" applyAlignment="1">
      <alignment horizontal="center" vertical="center"/>
    </xf>
    <xf numFmtId="1" fontId="19755" fillId="8" borderId="1" xfId="0" applyNumberFormat="1" applyFont="1" applyFill="1" applyBorder="1" applyAlignment="1">
      <alignment horizontal="center" vertical="center"/>
    </xf>
    <xf numFmtId="165" fontId="19756" fillId="8" borderId="1" xfId="0" applyNumberFormat="1" applyFont="1" applyFill="1" applyBorder="1" applyAlignment="1">
      <alignment horizontal="center" vertical="center"/>
    </xf>
    <xf numFmtId="165" fontId="19757" fillId="8" borderId="1" xfId="0" applyNumberFormat="1" applyFont="1" applyFill="1" applyBorder="1" applyAlignment="1">
      <alignment horizontal="center" vertical="center"/>
    </xf>
    <xf numFmtId="1" fontId="19758" fillId="8" borderId="1" xfId="0" applyNumberFormat="1" applyFont="1" applyFill="1" applyBorder="1" applyAlignment="1">
      <alignment horizontal="center" vertical="center"/>
    </xf>
    <xf numFmtId="1" fontId="19759" fillId="8" borderId="1" xfId="0" applyNumberFormat="1" applyFont="1" applyFill="1" applyBorder="1" applyAlignment="1">
      <alignment horizontal="center" vertical="center"/>
    </xf>
    <xf numFmtId="1" fontId="19760" fillId="8" borderId="1" xfId="0" applyNumberFormat="1" applyFont="1" applyFill="1" applyBorder="1" applyAlignment="1">
      <alignment horizontal="center" vertical="center"/>
    </xf>
    <xf numFmtId="165" fontId="19761" fillId="8" borderId="1" xfId="0" applyNumberFormat="1" applyFont="1" applyFill="1" applyBorder="1" applyAlignment="1">
      <alignment horizontal="center" vertical="center"/>
    </xf>
    <xf numFmtId="164" fontId="19762" fillId="8" borderId="1" xfId="0" applyNumberFormat="1" applyFont="1" applyFill="1" applyBorder="1" applyAlignment="1">
      <alignment horizontal="center" vertical="center"/>
    </xf>
    <xf numFmtId="164" fontId="19763" fillId="8" borderId="1" xfId="0" applyNumberFormat="1" applyFont="1" applyFill="1" applyBorder="1" applyAlignment="1">
      <alignment horizontal="center" vertical="center"/>
    </xf>
    <xf numFmtId="1" fontId="19764" fillId="8" borderId="1" xfId="0" applyNumberFormat="1" applyFont="1" applyFill="1" applyBorder="1" applyAlignment="1">
      <alignment horizontal="center" vertical="center"/>
    </xf>
    <xf numFmtId="1" fontId="19765" fillId="8" borderId="1" xfId="0" applyNumberFormat="1" applyFont="1" applyFill="1" applyBorder="1" applyAlignment="1">
      <alignment horizontal="center" vertical="center"/>
    </xf>
    <xf numFmtId="1" fontId="19766" fillId="8" borderId="1" xfId="0" applyNumberFormat="1" applyFont="1" applyFill="1" applyBorder="1" applyAlignment="1">
      <alignment horizontal="center" vertical="center"/>
    </xf>
    <xf numFmtId="165" fontId="19767" fillId="8" borderId="1" xfId="0" applyNumberFormat="1" applyFont="1" applyFill="1" applyBorder="1" applyAlignment="1">
      <alignment horizontal="center" vertical="center"/>
    </xf>
    <xf numFmtId="1" fontId="19768" fillId="8" borderId="1" xfId="0" applyNumberFormat="1" applyFont="1" applyFill="1" applyBorder="1" applyAlignment="1">
      <alignment horizontal="center" vertical="center"/>
    </xf>
    <xf numFmtId="165" fontId="19769" fillId="8" borderId="1" xfId="0" applyNumberFormat="1" applyFont="1" applyFill="1" applyBorder="1" applyAlignment="1">
      <alignment horizontal="center" vertical="center"/>
    </xf>
    <xf numFmtId="1" fontId="19770" fillId="8" borderId="1" xfId="0" applyNumberFormat="1" applyFont="1" applyFill="1" applyBorder="1" applyAlignment="1">
      <alignment horizontal="center" vertical="center"/>
    </xf>
    <xf numFmtId="1" fontId="19771" fillId="8" borderId="1" xfId="0" applyNumberFormat="1" applyFont="1" applyFill="1" applyBorder="1" applyAlignment="1">
      <alignment horizontal="center" vertical="center"/>
    </xf>
    <xf numFmtId="1" fontId="19772" fillId="8" borderId="1" xfId="0" applyNumberFormat="1" applyFont="1" applyFill="1" applyBorder="1" applyAlignment="1">
      <alignment horizontal="center" vertical="center"/>
    </xf>
    <xf numFmtId="1" fontId="19773" fillId="8" borderId="1" xfId="0" applyNumberFormat="1" applyFont="1" applyFill="1" applyBorder="1" applyAlignment="1">
      <alignment horizontal="center" vertical="center"/>
    </xf>
    <xf numFmtId="165" fontId="19774" fillId="8" borderId="1" xfId="0" applyNumberFormat="1" applyFont="1" applyFill="1" applyBorder="1" applyAlignment="1">
      <alignment horizontal="center" vertical="center"/>
    </xf>
    <xf numFmtId="1" fontId="19775" fillId="8" borderId="1" xfId="0" applyNumberFormat="1" applyFont="1" applyFill="1" applyBorder="1" applyAlignment="1">
      <alignment horizontal="center" vertical="center"/>
    </xf>
    <xf numFmtId="165" fontId="19776" fillId="8" borderId="1" xfId="0" applyNumberFormat="1" applyFont="1" applyFill="1" applyBorder="1" applyAlignment="1">
      <alignment horizontal="center" vertical="center"/>
    </xf>
    <xf numFmtId="1" fontId="19777" fillId="8" borderId="1" xfId="0" applyNumberFormat="1" applyFont="1" applyFill="1" applyBorder="1" applyAlignment="1">
      <alignment horizontal="center" vertical="center"/>
    </xf>
    <xf numFmtId="165" fontId="19778" fillId="8" borderId="1" xfId="0" applyNumberFormat="1" applyFont="1" applyFill="1" applyBorder="1" applyAlignment="1">
      <alignment horizontal="center" vertical="center"/>
    </xf>
    <xf numFmtId="2" fontId="19779" fillId="8" borderId="1" xfId="0" applyNumberFormat="1" applyFont="1" applyFill="1" applyBorder="1" applyAlignment="1">
      <alignment horizontal="center" vertical="center"/>
    </xf>
    <xf numFmtId="2" fontId="19780" fillId="8" borderId="1" xfId="0" applyNumberFormat="1" applyFont="1" applyFill="1" applyBorder="1" applyAlignment="1">
      <alignment horizontal="center" vertical="center"/>
    </xf>
    <xf numFmtId="2" fontId="19781" fillId="8" borderId="1" xfId="0" applyNumberFormat="1" applyFont="1" applyFill="1" applyBorder="1" applyAlignment="1">
      <alignment horizontal="center" vertical="center"/>
    </xf>
    <xf numFmtId="2" fontId="19782" fillId="8" borderId="1" xfId="0" applyNumberFormat="1" applyFont="1" applyFill="1" applyBorder="1" applyAlignment="1">
      <alignment horizontal="center" vertical="center"/>
    </xf>
    <xf numFmtId="2" fontId="19783" fillId="8" borderId="1" xfId="0" applyNumberFormat="1" applyFont="1" applyFill="1" applyBorder="1" applyAlignment="1">
      <alignment horizontal="center" vertical="center"/>
    </xf>
    <xf numFmtId="2" fontId="19784" fillId="8" borderId="1" xfId="0" applyNumberFormat="1" applyFont="1" applyFill="1" applyBorder="1" applyAlignment="1">
      <alignment horizontal="center" vertical="center"/>
    </xf>
    <xf numFmtId="2" fontId="19785" fillId="8" borderId="1" xfId="0" applyNumberFormat="1" applyFont="1" applyFill="1" applyBorder="1" applyAlignment="1">
      <alignment horizontal="center" vertical="center"/>
    </xf>
    <xf numFmtId="2" fontId="19786" fillId="8" borderId="1" xfId="0" applyNumberFormat="1" applyFont="1" applyFill="1" applyBorder="1" applyAlignment="1">
      <alignment horizontal="center" vertical="center"/>
    </xf>
    <xf numFmtId="2" fontId="19787" fillId="8" borderId="1" xfId="0" applyNumberFormat="1" applyFont="1" applyFill="1" applyBorder="1" applyAlignment="1">
      <alignment horizontal="center" vertical="center"/>
    </xf>
    <xf numFmtId="2" fontId="19788" fillId="8" borderId="1" xfId="0" applyNumberFormat="1" applyFont="1" applyFill="1" applyBorder="1" applyAlignment="1">
      <alignment horizontal="center" vertical="center"/>
    </xf>
    <xf numFmtId="2" fontId="19789" fillId="8" borderId="1" xfId="0" applyNumberFormat="1" applyFont="1" applyFill="1" applyBorder="1" applyAlignment="1">
      <alignment horizontal="center" vertical="center"/>
    </xf>
    <xf numFmtId="2" fontId="19790" fillId="8" borderId="1" xfId="0" applyNumberFormat="1" applyFont="1" applyFill="1" applyBorder="1" applyAlignment="1">
      <alignment horizontal="center" vertical="center"/>
    </xf>
    <xf numFmtId="2" fontId="19791" fillId="8" borderId="1" xfId="0" applyNumberFormat="1" applyFont="1" applyFill="1" applyBorder="1" applyAlignment="1">
      <alignment horizontal="center" vertical="center"/>
    </xf>
    <xf numFmtId="2" fontId="19792" fillId="8" borderId="1" xfId="0" applyNumberFormat="1" applyFont="1" applyFill="1" applyBorder="1" applyAlignment="1">
      <alignment horizontal="center" vertical="center"/>
    </xf>
    <xf numFmtId="2" fontId="19793" fillId="8" borderId="1" xfId="0" applyNumberFormat="1" applyFont="1" applyFill="1" applyBorder="1" applyAlignment="1">
      <alignment horizontal="center" vertical="center"/>
    </xf>
    <xf numFmtId="2" fontId="19794" fillId="8" borderId="1" xfId="0" applyNumberFormat="1" applyFont="1" applyFill="1" applyBorder="1" applyAlignment="1">
      <alignment horizontal="center" vertical="center"/>
    </xf>
    <xf numFmtId="2" fontId="19795" fillId="8" borderId="1" xfId="0" applyNumberFormat="1" applyFont="1" applyFill="1" applyBorder="1" applyAlignment="1">
      <alignment horizontal="center" vertical="center"/>
    </xf>
    <xf numFmtId="2" fontId="19796" fillId="8" borderId="1" xfId="0" applyNumberFormat="1" applyFont="1" applyFill="1" applyBorder="1" applyAlignment="1">
      <alignment horizontal="center" vertical="center"/>
    </xf>
    <xf numFmtId="2" fontId="19797" fillId="8" borderId="1" xfId="0" applyNumberFormat="1" applyFont="1" applyFill="1" applyBorder="1" applyAlignment="1">
      <alignment horizontal="center" vertical="center"/>
    </xf>
    <xf numFmtId="2" fontId="19798" fillId="8" borderId="1" xfId="0" applyNumberFormat="1" applyFont="1" applyFill="1" applyBorder="1" applyAlignment="1">
      <alignment horizontal="center" vertical="center"/>
    </xf>
    <xf numFmtId="2" fontId="19799" fillId="8" borderId="1" xfId="0" applyNumberFormat="1" applyFont="1" applyFill="1" applyBorder="1" applyAlignment="1">
      <alignment horizontal="center" vertical="center"/>
    </xf>
    <xf numFmtId="2" fontId="19800" fillId="8" borderId="1" xfId="0" applyNumberFormat="1" applyFont="1" applyFill="1" applyBorder="1" applyAlignment="1">
      <alignment horizontal="center" vertical="center"/>
    </xf>
    <xf numFmtId="2" fontId="19801" fillId="8" borderId="1" xfId="0" applyNumberFormat="1" applyFont="1" applyFill="1" applyBorder="1" applyAlignment="1">
      <alignment horizontal="center" vertical="center"/>
    </xf>
    <xf numFmtId="2" fontId="19802" fillId="8" borderId="1" xfId="0" applyNumberFormat="1" applyFont="1" applyFill="1" applyBorder="1" applyAlignment="1">
      <alignment horizontal="center" vertical="center"/>
    </xf>
    <xf numFmtId="2" fontId="19803" fillId="8" borderId="1" xfId="0" applyNumberFormat="1" applyFont="1" applyFill="1" applyBorder="1" applyAlignment="1">
      <alignment horizontal="center" vertical="center"/>
    </xf>
    <xf numFmtId="2" fontId="19804" fillId="8" borderId="1" xfId="0" applyNumberFormat="1" applyFont="1" applyFill="1" applyBorder="1" applyAlignment="1">
      <alignment horizontal="center" vertical="center"/>
    </xf>
    <xf numFmtId="2" fontId="19805" fillId="8" borderId="1" xfId="0" applyNumberFormat="1" applyFont="1" applyFill="1" applyBorder="1" applyAlignment="1">
      <alignment horizontal="center" vertical="center"/>
    </xf>
    <xf numFmtId="2" fontId="19806" fillId="8" borderId="1" xfId="0" applyNumberFormat="1" applyFont="1" applyFill="1" applyBorder="1" applyAlignment="1">
      <alignment horizontal="center" vertical="center"/>
    </xf>
    <xf numFmtId="2" fontId="19807" fillId="8" borderId="1" xfId="0" applyNumberFormat="1" applyFont="1" applyFill="1" applyBorder="1" applyAlignment="1">
      <alignment horizontal="center" vertical="center"/>
    </xf>
    <xf numFmtId="2" fontId="19808" fillId="8" borderId="1" xfId="0" applyNumberFormat="1" applyFont="1" applyFill="1" applyBorder="1" applyAlignment="1">
      <alignment horizontal="center" vertical="center"/>
    </xf>
    <xf numFmtId="2" fontId="19809" fillId="8" borderId="1" xfId="0" applyNumberFormat="1" applyFont="1" applyFill="1" applyBorder="1" applyAlignment="1">
      <alignment horizontal="center" vertical="center"/>
    </xf>
    <xf numFmtId="2" fontId="19810" fillId="8" borderId="1" xfId="0" applyNumberFormat="1" applyFont="1" applyFill="1" applyBorder="1" applyAlignment="1">
      <alignment horizontal="center" vertical="center"/>
    </xf>
    <xf numFmtId="2" fontId="19811" fillId="8" borderId="1" xfId="0" applyNumberFormat="1" applyFont="1" applyFill="1" applyBorder="1" applyAlignment="1">
      <alignment horizontal="center" vertical="center"/>
    </xf>
    <xf numFmtId="2" fontId="19812" fillId="8" borderId="1" xfId="0" applyNumberFormat="1" applyFont="1" applyFill="1" applyBorder="1" applyAlignment="1">
      <alignment horizontal="center" vertical="center"/>
    </xf>
    <xf numFmtId="0" fontId="19813" fillId="7" borderId="1" xfId="0" applyNumberFormat="1" applyFont="1" applyFill="1" applyBorder="1" applyAlignment="1">
      <alignment horizontal="left" vertical="center"/>
    </xf>
    <xf numFmtId="0" fontId="19814" fillId="8" borderId="1" xfId="0" applyNumberFormat="1" applyFont="1" applyFill="1" applyBorder="1" applyAlignment="1">
      <alignment horizontal="center" vertical="center"/>
    </xf>
    <xf numFmtId="164" fontId="19815" fillId="8" borderId="1" xfId="0" applyNumberFormat="1" applyFont="1" applyFill="1" applyBorder="1" applyAlignment="1">
      <alignment horizontal="center" vertical="center"/>
    </xf>
    <xf numFmtId="1" fontId="19816" fillId="8" borderId="1" xfId="0" applyNumberFormat="1" applyFont="1" applyFill="1" applyBorder="1" applyAlignment="1">
      <alignment horizontal="center" vertical="center"/>
    </xf>
    <xf numFmtId="1" fontId="19817" fillId="8" borderId="1" xfId="0" applyNumberFormat="1" applyFont="1" applyFill="1" applyBorder="1" applyAlignment="1">
      <alignment horizontal="center" vertical="center"/>
    </xf>
    <xf numFmtId="1" fontId="19818" fillId="8" borderId="1" xfId="0" applyNumberFormat="1" applyFont="1" applyFill="1" applyBorder="1" applyAlignment="1">
      <alignment horizontal="center" vertical="center"/>
    </xf>
    <xf numFmtId="1" fontId="19819" fillId="8" borderId="1" xfId="0" applyNumberFormat="1" applyFont="1" applyFill="1" applyBorder="1" applyAlignment="1">
      <alignment horizontal="center" vertical="center"/>
    </xf>
    <xf numFmtId="1" fontId="19820" fillId="8" borderId="1" xfId="0" applyNumberFormat="1" applyFont="1" applyFill="1" applyBorder="1" applyAlignment="1">
      <alignment horizontal="center" vertical="center"/>
    </xf>
    <xf numFmtId="1" fontId="19821" fillId="8" borderId="1" xfId="0" applyNumberFormat="1" applyFont="1" applyFill="1" applyBorder="1" applyAlignment="1">
      <alignment horizontal="center" vertical="center"/>
    </xf>
    <xf numFmtId="1" fontId="19822" fillId="8" borderId="1" xfId="0" applyNumberFormat="1" applyFont="1" applyFill="1" applyBorder="1" applyAlignment="1">
      <alignment horizontal="center" vertical="center"/>
    </xf>
    <xf numFmtId="0" fontId="19823" fillId="8" borderId="1" xfId="0" applyNumberFormat="1" applyFont="1" applyFill="1" applyBorder="1" applyAlignment="1">
      <alignment horizontal="center" vertical="center"/>
    </xf>
    <xf numFmtId="0" fontId="19824" fillId="8" borderId="1" xfId="0" applyNumberFormat="1" applyFont="1" applyFill="1" applyBorder="1" applyAlignment="1">
      <alignment horizontal="center" vertical="center"/>
    </xf>
    <xf numFmtId="1" fontId="19825" fillId="8" borderId="1" xfId="0" applyNumberFormat="1" applyFont="1" applyFill="1" applyBorder="1" applyAlignment="1">
      <alignment horizontal="center" vertical="center"/>
    </xf>
    <xf numFmtId="1" fontId="19826" fillId="8" borderId="1" xfId="0" applyNumberFormat="1" applyFont="1" applyFill="1" applyBorder="1" applyAlignment="1">
      <alignment horizontal="center" vertical="center"/>
    </xf>
    <xf numFmtId="1" fontId="19827" fillId="8" borderId="1" xfId="0" applyNumberFormat="1" applyFont="1" applyFill="1" applyBorder="1" applyAlignment="1">
      <alignment horizontal="center" vertical="center"/>
    </xf>
    <xf numFmtId="165" fontId="19828" fillId="8" borderId="1" xfId="0" applyNumberFormat="1" applyFont="1" applyFill="1" applyBorder="1" applyAlignment="1">
      <alignment horizontal="center" vertical="center"/>
    </xf>
    <xf numFmtId="1" fontId="19829" fillId="8" borderId="1" xfId="0" applyNumberFormat="1" applyFont="1" applyFill="1" applyBorder="1" applyAlignment="1">
      <alignment horizontal="center" vertical="center"/>
    </xf>
    <xf numFmtId="165" fontId="19830" fillId="8" borderId="1" xfId="0" applyNumberFormat="1" applyFont="1" applyFill="1" applyBorder="1" applyAlignment="1">
      <alignment horizontal="center" vertical="center"/>
    </xf>
    <xf numFmtId="1" fontId="19831" fillId="8" borderId="1" xfId="0" applyNumberFormat="1" applyFont="1" applyFill="1" applyBorder="1" applyAlignment="1">
      <alignment horizontal="center" vertical="center"/>
    </xf>
    <xf numFmtId="165" fontId="19832" fillId="8" borderId="1" xfId="0" applyNumberFormat="1" applyFont="1" applyFill="1" applyBorder="1" applyAlignment="1">
      <alignment horizontal="center" vertical="center"/>
    </xf>
    <xf numFmtId="1" fontId="19833" fillId="8" borderId="1" xfId="0" applyNumberFormat="1" applyFont="1" applyFill="1" applyBorder="1" applyAlignment="1">
      <alignment horizontal="center" vertical="center"/>
    </xf>
    <xf numFmtId="165" fontId="19834" fillId="8" borderId="1" xfId="0" applyNumberFormat="1" applyFont="1" applyFill="1" applyBorder="1" applyAlignment="1">
      <alignment horizontal="center" vertical="center"/>
    </xf>
    <xf numFmtId="165" fontId="19835" fillId="8" borderId="1" xfId="0" applyNumberFormat="1" applyFont="1" applyFill="1" applyBorder="1" applyAlignment="1">
      <alignment horizontal="center" vertical="center"/>
    </xf>
    <xf numFmtId="1" fontId="19836" fillId="8" borderId="1" xfId="0" applyNumberFormat="1" applyFont="1" applyFill="1" applyBorder="1" applyAlignment="1">
      <alignment horizontal="center" vertical="center"/>
    </xf>
    <xf numFmtId="1" fontId="19837" fillId="8" borderId="1" xfId="0" applyNumberFormat="1" applyFont="1" applyFill="1" applyBorder="1" applyAlignment="1">
      <alignment horizontal="center" vertical="center"/>
    </xf>
    <xf numFmtId="1" fontId="19838" fillId="8" borderId="1" xfId="0" applyNumberFormat="1" applyFont="1" applyFill="1" applyBorder="1" applyAlignment="1">
      <alignment horizontal="center" vertical="center"/>
    </xf>
    <xf numFmtId="165" fontId="19839" fillId="8" borderId="1" xfId="0" applyNumberFormat="1" applyFont="1" applyFill="1" applyBorder="1" applyAlignment="1">
      <alignment horizontal="center" vertical="center"/>
    </xf>
    <xf numFmtId="164" fontId="19840" fillId="8" borderId="1" xfId="0" applyNumberFormat="1" applyFont="1" applyFill="1" applyBorder="1" applyAlignment="1">
      <alignment horizontal="center" vertical="center"/>
    </xf>
    <xf numFmtId="164" fontId="19841" fillId="8" borderId="1" xfId="0" applyNumberFormat="1" applyFont="1" applyFill="1" applyBorder="1" applyAlignment="1">
      <alignment horizontal="center" vertical="center"/>
    </xf>
    <xf numFmtId="1" fontId="19842" fillId="8" borderId="1" xfId="0" applyNumberFormat="1" applyFont="1" applyFill="1" applyBorder="1" applyAlignment="1">
      <alignment horizontal="center" vertical="center"/>
    </xf>
    <xf numFmtId="1" fontId="19843" fillId="8" borderId="1" xfId="0" applyNumberFormat="1" applyFont="1" applyFill="1" applyBorder="1" applyAlignment="1">
      <alignment horizontal="center" vertical="center"/>
    </xf>
    <xf numFmtId="1" fontId="19844" fillId="8" borderId="1" xfId="0" applyNumberFormat="1" applyFont="1" applyFill="1" applyBorder="1" applyAlignment="1">
      <alignment horizontal="center" vertical="center"/>
    </xf>
    <xf numFmtId="165" fontId="19845" fillId="8" borderId="1" xfId="0" applyNumberFormat="1" applyFont="1" applyFill="1" applyBorder="1" applyAlignment="1">
      <alignment horizontal="center" vertical="center"/>
    </xf>
    <xf numFmtId="1" fontId="19846" fillId="8" borderId="1" xfId="0" applyNumberFormat="1" applyFont="1" applyFill="1" applyBorder="1" applyAlignment="1">
      <alignment horizontal="center" vertical="center"/>
    </xf>
    <xf numFmtId="165" fontId="19847" fillId="8" borderId="1" xfId="0" applyNumberFormat="1" applyFont="1" applyFill="1" applyBorder="1" applyAlignment="1">
      <alignment horizontal="center" vertical="center"/>
    </xf>
    <xf numFmtId="1" fontId="19848" fillId="8" borderId="1" xfId="0" applyNumberFormat="1" applyFont="1" applyFill="1" applyBorder="1" applyAlignment="1">
      <alignment horizontal="center" vertical="center"/>
    </xf>
    <xf numFmtId="1" fontId="19849" fillId="8" borderId="1" xfId="0" applyNumberFormat="1" applyFont="1" applyFill="1" applyBorder="1" applyAlignment="1">
      <alignment horizontal="center" vertical="center"/>
    </xf>
    <xf numFmtId="1" fontId="19850" fillId="8" borderId="1" xfId="0" applyNumberFormat="1" applyFont="1" applyFill="1" applyBorder="1" applyAlignment="1">
      <alignment horizontal="center" vertical="center"/>
    </xf>
    <xf numFmtId="1" fontId="19851" fillId="8" borderId="1" xfId="0" applyNumberFormat="1" applyFont="1" applyFill="1" applyBorder="1" applyAlignment="1">
      <alignment horizontal="center" vertical="center"/>
    </xf>
    <xf numFmtId="165" fontId="19852" fillId="8" borderId="1" xfId="0" applyNumberFormat="1" applyFont="1" applyFill="1" applyBorder="1" applyAlignment="1">
      <alignment horizontal="center" vertical="center"/>
    </xf>
    <xf numFmtId="1" fontId="19853" fillId="8" borderId="1" xfId="0" applyNumberFormat="1" applyFont="1" applyFill="1" applyBorder="1" applyAlignment="1">
      <alignment horizontal="center" vertical="center"/>
    </xf>
    <xf numFmtId="165" fontId="19854" fillId="8" borderId="1" xfId="0" applyNumberFormat="1" applyFont="1" applyFill="1" applyBorder="1" applyAlignment="1">
      <alignment horizontal="center" vertical="center"/>
    </xf>
    <xf numFmtId="1" fontId="19855" fillId="8" borderId="1" xfId="0" applyNumberFormat="1" applyFont="1" applyFill="1" applyBorder="1" applyAlignment="1">
      <alignment horizontal="center" vertical="center"/>
    </xf>
    <xf numFmtId="165" fontId="19856" fillId="8" borderId="1" xfId="0" applyNumberFormat="1" applyFont="1" applyFill="1" applyBorder="1" applyAlignment="1">
      <alignment horizontal="center" vertical="center"/>
    </xf>
    <xf numFmtId="2" fontId="19857" fillId="8" borderId="1" xfId="0" applyNumberFormat="1" applyFont="1" applyFill="1" applyBorder="1" applyAlignment="1">
      <alignment horizontal="center" vertical="center"/>
    </xf>
    <xf numFmtId="2" fontId="19858" fillId="8" borderId="1" xfId="0" applyNumberFormat="1" applyFont="1" applyFill="1" applyBorder="1" applyAlignment="1">
      <alignment horizontal="center" vertical="center"/>
    </xf>
    <xf numFmtId="2" fontId="19859" fillId="8" borderId="1" xfId="0" applyNumberFormat="1" applyFont="1" applyFill="1" applyBorder="1" applyAlignment="1">
      <alignment horizontal="center" vertical="center"/>
    </xf>
    <xf numFmtId="2" fontId="19860" fillId="8" borderId="1" xfId="0" applyNumberFormat="1" applyFont="1" applyFill="1" applyBorder="1" applyAlignment="1">
      <alignment horizontal="center" vertical="center"/>
    </xf>
    <xf numFmtId="2" fontId="19861" fillId="8" borderId="1" xfId="0" applyNumberFormat="1" applyFont="1" applyFill="1" applyBorder="1" applyAlignment="1">
      <alignment horizontal="center" vertical="center"/>
    </xf>
    <xf numFmtId="2" fontId="19862" fillId="8" borderId="1" xfId="0" applyNumberFormat="1" applyFont="1" applyFill="1" applyBorder="1" applyAlignment="1">
      <alignment horizontal="center" vertical="center"/>
    </xf>
    <xf numFmtId="2" fontId="19863" fillId="8" borderId="1" xfId="0" applyNumberFormat="1" applyFont="1" applyFill="1" applyBorder="1" applyAlignment="1">
      <alignment horizontal="center" vertical="center"/>
    </xf>
    <xf numFmtId="2" fontId="19864" fillId="8" borderId="1" xfId="0" applyNumberFormat="1" applyFont="1" applyFill="1" applyBorder="1" applyAlignment="1">
      <alignment horizontal="center" vertical="center"/>
    </xf>
    <xf numFmtId="2" fontId="19865" fillId="8" borderId="1" xfId="0" applyNumberFormat="1" applyFont="1" applyFill="1" applyBorder="1" applyAlignment="1">
      <alignment horizontal="center" vertical="center"/>
    </xf>
    <xf numFmtId="2" fontId="19866" fillId="8" borderId="1" xfId="0" applyNumberFormat="1" applyFont="1" applyFill="1" applyBorder="1" applyAlignment="1">
      <alignment horizontal="center" vertical="center"/>
    </xf>
    <xf numFmtId="2" fontId="19867" fillId="8" borderId="1" xfId="0" applyNumberFormat="1" applyFont="1" applyFill="1" applyBorder="1" applyAlignment="1">
      <alignment horizontal="center" vertical="center"/>
    </xf>
    <xf numFmtId="2" fontId="19868" fillId="8" borderId="1" xfId="0" applyNumberFormat="1" applyFont="1" applyFill="1" applyBorder="1" applyAlignment="1">
      <alignment horizontal="center" vertical="center"/>
    </xf>
    <xf numFmtId="2" fontId="19869" fillId="8" borderId="1" xfId="0" applyNumberFormat="1" applyFont="1" applyFill="1" applyBorder="1" applyAlignment="1">
      <alignment horizontal="center" vertical="center"/>
    </xf>
    <xf numFmtId="2" fontId="19870" fillId="8" borderId="1" xfId="0" applyNumberFormat="1" applyFont="1" applyFill="1" applyBorder="1" applyAlignment="1">
      <alignment horizontal="center" vertical="center"/>
    </xf>
    <xf numFmtId="2" fontId="19871" fillId="8" borderId="1" xfId="0" applyNumberFormat="1" applyFont="1" applyFill="1" applyBorder="1" applyAlignment="1">
      <alignment horizontal="center" vertical="center"/>
    </xf>
    <xf numFmtId="2" fontId="19872" fillId="8" borderId="1" xfId="0" applyNumberFormat="1" applyFont="1" applyFill="1" applyBorder="1" applyAlignment="1">
      <alignment horizontal="center" vertical="center"/>
    </xf>
    <xf numFmtId="2" fontId="19873" fillId="8" borderId="1" xfId="0" applyNumberFormat="1" applyFont="1" applyFill="1" applyBorder="1" applyAlignment="1">
      <alignment horizontal="center" vertical="center"/>
    </xf>
    <xf numFmtId="2" fontId="19874" fillId="8" borderId="1" xfId="0" applyNumberFormat="1" applyFont="1" applyFill="1" applyBorder="1" applyAlignment="1">
      <alignment horizontal="center" vertical="center"/>
    </xf>
    <xf numFmtId="2" fontId="19875" fillId="8" borderId="1" xfId="0" applyNumberFormat="1" applyFont="1" applyFill="1" applyBorder="1" applyAlignment="1">
      <alignment horizontal="center" vertical="center"/>
    </xf>
    <xf numFmtId="2" fontId="19876" fillId="8" borderId="1" xfId="0" applyNumberFormat="1" applyFont="1" applyFill="1" applyBorder="1" applyAlignment="1">
      <alignment horizontal="center" vertical="center"/>
    </xf>
    <xf numFmtId="2" fontId="19877" fillId="8" borderId="1" xfId="0" applyNumberFormat="1" applyFont="1" applyFill="1" applyBorder="1" applyAlignment="1">
      <alignment horizontal="center" vertical="center"/>
    </xf>
    <xf numFmtId="2" fontId="19878" fillId="8" borderId="1" xfId="0" applyNumberFormat="1" applyFont="1" applyFill="1" applyBorder="1" applyAlignment="1">
      <alignment horizontal="center" vertical="center"/>
    </xf>
    <xf numFmtId="2" fontId="19879" fillId="8" borderId="1" xfId="0" applyNumberFormat="1" applyFont="1" applyFill="1" applyBorder="1" applyAlignment="1">
      <alignment horizontal="center" vertical="center"/>
    </xf>
    <xf numFmtId="2" fontId="19880" fillId="8" borderId="1" xfId="0" applyNumberFormat="1" applyFont="1" applyFill="1" applyBorder="1" applyAlignment="1">
      <alignment horizontal="center" vertical="center"/>
    </xf>
    <xf numFmtId="2" fontId="19881" fillId="8" borderId="1" xfId="0" applyNumberFormat="1" applyFont="1" applyFill="1" applyBorder="1" applyAlignment="1">
      <alignment horizontal="center" vertical="center"/>
    </xf>
    <xf numFmtId="2" fontId="19882" fillId="8" borderId="1" xfId="0" applyNumberFormat="1" applyFont="1" applyFill="1" applyBorder="1" applyAlignment="1">
      <alignment horizontal="center" vertical="center"/>
    </xf>
    <xf numFmtId="2" fontId="19883" fillId="8" borderId="1" xfId="0" applyNumberFormat="1" applyFont="1" applyFill="1" applyBorder="1" applyAlignment="1">
      <alignment horizontal="center" vertical="center"/>
    </xf>
    <xf numFmtId="2" fontId="19884" fillId="8" borderId="1" xfId="0" applyNumberFormat="1" applyFont="1" applyFill="1" applyBorder="1" applyAlignment="1">
      <alignment horizontal="center" vertical="center"/>
    </xf>
    <xf numFmtId="2" fontId="19885" fillId="8" borderId="1" xfId="0" applyNumberFormat="1" applyFont="1" applyFill="1" applyBorder="1" applyAlignment="1">
      <alignment horizontal="center" vertical="center"/>
    </xf>
    <xf numFmtId="2" fontId="19886" fillId="8" borderId="1" xfId="0" applyNumberFormat="1" applyFont="1" applyFill="1" applyBorder="1" applyAlignment="1">
      <alignment horizontal="center" vertical="center"/>
    </xf>
    <xf numFmtId="2" fontId="19887" fillId="8" borderId="1" xfId="0" applyNumberFormat="1" applyFont="1" applyFill="1" applyBorder="1" applyAlignment="1">
      <alignment horizontal="center" vertical="center"/>
    </xf>
    <xf numFmtId="2" fontId="19888" fillId="8" borderId="1" xfId="0" applyNumberFormat="1" applyFont="1" applyFill="1" applyBorder="1" applyAlignment="1">
      <alignment horizontal="center" vertical="center"/>
    </xf>
    <xf numFmtId="2" fontId="19889" fillId="8" borderId="1" xfId="0" applyNumberFormat="1" applyFont="1" applyFill="1" applyBorder="1" applyAlignment="1">
      <alignment horizontal="center" vertical="center"/>
    </xf>
    <xf numFmtId="2" fontId="19890" fillId="8" borderId="1" xfId="0" applyNumberFormat="1" applyFont="1" applyFill="1" applyBorder="1" applyAlignment="1">
      <alignment horizontal="center" vertical="center"/>
    </xf>
    <xf numFmtId="0" fontId="19891" fillId="7" borderId="1" xfId="0" applyNumberFormat="1" applyFont="1" applyFill="1" applyBorder="1" applyAlignment="1">
      <alignment horizontal="left" vertical="center"/>
    </xf>
    <xf numFmtId="0" fontId="19892" fillId="8" borderId="1" xfId="0" applyNumberFormat="1" applyFont="1" applyFill="1" applyBorder="1" applyAlignment="1">
      <alignment horizontal="center" vertical="center"/>
    </xf>
    <xf numFmtId="164" fontId="19893" fillId="8" borderId="1" xfId="0" applyNumberFormat="1" applyFont="1" applyFill="1" applyBorder="1" applyAlignment="1">
      <alignment horizontal="center" vertical="center"/>
    </xf>
    <xf numFmtId="1" fontId="19894" fillId="8" borderId="1" xfId="0" applyNumberFormat="1" applyFont="1" applyFill="1" applyBorder="1" applyAlignment="1">
      <alignment horizontal="center" vertical="center"/>
    </xf>
    <xf numFmtId="1" fontId="19895" fillId="8" borderId="1" xfId="0" applyNumberFormat="1" applyFont="1" applyFill="1" applyBorder="1" applyAlignment="1">
      <alignment horizontal="center" vertical="center"/>
    </xf>
    <xf numFmtId="1" fontId="19896" fillId="8" borderId="1" xfId="0" applyNumberFormat="1" applyFont="1" applyFill="1" applyBorder="1" applyAlignment="1">
      <alignment horizontal="center" vertical="center"/>
    </xf>
    <xf numFmtId="1" fontId="19897" fillId="8" borderId="1" xfId="0" applyNumberFormat="1" applyFont="1" applyFill="1" applyBorder="1" applyAlignment="1">
      <alignment horizontal="center" vertical="center"/>
    </xf>
    <xf numFmtId="1" fontId="19898" fillId="8" borderId="1" xfId="0" applyNumberFormat="1" applyFont="1" applyFill="1" applyBorder="1" applyAlignment="1">
      <alignment horizontal="center" vertical="center"/>
    </xf>
    <xf numFmtId="1" fontId="19899" fillId="8" borderId="1" xfId="0" applyNumberFormat="1" applyFont="1" applyFill="1" applyBorder="1" applyAlignment="1">
      <alignment horizontal="center" vertical="center"/>
    </xf>
    <xf numFmtId="1" fontId="19900" fillId="8" borderId="1" xfId="0" applyNumberFormat="1" applyFont="1" applyFill="1" applyBorder="1" applyAlignment="1">
      <alignment horizontal="center" vertical="center"/>
    </xf>
    <xf numFmtId="0" fontId="19901" fillId="8" borderId="1" xfId="0" applyNumberFormat="1" applyFont="1" applyFill="1" applyBorder="1" applyAlignment="1">
      <alignment horizontal="center" vertical="center"/>
    </xf>
    <xf numFmtId="0" fontId="19902" fillId="8" borderId="1" xfId="0" applyNumberFormat="1" applyFont="1" applyFill="1" applyBorder="1" applyAlignment="1">
      <alignment horizontal="center" vertical="center"/>
    </xf>
    <xf numFmtId="1" fontId="19903" fillId="8" borderId="1" xfId="0" applyNumberFormat="1" applyFont="1" applyFill="1" applyBorder="1" applyAlignment="1">
      <alignment horizontal="center" vertical="center"/>
    </xf>
    <xf numFmtId="1" fontId="19904" fillId="8" borderId="1" xfId="0" applyNumberFormat="1" applyFont="1" applyFill="1" applyBorder="1" applyAlignment="1">
      <alignment horizontal="center" vertical="center"/>
    </xf>
    <xf numFmtId="1" fontId="19905" fillId="8" borderId="1" xfId="0" applyNumberFormat="1" applyFont="1" applyFill="1" applyBorder="1" applyAlignment="1">
      <alignment horizontal="center" vertical="center"/>
    </xf>
    <xf numFmtId="165" fontId="19906" fillId="8" borderId="1" xfId="0" applyNumberFormat="1" applyFont="1" applyFill="1" applyBorder="1" applyAlignment="1">
      <alignment horizontal="center" vertical="center"/>
    </xf>
    <xf numFmtId="1" fontId="19907" fillId="8" borderId="1" xfId="0" applyNumberFormat="1" applyFont="1" applyFill="1" applyBorder="1" applyAlignment="1">
      <alignment horizontal="center" vertical="center"/>
    </xf>
    <xf numFmtId="165" fontId="19908" fillId="8" borderId="1" xfId="0" applyNumberFormat="1" applyFont="1" applyFill="1" applyBorder="1" applyAlignment="1">
      <alignment horizontal="center" vertical="center"/>
    </xf>
    <xf numFmtId="1" fontId="19909" fillId="8" borderId="1" xfId="0" applyNumberFormat="1" applyFont="1" applyFill="1" applyBorder="1" applyAlignment="1">
      <alignment horizontal="center" vertical="center"/>
    </xf>
    <xf numFmtId="165" fontId="19910" fillId="8" borderId="1" xfId="0" applyNumberFormat="1" applyFont="1" applyFill="1" applyBorder="1" applyAlignment="1">
      <alignment horizontal="center" vertical="center"/>
    </xf>
    <xf numFmtId="1" fontId="19911" fillId="8" borderId="1" xfId="0" applyNumberFormat="1" applyFont="1" applyFill="1" applyBorder="1" applyAlignment="1">
      <alignment horizontal="center" vertical="center"/>
    </xf>
    <xf numFmtId="165" fontId="19912" fillId="8" borderId="1" xfId="0" applyNumberFormat="1" applyFont="1" applyFill="1" applyBorder="1" applyAlignment="1">
      <alignment horizontal="center" vertical="center"/>
    </xf>
    <xf numFmtId="165" fontId="19913" fillId="8" borderId="1" xfId="0" applyNumberFormat="1" applyFont="1" applyFill="1" applyBorder="1" applyAlignment="1">
      <alignment horizontal="center" vertical="center"/>
    </xf>
    <xf numFmtId="1" fontId="19914" fillId="8" borderId="1" xfId="0" applyNumberFormat="1" applyFont="1" applyFill="1" applyBorder="1" applyAlignment="1">
      <alignment horizontal="center" vertical="center"/>
    </xf>
    <xf numFmtId="1" fontId="19915" fillId="8" borderId="1" xfId="0" applyNumberFormat="1" applyFont="1" applyFill="1" applyBorder="1" applyAlignment="1">
      <alignment horizontal="center" vertical="center"/>
    </xf>
    <xf numFmtId="1" fontId="19916" fillId="8" borderId="1" xfId="0" applyNumberFormat="1" applyFont="1" applyFill="1" applyBorder="1" applyAlignment="1">
      <alignment horizontal="center" vertical="center"/>
    </xf>
    <xf numFmtId="165" fontId="19917" fillId="8" borderId="1" xfId="0" applyNumberFormat="1" applyFont="1" applyFill="1" applyBorder="1" applyAlignment="1">
      <alignment horizontal="center" vertical="center"/>
    </xf>
    <xf numFmtId="164" fontId="19918" fillId="8" borderId="1" xfId="0" applyNumberFormat="1" applyFont="1" applyFill="1" applyBorder="1" applyAlignment="1">
      <alignment horizontal="center" vertical="center"/>
    </xf>
    <xf numFmtId="164" fontId="19919" fillId="8" borderId="1" xfId="0" applyNumberFormat="1" applyFont="1" applyFill="1" applyBorder="1" applyAlignment="1">
      <alignment horizontal="center" vertical="center"/>
    </xf>
    <xf numFmtId="1" fontId="19920" fillId="8" borderId="1" xfId="0" applyNumberFormat="1" applyFont="1" applyFill="1" applyBorder="1" applyAlignment="1">
      <alignment horizontal="center" vertical="center"/>
    </xf>
    <xf numFmtId="1" fontId="19921" fillId="8" borderId="1" xfId="0" applyNumberFormat="1" applyFont="1" applyFill="1" applyBorder="1" applyAlignment="1">
      <alignment horizontal="center" vertical="center"/>
    </xf>
    <xf numFmtId="1" fontId="19922" fillId="8" borderId="1" xfId="0" applyNumberFormat="1" applyFont="1" applyFill="1" applyBorder="1" applyAlignment="1">
      <alignment horizontal="center" vertical="center"/>
    </xf>
    <xf numFmtId="165" fontId="19923" fillId="8" borderId="1" xfId="0" applyNumberFormat="1" applyFont="1" applyFill="1" applyBorder="1" applyAlignment="1">
      <alignment horizontal="center" vertical="center"/>
    </xf>
    <xf numFmtId="1" fontId="19924" fillId="8" borderId="1" xfId="0" applyNumberFormat="1" applyFont="1" applyFill="1" applyBorder="1" applyAlignment="1">
      <alignment horizontal="center" vertical="center"/>
    </xf>
    <xf numFmtId="165" fontId="19925" fillId="8" borderId="1" xfId="0" applyNumberFormat="1" applyFont="1" applyFill="1" applyBorder="1" applyAlignment="1">
      <alignment horizontal="center" vertical="center"/>
    </xf>
    <xf numFmtId="1" fontId="19926" fillId="8" borderId="1" xfId="0" applyNumberFormat="1" applyFont="1" applyFill="1" applyBorder="1" applyAlignment="1">
      <alignment horizontal="center" vertical="center"/>
    </xf>
    <xf numFmtId="1" fontId="19927" fillId="8" borderId="1" xfId="0" applyNumberFormat="1" applyFont="1" applyFill="1" applyBorder="1" applyAlignment="1">
      <alignment horizontal="center" vertical="center"/>
    </xf>
    <xf numFmtId="1" fontId="19928" fillId="8" borderId="1" xfId="0" applyNumberFormat="1" applyFont="1" applyFill="1" applyBorder="1" applyAlignment="1">
      <alignment horizontal="center" vertical="center"/>
    </xf>
    <xf numFmtId="1" fontId="19929" fillId="8" borderId="1" xfId="0" applyNumberFormat="1" applyFont="1" applyFill="1" applyBorder="1" applyAlignment="1">
      <alignment horizontal="center" vertical="center"/>
    </xf>
    <xf numFmtId="165" fontId="19930" fillId="8" borderId="1" xfId="0" applyNumberFormat="1" applyFont="1" applyFill="1" applyBorder="1" applyAlignment="1">
      <alignment horizontal="center" vertical="center"/>
    </xf>
    <xf numFmtId="1" fontId="19931" fillId="8" borderId="1" xfId="0" applyNumberFormat="1" applyFont="1" applyFill="1" applyBorder="1" applyAlignment="1">
      <alignment horizontal="center" vertical="center"/>
    </xf>
    <xf numFmtId="165" fontId="19932" fillId="8" borderId="1" xfId="0" applyNumberFormat="1" applyFont="1" applyFill="1" applyBorder="1" applyAlignment="1">
      <alignment horizontal="center" vertical="center"/>
    </xf>
    <xf numFmtId="1" fontId="19933" fillId="8" borderId="1" xfId="0" applyNumberFormat="1" applyFont="1" applyFill="1" applyBorder="1" applyAlignment="1">
      <alignment horizontal="center" vertical="center"/>
    </xf>
    <xf numFmtId="165" fontId="19934" fillId="8" borderId="1" xfId="0" applyNumberFormat="1" applyFont="1" applyFill="1" applyBorder="1" applyAlignment="1">
      <alignment horizontal="center" vertical="center"/>
    </xf>
    <xf numFmtId="2" fontId="19935" fillId="8" borderId="1" xfId="0" applyNumberFormat="1" applyFont="1" applyFill="1" applyBorder="1" applyAlignment="1">
      <alignment horizontal="center" vertical="center"/>
    </xf>
    <xf numFmtId="2" fontId="19936" fillId="8" borderId="1" xfId="0" applyNumberFormat="1" applyFont="1" applyFill="1" applyBorder="1" applyAlignment="1">
      <alignment horizontal="center" vertical="center"/>
    </xf>
    <xf numFmtId="2" fontId="19937" fillId="8" borderId="1" xfId="0" applyNumberFormat="1" applyFont="1" applyFill="1" applyBorder="1" applyAlignment="1">
      <alignment horizontal="center" vertical="center"/>
    </xf>
    <xf numFmtId="2" fontId="19938" fillId="8" borderId="1" xfId="0" applyNumberFormat="1" applyFont="1" applyFill="1" applyBorder="1" applyAlignment="1">
      <alignment horizontal="center" vertical="center"/>
    </xf>
    <xf numFmtId="2" fontId="19939" fillId="8" borderId="1" xfId="0" applyNumberFormat="1" applyFont="1" applyFill="1" applyBorder="1" applyAlignment="1">
      <alignment horizontal="center" vertical="center"/>
    </xf>
    <xf numFmtId="2" fontId="19940" fillId="8" borderId="1" xfId="0" applyNumberFormat="1" applyFont="1" applyFill="1" applyBorder="1" applyAlignment="1">
      <alignment horizontal="center" vertical="center"/>
    </xf>
    <xf numFmtId="2" fontId="19941" fillId="8" borderId="1" xfId="0" applyNumberFormat="1" applyFont="1" applyFill="1" applyBorder="1" applyAlignment="1">
      <alignment horizontal="center" vertical="center"/>
    </xf>
    <xf numFmtId="2" fontId="19942" fillId="8" borderId="1" xfId="0" applyNumberFormat="1" applyFont="1" applyFill="1" applyBorder="1" applyAlignment="1">
      <alignment horizontal="center" vertical="center"/>
    </xf>
    <xf numFmtId="2" fontId="19943" fillId="8" borderId="1" xfId="0" applyNumberFormat="1" applyFont="1" applyFill="1" applyBorder="1" applyAlignment="1">
      <alignment horizontal="center" vertical="center"/>
    </xf>
    <xf numFmtId="2" fontId="19944" fillId="8" borderId="1" xfId="0" applyNumberFormat="1" applyFont="1" applyFill="1" applyBorder="1" applyAlignment="1">
      <alignment horizontal="center" vertical="center"/>
    </xf>
    <xf numFmtId="2" fontId="19945" fillId="8" borderId="1" xfId="0" applyNumberFormat="1" applyFont="1" applyFill="1" applyBorder="1" applyAlignment="1">
      <alignment horizontal="center" vertical="center"/>
    </xf>
    <xf numFmtId="2" fontId="19946" fillId="8" borderId="1" xfId="0" applyNumberFormat="1" applyFont="1" applyFill="1" applyBorder="1" applyAlignment="1">
      <alignment horizontal="center" vertical="center"/>
    </xf>
    <xf numFmtId="2" fontId="19947" fillId="8" borderId="1" xfId="0" applyNumberFormat="1" applyFont="1" applyFill="1" applyBorder="1" applyAlignment="1">
      <alignment horizontal="center" vertical="center"/>
    </xf>
    <xf numFmtId="2" fontId="19948" fillId="8" borderId="1" xfId="0" applyNumberFormat="1" applyFont="1" applyFill="1" applyBorder="1" applyAlignment="1">
      <alignment horizontal="center" vertical="center"/>
    </xf>
    <xf numFmtId="2" fontId="19949" fillId="8" borderId="1" xfId="0" applyNumberFormat="1" applyFont="1" applyFill="1" applyBorder="1" applyAlignment="1">
      <alignment horizontal="center" vertical="center"/>
    </xf>
    <xf numFmtId="2" fontId="19950" fillId="8" borderId="1" xfId="0" applyNumberFormat="1" applyFont="1" applyFill="1" applyBorder="1" applyAlignment="1">
      <alignment horizontal="center" vertical="center"/>
    </xf>
    <xf numFmtId="2" fontId="19951" fillId="8" borderId="1" xfId="0" applyNumberFormat="1" applyFont="1" applyFill="1" applyBorder="1" applyAlignment="1">
      <alignment horizontal="center" vertical="center"/>
    </xf>
    <xf numFmtId="2" fontId="19952" fillId="8" borderId="1" xfId="0" applyNumberFormat="1" applyFont="1" applyFill="1" applyBorder="1" applyAlignment="1">
      <alignment horizontal="center" vertical="center"/>
    </xf>
    <xf numFmtId="2" fontId="19953" fillId="8" borderId="1" xfId="0" applyNumberFormat="1" applyFont="1" applyFill="1" applyBorder="1" applyAlignment="1">
      <alignment horizontal="center" vertical="center"/>
    </xf>
    <xf numFmtId="2" fontId="19954" fillId="8" borderId="1" xfId="0" applyNumberFormat="1" applyFont="1" applyFill="1" applyBorder="1" applyAlignment="1">
      <alignment horizontal="center" vertical="center"/>
    </xf>
    <xf numFmtId="2" fontId="19955" fillId="8" borderId="1" xfId="0" applyNumberFormat="1" applyFont="1" applyFill="1" applyBorder="1" applyAlignment="1">
      <alignment horizontal="center" vertical="center"/>
    </xf>
    <xf numFmtId="2" fontId="19956" fillId="8" borderId="1" xfId="0" applyNumberFormat="1" applyFont="1" applyFill="1" applyBorder="1" applyAlignment="1">
      <alignment horizontal="center" vertical="center"/>
    </xf>
    <xf numFmtId="2" fontId="19957" fillId="8" borderId="1" xfId="0" applyNumberFormat="1" applyFont="1" applyFill="1" applyBorder="1" applyAlignment="1">
      <alignment horizontal="center" vertical="center"/>
    </xf>
    <xf numFmtId="2" fontId="19958" fillId="8" borderId="1" xfId="0" applyNumberFormat="1" applyFont="1" applyFill="1" applyBorder="1" applyAlignment="1">
      <alignment horizontal="center" vertical="center"/>
    </xf>
    <xf numFmtId="2" fontId="19959" fillId="8" borderId="1" xfId="0" applyNumberFormat="1" applyFont="1" applyFill="1" applyBorder="1" applyAlignment="1">
      <alignment horizontal="center" vertical="center"/>
    </xf>
    <xf numFmtId="2" fontId="19960" fillId="8" borderId="1" xfId="0" applyNumberFormat="1" applyFont="1" applyFill="1" applyBorder="1" applyAlignment="1">
      <alignment horizontal="center" vertical="center"/>
    </xf>
    <xf numFmtId="2" fontId="19961" fillId="8" borderId="1" xfId="0" applyNumberFormat="1" applyFont="1" applyFill="1" applyBorder="1" applyAlignment="1">
      <alignment horizontal="center" vertical="center"/>
    </xf>
    <xf numFmtId="2" fontId="19962" fillId="8" borderId="1" xfId="0" applyNumberFormat="1" applyFont="1" applyFill="1" applyBorder="1" applyAlignment="1">
      <alignment horizontal="center" vertical="center"/>
    </xf>
    <xf numFmtId="2" fontId="19963" fillId="8" borderId="1" xfId="0" applyNumberFormat="1" applyFont="1" applyFill="1" applyBorder="1" applyAlignment="1">
      <alignment horizontal="center" vertical="center"/>
    </xf>
    <xf numFmtId="2" fontId="19964" fillId="8" borderId="1" xfId="0" applyNumberFormat="1" applyFont="1" applyFill="1" applyBorder="1" applyAlignment="1">
      <alignment horizontal="center" vertical="center"/>
    </xf>
    <xf numFmtId="2" fontId="19965" fillId="8" borderId="1" xfId="0" applyNumberFormat="1" applyFont="1" applyFill="1" applyBorder="1" applyAlignment="1">
      <alignment horizontal="center" vertical="center"/>
    </xf>
    <xf numFmtId="2" fontId="19966" fillId="8" borderId="1" xfId="0" applyNumberFormat="1" applyFont="1" applyFill="1" applyBorder="1" applyAlignment="1">
      <alignment horizontal="center" vertical="center"/>
    </xf>
    <xf numFmtId="2" fontId="19967" fillId="8" borderId="1" xfId="0" applyNumberFormat="1" applyFont="1" applyFill="1" applyBorder="1" applyAlignment="1">
      <alignment horizontal="center" vertical="center"/>
    </xf>
    <xf numFmtId="2" fontId="19968" fillId="8" borderId="1" xfId="0" applyNumberFormat="1" applyFont="1" applyFill="1" applyBorder="1" applyAlignment="1">
      <alignment horizontal="center" vertical="center"/>
    </xf>
    <xf numFmtId="0" fontId="19969" fillId="7" borderId="1" xfId="0" applyNumberFormat="1" applyFont="1" applyFill="1" applyBorder="1" applyAlignment="1">
      <alignment horizontal="left" vertical="center"/>
    </xf>
    <xf numFmtId="0" fontId="19970" fillId="8" borderId="1" xfId="0" applyNumberFormat="1" applyFont="1" applyFill="1" applyBorder="1" applyAlignment="1">
      <alignment horizontal="center" vertical="center"/>
    </xf>
    <xf numFmtId="164" fontId="19971" fillId="8" borderId="1" xfId="0" applyNumberFormat="1" applyFont="1" applyFill="1" applyBorder="1" applyAlignment="1">
      <alignment horizontal="center" vertical="center"/>
    </xf>
    <xf numFmtId="1" fontId="19972" fillId="8" borderId="1" xfId="0" applyNumberFormat="1" applyFont="1" applyFill="1" applyBorder="1" applyAlignment="1">
      <alignment horizontal="center" vertical="center"/>
    </xf>
    <xf numFmtId="1" fontId="19973" fillId="8" borderId="1" xfId="0" applyNumberFormat="1" applyFont="1" applyFill="1" applyBorder="1" applyAlignment="1">
      <alignment horizontal="center" vertical="center"/>
    </xf>
    <xf numFmtId="1" fontId="19974" fillId="8" borderId="1" xfId="0" applyNumberFormat="1" applyFont="1" applyFill="1" applyBorder="1" applyAlignment="1">
      <alignment horizontal="center" vertical="center"/>
    </xf>
    <xf numFmtId="1" fontId="19975" fillId="8" borderId="1" xfId="0" applyNumberFormat="1" applyFont="1" applyFill="1" applyBorder="1" applyAlignment="1">
      <alignment horizontal="center" vertical="center"/>
    </xf>
    <xf numFmtId="1" fontId="19976" fillId="8" borderId="1" xfId="0" applyNumberFormat="1" applyFont="1" applyFill="1" applyBorder="1" applyAlignment="1">
      <alignment horizontal="center" vertical="center"/>
    </xf>
    <xf numFmtId="1" fontId="19977" fillId="8" borderId="1" xfId="0" applyNumberFormat="1" applyFont="1" applyFill="1" applyBorder="1" applyAlignment="1">
      <alignment horizontal="center" vertical="center"/>
    </xf>
    <xf numFmtId="1" fontId="19978" fillId="8" borderId="1" xfId="0" applyNumberFormat="1" applyFont="1" applyFill="1" applyBorder="1" applyAlignment="1">
      <alignment horizontal="center" vertical="center"/>
    </xf>
    <xf numFmtId="0" fontId="19979" fillId="8" borderId="1" xfId="0" applyNumberFormat="1" applyFont="1" applyFill="1" applyBorder="1" applyAlignment="1">
      <alignment horizontal="center" vertical="center"/>
    </xf>
    <xf numFmtId="0" fontId="19980" fillId="8" borderId="1" xfId="0" applyNumberFormat="1" applyFont="1" applyFill="1" applyBorder="1" applyAlignment="1">
      <alignment horizontal="center" vertical="center"/>
    </xf>
    <xf numFmtId="1" fontId="19981" fillId="8" borderId="1" xfId="0" applyNumberFormat="1" applyFont="1" applyFill="1" applyBorder="1" applyAlignment="1">
      <alignment horizontal="center" vertical="center"/>
    </xf>
    <xf numFmtId="1" fontId="19982" fillId="8" borderId="1" xfId="0" applyNumberFormat="1" applyFont="1" applyFill="1" applyBorder="1" applyAlignment="1">
      <alignment horizontal="center" vertical="center"/>
    </xf>
    <xf numFmtId="1" fontId="19983" fillId="8" borderId="1" xfId="0" applyNumberFormat="1" applyFont="1" applyFill="1" applyBorder="1" applyAlignment="1">
      <alignment horizontal="center" vertical="center"/>
    </xf>
    <xf numFmtId="165" fontId="19984" fillId="8" borderId="1" xfId="0" applyNumberFormat="1" applyFont="1" applyFill="1" applyBorder="1" applyAlignment="1">
      <alignment horizontal="center" vertical="center"/>
    </xf>
    <xf numFmtId="1" fontId="19985" fillId="8" borderId="1" xfId="0" applyNumberFormat="1" applyFont="1" applyFill="1" applyBorder="1" applyAlignment="1">
      <alignment horizontal="center" vertical="center"/>
    </xf>
    <xf numFmtId="165" fontId="19986" fillId="8" borderId="1" xfId="0" applyNumberFormat="1" applyFont="1" applyFill="1" applyBorder="1" applyAlignment="1">
      <alignment horizontal="center" vertical="center"/>
    </xf>
    <xf numFmtId="1" fontId="19987" fillId="8" borderId="1" xfId="0" applyNumberFormat="1" applyFont="1" applyFill="1" applyBorder="1" applyAlignment="1">
      <alignment horizontal="center" vertical="center"/>
    </xf>
    <xf numFmtId="165" fontId="19988" fillId="8" borderId="1" xfId="0" applyNumberFormat="1" applyFont="1" applyFill="1" applyBorder="1" applyAlignment="1">
      <alignment horizontal="center" vertical="center"/>
    </xf>
    <xf numFmtId="1" fontId="19989" fillId="8" borderId="1" xfId="0" applyNumberFormat="1" applyFont="1" applyFill="1" applyBorder="1" applyAlignment="1">
      <alignment horizontal="center" vertical="center"/>
    </xf>
    <xf numFmtId="165" fontId="19990" fillId="8" borderId="1" xfId="0" applyNumberFormat="1" applyFont="1" applyFill="1" applyBorder="1" applyAlignment="1">
      <alignment horizontal="center" vertical="center"/>
    </xf>
    <xf numFmtId="165" fontId="19991" fillId="8" borderId="1" xfId="0" applyNumberFormat="1" applyFont="1" applyFill="1" applyBorder="1" applyAlignment="1">
      <alignment horizontal="center" vertical="center"/>
    </xf>
    <xf numFmtId="1" fontId="19992" fillId="8" borderId="1" xfId="0" applyNumberFormat="1" applyFont="1" applyFill="1" applyBorder="1" applyAlignment="1">
      <alignment horizontal="center" vertical="center"/>
    </xf>
    <xf numFmtId="1" fontId="19993" fillId="8" borderId="1" xfId="0" applyNumberFormat="1" applyFont="1" applyFill="1" applyBorder="1" applyAlignment="1">
      <alignment horizontal="center" vertical="center"/>
    </xf>
    <xf numFmtId="1" fontId="19994" fillId="8" borderId="1" xfId="0" applyNumberFormat="1" applyFont="1" applyFill="1" applyBorder="1" applyAlignment="1">
      <alignment horizontal="center" vertical="center"/>
    </xf>
    <xf numFmtId="165" fontId="19995" fillId="8" borderId="1" xfId="0" applyNumberFormat="1" applyFont="1" applyFill="1" applyBorder="1" applyAlignment="1">
      <alignment horizontal="center" vertical="center"/>
    </xf>
    <xf numFmtId="164" fontId="19996" fillId="8" borderId="1" xfId="0" applyNumberFormat="1" applyFont="1" applyFill="1" applyBorder="1" applyAlignment="1">
      <alignment horizontal="center" vertical="center"/>
    </xf>
    <xf numFmtId="164" fontId="19997" fillId="8" borderId="1" xfId="0" applyNumberFormat="1" applyFont="1" applyFill="1" applyBorder="1" applyAlignment="1">
      <alignment horizontal="center" vertical="center"/>
    </xf>
    <xf numFmtId="1" fontId="19998" fillId="8" borderId="1" xfId="0" applyNumberFormat="1" applyFont="1" applyFill="1" applyBorder="1" applyAlignment="1">
      <alignment horizontal="center" vertical="center"/>
    </xf>
    <xf numFmtId="1" fontId="19999" fillId="8" borderId="1" xfId="0" applyNumberFormat="1" applyFont="1" applyFill="1" applyBorder="1" applyAlignment="1">
      <alignment horizontal="center" vertical="center"/>
    </xf>
    <xf numFmtId="1" fontId="20000" fillId="8" borderId="1" xfId="0" applyNumberFormat="1" applyFont="1" applyFill="1" applyBorder="1" applyAlignment="1">
      <alignment horizontal="center" vertical="center"/>
    </xf>
    <xf numFmtId="165" fontId="20001" fillId="8" borderId="1" xfId="0" applyNumberFormat="1" applyFont="1" applyFill="1" applyBorder="1" applyAlignment="1">
      <alignment horizontal="center" vertical="center"/>
    </xf>
    <xf numFmtId="1" fontId="20002" fillId="8" borderId="1" xfId="0" applyNumberFormat="1" applyFont="1" applyFill="1" applyBorder="1" applyAlignment="1">
      <alignment horizontal="center" vertical="center"/>
    </xf>
    <xf numFmtId="165" fontId="20003" fillId="8" borderId="1" xfId="0" applyNumberFormat="1" applyFont="1" applyFill="1" applyBorder="1" applyAlignment="1">
      <alignment horizontal="center" vertical="center"/>
    </xf>
    <xf numFmtId="1" fontId="20004" fillId="8" borderId="1" xfId="0" applyNumberFormat="1" applyFont="1" applyFill="1" applyBorder="1" applyAlignment="1">
      <alignment horizontal="center" vertical="center"/>
    </xf>
    <xf numFmtId="1" fontId="20005" fillId="8" borderId="1" xfId="0" applyNumberFormat="1" applyFont="1" applyFill="1" applyBorder="1" applyAlignment="1">
      <alignment horizontal="center" vertical="center"/>
    </xf>
    <xf numFmtId="1" fontId="20006" fillId="8" borderId="1" xfId="0" applyNumberFormat="1" applyFont="1" applyFill="1" applyBorder="1" applyAlignment="1">
      <alignment horizontal="center" vertical="center"/>
    </xf>
    <xf numFmtId="1" fontId="20007" fillId="8" borderId="1" xfId="0" applyNumberFormat="1" applyFont="1" applyFill="1" applyBorder="1" applyAlignment="1">
      <alignment horizontal="center" vertical="center"/>
    </xf>
    <xf numFmtId="165" fontId="20008" fillId="8" borderId="1" xfId="0" applyNumberFormat="1" applyFont="1" applyFill="1" applyBorder="1" applyAlignment="1">
      <alignment horizontal="center" vertical="center"/>
    </xf>
    <xf numFmtId="1" fontId="20009" fillId="8" borderId="1" xfId="0" applyNumberFormat="1" applyFont="1" applyFill="1" applyBorder="1" applyAlignment="1">
      <alignment horizontal="center" vertical="center"/>
    </xf>
    <xf numFmtId="165" fontId="20010" fillId="8" borderId="1" xfId="0" applyNumberFormat="1" applyFont="1" applyFill="1" applyBorder="1" applyAlignment="1">
      <alignment horizontal="center" vertical="center"/>
    </xf>
    <xf numFmtId="1" fontId="20011" fillId="8" borderId="1" xfId="0" applyNumberFormat="1" applyFont="1" applyFill="1" applyBorder="1" applyAlignment="1">
      <alignment horizontal="center" vertical="center"/>
    </xf>
    <xf numFmtId="165" fontId="20012" fillId="8" borderId="1" xfId="0" applyNumberFormat="1" applyFont="1" applyFill="1" applyBorder="1" applyAlignment="1">
      <alignment horizontal="center" vertical="center"/>
    </xf>
    <xf numFmtId="2" fontId="20013" fillId="8" borderId="1" xfId="0" applyNumberFormat="1" applyFont="1" applyFill="1" applyBorder="1" applyAlignment="1">
      <alignment horizontal="center" vertical="center"/>
    </xf>
    <xf numFmtId="2" fontId="20014" fillId="8" borderId="1" xfId="0" applyNumberFormat="1" applyFont="1" applyFill="1" applyBorder="1" applyAlignment="1">
      <alignment horizontal="center" vertical="center"/>
    </xf>
    <xf numFmtId="2" fontId="20015" fillId="8" borderId="1" xfId="0" applyNumberFormat="1" applyFont="1" applyFill="1" applyBorder="1" applyAlignment="1">
      <alignment horizontal="center" vertical="center"/>
    </xf>
    <xf numFmtId="2" fontId="20016" fillId="8" borderId="1" xfId="0" applyNumberFormat="1" applyFont="1" applyFill="1" applyBorder="1" applyAlignment="1">
      <alignment horizontal="center" vertical="center"/>
    </xf>
    <xf numFmtId="2" fontId="20017" fillId="8" borderId="1" xfId="0" applyNumberFormat="1" applyFont="1" applyFill="1" applyBorder="1" applyAlignment="1">
      <alignment horizontal="center" vertical="center"/>
    </xf>
    <xf numFmtId="2" fontId="20018" fillId="8" borderId="1" xfId="0" applyNumberFormat="1" applyFont="1" applyFill="1" applyBorder="1" applyAlignment="1">
      <alignment horizontal="center" vertical="center"/>
    </xf>
    <xf numFmtId="2" fontId="20019" fillId="8" borderId="1" xfId="0" applyNumberFormat="1" applyFont="1" applyFill="1" applyBorder="1" applyAlignment="1">
      <alignment horizontal="center" vertical="center"/>
    </xf>
    <xf numFmtId="2" fontId="20020" fillId="8" borderId="1" xfId="0" applyNumberFormat="1" applyFont="1" applyFill="1" applyBorder="1" applyAlignment="1">
      <alignment horizontal="center" vertical="center"/>
    </xf>
    <xf numFmtId="2" fontId="20021" fillId="8" borderId="1" xfId="0" applyNumberFormat="1" applyFont="1" applyFill="1" applyBorder="1" applyAlignment="1">
      <alignment horizontal="center" vertical="center"/>
    </xf>
    <xf numFmtId="2" fontId="20022" fillId="8" borderId="1" xfId="0" applyNumberFormat="1" applyFont="1" applyFill="1" applyBorder="1" applyAlignment="1">
      <alignment horizontal="center" vertical="center"/>
    </xf>
    <xf numFmtId="2" fontId="20023" fillId="8" borderId="1" xfId="0" applyNumberFormat="1" applyFont="1" applyFill="1" applyBorder="1" applyAlignment="1">
      <alignment horizontal="center" vertical="center"/>
    </xf>
    <xf numFmtId="2" fontId="20024" fillId="8" borderId="1" xfId="0" applyNumberFormat="1" applyFont="1" applyFill="1" applyBorder="1" applyAlignment="1">
      <alignment horizontal="center" vertical="center"/>
    </xf>
    <xf numFmtId="2" fontId="20025" fillId="8" borderId="1" xfId="0" applyNumberFormat="1" applyFont="1" applyFill="1" applyBorder="1" applyAlignment="1">
      <alignment horizontal="center" vertical="center"/>
    </xf>
    <xf numFmtId="2" fontId="20026" fillId="8" borderId="1" xfId="0" applyNumberFormat="1" applyFont="1" applyFill="1" applyBorder="1" applyAlignment="1">
      <alignment horizontal="center" vertical="center"/>
    </xf>
    <xf numFmtId="2" fontId="20027" fillId="8" borderId="1" xfId="0" applyNumberFormat="1" applyFont="1" applyFill="1" applyBorder="1" applyAlignment="1">
      <alignment horizontal="center" vertical="center"/>
    </xf>
    <xf numFmtId="2" fontId="20028" fillId="8" borderId="1" xfId="0" applyNumberFormat="1" applyFont="1" applyFill="1" applyBorder="1" applyAlignment="1">
      <alignment horizontal="center" vertical="center"/>
    </xf>
    <xf numFmtId="2" fontId="20029" fillId="8" borderId="1" xfId="0" applyNumberFormat="1" applyFont="1" applyFill="1" applyBorder="1" applyAlignment="1">
      <alignment horizontal="center" vertical="center"/>
    </xf>
    <xf numFmtId="2" fontId="20030" fillId="8" borderId="1" xfId="0" applyNumberFormat="1" applyFont="1" applyFill="1" applyBorder="1" applyAlignment="1">
      <alignment horizontal="center" vertical="center"/>
    </xf>
    <xf numFmtId="2" fontId="20031" fillId="8" borderId="1" xfId="0" applyNumberFormat="1" applyFont="1" applyFill="1" applyBorder="1" applyAlignment="1">
      <alignment horizontal="center" vertical="center"/>
    </xf>
    <xf numFmtId="2" fontId="20032" fillId="8" borderId="1" xfId="0" applyNumberFormat="1" applyFont="1" applyFill="1" applyBorder="1" applyAlignment="1">
      <alignment horizontal="center" vertical="center"/>
    </xf>
    <xf numFmtId="2" fontId="20033" fillId="8" borderId="1" xfId="0" applyNumberFormat="1" applyFont="1" applyFill="1" applyBorder="1" applyAlignment="1">
      <alignment horizontal="center" vertical="center"/>
    </xf>
    <xf numFmtId="2" fontId="20034" fillId="8" borderId="1" xfId="0" applyNumberFormat="1" applyFont="1" applyFill="1" applyBorder="1" applyAlignment="1">
      <alignment horizontal="center" vertical="center"/>
    </xf>
    <xf numFmtId="2" fontId="20035" fillId="8" borderId="1" xfId="0" applyNumberFormat="1" applyFont="1" applyFill="1" applyBorder="1" applyAlignment="1">
      <alignment horizontal="center" vertical="center"/>
    </xf>
    <xf numFmtId="2" fontId="20036" fillId="8" borderId="1" xfId="0" applyNumberFormat="1" applyFont="1" applyFill="1" applyBorder="1" applyAlignment="1">
      <alignment horizontal="center" vertical="center"/>
    </xf>
    <xf numFmtId="2" fontId="20037" fillId="8" borderId="1" xfId="0" applyNumberFormat="1" applyFont="1" applyFill="1" applyBorder="1" applyAlignment="1">
      <alignment horizontal="center" vertical="center"/>
    </xf>
    <xf numFmtId="2" fontId="20038" fillId="8" borderId="1" xfId="0" applyNumberFormat="1" applyFont="1" applyFill="1" applyBorder="1" applyAlignment="1">
      <alignment horizontal="center" vertical="center"/>
    </xf>
    <xf numFmtId="2" fontId="20039" fillId="8" borderId="1" xfId="0" applyNumberFormat="1" applyFont="1" applyFill="1" applyBorder="1" applyAlignment="1">
      <alignment horizontal="center" vertical="center"/>
    </xf>
    <xf numFmtId="2" fontId="20040" fillId="8" borderId="1" xfId="0" applyNumberFormat="1" applyFont="1" applyFill="1" applyBorder="1" applyAlignment="1">
      <alignment horizontal="center" vertical="center"/>
    </xf>
    <xf numFmtId="2" fontId="20041" fillId="8" borderId="1" xfId="0" applyNumberFormat="1" applyFont="1" applyFill="1" applyBorder="1" applyAlignment="1">
      <alignment horizontal="center" vertical="center"/>
    </xf>
    <xf numFmtId="2" fontId="20042" fillId="8" borderId="1" xfId="0" applyNumberFormat="1" applyFont="1" applyFill="1" applyBorder="1" applyAlignment="1">
      <alignment horizontal="center" vertical="center"/>
    </xf>
    <xf numFmtId="2" fontId="20043" fillId="8" borderId="1" xfId="0" applyNumberFormat="1" applyFont="1" applyFill="1" applyBorder="1" applyAlignment="1">
      <alignment horizontal="center" vertical="center"/>
    </xf>
    <xf numFmtId="2" fontId="20044" fillId="8" borderId="1" xfId="0" applyNumberFormat="1" applyFont="1" applyFill="1" applyBorder="1" applyAlignment="1">
      <alignment horizontal="center" vertical="center"/>
    </xf>
    <xf numFmtId="2" fontId="20045" fillId="8" borderId="1" xfId="0" applyNumberFormat="1" applyFont="1" applyFill="1" applyBorder="1" applyAlignment="1">
      <alignment horizontal="center" vertical="center"/>
    </xf>
    <xf numFmtId="2" fontId="20046" fillId="8" borderId="1" xfId="0" applyNumberFormat="1" applyFont="1" applyFill="1" applyBorder="1" applyAlignment="1">
      <alignment horizontal="center" vertical="center"/>
    </xf>
    <xf numFmtId="0" fontId="20047" fillId="7" borderId="1" xfId="0" applyNumberFormat="1" applyFont="1" applyFill="1" applyBorder="1" applyAlignment="1">
      <alignment horizontal="left" vertical="center"/>
    </xf>
    <xf numFmtId="0" fontId="20048" fillId="8" borderId="1" xfId="0" applyNumberFormat="1" applyFont="1" applyFill="1" applyBorder="1" applyAlignment="1">
      <alignment horizontal="center" vertical="center"/>
    </xf>
    <xf numFmtId="164" fontId="20049" fillId="8" borderId="1" xfId="0" applyNumberFormat="1" applyFont="1" applyFill="1" applyBorder="1" applyAlignment="1">
      <alignment horizontal="center" vertical="center"/>
    </xf>
    <xf numFmtId="1" fontId="20050" fillId="8" borderId="1" xfId="0" applyNumberFormat="1" applyFont="1" applyFill="1" applyBorder="1" applyAlignment="1">
      <alignment horizontal="center" vertical="center"/>
    </xf>
    <xf numFmtId="1" fontId="20051" fillId="8" borderId="1" xfId="0" applyNumberFormat="1" applyFont="1" applyFill="1" applyBorder="1" applyAlignment="1">
      <alignment horizontal="center" vertical="center"/>
    </xf>
    <xf numFmtId="1" fontId="20052" fillId="8" borderId="1" xfId="0" applyNumberFormat="1" applyFont="1" applyFill="1" applyBorder="1" applyAlignment="1">
      <alignment horizontal="center" vertical="center"/>
    </xf>
    <xf numFmtId="1" fontId="20053" fillId="8" borderId="1" xfId="0" applyNumberFormat="1" applyFont="1" applyFill="1" applyBorder="1" applyAlignment="1">
      <alignment horizontal="center" vertical="center"/>
    </xf>
    <xf numFmtId="1" fontId="20054" fillId="8" borderId="1" xfId="0" applyNumberFormat="1" applyFont="1" applyFill="1" applyBorder="1" applyAlignment="1">
      <alignment horizontal="center" vertical="center"/>
    </xf>
    <xf numFmtId="1" fontId="20055" fillId="8" borderId="1" xfId="0" applyNumberFormat="1" applyFont="1" applyFill="1" applyBorder="1" applyAlignment="1">
      <alignment horizontal="center" vertical="center"/>
    </xf>
    <xf numFmtId="1" fontId="20056" fillId="8" borderId="1" xfId="0" applyNumberFormat="1" applyFont="1" applyFill="1" applyBorder="1" applyAlignment="1">
      <alignment horizontal="center" vertical="center"/>
    </xf>
    <xf numFmtId="0" fontId="20057" fillId="8" borderId="1" xfId="0" applyNumberFormat="1" applyFont="1" applyFill="1" applyBorder="1" applyAlignment="1">
      <alignment horizontal="center" vertical="center"/>
    </xf>
    <xf numFmtId="0" fontId="20058" fillId="8" borderId="1" xfId="0" applyNumberFormat="1" applyFont="1" applyFill="1" applyBorder="1" applyAlignment="1">
      <alignment horizontal="center" vertical="center"/>
    </xf>
    <xf numFmtId="1" fontId="20059" fillId="8" borderId="1" xfId="0" applyNumberFormat="1" applyFont="1" applyFill="1" applyBorder="1" applyAlignment="1">
      <alignment horizontal="center" vertical="center"/>
    </xf>
    <xf numFmtId="1" fontId="20060" fillId="8" borderId="1" xfId="0" applyNumberFormat="1" applyFont="1" applyFill="1" applyBorder="1" applyAlignment="1">
      <alignment horizontal="center" vertical="center"/>
    </xf>
    <xf numFmtId="1" fontId="20061" fillId="8" borderId="1" xfId="0" applyNumberFormat="1" applyFont="1" applyFill="1" applyBorder="1" applyAlignment="1">
      <alignment horizontal="center" vertical="center"/>
    </xf>
    <xf numFmtId="165" fontId="20062" fillId="8" borderId="1" xfId="0" applyNumberFormat="1" applyFont="1" applyFill="1" applyBorder="1" applyAlignment="1">
      <alignment horizontal="center" vertical="center"/>
    </xf>
    <xf numFmtId="1" fontId="20063" fillId="8" borderId="1" xfId="0" applyNumberFormat="1" applyFont="1" applyFill="1" applyBorder="1" applyAlignment="1">
      <alignment horizontal="center" vertical="center"/>
    </xf>
    <xf numFmtId="165" fontId="20064" fillId="8" borderId="1" xfId="0" applyNumberFormat="1" applyFont="1" applyFill="1" applyBorder="1" applyAlignment="1">
      <alignment horizontal="center" vertical="center"/>
    </xf>
    <xf numFmtId="1" fontId="20065" fillId="8" borderId="1" xfId="0" applyNumberFormat="1" applyFont="1" applyFill="1" applyBorder="1" applyAlignment="1">
      <alignment horizontal="center" vertical="center"/>
    </xf>
    <xf numFmtId="165" fontId="20066" fillId="8" borderId="1" xfId="0" applyNumberFormat="1" applyFont="1" applyFill="1" applyBorder="1" applyAlignment="1">
      <alignment horizontal="center" vertical="center"/>
    </xf>
    <xf numFmtId="1" fontId="20067" fillId="8" borderId="1" xfId="0" applyNumberFormat="1" applyFont="1" applyFill="1" applyBorder="1" applyAlignment="1">
      <alignment horizontal="center" vertical="center"/>
    </xf>
    <xf numFmtId="165" fontId="20068" fillId="8" borderId="1" xfId="0" applyNumberFormat="1" applyFont="1" applyFill="1" applyBorder="1" applyAlignment="1">
      <alignment horizontal="center" vertical="center"/>
    </xf>
    <xf numFmtId="165" fontId="20069" fillId="8" borderId="1" xfId="0" applyNumberFormat="1" applyFont="1" applyFill="1" applyBorder="1" applyAlignment="1">
      <alignment horizontal="center" vertical="center"/>
    </xf>
    <xf numFmtId="1" fontId="20070" fillId="8" borderId="1" xfId="0" applyNumberFormat="1" applyFont="1" applyFill="1" applyBorder="1" applyAlignment="1">
      <alignment horizontal="center" vertical="center"/>
    </xf>
    <xf numFmtId="1" fontId="20071" fillId="8" borderId="1" xfId="0" applyNumberFormat="1" applyFont="1" applyFill="1" applyBorder="1" applyAlignment="1">
      <alignment horizontal="center" vertical="center"/>
    </xf>
    <xf numFmtId="1" fontId="20072" fillId="8" borderId="1" xfId="0" applyNumberFormat="1" applyFont="1" applyFill="1" applyBorder="1" applyAlignment="1">
      <alignment horizontal="center" vertical="center"/>
    </xf>
    <xf numFmtId="165" fontId="20073" fillId="8" borderId="1" xfId="0" applyNumberFormat="1" applyFont="1" applyFill="1" applyBorder="1" applyAlignment="1">
      <alignment horizontal="center" vertical="center"/>
    </xf>
    <xf numFmtId="164" fontId="20074" fillId="8" borderId="1" xfId="0" applyNumberFormat="1" applyFont="1" applyFill="1" applyBorder="1" applyAlignment="1">
      <alignment horizontal="center" vertical="center"/>
    </xf>
    <xf numFmtId="164" fontId="20075" fillId="8" borderId="1" xfId="0" applyNumberFormat="1" applyFont="1" applyFill="1" applyBorder="1" applyAlignment="1">
      <alignment horizontal="center" vertical="center"/>
    </xf>
    <xf numFmtId="1" fontId="20076" fillId="8" borderId="1" xfId="0" applyNumberFormat="1" applyFont="1" applyFill="1" applyBorder="1" applyAlignment="1">
      <alignment horizontal="center" vertical="center"/>
    </xf>
    <xf numFmtId="1" fontId="20077" fillId="8" borderId="1" xfId="0" applyNumberFormat="1" applyFont="1" applyFill="1" applyBorder="1" applyAlignment="1">
      <alignment horizontal="center" vertical="center"/>
    </xf>
    <xf numFmtId="1" fontId="20078" fillId="8" borderId="1" xfId="0" applyNumberFormat="1" applyFont="1" applyFill="1" applyBorder="1" applyAlignment="1">
      <alignment horizontal="center" vertical="center"/>
    </xf>
    <xf numFmtId="165" fontId="20079" fillId="8" borderId="1" xfId="0" applyNumberFormat="1" applyFont="1" applyFill="1" applyBorder="1" applyAlignment="1">
      <alignment horizontal="center" vertical="center"/>
    </xf>
    <xf numFmtId="1" fontId="20080" fillId="8" borderId="1" xfId="0" applyNumberFormat="1" applyFont="1" applyFill="1" applyBorder="1" applyAlignment="1">
      <alignment horizontal="center" vertical="center"/>
    </xf>
    <xf numFmtId="165" fontId="20081" fillId="8" borderId="1" xfId="0" applyNumberFormat="1" applyFont="1" applyFill="1" applyBorder="1" applyAlignment="1">
      <alignment horizontal="center" vertical="center"/>
    </xf>
    <xf numFmtId="1" fontId="20082" fillId="8" borderId="1" xfId="0" applyNumberFormat="1" applyFont="1" applyFill="1" applyBorder="1" applyAlignment="1">
      <alignment horizontal="center" vertical="center"/>
    </xf>
    <xf numFmtId="1" fontId="20083" fillId="8" borderId="1" xfId="0" applyNumberFormat="1" applyFont="1" applyFill="1" applyBorder="1" applyAlignment="1">
      <alignment horizontal="center" vertical="center"/>
    </xf>
    <xf numFmtId="1" fontId="20084" fillId="8" borderId="1" xfId="0" applyNumberFormat="1" applyFont="1" applyFill="1" applyBorder="1" applyAlignment="1">
      <alignment horizontal="center" vertical="center"/>
    </xf>
    <xf numFmtId="1" fontId="20085" fillId="8" borderId="1" xfId="0" applyNumberFormat="1" applyFont="1" applyFill="1" applyBorder="1" applyAlignment="1">
      <alignment horizontal="center" vertical="center"/>
    </xf>
    <xf numFmtId="165" fontId="20086" fillId="8" borderId="1" xfId="0" applyNumberFormat="1" applyFont="1" applyFill="1" applyBorder="1" applyAlignment="1">
      <alignment horizontal="center" vertical="center"/>
    </xf>
    <xf numFmtId="1" fontId="20087" fillId="8" borderId="1" xfId="0" applyNumberFormat="1" applyFont="1" applyFill="1" applyBorder="1" applyAlignment="1">
      <alignment horizontal="center" vertical="center"/>
    </xf>
    <xf numFmtId="165" fontId="20088" fillId="8" borderId="1" xfId="0" applyNumberFormat="1" applyFont="1" applyFill="1" applyBorder="1" applyAlignment="1">
      <alignment horizontal="center" vertical="center"/>
    </xf>
    <xf numFmtId="1" fontId="20089" fillId="8" borderId="1" xfId="0" applyNumberFormat="1" applyFont="1" applyFill="1" applyBorder="1" applyAlignment="1">
      <alignment horizontal="center" vertical="center"/>
    </xf>
    <xf numFmtId="165" fontId="20090" fillId="8" borderId="1" xfId="0" applyNumberFormat="1" applyFont="1" applyFill="1" applyBorder="1" applyAlignment="1">
      <alignment horizontal="center" vertical="center"/>
    </xf>
    <xf numFmtId="2" fontId="20091" fillId="8" borderId="1" xfId="0" applyNumberFormat="1" applyFont="1" applyFill="1" applyBorder="1" applyAlignment="1">
      <alignment horizontal="center" vertical="center"/>
    </xf>
    <xf numFmtId="2" fontId="20092" fillId="8" borderId="1" xfId="0" applyNumberFormat="1" applyFont="1" applyFill="1" applyBorder="1" applyAlignment="1">
      <alignment horizontal="center" vertical="center"/>
    </xf>
    <xf numFmtId="2" fontId="20093" fillId="8" borderId="1" xfId="0" applyNumberFormat="1" applyFont="1" applyFill="1" applyBorder="1" applyAlignment="1">
      <alignment horizontal="center" vertical="center"/>
    </xf>
    <xf numFmtId="2" fontId="20094" fillId="8" borderId="1" xfId="0" applyNumberFormat="1" applyFont="1" applyFill="1" applyBorder="1" applyAlignment="1">
      <alignment horizontal="center" vertical="center"/>
    </xf>
    <xf numFmtId="2" fontId="20095" fillId="8" borderId="1" xfId="0" applyNumberFormat="1" applyFont="1" applyFill="1" applyBorder="1" applyAlignment="1">
      <alignment horizontal="center" vertical="center"/>
    </xf>
    <xf numFmtId="2" fontId="20096" fillId="8" borderId="1" xfId="0" applyNumberFormat="1" applyFont="1" applyFill="1" applyBorder="1" applyAlignment="1">
      <alignment horizontal="center" vertical="center"/>
    </xf>
    <xf numFmtId="2" fontId="20097" fillId="8" borderId="1" xfId="0" applyNumberFormat="1" applyFont="1" applyFill="1" applyBorder="1" applyAlignment="1">
      <alignment horizontal="center" vertical="center"/>
    </xf>
    <xf numFmtId="2" fontId="20098" fillId="8" borderId="1" xfId="0" applyNumberFormat="1" applyFont="1" applyFill="1" applyBorder="1" applyAlignment="1">
      <alignment horizontal="center" vertical="center"/>
    </xf>
    <xf numFmtId="2" fontId="20099" fillId="8" borderId="1" xfId="0" applyNumberFormat="1" applyFont="1" applyFill="1" applyBorder="1" applyAlignment="1">
      <alignment horizontal="center" vertical="center"/>
    </xf>
    <xf numFmtId="2" fontId="20100" fillId="8" borderId="1" xfId="0" applyNumberFormat="1" applyFont="1" applyFill="1" applyBorder="1" applyAlignment="1">
      <alignment horizontal="center" vertical="center"/>
    </xf>
    <xf numFmtId="2" fontId="20101" fillId="8" borderId="1" xfId="0" applyNumberFormat="1" applyFont="1" applyFill="1" applyBorder="1" applyAlignment="1">
      <alignment horizontal="center" vertical="center"/>
    </xf>
    <xf numFmtId="2" fontId="20102" fillId="8" borderId="1" xfId="0" applyNumberFormat="1" applyFont="1" applyFill="1" applyBorder="1" applyAlignment="1">
      <alignment horizontal="center" vertical="center"/>
    </xf>
    <xf numFmtId="2" fontId="20103" fillId="8" borderId="1" xfId="0" applyNumberFormat="1" applyFont="1" applyFill="1" applyBorder="1" applyAlignment="1">
      <alignment horizontal="center" vertical="center"/>
    </xf>
    <xf numFmtId="2" fontId="20104" fillId="8" borderId="1" xfId="0" applyNumberFormat="1" applyFont="1" applyFill="1" applyBorder="1" applyAlignment="1">
      <alignment horizontal="center" vertical="center"/>
    </xf>
    <xf numFmtId="2" fontId="20105" fillId="8" borderId="1" xfId="0" applyNumberFormat="1" applyFont="1" applyFill="1" applyBorder="1" applyAlignment="1">
      <alignment horizontal="center" vertical="center"/>
    </xf>
    <xf numFmtId="2" fontId="20106" fillId="8" borderId="1" xfId="0" applyNumberFormat="1" applyFont="1" applyFill="1" applyBorder="1" applyAlignment="1">
      <alignment horizontal="center" vertical="center"/>
    </xf>
    <xf numFmtId="2" fontId="20107" fillId="8" borderId="1" xfId="0" applyNumberFormat="1" applyFont="1" applyFill="1" applyBorder="1" applyAlignment="1">
      <alignment horizontal="center" vertical="center"/>
    </xf>
    <xf numFmtId="2" fontId="20108" fillId="8" borderId="1" xfId="0" applyNumberFormat="1" applyFont="1" applyFill="1" applyBorder="1" applyAlignment="1">
      <alignment horizontal="center" vertical="center"/>
    </xf>
    <xf numFmtId="2" fontId="20109" fillId="8" borderId="1" xfId="0" applyNumberFormat="1" applyFont="1" applyFill="1" applyBorder="1" applyAlignment="1">
      <alignment horizontal="center" vertical="center"/>
    </xf>
    <xf numFmtId="2" fontId="20110" fillId="8" borderId="1" xfId="0" applyNumberFormat="1" applyFont="1" applyFill="1" applyBorder="1" applyAlignment="1">
      <alignment horizontal="center" vertical="center"/>
    </xf>
    <xf numFmtId="2" fontId="20111" fillId="8" borderId="1" xfId="0" applyNumberFormat="1" applyFont="1" applyFill="1" applyBorder="1" applyAlignment="1">
      <alignment horizontal="center" vertical="center"/>
    </xf>
    <xf numFmtId="2" fontId="20112" fillId="8" borderId="1" xfId="0" applyNumberFormat="1" applyFont="1" applyFill="1" applyBorder="1" applyAlignment="1">
      <alignment horizontal="center" vertical="center"/>
    </xf>
    <xf numFmtId="2" fontId="20113" fillId="8" borderId="1" xfId="0" applyNumberFormat="1" applyFont="1" applyFill="1" applyBorder="1" applyAlignment="1">
      <alignment horizontal="center" vertical="center"/>
    </xf>
    <xf numFmtId="2" fontId="20114" fillId="8" borderId="1" xfId="0" applyNumberFormat="1" applyFont="1" applyFill="1" applyBorder="1" applyAlignment="1">
      <alignment horizontal="center" vertical="center"/>
    </xf>
    <xf numFmtId="2" fontId="20115" fillId="8" borderId="1" xfId="0" applyNumberFormat="1" applyFont="1" applyFill="1" applyBorder="1" applyAlignment="1">
      <alignment horizontal="center" vertical="center"/>
    </xf>
    <xf numFmtId="2" fontId="20116" fillId="8" borderId="1" xfId="0" applyNumberFormat="1" applyFont="1" applyFill="1" applyBorder="1" applyAlignment="1">
      <alignment horizontal="center" vertical="center"/>
    </xf>
    <xf numFmtId="2" fontId="20117" fillId="8" borderId="1" xfId="0" applyNumberFormat="1" applyFont="1" applyFill="1" applyBorder="1" applyAlignment="1">
      <alignment horizontal="center" vertical="center"/>
    </xf>
    <xf numFmtId="2" fontId="20118" fillId="8" borderId="1" xfId="0" applyNumberFormat="1" applyFont="1" applyFill="1" applyBorder="1" applyAlignment="1">
      <alignment horizontal="center" vertical="center"/>
    </xf>
    <xf numFmtId="2" fontId="20119" fillId="8" borderId="1" xfId="0" applyNumberFormat="1" applyFont="1" applyFill="1" applyBorder="1" applyAlignment="1">
      <alignment horizontal="center" vertical="center"/>
    </xf>
    <xf numFmtId="2" fontId="20120" fillId="8" borderId="1" xfId="0" applyNumberFormat="1" applyFont="1" applyFill="1" applyBorder="1" applyAlignment="1">
      <alignment horizontal="center" vertical="center"/>
    </xf>
    <xf numFmtId="2" fontId="20121" fillId="8" borderId="1" xfId="0" applyNumberFormat="1" applyFont="1" applyFill="1" applyBorder="1" applyAlignment="1">
      <alignment horizontal="center" vertical="center"/>
    </xf>
    <xf numFmtId="2" fontId="20122" fillId="8" borderId="1" xfId="0" applyNumberFormat="1" applyFont="1" applyFill="1" applyBorder="1" applyAlignment="1">
      <alignment horizontal="center" vertical="center"/>
    </xf>
    <xf numFmtId="2" fontId="20123" fillId="8" borderId="1" xfId="0" applyNumberFormat="1" applyFont="1" applyFill="1" applyBorder="1" applyAlignment="1">
      <alignment horizontal="center" vertical="center"/>
    </xf>
    <xf numFmtId="2" fontId="20124" fillId="8" borderId="1" xfId="0" applyNumberFormat="1" applyFont="1" applyFill="1" applyBorder="1" applyAlignment="1">
      <alignment horizontal="center" vertical="center"/>
    </xf>
    <xf numFmtId="0" fontId="20125" fillId="7" borderId="1" xfId="0" applyNumberFormat="1" applyFont="1" applyFill="1" applyBorder="1" applyAlignment="1">
      <alignment horizontal="left" vertical="center"/>
    </xf>
    <xf numFmtId="0" fontId="20126" fillId="8" borderId="1" xfId="0" applyNumberFormat="1" applyFont="1" applyFill="1" applyBorder="1" applyAlignment="1">
      <alignment horizontal="center" vertical="center"/>
    </xf>
    <xf numFmtId="164" fontId="20127" fillId="8" borderId="1" xfId="0" applyNumberFormat="1" applyFont="1" applyFill="1" applyBorder="1" applyAlignment="1">
      <alignment horizontal="center" vertical="center"/>
    </xf>
    <xf numFmtId="1" fontId="20128" fillId="8" borderId="1" xfId="0" applyNumberFormat="1" applyFont="1" applyFill="1" applyBorder="1" applyAlignment="1">
      <alignment horizontal="center" vertical="center"/>
    </xf>
    <xf numFmtId="1" fontId="20129" fillId="8" borderId="1" xfId="0" applyNumberFormat="1" applyFont="1" applyFill="1" applyBorder="1" applyAlignment="1">
      <alignment horizontal="center" vertical="center"/>
    </xf>
    <xf numFmtId="1" fontId="20130" fillId="8" borderId="1" xfId="0" applyNumberFormat="1" applyFont="1" applyFill="1" applyBorder="1" applyAlignment="1">
      <alignment horizontal="center" vertical="center"/>
    </xf>
    <xf numFmtId="1" fontId="20131" fillId="8" borderId="1" xfId="0" applyNumberFormat="1" applyFont="1" applyFill="1" applyBorder="1" applyAlignment="1">
      <alignment horizontal="center" vertical="center"/>
    </xf>
    <xf numFmtId="1" fontId="20132" fillId="8" borderId="1" xfId="0" applyNumberFormat="1" applyFont="1" applyFill="1" applyBorder="1" applyAlignment="1">
      <alignment horizontal="center" vertical="center"/>
    </xf>
    <xf numFmtId="1" fontId="20133" fillId="8" borderId="1" xfId="0" applyNumberFormat="1" applyFont="1" applyFill="1" applyBorder="1" applyAlignment="1">
      <alignment horizontal="center" vertical="center"/>
    </xf>
    <xf numFmtId="1" fontId="20134" fillId="8" borderId="1" xfId="0" applyNumberFormat="1" applyFont="1" applyFill="1" applyBorder="1" applyAlignment="1">
      <alignment horizontal="center" vertical="center"/>
    </xf>
    <xf numFmtId="0" fontId="20135" fillId="8" borderId="1" xfId="0" applyNumberFormat="1" applyFont="1" applyFill="1" applyBorder="1" applyAlignment="1">
      <alignment horizontal="center" vertical="center"/>
    </xf>
    <xf numFmtId="0" fontId="20136" fillId="8" borderId="1" xfId="0" applyNumberFormat="1" applyFont="1" applyFill="1" applyBorder="1" applyAlignment="1">
      <alignment horizontal="center" vertical="center"/>
    </xf>
    <xf numFmtId="1" fontId="20137" fillId="8" borderId="1" xfId="0" applyNumberFormat="1" applyFont="1" applyFill="1" applyBorder="1" applyAlignment="1">
      <alignment horizontal="center" vertical="center"/>
    </xf>
    <xf numFmtId="1" fontId="20138" fillId="8" borderId="1" xfId="0" applyNumberFormat="1" applyFont="1" applyFill="1" applyBorder="1" applyAlignment="1">
      <alignment horizontal="center" vertical="center"/>
    </xf>
    <xf numFmtId="1" fontId="20139" fillId="8" borderId="1" xfId="0" applyNumberFormat="1" applyFont="1" applyFill="1" applyBorder="1" applyAlignment="1">
      <alignment horizontal="center" vertical="center"/>
    </xf>
    <xf numFmtId="165" fontId="20140" fillId="8" borderId="1" xfId="0" applyNumberFormat="1" applyFont="1" applyFill="1" applyBorder="1" applyAlignment="1">
      <alignment horizontal="center" vertical="center"/>
    </xf>
    <xf numFmtId="1" fontId="20141" fillId="8" borderId="1" xfId="0" applyNumberFormat="1" applyFont="1" applyFill="1" applyBorder="1" applyAlignment="1">
      <alignment horizontal="center" vertical="center"/>
    </xf>
    <xf numFmtId="165" fontId="20142" fillId="8" borderId="1" xfId="0" applyNumberFormat="1" applyFont="1" applyFill="1" applyBorder="1" applyAlignment="1">
      <alignment horizontal="center" vertical="center"/>
    </xf>
    <xf numFmtId="1" fontId="20143" fillId="8" borderId="1" xfId="0" applyNumberFormat="1" applyFont="1" applyFill="1" applyBorder="1" applyAlignment="1">
      <alignment horizontal="center" vertical="center"/>
    </xf>
    <xf numFmtId="165" fontId="20144" fillId="8" borderId="1" xfId="0" applyNumberFormat="1" applyFont="1" applyFill="1" applyBorder="1" applyAlignment="1">
      <alignment horizontal="center" vertical="center"/>
    </xf>
    <xf numFmtId="1" fontId="20145" fillId="8" borderId="1" xfId="0" applyNumberFormat="1" applyFont="1" applyFill="1" applyBorder="1" applyAlignment="1">
      <alignment horizontal="center" vertical="center"/>
    </xf>
    <xf numFmtId="165" fontId="20146" fillId="8" borderId="1" xfId="0" applyNumberFormat="1" applyFont="1" applyFill="1" applyBorder="1" applyAlignment="1">
      <alignment horizontal="center" vertical="center"/>
    </xf>
    <xf numFmtId="165" fontId="20147" fillId="8" borderId="1" xfId="0" applyNumberFormat="1" applyFont="1" applyFill="1" applyBorder="1" applyAlignment="1">
      <alignment horizontal="center" vertical="center"/>
    </xf>
    <xf numFmtId="1" fontId="20148" fillId="8" borderId="1" xfId="0" applyNumberFormat="1" applyFont="1" applyFill="1" applyBorder="1" applyAlignment="1">
      <alignment horizontal="center" vertical="center"/>
    </xf>
    <xf numFmtId="1" fontId="20149" fillId="8" borderId="1" xfId="0" applyNumberFormat="1" applyFont="1" applyFill="1" applyBorder="1" applyAlignment="1">
      <alignment horizontal="center" vertical="center"/>
    </xf>
    <xf numFmtId="1" fontId="20150" fillId="8" borderId="1" xfId="0" applyNumberFormat="1" applyFont="1" applyFill="1" applyBorder="1" applyAlignment="1">
      <alignment horizontal="center" vertical="center"/>
    </xf>
    <xf numFmtId="165" fontId="20151" fillId="8" borderId="1" xfId="0" applyNumberFormat="1" applyFont="1" applyFill="1" applyBorder="1" applyAlignment="1">
      <alignment horizontal="center" vertical="center"/>
    </xf>
    <xf numFmtId="164" fontId="20152" fillId="8" borderId="1" xfId="0" applyNumberFormat="1" applyFont="1" applyFill="1" applyBorder="1" applyAlignment="1">
      <alignment horizontal="center" vertical="center"/>
    </xf>
    <xf numFmtId="164" fontId="20153" fillId="8" borderId="1" xfId="0" applyNumberFormat="1" applyFont="1" applyFill="1" applyBorder="1" applyAlignment="1">
      <alignment horizontal="center" vertical="center"/>
    </xf>
    <xf numFmtId="1" fontId="20154" fillId="8" borderId="1" xfId="0" applyNumberFormat="1" applyFont="1" applyFill="1" applyBorder="1" applyAlignment="1">
      <alignment horizontal="center" vertical="center"/>
    </xf>
    <xf numFmtId="1" fontId="20155" fillId="8" borderId="1" xfId="0" applyNumberFormat="1" applyFont="1" applyFill="1" applyBorder="1" applyAlignment="1">
      <alignment horizontal="center" vertical="center"/>
    </xf>
    <xf numFmtId="1" fontId="20156" fillId="8" borderId="1" xfId="0" applyNumberFormat="1" applyFont="1" applyFill="1" applyBorder="1" applyAlignment="1">
      <alignment horizontal="center" vertical="center"/>
    </xf>
    <xf numFmtId="165" fontId="20157" fillId="8" borderId="1" xfId="0" applyNumberFormat="1" applyFont="1" applyFill="1" applyBorder="1" applyAlignment="1">
      <alignment horizontal="center" vertical="center"/>
    </xf>
    <xf numFmtId="1" fontId="20158" fillId="8" borderId="1" xfId="0" applyNumberFormat="1" applyFont="1" applyFill="1" applyBorder="1" applyAlignment="1">
      <alignment horizontal="center" vertical="center"/>
    </xf>
    <xf numFmtId="165" fontId="20159" fillId="8" borderId="1" xfId="0" applyNumberFormat="1" applyFont="1" applyFill="1" applyBorder="1" applyAlignment="1">
      <alignment horizontal="center" vertical="center"/>
    </xf>
    <xf numFmtId="1" fontId="20160" fillId="8" borderId="1" xfId="0" applyNumberFormat="1" applyFont="1" applyFill="1" applyBorder="1" applyAlignment="1">
      <alignment horizontal="center" vertical="center"/>
    </xf>
    <xf numFmtId="1" fontId="20161" fillId="8" borderId="1" xfId="0" applyNumberFormat="1" applyFont="1" applyFill="1" applyBorder="1" applyAlignment="1">
      <alignment horizontal="center" vertical="center"/>
    </xf>
    <xf numFmtId="1" fontId="20162" fillId="8" borderId="1" xfId="0" applyNumberFormat="1" applyFont="1" applyFill="1" applyBorder="1" applyAlignment="1">
      <alignment horizontal="center" vertical="center"/>
    </xf>
    <xf numFmtId="1" fontId="20163" fillId="8" borderId="1" xfId="0" applyNumberFormat="1" applyFont="1" applyFill="1" applyBorder="1" applyAlignment="1">
      <alignment horizontal="center" vertical="center"/>
    </xf>
    <xf numFmtId="165" fontId="20164" fillId="8" borderId="1" xfId="0" applyNumberFormat="1" applyFont="1" applyFill="1" applyBorder="1" applyAlignment="1">
      <alignment horizontal="center" vertical="center"/>
    </xf>
    <xf numFmtId="1" fontId="20165" fillId="8" borderId="1" xfId="0" applyNumberFormat="1" applyFont="1" applyFill="1" applyBorder="1" applyAlignment="1">
      <alignment horizontal="center" vertical="center"/>
    </xf>
    <xf numFmtId="165" fontId="20166" fillId="8" borderId="1" xfId="0" applyNumberFormat="1" applyFont="1" applyFill="1" applyBorder="1" applyAlignment="1">
      <alignment horizontal="center" vertical="center"/>
    </xf>
    <xf numFmtId="1" fontId="20167" fillId="8" borderId="1" xfId="0" applyNumberFormat="1" applyFont="1" applyFill="1" applyBorder="1" applyAlignment="1">
      <alignment horizontal="center" vertical="center"/>
    </xf>
    <xf numFmtId="165" fontId="20168" fillId="8" borderId="1" xfId="0" applyNumberFormat="1" applyFont="1" applyFill="1" applyBorder="1" applyAlignment="1">
      <alignment horizontal="center" vertical="center"/>
    </xf>
    <xf numFmtId="2" fontId="20169" fillId="8" borderId="1" xfId="0" applyNumberFormat="1" applyFont="1" applyFill="1" applyBorder="1" applyAlignment="1">
      <alignment horizontal="center" vertical="center"/>
    </xf>
    <xf numFmtId="2" fontId="20170" fillId="8" borderId="1" xfId="0" applyNumberFormat="1" applyFont="1" applyFill="1" applyBorder="1" applyAlignment="1">
      <alignment horizontal="center" vertical="center"/>
    </xf>
    <xf numFmtId="2" fontId="20171" fillId="8" borderId="1" xfId="0" applyNumberFormat="1" applyFont="1" applyFill="1" applyBorder="1" applyAlignment="1">
      <alignment horizontal="center" vertical="center"/>
    </xf>
    <xf numFmtId="2" fontId="20172" fillId="8" borderId="1" xfId="0" applyNumberFormat="1" applyFont="1" applyFill="1" applyBorder="1" applyAlignment="1">
      <alignment horizontal="center" vertical="center"/>
    </xf>
    <xf numFmtId="2" fontId="20173" fillId="8" borderId="1" xfId="0" applyNumberFormat="1" applyFont="1" applyFill="1" applyBorder="1" applyAlignment="1">
      <alignment horizontal="center" vertical="center"/>
    </xf>
    <xf numFmtId="2" fontId="20174" fillId="8" borderId="1" xfId="0" applyNumberFormat="1" applyFont="1" applyFill="1" applyBorder="1" applyAlignment="1">
      <alignment horizontal="center" vertical="center"/>
    </xf>
    <xf numFmtId="2" fontId="20175" fillId="8" borderId="1" xfId="0" applyNumberFormat="1" applyFont="1" applyFill="1" applyBorder="1" applyAlignment="1">
      <alignment horizontal="center" vertical="center"/>
    </xf>
    <xf numFmtId="2" fontId="20176" fillId="8" borderId="1" xfId="0" applyNumberFormat="1" applyFont="1" applyFill="1" applyBorder="1" applyAlignment="1">
      <alignment horizontal="center" vertical="center"/>
    </xf>
    <xf numFmtId="2" fontId="20177" fillId="8" borderId="1" xfId="0" applyNumberFormat="1" applyFont="1" applyFill="1" applyBorder="1" applyAlignment="1">
      <alignment horizontal="center" vertical="center"/>
    </xf>
    <xf numFmtId="2" fontId="20178" fillId="8" borderId="1" xfId="0" applyNumberFormat="1" applyFont="1" applyFill="1" applyBorder="1" applyAlignment="1">
      <alignment horizontal="center" vertical="center"/>
    </xf>
    <xf numFmtId="2" fontId="20179" fillId="8" borderId="1" xfId="0" applyNumberFormat="1" applyFont="1" applyFill="1" applyBorder="1" applyAlignment="1">
      <alignment horizontal="center" vertical="center"/>
    </xf>
    <xf numFmtId="2" fontId="20180" fillId="8" borderId="1" xfId="0" applyNumberFormat="1" applyFont="1" applyFill="1" applyBorder="1" applyAlignment="1">
      <alignment horizontal="center" vertical="center"/>
    </xf>
    <xf numFmtId="2" fontId="20181" fillId="8" borderId="1" xfId="0" applyNumberFormat="1" applyFont="1" applyFill="1" applyBorder="1" applyAlignment="1">
      <alignment horizontal="center" vertical="center"/>
    </xf>
    <xf numFmtId="2" fontId="20182" fillId="8" borderId="1" xfId="0" applyNumberFormat="1" applyFont="1" applyFill="1" applyBorder="1" applyAlignment="1">
      <alignment horizontal="center" vertical="center"/>
    </xf>
    <xf numFmtId="2" fontId="20183" fillId="8" borderId="1" xfId="0" applyNumberFormat="1" applyFont="1" applyFill="1" applyBorder="1" applyAlignment="1">
      <alignment horizontal="center" vertical="center"/>
    </xf>
    <xf numFmtId="2" fontId="20184" fillId="8" borderId="1" xfId="0" applyNumberFormat="1" applyFont="1" applyFill="1" applyBorder="1" applyAlignment="1">
      <alignment horizontal="center" vertical="center"/>
    </xf>
    <xf numFmtId="2" fontId="20185" fillId="8" borderId="1" xfId="0" applyNumberFormat="1" applyFont="1" applyFill="1" applyBorder="1" applyAlignment="1">
      <alignment horizontal="center" vertical="center"/>
    </xf>
    <xf numFmtId="2" fontId="20186" fillId="8" borderId="1" xfId="0" applyNumberFormat="1" applyFont="1" applyFill="1" applyBorder="1" applyAlignment="1">
      <alignment horizontal="center" vertical="center"/>
    </xf>
    <xf numFmtId="2" fontId="20187" fillId="8" borderId="1" xfId="0" applyNumberFormat="1" applyFont="1" applyFill="1" applyBorder="1" applyAlignment="1">
      <alignment horizontal="center" vertical="center"/>
    </xf>
    <xf numFmtId="2" fontId="20188" fillId="8" borderId="1" xfId="0" applyNumberFormat="1" applyFont="1" applyFill="1" applyBorder="1" applyAlignment="1">
      <alignment horizontal="center" vertical="center"/>
    </xf>
    <xf numFmtId="2" fontId="20189" fillId="8" borderId="1" xfId="0" applyNumberFormat="1" applyFont="1" applyFill="1" applyBorder="1" applyAlignment="1">
      <alignment horizontal="center" vertical="center"/>
    </xf>
    <xf numFmtId="2" fontId="20190" fillId="8" borderId="1" xfId="0" applyNumberFormat="1" applyFont="1" applyFill="1" applyBorder="1" applyAlignment="1">
      <alignment horizontal="center" vertical="center"/>
    </xf>
    <xf numFmtId="2" fontId="20191" fillId="8" borderId="1" xfId="0" applyNumberFormat="1" applyFont="1" applyFill="1" applyBorder="1" applyAlignment="1">
      <alignment horizontal="center" vertical="center"/>
    </xf>
    <xf numFmtId="2" fontId="20192" fillId="8" borderId="1" xfId="0" applyNumberFormat="1" applyFont="1" applyFill="1" applyBorder="1" applyAlignment="1">
      <alignment horizontal="center" vertical="center"/>
    </xf>
    <xf numFmtId="2" fontId="20193" fillId="8" borderId="1" xfId="0" applyNumberFormat="1" applyFont="1" applyFill="1" applyBorder="1" applyAlignment="1">
      <alignment horizontal="center" vertical="center"/>
    </xf>
    <xf numFmtId="2" fontId="20194" fillId="8" borderId="1" xfId="0" applyNumberFormat="1" applyFont="1" applyFill="1" applyBorder="1" applyAlignment="1">
      <alignment horizontal="center" vertical="center"/>
    </xf>
    <xf numFmtId="2" fontId="20195" fillId="8" borderId="1" xfId="0" applyNumberFormat="1" applyFont="1" applyFill="1" applyBorder="1" applyAlignment="1">
      <alignment horizontal="center" vertical="center"/>
    </xf>
    <xf numFmtId="2" fontId="20196" fillId="8" borderId="1" xfId="0" applyNumberFormat="1" applyFont="1" applyFill="1" applyBorder="1" applyAlignment="1">
      <alignment horizontal="center" vertical="center"/>
    </xf>
    <xf numFmtId="2" fontId="20197" fillId="8" borderId="1" xfId="0" applyNumberFormat="1" applyFont="1" applyFill="1" applyBorder="1" applyAlignment="1">
      <alignment horizontal="center" vertical="center"/>
    </xf>
    <xf numFmtId="2" fontId="20198" fillId="8" borderId="1" xfId="0" applyNumberFormat="1" applyFont="1" applyFill="1" applyBorder="1" applyAlignment="1">
      <alignment horizontal="center" vertical="center"/>
    </xf>
    <xf numFmtId="2" fontId="20199" fillId="8" borderId="1" xfId="0" applyNumberFormat="1" applyFont="1" applyFill="1" applyBorder="1" applyAlignment="1">
      <alignment horizontal="center" vertical="center"/>
    </xf>
    <xf numFmtId="2" fontId="20200" fillId="8" borderId="1" xfId="0" applyNumberFormat="1" applyFont="1" applyFill="1" applyBorder="1" applyAlignment="1">
      <alignment horizontal="center" vertical="center"/>
    </xf>
    <xf numFmtId="2" fontId="20201" fillId="8" borderId="1" xfId="0" applyNumberFormat="1" applyFont="1" applyFill="1" applyBorder="1" applyAlignment="1">
      <alignment horizontal="center" vertical="center"/>
    </xf>
    <xf numFmtId="2" fontId="20202" fillId="8" borderId="1" xfId="0" applyNumberFormat="1" applyFont="1" applyFill="1" applyBorder="1" applyAlignment="1">
      <alignment horizontal="center" vertical="center"/>
    </xf>
    <xf numFmtId="0" fontId="20203" fillId="7" borderId="1" xfId="0" applyNumberFormat="1" applyFont="1" applyFill="1" applyBorder="1" applyAlignment="1">
      <alignment horizontal="left" vertical="center"/>
    </xf>
    <xf numFmtId="0" fontId="20204" fillId="8" borderId="1" xfId="0" applyNumberFormat="1" applyFont="1" applyFill="1" applyBorder="1" applyAlignment="1">
      <alignment horizontal="center" vertical="center"/>
    </xf>
    <xf numFmtId="164" fontId="20205" fillId="8" borderId="1" xfId="0" applyNumberFormat="1" applyFont="1" applyFill="1" applyBorder="1" applyAlignment="1">
      <alignment horizontal="center" vertical="center"/>
    </xf>
    <xf numFmtId="1" fontId="20206" fillId="8" borderId="1" xfId="0" applyNumberFormat="1" applyFont="1" applyFill="1" applyBorder="1" applyAlignment="1">
      <alignment horizontal="center" vertical="center"/>
    </xf>
    <xf numFmtId="1" fontId="20207" fillId="8" borderId="1" xfId="0" applyNumberFormat="1" applyFont="1" applyFill="1" applyBorder="1" applyAlignment="1">
      <alignment horizontal="center" vertical="center"/>
    </xf>
    <xf numFmtId="1" fontId="20208" fillId="8" borderId="1" xfId="0" applyNumberFormat="1" applyFont="1" applyFill="1" applyBorder="1" applyAlignment="1">
      <alignment horizontal="center" vertical="center"/>
    </xf>
    <xf numFmtId="1" fontId="20209" fillId="8" borderId="1" xfId="0" applyNumberFormat="1" applyFont="1" applyFill="1" applyBorder="1" applyAlignment="1">
      <alignment horizontal="center" vertical="center"/>
    </xf>
    <xf numFmtId="1" fontId="20210" fillId="8" borderId="1" xfId="0" applyNumberFormat="1" applyFont="1" applyFill="1" applyBorder="1" applyAlignment="1">
      <alignment horizontal="center" vertical="center"/>
    </xf>
    <xf numFmtId="1" fontId="20211" fillId="8" borderId="1" xfId="0" applyNumberFormat="1" applyFont="1" applyFill="1" applyBorder="1" applyAlignment="1">
      <alignment horizontal="center" vertical="center"/>
    </xf>
    <xf numFmtId="1" fontId="20212" fillId="8" borderId="1" xfId="0" applyNumberFormat="1" applyFont="1" applyFill="1" applyBorder="1" applyAlignment="1">
      <alignment horizontal="center" vertical="center"/>
    </xf>
    <xf numFmtId="0" fontId="20213" fillId="8" borderId="1" xfId="0" applyNumberFormat="1" applyFont="1" applyFill="1" applyBorder="1" applyAlignment="1">
      <alignment horizontal="center" vertical="center"/>
    </xf>
    <xf numFmtId="0" fontId="20214" fillId="8" borderId="1" xfId="0" applyNumberFormat="1" applyFont="1" applyFill="1" applyBorder="1" applyAlignment="1">
      <alignment horizontal="center" vertical="center"/>
    </xf>
    <xf numFmtId="1" fontId="20215" fillId="8" borderId="1" xfId="0" applyNumberFormat="1" applyFont="1" applyFill="1" applyBorder="1" applyAlignment="1">
      <alignment horizontal="center" vertical="center"/>
    </xf>
    <xf numFmtId="1" fontId="20216" fillId="8" borderId="1" xfId="0" applyNumberFormat="1" applyFont="1" applyFill="1" applyBorder="1" applyAlignment="1">
      <alignment horizontal="center" vertical="center"/>
    </xf>
    <xf numFmtId="1" fontId="20217" fillId="8" borderId="1" xfId="0" applyNumberFormat="1" applyFont="1" applyFill="1" applyBorder="1" applyAlignment="1">
      <alignment horizontal="center" vertical="center"/>
    </xf>
    <xf numFmtId="165" fontId="20218" fillId="8" borderId="1" xfId="0" applyNumberFormat="1" applyFont="1" applyFill="1" applyBorder="1" applyAlignment="1">
      <alignment horizontal="center" vertical="center"/>
    </xf>
    <xf numFmtId="1" fontId="20219" fillId="8" borderId="1" xfId="0" applyNumberFormat="1" applyFont="1" applyFill="1" applyBorder="1" applyAlignment="1">
      <alignment horizontal="center" vertical="center"/>
    </xf>
    <xf numFmtId="165" fontId="20220" fillId="8" borderId="1" xfId="0" applyNumberFormat="1" applyFont="1" applyFill="1" applyBorder="1" applyAlignment="1">
      <alignment horizontal="center" vertical="center"/>
    </xf>
    <xf numFmtId="1" fontId="20221" fillId="8" borderId="1" xfId="0" applyNumberFormat="1" applyFont="1" applyFill="1" applyBorder="1" applyAlignment="1">
      <alignment horizontal="center" vertical="center"/>
    </xf>
    <xf numFmtId="165" fontId="20222" fillId="8" borderId="1" xfId="0" applyNumberFormat="1" applyFont="1" applyFill="1" applyBorder="1" applyAlignment="1">
      <alignment horizontal="center" vertical="center"/>
    </xf>
    <xf numFmtId="1" fontId="20223" fillId="8" borderId="1" xfId="0" applyNumberFormat="1" applyFont="1" applyFill="1" applyBorder="1" applyAlignment="1">
      <alignment horizontal="center" vertical="center"/>
    </xf>
    <xf numFmtId="165" fontId="20224" fillId="8" borderId="1" xfId="0" applyNumberFormat="1" applyFont="1" applyFill="1" applyBorder="1" applyAlignment="1">
      <alignment horizontal="center" vertical="center"/>
    </xf>
    <xf numFmtId="165" fontId="20225" fillId="8" borderId="1" xfId="0" applyNumberFormat="1" applyFont="1" applyFill="1" applyBorder="1" applyAlignment="1">
      <alignment horizontal="center" vertical="center"/>
    </xf>
    <xf numFmtId="1" fontId="20226" fillId="8" borderId="1" xfId="0" applyNumberFormat="1" applyFont="1" applyFill="1" applyBorder="1" applyAlignment="1">
      <alignment horizontal="center" vertical="center"/>
    </xf>
    <xf numFmtId="1" fontId="20227" fillId="8" borderId="1" xfId="0" applyNumberFormat="1" applyFont="1" applyFill="1" applyBorder="1" applyAlignment="1">
      <alignment horizontal="center" vertical="center"/>
    </xf>
    <xf numFmtId="1" fontId="20228" fillId="8" borderId="1" xfId="0" applyNumberFormat="1" applyFont="1" applyFill="1" applyBorder="1" applyAlignment="1">
      <alignment horizontal="center" vertical="center"/>
    </xf>
    <xf numFmtId="165" fontId="20229" fillId="8" borderId="1" xfId="0" applyNumberFormat="1" applyFont="1" applyFill="1" applyBorder="1" applyAlignment="1">
      <alignment horizontal="center" vertical="center"/>
    </xf>
    <xf numFmtId="164" fontId="20230" fillId="8" borderId="1" xfId="0" applyNumberFormat="1" applyFont="1" applyFill="1" applyBorder="1" applyAlignment="1">
      <alignment horizontal="center" vertical="center"/>
    </xf>
    <xf numFmtId="164" fontId="20231" fillId="8" borderId="1" xfId="0" applyNumberFormat="1" applyFont="1" applyFill="1" applyBorder="1" applyAlignment="1">
      <alignment horizontal="center" vertical="center"/>
    </xf>
    <xf numFmtId="1" fontId="20232" fillId="8" borderId="1" xfId="0" applyNumberFormat="1" applyFont="1" applyFill="1" applyBorder="1" applyAlignment="1">
      <alignment horizontal="center" vertical="center"/>
    </xf>
    <xf numFmtId="1" fontId="20233" fillId="8" borderId="1" xfId="0" applyNumberFormat="1" applyFont="1" applyFill="1" applyBorder="1" applyAlignment="1">
      <alignment horizontal="center" vertical="center"/>
    </xf>
    <xf numFmtId="1" fontId="20234" fillId="8" borderId="1" xfId="0" applyNumberFormat="1" applyFont="1" applyFill="1" applyBorder="1" applyAlignment="1">
      <alignment horizontal="center" vertical="center"/>
    </xf>
    <xf numFmtId="165" fontId="20235" fillId="8" borderId="1" xfId="0" applyNumberFormat="1" applyFont="1" applyFill="1" applyBorder="1" applyAlignment="1">
      <alignment horizontal="center" vertical="center"/>
    </xf>
    <xf numFmtId="1" fontId="20236" fillId="8" borderId="1" xfId="0" applyNumberFormat="1" applyFont="1" applyFill="1" applyBorder="1" applyAlignment="1">
      <alignment horizontal="center" vertical="center"/>
    </xf>
    <xf numFmtId="165" fontId="20237" fillId="8" borderId="1" xfId="0" applyNumberFormat="1" applyFont="1" applyFill="1" applyBorder="1" applyAlignment="1">
      <alignment horizontal="center" vertical="center"/>
    </xf>
    <xf numFmtId="1" fontId="20238" fillId="8" borderId="1" xfId="0" applyNumberFormat="1" applyFont="1" applyFill="1" applyBorder="1" applyAlignment="1">
      <alignment horizontal="center" vertical="center"/>
    </xf>
    <xf numFmtId="1" fontId="20239" fillId="8" borderId="1" xfId="0" applyNumberFormat="1" applyFont="1" applyFill="1" applyBorder="1" applyAlignment="1">
      <alignment horizontal="center" vertical="center"/>
    </xf>
    <xf numFmtId="1" fontId="20240" fillId="8" borderId="1" xfId="0" applyNumberFormat="1" applyFont="1" applyFill="1" applyBorder="1" applyAlignment="1">
      <alignment horizontal="center" vertical="center"/>
    </xf>
    <xf numFmtId="1" fontId="20241" fillId="8" borderId="1" xfId="0" applyNumberFormat="1" applyFont="1" applyFill="1" applyBorder="1" applyAlignment="1">
      <alignment horizontal="center" vertical="center"/>
    </xf>
    <xf numFmtId="165" fontId="20242" fillId="8" borderId="1" xfId="0" applyNumberFormat="1" applyFont="1" applyFill="1" applyBorder="1" applyAlignment="1">
      <alignment horizontal="center" vertical="center"/>
    </xf>
    <xf numFmtId="1" fontId="20243" fillId="8" borderId="1" xfId="0" applyNumberFormat="1" applyFont="1" applyFill="1" applyBorder="1" applyAlignment="1">
      <alignment horizontal="center" vertical="center"/>
    </xf>
    <xf numFmtId="165" fontId="20244" fillId="8" borderId="1" xfId="0" applyNumberFormat="1" applyFont="1" applyFill="1" applyBorder="1" applyAlignment="1">
      <alignment horizontal="center" vertical="center"/>
    </xf>
    <xf numFmtId="1" fontId="20245" fillId="8" borderId="1" xfId="0" applyNumberFormat="1" applyFont="1" applyFill="1" applyBorder="1" applyAlignment="1">
      <alignment horizontal="center" vertical="center"/>
    </xf>
    <xf numFmtId="165" fontId="20246" fillId="8" borderId="1" xfId="0" applyNumberFormat="1" applyFont="1" applyFill="1" applyBorder="1" applyAlignment="1">
      <alignment horizontal="center" vertical="center"/>
    </xf>
    <xf numFmtId="2" fontId="20247" fillId="8" borderId="1" xfId="0" applyNumberFormat="1" applyFont="1" applyFill="1" applyBorder="1" applyAlignment="1">
      <alignment horizontal="center" vertical="center"/>
    </xf>
    <xf numFmtId="2" fontId="20248" fillId="8" borderId="1" xfId="0" applyNumberFormat="1" applyFont="1" applyFill="1" applyBorder="1" applyAlignment="1">
      <alignment horizontal="center" vertical="center"/>
    </xf>
    <xf numFmtId="2" fontId="20249" fillId="8" borderId="1" xfId="0" applyNumberFormat="1" applyFont="1" applyFill="1" applyBorder="1" applyAlignment="1">
      <alignment horizontal="center" vertical="center"/>
    </xf>
    <xf numFmtId="2" fontId="20250" fillId="8" borderId="1" xfId="0" applyNumberFormat="1" applyFont="1" applyFill="1" applyBorder="1" applyAlignment="1">
      <alignment horizontal="center" vertical="center"/>
    </xf>
    <xf numFmtId="2" fontId="20251" fillId="8" borderId="1" xfId="0" applyNumberFormat="1" applyFont="1" applyFill="1" applyBorder="1" applyAlignment="1">
      <alignment horizontal="center" vertical="center"/>
    </xf>
    <xf numFmtId="2" fontId="20252" fillId="8" borderId="1" xfId="0" applyNumberFormat="1" applyFont="1" applyFill="1" applyBorder="1" applyAlignment="1">
      <alignment horizontal="center" vertical="center"/>
    </xf>
    <xf numFmtId="2" fontId="20253" fillId="8" borderId="1" xfId="0" applyNumberFormat="1" applyFont="1" applyFill="1" applyBorder="1" applyAlignment="1">
      <alignment horizontal="center" vertical="center"/>
    </xf>
    <xf numFmtId="2" fontId="20254" fillId="8" borderId="1" xfId="0" applyNumberFormat="1" applyFont="1" applyFill="1" applyBorder="1" applyAlignment="1">
      <alignment horizontal="center" vertical="center"/>
    </xf>
    <xf numFmtId="2" fontId="20255" fillId="8" borderId="1" xfId="0" applyNumberFormat="1" applyFont="1" applyFill="1" applyBorder="1" applyAlignment="1">
      <alignment horizontal="center" vertical="center"/>
    </xf>
    <xf numFmtId="2" fontId="20256" fillId="8" borderId="1" xfId="0" applyNumberFormat="1" applyFont="1" applyFill="1" applyBorder="1" applyAlignment="1">
      <alignment horizontal="center" vertical="center"/>
    </xf>
    <xf numFmtId="2" fontId="20257" fillId="8" borderId="1" xfId="0" applyNumberFormat="1" applyFont="1" applyFill="1" applyBorder="1" applyAlignment="1">
      <alignment horizontal="center" vertical="center"/>
    </xf>
    <xf numFmtId="2" fontId="20258" fillId="8" borderId="1" xfId="0" applyNumberFormat="1" applyFont="1" applyFill="1" applyBorder="1" applyAlignment="1">
      <alignment horizontal="center" vertical="center"/>
    </xf>
    <xf numFmtId="2" fontId="20259" fillId="8" borderId="1" xfId="0" applyNumberFormat="1" applyFont="1" applyFill="1" applyBorder="1" applyAlignment="1">
      <alignment horizontal="center" vertical="center"/>
    </xf>
    <xf numFmtId="2" fontId="20260" fillId="8" borderId="1" xfId="0" applyNumberFormat="1" applyFont="1" applyFill="1" applyBorder="1" applyAlignment="1">
      <alignment horizontal="center" vertical="center"/>
    </xf>
    <xf numFmtId="2" fontId="20261" fillId="8" borderId="1" xfId="0" applyNumberFormat="1" applyFont="1" applyFill="1" applyBorder="1" applyAlignment="1">
      <alignment horizontal="center" vertical="center"/>
    </xf>
    <xf numFmtId="2" fontId="20262" fillId="8" borderId="1" xfId="0" applyNumberFormat="1" applyFont="1" applyFill="1" applyBorder="1" applyAlignment="1">
      <alignment horizontal="center" vertical="center"/>
    </xf>
    <xf numFmtId="2" fontId="20263" fillId="8" borderId="1" xfId="0" applyNumberFormat="1" applyFont="1" applyFill="1" applyBorder="1" applyAlignment="1">
      <alignment horizontal="center" vertical="center"/>
    </xf>
    <xf numFmtId="2" fontId="20264" fillId="8" borderId="1" xfId="0" applyNumberFormat="1" applyFont="1" applyFill="1" applyBorder="1" applyAlignment="1">
      <alignment horizontal="center" vertical="center"/>
    </xf>
    <xf numFmtId="2" fontId="20265" fillId="8" borderId="1" xfId="0" applyNumberFormat="1" applyFont="1" applyFill="1" applyBorder="1" applyAlignment="1">
      <alignment horizontal="center" vertical="center"/>
    </xf>
    <xf numFmtId="2" fontId="20266" fillId="8" borderId="1" xfId="0" applyNumberFormat="1" applyFont="1" applyFill="1" applyBorder="1" applyAlignment="1">
      <alignment horizontal="center" vertical="center"/>
    </xf>
    <xf numFmtId="2" fontId="20267" fillId="8" borderId="1" xfId="0" applyNumberFormat="1" applyFont="1" applyFill="1" applyBorder="1" applyAlignment="1">
      <alignment horizontal="center" vertical="center"/>
    </xf>
    <xf numFmtId="2" fontId="20268" fillId="8" borderId="1" xfId="0" applyNumberFormat="1" applyFont="1" applyFill="1" applyBorder="1" applyAlignment="1">
      <alignment horizontal="center" vertical="center"/>
    </xf>
    <xf numFmtId="2" fontId="20269" fillId="8" borderId="1" xfId="0" applyNumberFormat="1" applyFont="1" applyFill="1" applyBorder="1" applyAlignment="1">
      <alignment horizontal="center" vertical="center"/>
    </xf>
    <xf numFmtId="2" fontId="20270" fillId="8" borderId="1" xfId="0" applyNumberFormat="1" applyFont="1" applyFill="1" applyBorder="1" applyAlignment="1">
      <alignment horizontal="center" vertical="center"/>
    </xf>
    <xf numFmtId="2" fontId="20271" fillId="8" borderId="1" xfId="0" applyNumberFormat="1" applyFont="1" applyFill="1" applyBorder="1" applyAlignment="1">
      <alignment horizontal="center" vertical="center"/>
    </xf>
    <xf numFmtId="2" fontId="20272" fillId="8" borderId="1" xfId="0" applyNumberFormat="1" applyFont="1" applyFill="1" applyBorder="1" applyAlignment="1">
      <alignment horizontal="center" vertical="center"/>
    </xf>
    <xf numFmtId="2" fontId="20273" fillId="8" borderId="1" xfId="0" applyNumberFormat="1" applyFont="1" applyFill="1" applyBorder="1" applyAlignment="1">
      <alignment horizontal="center" vertical="center"/>
    </xf>
    <xf numFmtId="2" fontId="20274" fillId="8" borderId="1" xfId="0" applyNumberFormat="1" applyFont="1" applyFill="1" applyBorder="1" applyAlignment="1">
      <alignment horizontal="center" vertical="center"/>
    </xf>
    <xf numFmtId="2" fontId="20275" fillId="8" borderId="1" xfId="0" applyNumberFormat="1" applyFont="1" applyFill="1" applyBorder="1" applyAlignment="1">
      <alignment horizontal="center" vertical="center"/>
    </xf>
    <xf numFmtId="2" fontId="20276" fillId="8" borderId="1" xfId="0" applyNumberFormat="1" applyFont="1" applyFill="1" applyBorder="1" applyAlignment="1">
      <alignment horizontal="center" vertical="center"/>
    </xf>
    <xf numFmtId="2" fontId="20277" fillId="8" borderId="1" xfId="0" applyNumberFormat="1" applyFont="1" applyFill="1" applyBorder="1" applyAlignment="1">
      <alignment horizontal="center" vertical="center"/>
    </xf>
    <xf numFmtId="2" fontId="20278" fillId="8" borderId="1" xfId="0" applyNumberFormat="1" applyFont="1" applyFill="1" applyBorder="1" applyAlignment="1">
      <alignment horizontal="center" vertical="center"/>
    </xf>
    <xf numFmtId="2" fontId="20279" fillId="8" borderId="1" xfId="0" applyNumberFormat="1" applyFont="1" applyFill="1" applyBorder="1" applyAlignment="1">
      <alignment horizontal="center" vertical="center"/>
    </xf>
    <xf numFmtId="2" fontId="20280" fillId="8" borderId="1" xfId="0" applyNumberFormat="1" applyFont="1" applyFill="1" applyBorder="1" applyAlignment="1">
      <alignment horizontal="center" vertical="center"/>
    </xf>
    <xf numFmtId="0" fontId="20281" fillId="7" borderId="1" xfId="0" applyNumberFormat="1" applyFont="1" applyFill="1" applyBorder="1" applyAlignment="1">
      <alignment horizontal="left" vertical="center"/>
    </xf>
    <xf numFmtId="0" fontId="20282" fillId="8" borderId="1" xfId="0" applyNumberFormat="1" applyFont="1" applyFill="1" applyBorder="1" applyAlignment="1">
      <alignment horizontal="center" vertical="center"/>
    </xf>
    <xf numFmtId="164" fontId="20283" fillId="8" borderId="1" xfId="0" applyNumberFormat="1" applyFont="1" applyFill="1" applyBorder="1" applyAlignment="1">
      <alignment horizontal="center" vertical="center"/>
    </xf>
    <xf numFmtId="1" fontId="20284" fillId="8" borderId="1" xfId="0" applyNumberFormat="1" applyFont="1" applyFill="1" applyBorder="1" applyAlignment="1">
      <alignment horizontal="center" vertical="center"/>
    </xf>
    <xf numFmtId="1" fontId="20285" fillId="8" borderId="1" xfId="0" applyNumberFormat="1" applyFont="1" applyFill="1" applyBorder="1" applyAlignment="1">
      <alignment horizontal="center" vertical="center"/>
    </xf>
    <xf numFmtId="1" fontId="20286" fillId="8" borderId="1" xfId="0" applyNumberFormat="1" applyFont="1" applyFill="1" applyBorder="1" applyAlignment="1">
      <alignment horizontal="center" vertical="center"/>
    </xf>
    <xf numFmtId="1" fontId="20287" fillId="8" borderId="1" xfId="0" applyNumberFormat="1" applyFont="1" applyFill="1" applyBorder="1" applyAlignment="1">
      <alignment horizontal="center" vertical="center"/>
    </xf>
    <xf numFmtId="1" fontId="20288" fillId="8" borderId="1" xfId="0" applyNumberFormat="1" applyFont="1" applyFill="1" applyBorder="1" applyAlignment="1">
      <alignment horizontal="center" vertical="center"/>
    </xf>
    <xf numFmtId="1" fontId="20289" fillId="8" borderId="1" xfId="0" applyNumberFormat="1" applyFont="1" applyFill="1" applyBorder="1" applyAlignment="1">
      <alignment horizontal="center" vertical="center"/>
    </xf>
    <xf numFmtId="1" fontId="20290" fillId="8" borderId="1" xfId="0" applyNumberFormat="1" applyFont="1" applyFill="1" applyBorder="1" applyAlignment="1">
      <alignment horizontal="center" vertical="center"/>
    </xf>
    <xf numFmtId="0" fontId="20291" fillId="8" borderId="1" xfId="0" applyNumberFormat="1" applyFont="1" applyFill="1" applyBorder="1" applyAlignment="1">
      <alignment horizontal="center" vertical="center"/>
    </xf>
    <xf numFmtId="0" fontId="20292" fillId="8" borderId="1" xfId="0" applyNumberFormat="1" applyFont="1" applyFill="1" applyBorder="1" applyAlignment="1">
      <alignment horizontal="center" vertical="center"/>
    </xf>
    <xf numFmtId="1" fontId="20293" fillId="8" borderId="1" xfId="0" applyNumberFormat="1" applyFont="1" applyFill="1" applyBorder="1" applyAlignment="1">
      <alignment horizontal="center" vertical="center"/>
    </xf>
    <xf numFmtId="1" fontId="20294" fillId="8" borderId="1" xfId="0" applyNumberFormat="1" applyFont="1" applyFill="1" applyBorder="1" applyAlignment="1">
      <alignment horizontal="center" vertical="center"/>
    </xf>
    <xf numFmtId="1" fontId="20295" fillId="8" borderId="1" xfId="0" applyNumberFormat="1" applyFont="1" applyFill="1" applyBorder="1" applyAlignment="1">
      <alignment horizontal="center" vertical="center"/>
    </xf>
    <xf numFmtId="165" fontId="20296" fillId="8" borderId="1" xfId="0" applyNumberFormat="1" applyFont="1" applyFill="1" applyBorder="1" applyAlignment="1">
      <alignment horizontal="center" vertical="center"/>
    </xf>
    <xf numFmtId="1" fontId="20297" fillId="8" borderId="1" xfId="0" applyNumberFormat="1" applyFont="1" applyFill="1" applyBorder="1" applyAlignment="1">
      <alignment horizontal="center" vertical="center"/>
    </xf>
    <xf numFmtId="165" fontId="20298" fillId="8" borderId="1" xfId="0" applyNumberFormat="1" applyFont="1" applyFill="1" applyBorder="1" applyAlignment="1">
      <alignment horizontal="center" vertical="center"/>
    </xf>
    <xf numFmtId="1" fontId="20299" fillId="8" borderId="1" xfId="0" applyNumberFormat="1" applyFont="1" applyFill="1" applyBorder="1" applyAlignment="1">
      <alignment horizontal="center" vertical="center"/>
    </xf>
    <xf numFmtId="165" fontId="20300" fillId="8" borderId="1" xfId="0" applyNumberFormat="1" applyFont="1" applyFill="1" applyBorder="1" applyAlignment="1">
      <alignment horizontal="center" vertical="center"/>
    </xf>
    <xf numFmtId="1" fontId="20301" fillId="8" borderId="1" xfId="0" applyNumberFormat="1" applyFont="1" applyFill="1" applyBorder="1" applyAlignment="1">
      <alignment horizontal="center" vertical="center"/>
    </xf>
    <xf numFmtId="165" fontId="20302" fillId="8" borderId="1" xfId="0" applyNumberFormat="1" applyFont="1" applyFill="1" applyBorder="1" applyAlignment="1">
      <alignment horizontal="center" vertical="center"/>
    </xf>
    <xf numFmtId="165" fontId="20303" fillId="8" borderId="1" xfId="0" applyNumberFormat="1" applyFont="1" applyFill="1" applyBorder="1" applyAlignment="1">
      <alignment horizontal="center" vertical="center"/>
    </xf>
    <xf numFmtId="1" fontId="20304" fillId="8" borderId="1" xfId="0" applyNumberFormat="1" applyFont="1" applyFill="1" applyBorder="1" applyAlignment="1">
      <alignment horizontal="center" vertical="center"/>
    </xf>
    <xf numFmtId="1" fontId="20305" fillId="8" borderId="1" xfId="0" applyNumberFormat="1" applyFont="1" applyFill="1" applyBorder="1" applyAlignment="1">
      <alignment horizontal="center" vertical="center"/>
    </xf>
    <xf numFmtId="1" fontId="20306" fillId="8" borderId="1" xfId="0" applyNumberFormat="1" applyFont="1" applyFill="1" applyBorder="1" applyAlignment="1">
      <alignment horizontal="center" vertical="center"/>
    </xf>
    <xf numFmtId="165" fontId="20307" fillId="8" borderId="1" xfId="0" applyNumberFormat="1" applyFont="1" applyFill="1" applyBorder="1" applyAlignment="1">
      <alignment horizontal="center" vertical="center"/>
    </xf>
    <xf numFmtId="164" fontId="20308" fillId="8" borderId="1" xfId="0" applyNumberFormat="1" applyFont="1" applyFill="1" applyBorder="1" applyAlignment="1">
      <alignment horizontal="center" vertical="center"/>
    </xf>
    <xf numFmtId="164" fontId="20309" fillId="8" borderId="1" xfId="0" applyNumberFormat="1" applyFont="1" applyFill="1" applyBorder="1" applyAlignment="1">
      <alignment horizontal="center" vertical="center"/>
    </xf>
    <xf numFmtId="1" fontId="20310" fillId="8" borderId="1" xfId="0" applyNumberFormat="1" applyFont="1" applyFill="1" applyBorder="1" applyAlignment="1">
      <alignment horizontal="center" vertical="center"/>
    </xf>
    <xf numFmtId="1" fontId="20311" fillId="8" borderId="1" xfId="0" applyNumberFormat="1" applyFont="1" applyFill="1" applyBorder="1" applyAlignment="1">
      <alignment horizontal="center" vertical="center"/>
    </xf>
    <xf numFmtId="1" fontId="20312" fillId="8" borderId="1" xfId="0" applyNumberFormat="1" applyFont="1" applyFill="1" applyBorder="1" applyAlignment="1">
      <alignment horizontal="center" vertical="center"/>
    </xf>
    <xf numFmtId="165" fontId="20313" fillId="8" borderId="1" xfId="0" applyNumberFormat="1" applyFont="1" applyFill="1" applyBorder="1" applyAlignment="1">
      <alignment horizontal="center" vertical="center"/>
    </xf>
    <xf numFmtId="1" fontId="20314" fillId="8" borderId="1" xfId="0" applyNumberFormat="1" applyFont="1" applyFill="1" applyBorder="1" applyAlignment="1">
      <alignment horizontal="center" vertical="center"/>
    </xf>
    <xf numFmtId="165" fontId="20315" fillId="8" borderId="1" xfId="0" applyNumberFormat="1" applyFont="1" applyFill="1" applyBorder="1" applyAlignment="1">
      <alignment horizontal="center" vertical="center"/>
    </xf>
    <xf numFmtId="1" fontId="20316" fillId="8" borderId="1" xfId="0" applyNumberFormat="1" applyFont="1" applyFill="1" applyBorder="1" applyAlignment="1">
      <alignment horizontal="center" vertical="center"/>
    </xf>
    <xf numFmtId="1" fontId="20317" fillId="8" borderId="1" xfId="0" applyNumberFormat="1" applyFont="1" applyFill="1" applyBorder="1" applyAlignment="1">
      <alignment horizontal="center" vertical="center"/>
    </xf>
    <xf numFmtId="1" fontId="20318" fillId="8" borderId="1" xfId="0" applyNumberFormat="1" applyFont="1" applyFill="1" applyBorder="1" applyAlignment="1">
      <alignment horizontal="center" vertical="center"/>
    </xf>
    <xf numFmtId="1" fontId="20319" fillId="8" borderId="1" xfId="0" applyNumberFormat="1" applyFont="1" applyFill="1" applyBorder="1" applyAlignment="1">
      <alignment horizontal="center" vertical="center"/>
    </xf>
    <xf numFmtId="165" fontId="20320" fillId="8" borderId="1" xfId="0" applyNumberFormat="1" applyFont="1" applyFill="1" applyBorder="1" applyAlignment="1">
      <alignment horizontal="center" vertical="center"/>
    </xf>
    <xf numFmtId="1" fontId="20321" fillId="8" borderId="1" xfId="0" applyNumberFormat="1" applyFont="1" applyFill="1" applyBorder="1" applyAlignment="1">
      <alignment horizontal="center" vertical="center"/>
    </xf>
    <xf numFmtId="165" fontId="20322" fillId="8" borderId="1" xfId="0" applyNumberFormat="1" applyFont="1" applyFill="1" applyBorder="1" applyAlignment="1">
      <alignment horizontal="center" vertical="center"/>
    </xf>
    <xf numFmtId="1" fontId="20323" fillId="8" borderId="1" xfId="0" applyNumberFormat="1" applyFont="1" applyFill="1" applyBorder="1" applyAlignment="1">
      <alignment horizontal="center" vertical="center"/>
    </xf>
    <xf numFmtId="165" fontId="20324" fillId="8" borderId="1" xfId="0" applyNumberFormat="1" applyFont="1" applyFill="1" applyBorder="1" applyAlignment="1">
      <alignment horizontal="center" vertical="center"/>
    </xf>
    <xf numFmtId="2" fontId="20325" fillId="8" borderId="1" xfId="0" applyNumberFormat="1" applyFont="1" applyFill="1" applyBorder="1" applyAlignment="1">
      <alignment horizontal="center" vertical="center"/>
    </xf>
    <xf numFmtId="2" fontId="20326" fillId="8" borderId="1" xfId="0" applyNumberFormat="1" applyFont="1" applyFill="1" applyBorder="1" applyAlignment="1">
      <alignment horizontal="center" vertical="center"/>
    </xf>
    <xf numFmtId="2" fontId="20327" fillId="8" borderId="1" xfId="0" applyNumberFormat="1" applyFont="1" applyFill="1" applyBorder="1" applyAlignment="1">
      <alignment horizontal="center" vertical="center"/>
    </xf>
    <xf numFmtId="2" fontId="20328" fillId="8" borderId="1" xfId="0" applyNumberFormat="1" applyFont="1" applyFill="1" applyBorder="1" applyAlignment="1">
      <alignment horizontal="center" vertical="center"/>
    </xf>
    <xf numFmtId="2" fontId="20329" fillId="8" borderId="1" xfId="0" applyNumberFormat="1" applyFont="1" applyFill="1" applyBorder="1" applyAlignment="1">
      <alignment horizontal="center" vertical="center"/>
    </xf>
    <xf numFmtId="2" fontId="20330" fillId="8" borderId="1" xfId="0" applyNumberFormat="1" applyFont="1" applyFill="1" applyBorder="1" applyAlignment="1">
      <alignment horizontal="center" vertical="center"/>
    </xf>
    <xf numFmtId="2" fontId="20331" fillId="8" borderId="1" xfId="0" applyNumberFormat="1" applyFont="1" applyFill="1" applyBorder="1" applyAlignment="1">
      <alignment horizontal="center" vertical="center"/>
    </xf>
    <xf numFmtId="2" fontId="20332" fillId="8" borderId="1" xfId="0" applyNumberFormat="1" applyFont="1" applyFill="1" applyBorder="1" applyAlignment="1">
      <alignment horizontal="center" vertical="center"/>
    </xf>
    <xf numFmtId="2" fontId="20333" fillId="8" borderId="1" xfId="0" applyNumberFormat="1" applyFont="1" applyFill="1" applyBorder="1" applyAlignment="1">
      <alignment horizontal="center" vertical="center"/>
    </xf>
    <xf numFmtId="2" fontId="20334" fillId="8" borderId="1" xfId="0" applyNumberFormat="1" applyFont="1" applyFill="1" applyBorder="1" applyAlignment="1">
      <alignment horizontal="center" vertical="center"/>
    </xf>
    <xf numFmtId="2" fontId="20335" fillId="8" borderId="1" xfId="0" applyNumberFormat="1" applyFont="1" applyFill="1" applyBorder="1" applyAlignment="1">
      <alignment horizontal="center" vertical="center"/>
    </xf>
    <xf numFmtId="2" fontId="20336" fillId="8" borderId="1" xfId="0" applyNumberFormat="1" applyFont="1" applyFill="1" applyBorder="1" applyAlignment="1">
      <alignment horizontal="center" vertical="center"/>
    </xf>
    <xf numFmtId="2" fontId="20337" fillId="8" borderId="1" xfId="0" applyNumberFormat="1" applyFont="1" applyFill="1" applyBorder="1" applyAlignment="1">
      <alignment horizontal="center" vertical="center"/>
    </xf>
    <xf numFmtId="2" fontId="20338" fillId="8" borderId="1" xfId="0" applyNumberFormat="1" applyFont="1" applyFill="1" applyBorder="1" applyAlignment="1">
      <alignment horizontal="center" vertical="center"/>
    </xf>
    <xf numFmtId="2" fontId="20339" fillId="8" borderId="1" xfId="0" applyNumberFormat="1" applyFont="1" applyFill="1" applyBorder="1" applyAlignment="1">
      <alignment horizontal="center" vertical="center"/>
    </xf>
    <xf numFmtId="2" fontId="20340" fillId="8" borderId="1" xfId="0" applyNumberFormat="1" applyFont="1" applyFill="1" applyBorder="1" applyAlignment="1">
      <alignment horizontal="center" vertical="center"/>
    </xf>
    <xf numFmtId="2" fontId="20341" fillId="8" borderId="1" xfId="0" applyNumberFormat="1" applyFont="1" applyFill="1" applyBorder="1" applyAlignment="1">
      <alignment horizontal="center" vertical="center"/>
    </xf>
    <xf numFmtId="2" fontId="20342" fillId="8" borderId="1" xfId="0" applyNumberFormat="1" applyFont="1" applyFill="1" applyBorder="1" applyAlignment="1">
      <alignment horizontal="center" vertical="center"/>
    </xf>
    <xf numFmtId="2" fontId="20343" fillId="8" borderId="1" xfId="0" applyNumberFormat="1" applyFont="1" applyFill="1" applyBorder="1" applyAlignment="1">
      <alignment horizontal="center" vertical="center"/>
    </xf>
    <xf numFmtId="2" fontId="20344" fillId="8" borderId="1" xfId="0" applyNumberFormat="1" applyFont="1" applyFill="1" applyBorder="1" applyAlignment="1">
      <alignment horizontal="center" vertical="center"/>
    </xf>
    <xf numFmtId="2" fontId="20345" fillId="8" borderId="1" xfId="0" applyNumberFormat="1" applyFont="1" applyFill="1" applyBorder="1" applyAlignment="1">
      <alignment horizontal="center" vertical="center"/>
    </xf>
    <xf numFmtId="2" fontId="20346" fillId="8" borderId="1" xfId="0" applyNumberFormat="1" applyFont="1" applyFill="1" applyBorder="1" applyAlignment="1">
      <alignment horizontal="center" vertical="center"/>
    </xf>
    <xf numFmtId="2" fontId="20347" fillId="8" borderId="1" xfId="0" applyNumberFormat="1" applyFont="1" applyFill="1" applyBorder="1" applyAlignment="1">
      <alignment horizontal="center" vertical="center"/>
    </xf>
    <xf numFmtId="2" fontId="20348" fillId="8" borderId="1" xfId="0" applyNumberFormat="1" applyFont="1" applyFill="1" applyBorder="1" applyAlignment="1">
      <alignment horizontal="center" vertical="center"/>
    </xf>
    <xf numFmtId="2" fontId="20349" fillId="8" borderId="1" xfId="0" applyNumberFormat="1" applyFont="1" applyFill="1" applyBorder="1" applyAlignment="1">
      <alignment horizontal="center" vertical="center"/>
    </xf>
    <xf numFmtId="2" fontId="20350" fillId="8" borderId="1" xfId="0" applyNumberFormat="1" applyFont="1" applyFill="1" applyBorder="1" applyAlignment="1">
      <alignment horizontal="center" vertical="center"/>
    </xf>
    <xf numFmtId="2" fontId="20351" fillId="8" borderId="1" xfId="0" applyNumberFormat="1" applyFont="1" applyFill="1" applyBorder="1" applyAlignment="1">
      <alignment horizontal="center" vertical="center"/>
    </xf>
    <xf numFmtId="2" fontId="20352" fillId="8" borderId="1" xfId="0" applyNumberFormat="1" applyFont="1" applyFill="1" applyBorder="1" applyAlignment="1">
      <alignment horizontal="center" vertical="center"/>
    </xf>
    <xf numFmtId="2" fontId="20353" fillId="8" borderId="1" xfId="0" applyNumberFormat="1" applyFont="1" applyFill="1" applyBorder="1" applyAlignment="1">
      <alignment horizontal="center" vertical="center"/>
    </xf>
    <xf numFmtId="2" fontId="20354" fillId="8" borderId="1" xfId="0" applyNumberFormat="1" applyFont="1" applyFill="1" applyBorder="1" applyAlignment="1">
      <alignment horizontal="center" vertical="center"/>
    </xf>
    <xf numFmtId="2" fontId="20355" fillId="8" borderId="1" xfId="0" applyNumberFormat="1" applyFont="1" applyFill="1" applyBorder="1" applyAlignment="1">
      <alignment horizontal="center" vertical="center"/>
    </xf>
    <xf numFmtId="2" fontId="20356" fillId="8" borderId="1" xfId="0" applyNumberFormat="1" applyFont="1" applyFill="1" applyBorder="1" applyAlignment="1">
      <alignment horizontal="center" vertical="center"/>
    </xf>
    <xf numFmtId="2" fontId="20357" fillId="8" borderId="1" xfId="0" applyNumberFormat="1" applyFont="1" applyFill="1" applyBorder="1" applyAlignment="1">
      <alignment horizontal="center" vertical="center"/>
    </xf>
    <xf numFmtId="2" fontId="20358" fillId="8" borderId="1" xfId="0" applyNumberFormat="1" applyFont="1" applyFill="1" applyBorder="1" applyAlignment="1">
      <alignment horizontal="center" vertical="center"/>
    </xf>
    <xf numFmtId="0" fontId="20359" fillId="7" borderId="1" xfId="0" applyNumberFormat="1" applyFont="1" applyFill="1" applyBorder="1" applyAlignment="1">
      <alignment horizontal="left" vertical="center"/>
    </xf>
    <xf numFmtId="0" fontId="20360" fillId="8" borderId="1" xfId="0" applyNumberFormat="1" applyFont="1" applyFill="1" applyBorder="1" applyAlignment="1">
      <alignment horizontal="center" vertical="center"/>
    </xf>
    <xf numFmtId="164" fontId="20361" fillId="8" borderId="1" xfId="0" applyNumberFormat="1" applyFont="1" applyFill="1" applyBorder="1" applyAlignment="1">
      <alignment horizontal="center" vertical="center"/>
    </xf>
    <xf numFmtId="1" fontId="20362" fillId="8" borderId="1" xfId="0" applyNumberFormat="1" applyFont="1" applyFill="1" applyBorder="1" applyAlignment="1">
      <alignment horizontal="center" vertical="center"/>
    </xf>
    <xf numFmtId="1" fontId="20363" fillId="8" borderId="1" xfId="0" applyNumberFormat="1" applyFont="1" applyFill="1" applyBorder="1" applyAlignment="1">
      <alignment horizontal="center" vertical="center"/>
    </xf>
    <xf numFmtId="1" fontId="20364" fillId="8" borderId="1" xfId="0" applyNumberFormat="1" applyFont="1" applyFill="1" applyBorder="1" applyAlignment="1">
      <alignment horizontal="center" vertical="center"/>
    </xf>
    <xf numFmtId="1" fontId="20365" fillId="8" borderId="1" xfId="0" applyNumberFormat="1" applyFont="1" applyFill="1" applyBorder="1" applyAlignment="1">
      <alignment horizontal="center" vertical="center"/>
    </xf>
    <xf numFmtId="1" fontId="20366" fillId="8" borderId="1" xfId="0" applyNumberFormat="1" applyFont="1" applyFill="1" applyBorder="1" applyAlignment="1">
      <alignment horizontal="center" vertical="center"/>
    </xf>
    <xf numFmtId="1" fontId="20367" fillId="8" borderId="1" xfId="0" applyNumberFormat="1" applyFont="1" applyFill="1" applyBorder="1" applyAlignment="1">
      <alignment horizontal="center" vertical="center"/>
    </xf>
    <xf numFmtId="1" fontId="20368" fillId="8" borderId="1" xfId="0" applyNumberFormat="1" applyFont="1" applyFill="1" applyBorder="1" applyAlignment="1">
      <alignment horizontal="center" vertical="center"/>
    </xf>
    <xf numFmtId="0" fontId="20369" fillId="8" borderId="1" xfId="0" applyNumberFormat="1" applyFont="1" applyFill="1" applyBorder="1" applyAlignment="1">
      <alignment horizontal="center" vertical="center"/>
    </xf>
    <xf numFmtId="0" fontId="20370" fillId="8" borderId="1" xfId="0" applyNumberFormat="1" applyFont="1" applyFill="1" applyBorder="1" applyAlignment="1">
      <alignment horizontal="center" vertical="center"/>
    </xf>
    <xf numFmtId="1" fontId="20371" fillId="8" borderId="1" xfId="0" applyNumberFormat="1" applyFont="1" applyFill="1" applyBorder="1" applyAlignment="1">
      <alignment horizontal="center" vertical="center"/>
    </xf>
    <xf numFmtId="1" fontId="20372" fillId="8" borderId="1" xfId="0" applyNumberFormat="1" applyFont="1" applyFill="1" applyBorder="1" applyAlignment="1">
      <alignment horizontal="center" vertical="center"/>
    </xf>
    <xf numFmtId="1" fontId="20373" fillId="8" borderId="1" xfId="0" applyNumberFormat="1" applyFont="1" applyFill="1" applyBorder="1" applyAlignment="1">
      <alignment horizontal="center" vertical="center"/>
    </xf>
    <xf numFmtId="165" fontId="20374" fillId="8" borderId="1" xfId="0" applyNumberFormat="1" applyFont="1" applyFill="1" applyBorder="1" applyAlignment="1">
      <alignment horizontal="center" vertical="center"/>
    </xf>
    <xf numFmtId="1" fontId="20375" fillId="8" borderId="1" xfId="0" applyNumberFormat="1" applyFont="1" applyFill="1" applyBorder="1" applyAlignment="1">
      <alignment horizontal="center" vertical="center"/>
    </xf>
    <xf numFmtId="165" fontId="20376" fillId="8" borderId="1" xfId="0" applyNumberFormat="1" applyFont="1" applyFill="1" applyBorder="1" applyAlignment="1">
      <alignment horizontal="center" vertical="center"/>
    </xf>
    <xf numFmtId="1" fontId="20377" fillId="8" borderId="1" xfId="0" applyNumberFormat="1" applyFont="1" applyFill="1" applyBorder="1" applyAlignment="1">
      <alignment horizontal="center" vertical="center"/>
    </xf>
    <xf numFmtId="165" fontId="20378" fillId="8" borderId="1" xfId="0" applyNumberFormat="1" applyFont="1" applyFill="1" applyBorder="1" applyAlignment="1">
      <alignment horizontal="center" vertical="center"/>
    </xf>
    <xf numFmtId="1" fontId="20379" fillId="8" borderId="1" xfId="0" applyNumberFormat="1" applyFont="1" applyFill="1" applyBorder="1" applyAlignment="1">
      <alignment horizontal="center" vertical="center"/>
    </xf>
    <xf numFmtId="165" fontId="20380" fillId="8" borderId="1" xfId="0" applyNumberFormat="1" applyFont="1" applyFill="1" applyBorder="1" applyAlignment="1">
      <alignment horizontal="center" vertical="center"/>
    </xf>
    <xf numFmtId="165" fontId="20381" fillId="8" borderId="1" xfId="0" applyNumberFormat="1" applyFont="1" applyFill="1" applyBorder="1" applyAlignment="1">
      <alignment horizontal="center" vertical="center"/>
    </xf>
    <xf numFmtId="1" fontId="20382" fillId="8" borderId="1" xfId="0" applyNumberFormat="1" applyFont="1" applyFill="1" applyBorder="1" applyAlignment="1">
      <alignment horizontal="center" vertical="center"/>
    </xf>
    <xf numFmtId="1" fontId="20383" fillId="8" borderId="1" xfId="0" applyNumberFormat="1" applyFont="1" applyFill="1" applyBorder="1" applyAlignment="1">
      <alignment horizontal="center" vertical="center"/>
    </xf>
    <xf numFmtId="1" fontId="20384" fillId="8" borderId="1" xfId="0" applyNumberFormat="1" applyFont="1" applyFill="1" applyBorder="1" applyAlignment="1">
      <alignment horizontal="center" vertical="center"/>
    </xf>
    <xf numFmtId="165" fontId="20385" fillId="8" borderId="1" xfId="0" applyNumberFormat="1" applyFont="1" applyFill="1" applyBorder="1" applyAlignment="1">
      <alignment horizontal="center" vertical="center"/>
    </xf>
    <xf numFmtId="164" fontId="20386" fillId="8" borderId="1" xfId="0" applyNumberFormat="1" applyFont="1" applyFill="1" applyBorder="1" applyAlignment="1">
      <alignment horizontal="center" vertical="center"/>
    </xf>
    <xf numFmtId="164" fontId="20387" fillId="8" borderId="1" xfId="0" applyNumberFormat="1" applyFont="1" applyFill="1" applyBorder="1" applyAlignment="1">
      <alignment horizontal="center" vertical="center"/>
    </xf>
    <xf numFmtId="1" fontId="20388" fillId="8" borderId="1" xfId="0" applyNumberFormat="1" applyFont="1" applyFill="1" applyBorder="1" applyAlignment="1">
      <alignment horizontal="center" vertical="center"/>
    </xf>
    <xf numFmtId="1" fontId="20389" fillId="8" borderId="1" xfId="0" applyNumberFormat="1" applyFont="1" applyFill="1" applyBorder="1" applyAlignment="1">
      <alignment horizontal="center" vertical="center"/>
    </xf>
    <xf numFmtId="1" fontId="20390" fillId="8" borderId="1" xfId="0" applyNumberFormat="1" applyFont="1" applyFill="1" applyBorder="1" applyAlignment="1">
      <alignment horizontal="center" vertical="center"/>
    </xf>
    <xf numFmtId="165" fontId="20391" fillId="8" borderId="1" xfId="0" applyNumberFormat="1" applyFont="1" applyFill="1" applyBorder="1" applyAlignment="1">
      <alignment horizontal="center" vertical="center"/>
    </xf>
    <xf numFmtId="1" fontId="20392" fillId="8" borderId="1" xfId="0" applyNumberFormat="1" applyFont="1" applyFill="1" applyBorder="1" applyAlignment="1">
      <alignment horizontal="center" vertical="center"/>
    </xf>
    <xf numFmtId="165" fontId="20393" fillId="8" borderId="1" xfId="0" applyNumberFormat="1" applyFont="1" applyFill="1" applyBorder="1" applyAlignment="1">
      <alignment horizontal="center" vertical="center"/>
    </xf>
    <xf numFmtId="1" fontId="20394" fillId="8" borderId="1" xfId="0" applyNumberFormat="1" applyFont="1" applyFill="1" applyBorder="1" applyAlignment="1">
      <alignment horizontal="center" vertical="center"/>
    </xf>
    <xf numFmtId="1" fontId="20395" fillId="8" borderId="1" xfId="0" applyNumberFormat="1" applyFont="1" applyFill="1" applyBorder="1" applyAlignment="1">
      <alignment horizontal="center" vertical="center"/>
    </xf>
    <xf numFmtId="1" fontId="20396" fillId="8" borderId="1" xfId="0" applyNumberFormat="1" applyFont="1" applyFill="1" applyBorder="1" applyAlignment="1">
      <alignment horizontal="center" vertical="center"/>
    </xf>
    <xf numFmtId="1" fontId="20397" fillId="8" borderId="1" xfId="0" applyNumberFormat="1" applyFont="1" applyFill="1" applyBorder="1" applyAlignment="1">
      <alignment horizontal="center" vertical="center"/>
    </xf>
    <xf numFmtId="165" fontId="20398" fillId="8" borderId="1" xfId="0" applyNumberFormat="1" applyFont="1" applyFill="1" applyBorder="1" applyAlignment="1">
      <alignment horizontal="center" vertical="center"/>
    </xf>
    <xf numFmtId="1" fontId="20399" fillId="8" borderId="1" xfId="0" applyNumberFormat="1" applyFont="1" applyFill="1" applyBorder="1" applyAlignment="1">
      <alignment horizontal="center" vertical="center"/>
    </xf>
    <xf numFmtId="165" fontId="20400" fillId="8" borderId="1" xfId="0" applyNumberFormat="1" applyFont="1" applyFill="1" applyBorder="1" applyAlignment="1">
      <alignment horizontal="center" vertical="center"/>
    </xf>
    <xf numFmtId="1" fontId="20401" fillId="8" borderId="1" xfId="0" applyNumberFormat="1" applyFont="1" applyFill="1" applyBorder="1" applyAlignment="1">
      <alignment horizontal="center" vertical="center"/>
    </xf>
    <xf numFmtId="165" fontId="20402" fillId="8" borderId="1" xfId="0" applyNumberFormat="1" applyFont="1" applyFill="1" applyBorder="1" applyAlignment="1">
      <alignment horizontal="center" vertical="center"/>
    </xf>
    <xf numFmtId="2" fontId="20403" fillId="8" borderId="1" xfId="0" applyNumberFormat="1" applyFont="1" applyFill="1" applyBorder="1" applyAlignment="1">
      <alignment horizontal="center" vertical="center"/>
    </xf>
    <xf numFmtId="2" fontId="20404" fillId="8" borderId="1" xfId="0" applyNumberFormat="1" applyFont="1" applyFill="1" applyBorder="1" applyAlignment="1">
      <alignment horizontal="center" vertical="center"/>
    </xf>
    <xf numFmtId="2" fontId="20405" fillId="8" borderId="1" xfId="0" applyNumberFormat="1" applyFont="1" applyFill="1" applyBorder="1" applyAlignment="1">
      <alignment horizontal="center" vertical="center"/>
    </xf>
    <xf numFmtId="2" fontId="20406" fillId="8" borderId="1" xfId="0" applyNumberFormat="1" applyFont="1" applyFill="1" applyBorder="1" applyAlignment="1">
      <alignment horizontal="center" vertical="center"/>
    </xf>
    <xf numFmtId="2" fontId="20407" fillId="8" borderId="1" xfId="0" applyNumberFormat="1" applyFont="1" applyFill="1" applyBorder="1" applyAlignment="1">
      <alignment horizontal="center" vertical="center"/>
    </xf>
    <xf numFmtId="2" fontId="20408" fillId="8" borderId="1" xfId="0" applyNumberFormat="1" applyFont="1" applyFill="1" applyBorder="1" applyAlignment="1">
      <alignment horizontal="center" vertical="center"/>
    </xf>
    <xf numFmtId="2" fontId="20409" fillId="8" borderId="1" xfId="0" applyNumberFormat="1" applyFont="1" applyFill="1" applyBorder="1" applyAlignment="1">
      <alignment horizontal="center" vertical="center"/>
    </xf>
    <xf numFmtId="2" fontId="20410" fillId="8" borderId="1" xfId="0" applyNumberFormat="1" applyFont="1" applyFill="1" applyBorder="1" applyAlignment="1">
      <alignment horizontal="center" vertical="center"/>
    </xf>
    <xf numFmtId="2" fontId="20411" fillId="8" borderId="1" xfId="0" applyNumberFormat="1" applyFont="1" applyFill="1" applyBorder="1" applyAlignment="1">
      <alignment horizontal="center" vertical="center"/>
    </xf>
    <xf numFmtId="2" fontId="20412" fillId="8" borderId="1" xfId="0" applyNumberFormat="1" applyFont="1" applyFill="1" applyBorder="1" applyAlignment="1">
      <alignment horizontal="center" vertical="center"/>
    </xf>
    <xf numFmtId="2" fontId="20413" fillId="8" borderId="1" xfId="0" applyNumberFormat="1" applyFont="1" applyFill="1" applyBorder="1" applyAlignment="1">
      <alignment horizontal="center" vertical="center"/>
    </xf>
    <xf numFmtId="2" fontId="20414" fillId="8" borderId="1" xfId="0" applyNumberFormat="1" applyFont="1" applyFill="1" applyBorder="1" applyAlignment="1">
      <alignment horizontal="center" vertical="center"/>
    </xf>
    <xf numFmtId="2" fontId="20415" fillId="8" borderId="1" xfId="0" applyNumberFormat="1" applyFont="1" applyFill="1" applyBorder="1" applyAlignment="1">
      <alignment horizontal="center" vertical="center"/>
    </xf>
    <xf numFmtId="2" fontId="20416" fillId="8" borderId="1" xfId="0" applyNumberFormat="1" applyFont="1" applyFill="1" applyBorder="1" applyAlignment="1">
      <alignment horizontal="center" vertical="center"/>
    </xf>
    <xf numFmtId="2" fontId="20417" fillId="8" borderId="1" xfId="0" applyNumberFormat="1" applyFont="1" applyFill="1" applyBorder="1" applyAlignment="1">
      <alignment horizontal="center" vertical="center"/>
    </xf>
    <xf numFmtId="2" fontId="20418" fillId="8" borderId="1" xfId="0" applyNumberFormat="1" applyFont="1" applyFill="1" applyBorder="1" applyAlignment="1">
      <alignment horizontal="center" vertical="center"/>
    </xf>
    <xf numFmtId="2" fontId="20419" fillId="8" borderId="1" xfId="0" applyNumberFormat="1" applyFont="1" applyFill="1" applyBorder="1" applyAlignment="1">
      <alignment horizontal="center" vertical="center"/>
    </xf>
    <xf numFmtId="2" fontId="20420" fillId="8" borderId="1" xfId="0" applyNumberFormat="1" applyFont="1" applyFill="1" applyBorder="1" applyAlignment="1">
      <alignment horizontal="center" vertical="center"/>
    </xf>
    <xf numFmtId="2" fontId="20421" fillId="8" borderId="1" xfId="0" applyNumberFormat="1" applyFont="1" applyFill="1" applyBorder="1" applyAlignment="1">
      <alignment horizontal="center" vertical="center"/>
    </xf>
    <xf numFmtId="2" fontId="20422" fillId="8" borderId="1" xfId="0" applyNumberFormat="1" applyFont="1" applyFill="1" applyBorder="1" applyAlignment="1">
      <alignment horizontal="center" vertical="center"/>
    </xf>
    <xf numFmtId="2" fontId="20423" fillId="8" borderId="1" xfId="0" applyNumberFormat="1" applyFont="1" applyFill="1" applyBorder="1" applyAlignment="1">
      <alignment horizontal="center" vertical="center"/>
    </xf>
    <xf numFmtId="2" fontId="20424" fillId="8" borderId="1" xfId="0" applyNumberFormat="1" applyFont="1" applyFill="1" applyBorder="1" applyAlignment="1">
      <alignment horizontal="center" vertical="center"/>
    </xf>
    <xf numFmtId="2" fontId="20425" fillId="8" borderId="1" xfId="0" applyNumberFormat="1" applyFont="1" applyFill="1" applyBorder="1" applyAlignment="1">
      <alignment horizontal="center" vertical="center"/>
    </xf>
    <xf numFmtId="2" fontId="20426" fillId="8" borderId="1" xfId="0" applyNumberFormat="1" applyFont="1" applyFill="1" applyBorder="1" applyAlignment="1">
      <alignment horizontal="center" vertical="center"/>
    </xf>
    <xf numFmtId="2" fontId="20427" fillId="8" borderId="1" xfId="0" applyNumberFormat="1" applyFont="1" applyFill="1" applyBorder="1" applyAlignment="1">
      <alignment horizontal="center" vertical="center"/>
    </xf>
    <xf numFmtId="2" fontId="20428" fillId="8" borderId="1" xfId="0" applyNumberFormat="1" applyFont="1" applyFill="1" applyBorder="1" applyAlignment="1">
      <alignment horizontal="center" vertical="center"/>
    </xf>
    <xf numFmtId="2" fontId="20429" fillId="8" borderId="1" xfId="0" applyNumberFormat="1" applyFont="1" applyFill="1" applyBorder="1" applyAlignment="1">
      <alignment horizontal="center" vertical="center"/>
    </xf>
    <xf numFmtId="2" fontId="20430" fillId="8" borderId="1" xfId="0" applyNumberFormat="1" applyFont="1" applyFill="1" applyBorder="1" applyAlignment="1">
      <alignment horizontal="center" vertical="center"/>
    </xf>
    <xf numFmtId="2" fontId="20431" fillId="8" borderId="1" xfId="0" applyNumberFormat="1" applyFont="1" applyFill="1" applyBorder="1" applyAlignment="1">
      <alignment horizontal="center" vertical="center"/>
    </xf>
    <xf numFmtId="2" fontId="20432" fillId="8" borderId="1" xfId="0" applyNumberFormat="1" applyFont="1" applyFill="1" applyBorder="1" applyAlignment="1">
      <alignment horizontal="center" vertical="center"/>
    </xf>
    <xf numFmtId="2" fontId="20433" fillId="8" borderId="1" xfId="0" applyNumberFormat="1" applyFont="1" applyFill="1" applyBorder="1" applyAlignment="1">
      <alignment horizontal="center" vertical="center"/>
    </xf>
    <xf numFmtId="2" fontId="20434" fillId="8" borderId="1" xfId="0" applyNumberFormat="1" applyFont="1" applyFill="1" applyBorder="1" applyAlignment="1">
      <alignment horizontal="center" vertical="center"/>
    </xf>
    <xf numFmtId="2" fontId="20435" fillId="8" borderId="1" xfId="0" applyNumberFormat="1" applyFont="1" applyFill="1" applyBorder="1" applyAlignment="1">
      <alignment horizontal="center" vertical="center"/>
    </xf>
    <xf numFmtId="2" fontId="20436" fillId="8" borderId="1" xfId="0" applyNumberFormat="1" applyFont="1" applyFill="1" applyBorder="1" applyAlignment="1">
      <alignment horizontal="center" vertical="center"/>
    </xf>
    <xf numFmtId="0" fontId="20437" fillId="7" borderId="1" xfId="0" applyNumberFormat="1" applyFont="1" applyFill="1" applyBorder="1" applyAlignment="1">
      <alignment horizontal="left" vertical="center"/>
    </xf>
    <xf numFmtId="0" fontId="20438" fillId="8" borderId="1" xfId="0" applyNumberFormat="1" applyFont="1" applyFill="1" applyBorder="1" applyAlignment="1">
      <alignment horizontal="center" vertical="center"/>
    </xf>
    <xf numFmtId="164" fontId="20439" fillId="8" borderId="1" xfId="0" applyNumberFormat="1" applyFont="1" applyFill="1" applyBorder="1" applyAlignment="1">
      <alignment horizontal="center" vertical="center"/>
    </xf>
    <xf numFmtId="1" fontId="20440" fillId="8" borderId="1" xfId="0" applyNumberFormat="1" applyFont="1" applyFill="1" applyBorder="1" applyAlignment="1">
      <alignment horizontal="center" vertical="center"/>
    </xf>
    <xf numFmtId="1" fontId="20441" fillId="8" borderId="1" xfId="0" applyNumberFormat="1" applyFont="1" applyFill="1" applyBorder="1" applyAlignment="1">
      <alignment horizontal="center" vertical="center"/>
    </xf>
    <xf numFmtId="1" fontId="20442" fillId="8" borderId="1" xfId="0" applyNumberFormat="1" applyFont="1" applyFill="1" applyBorder="1" applyAlignment="1">
      <alignment horizontal="center" vertical="center"/>
    </xf>
    <xf numFmtId="1" fontId="20443" fillId="8" borderId="1" xfId="0" applyNumberFormat="1" applyFont="1" applyFill="1" applyBorder="1" applyAlignment="1">
      <alignment horizontal="center" vertical="center"/>
    </xf>
    <xf numFmtId="1" fontId="20444" fillId="8" borderId="1" xfId="0" applyNumberFormat="1" applyFont="1" applyFill="1" applyBorder="1" applyAlignment="1">
      <alignment horizontal="center" vertical="center"/>
    </xf>
    <xf numFmtId="1" fontId="20445" fillId="8" borderId="1" xfId="0" applyNumberFormat="1" applyFont="1" applyFill="1" applyBorder="1" applyAlignment="1">
      <alignment horizontal="center" vertical="center"/>
    </xf>
    <xf numFmtId="1" fontId="20446" fillId="8" borderId="1" xfId="0" applyNumberFormat="1" applyFont="1" applyFill="1" applyBorder="1" applyAlignment="1">
      <alignment horizontal="center" vertical="center"/>
    </xf>
    <xf numFmtId="0" fontId="20447" fillId="8" borderId="1" xfId="0" applyNumberFormat="1" applyFont="1" applyFill="1" applyBorder="1" applyAlignment="1">
      <alignment horizontal="center" vertical="center"/>
    </xf>
    <xf numFmtId="0" fontId="20448" fillId="8" borderId="1" xfId="0" applyNumberFormat="1" applyFont="1" applyFill="1" applyBorder="1" applyAlignment="1">
      <alignment horizontal="center" vertical="center"/>
    </xf>
    <xf numFmtId="1" fontId="20449" fillId="8" borderId="1" xfId="0" applyNumberFormat="1" applyFont="1" applyFill="1" applyBorder="1" applyAlignment="1">
      <alignment horizontal="center" vertical="center"/>
    </xf>
    <xf numFmtId="1" fontId="20450" fillId="8" borderId="1" xfId="0" applyNumberFormat="1" applyFont="1" applyFill="1" applyBorder="1" applyAlignment="1">
      <alignment horizontal="center" vertical="center"/>
    </xf>
    <xf numFmtId="1" fontId="20451" fillId="8" borderId="1" xfId="0" applyNumberFormat="1" applyFont="1" applyFill="1" applyBorder="1" applyAlignment="1">
      <alignment horizontal="center" vertical="center"/>
    </xf>
    <xf numFmtId="165" fontId="20452" fillId="8" borderId="1" xfId="0" applyNumberFormat="1" applyFont="1" applyFill="1" applyBorder="1" applyAlignment="1">
      <alignment horizontal="center" vertical="center"/>
    </xf>
    <xf numFmtId="1" fontId="20453" fillId="8" borderId="1" xfId="0" applyNumberFormat="1" applyFont="1" applyFill="1" applyBorder="1" applyAlignment="1">
      <alignment horizontal="center" vertical="center"/>
    </xf>
    <xf numFmtId="165" fontId="20454" fillId="8" borderId="1" xfId="0" applyNumberFormat="1" applyFont="1" applyFill="1" applyBorder="1" applyAlignment="1">
      <alignment horizontal="center" vertical="center"/>
    </xf>
    <xf numFmtId="1" fontId="20455" fillId="8" borderId="1" xfId="0" applyNumberFormat="1" applyFont="1" applyFill="1" applyBorder="1" applyAlignment="1">
      <alignment horizontal="center" vertical="center"/>
    </xf>
    <xf numFmtId="165" fontId="20456" fillId="8" borderId="1" xfId="0" applyNumberFormat="1" applyFont="1" applyFill="1" applyBorder="1" applyAlignment="1">
      <alignment horizontal="center" vertical="center"/>
    </xf>
    <xf numFmtId="1" fontId="20457" fillId="8" borderId="1" xfId="0" applyNumberFormat="1" applyFont="1" applyFill="1" applyBorder="1" applyAlignment="1">
      <alignment horizontal="center" vertical="center"/>
    </xf>
    <xf numFmtId="165" fontId="20458" fillId="8" borderId="1" xfId="0" applyNumberFormat="1" applyFont="1" applyFill="1" applyBorder="1" applyAlignment="1">
      <alignment horizontal="center" vertical="center"/>
    </xf>
    <xf numFmtId="165" fontId="20459" fillId="8" borderId="1" xfId="0" applyNumberFormat="1" applyFont="1" applyFill="1" applyBorder="1" applyAlignment="1">
      <alignment horizontal="center" vertical="center"/>
    </xf>
    <xf numFmtId="1" fontId="20460" fillId="8" borderId="1" xfId="0" applyNumberFormat="1" applyFont="1" applyFill="1" applyBorder="1" applyAlignment="1">
      <alignment horizontal="center" vertical="center"/>
    </xf>
    <xf numFmtId="1" fontId="20461" fillId="8" borderId="1" xfId="0" applyNumberFormat="1" applyFont="1" applyFill="1" applyBorder="1" applyAlignment="1">
      <alignment horizontal="center" vertical="center"/>
    </xf>
    <xf numFmtId="1" fontId="20462" fillId="8" borderId="1" xfId="0" applyNumberFormat="1" applyFont="1" applyFill="1" applyBorder="1" applyAlignment="1">
      <alignment horizontal="center" vertical="center"/>
    </xf>
    <xf numFmtId="165" fontId="20463" fillId="8" borderId="1" xfId="0" applyNumberFormat="1" applyFont="1" applyFill="1" applyBorder="1" applyAlignment="1">
      <alignment horizontal="center" vertical="center"/>
    </xf>
    <xf numFmtId="164" fontId="20464" fillId="8" borderId="1" xfId="0" applyNumberFormat="1" applyFont="1" applyFill="1" applyBorder="1" applyAlignment="1">
      <alignment horizontal="center" vertical="center"/>
    </xf>
    <xf numFmtId="164" fontId="20465" fillId="8" borderId="1" xfId="0" applyNumberFormat="1" applyFont="1" applyFill="1" applyBorder="1" applyAlignment="1">
      <alignment horizontal="center" vertical="center"/>
    </xf>
    <xf numFmtId="1" fontId="20466" fillId="8" borderId="1" xfId="0" applyNumberFormat="1" applyFont="1" applyFill="1" applyBorder="1" applyAlignment="1">
      <alignment horizontal="center" vertical="center"/>
    </xf>
    <xf numFmtId="1" fontId="20467" fillId="8" borderId="1" xfId="0" applyNumberFormat="1" applyFont="1" applyFill="1" applyBorder="1" applyAlignment="1">
      <alignment horizontal="center" vertical="center"/>
    </xf>
    <xf numFmtId="1" fontId="20468" fillId="8" borderId="1" xfId="0" applyNumberFormat="1" applyFont="1" applyFill="1" applyBorder="1" applyAlignment="1">
      <alignment horizontal="center" vertical="center"/>
    </xf>
    <xf numFmtId="165" fontId="20469" fillId="8" borderId="1" xfId="0" applyNumberFormat="1" applyFont="1" applyFill="1" applyBorder="1" applyAlignment="1">
      <alignment horizontal="center" vertical="center"/>
    </xf>
    <xf numFmtId="1" fontId="20470" fillId="8" borderId="1" xfId="0" applyNumberFormat="1" applyFont="1" applyFill="1" applyBorder="1" applyAlignment="1">
      <alignment horizontal="center" vertical="center"/>
    </xf>
    <xf numFmtId="165" fontId="20471" fillId="8" borderId="1" xfId="0" applyNumberFormat="1" applyFont="1" applyFill="1" applyBorder="1" applyAlignment="1">
      <alignment horizontal="center" vertical="center"/>
    </xf>
    <xf numFmtId="1" fontId="20472" fillId="8" borderId="1" xfId="0" applyNumberFormat="1" applyFont="1" applyFill="1" applyBorder="1" applyAlignment="1">
      <alignment horizontal="center" vertical="center"/>
    </xf>
    <xf numFmtId="1" fontId="20473" fillId="8" borderId="1" xfId="0" applyNumberFormat="1" applyFont="1" applyFill="1" applyBorder="1" applyAlignment="1">
      <alignment horizontal="center" vertical="center"/>
    </xf>
    <xf numFmtId="1" fontId="20474" fillId="8" borderId="1" xfId="0" applyNumberFormat="1" applyFont="1" applyFill="1" applyBorder="1" applyAlignment="1">
      <alignment horizontal="center" vertical="center"/>
    </xf>
    <xf numFmtId="1" fontId="20475" fillId="8" borderId="1" xfId="0" applyNumberFormat="1" applyFont="1" applyFill="1" applyBorder="1" applyAlignment="1">
      <alignment horizontal="center" vertical="center"/>
    </xf>
    <xf numFmtId="165" fontId="20476" fillId="8" borderId="1" xfId="0" applyNumberFormat="1" applyFont="1" applyFill="1" applyBorder="1" applyAlignment="1">
      <alignment horizontal="center" vertical="center"/>
    </xf>
    <xf numFmtId="1" fontId="20477" fillId="8" borderId="1" xfId="0" applyNumberFormat="1" applyFont="1" applyFill="1" applyBorder="1" applyAlignment="1">
      <alignment horizontal="center" vertical="center"/>
    </xf>
    <xf numFmtId="165" fontId="20478" fillId="8" borderId="1" xfId="0" applyNumberFormat="1" applyFont="1" applyFill="1" applyBorder="1" applyAlignment="1">
      <alignment horizontal="center" vertical="center"/>
    </xf>
    <xf numFmtId="1" fontId="20479" fillId="8" borderId="1" xfId="0" applyNumberFormat="1" applyFont="1" applyFill="1" applyBorder="1" applyAlignment="1">
      <alignment horizontal="center" vertical="center"/>
    </xf>
    <xf numFmtId="165" fontId="20480" fillId="8" borderId="1" xfId="0" applyNumberFormat="1" applyFont="1" applyFill="1" applyBorder="1" applyAlignment="1">
      <alignment horizontal="center" vertical="center"/>
    </xf>
    <xf numFmtId="2" fontId="20481" fillId="8" borderId="1" xfId="0" applyNumberFormat="1" applyFont="1" applyFill="1" applyBorder="1" applyAlignment="1">
      <alignment horizontal="center" vertical="center"/>
    </xf>
    <xf numFmtId="2" fontId="20482" fillId="8" borderId="1" xfId="0" applyNumberFormat="1" applyFont="1" applyFill="1" applyBorder="1" applyAlignment="1">
      <alignment horizontal="center" vertical="center"/>
    </xf>
    <xf numFmtId="2" fontId="20483" fillId="8" borderId="1" xfId="0" applyNumberFormat="1" applyFont="1" applyFill="1" applyBorder="1" applyAlignment="1">
      <alignment horizontal="center" vertical="center"/>
    </xf>
    <xf numFmtId="2" fontId="20484" fillId="8" borderId="1" xfId="0" applyNumberFormat="1" applyFont="1" applyFill="1" applyBorder="1" applyAlignment="1">
      <alignment horizontal="center" vertical="center"/>
    </xf>
    <xf numFmtId="2" fontId="20485" fillId="8" borderId="1" xfId="0" applyNumberFormat="1" applyFont="1" applyFill="1" applyBorder="1" applyAlignment="1">
      <alignment horizontal="center" vertical="center"/>
    </xf>
    <xf numFmtId="2" fontId="20486" fillId="8" borderId="1" xfId="0" applyNumberFormat="1" applyFont="1" applyFill="1" applyBorder="1" applyAlignment="1">
      <alignment horizontal="center" vertical="center"/>
    </xf>
    <xf numFmtId="2" fontId="20487" fillId="8" borderId="1" xfId="0" applyNumberFormat="1" applyFont="1" applyFill="1" applyBorder="1" applyAlignment="1">
      <alignment horizontal="center" vertical="center"/>
    </xf>
    <xf numFmtId="2" fontId="20488" fillId="8" borderId="1" xfId="0" applyNumberFormat="1" applyFont="1" applyFill="1" applyBorder="1" applyAlignment="1">
      <alignment horizontal="center" vertical="center"/>
    </xf>
    <xf numFmtId="2" fontId="20489" fillId="8" borderId="1" xfId="0" applyNumberFormat="1" applyFont="1" applyFill="1" applyBorder="1" applyAlignment="1">
      <alignment horizontal="center" vertical="center"/>
    </xf>
    <xf numFmtId="2" fontId="20490" fillId="8" borderId="1" xfId="0" applyNumberFormat="1" applyFont="1" applyFill="1" applyBorder="1" applyAlignment="1">
      <alignment horizontal="center" vertical="center"/>
    </xf>
    <xf numFmtId="2" fontId="20491" fillId="8" borderId="1" xfId="0" applyNumberFormat="1" applyFont="1" applyFill="1" applyBorder="1" applyAlignment="1">
      <alignment horizontal="center" vertical="center"/>
    </xf>
    <xf numFmtId="2" fontId="20492" fillId="8" borderId="1" xfId="0" applyNumberFormat="1" applyFont="1" applyFill="1" applyBorder="1" applyAlignment="1">
      <alignment horizontal="center" vertical="center"/>
    </xf>
    <xf numFmtId="2" fontId="20493" fillId="8" borderId="1" xfId="0" applyNumberFormat="1" applyFont="1" applyFill="1" applyBorder="1" applyAlignment="1">
      <alignment horizontal="center" vertical="center"/>
    </xf>
    <xf numFmtId="2" fontId="20494" fillId="8" borderId="1" xfId="0" applyNumberFormat="1" applyFont="1" applyFill="1" applyBorder="1" applyAlignment="1">
      <alignment horizontal="center" vertical="center"/>
    </xf>
    <xf numFmtId="2" fontId="20495" fillId="8" borderId="1" xfId="0" applyNumberFormat="1" applyFont="1" applyFill="1" applyBorder="1" applyAlignment="1">
      <alignment horizontal="center" vertical="center"/>
    </xf>
    <xf numFmtId="2" fontId="20496" fillId="8" borderId="1" xfId="0" applyNumberFormat="1" applyFont="1" applyFill="1" applyBorder="1" applyAlignment="1">
      <alignment horizontal="center" vertical="center"/>
    </xf>
    <xf numFmtId="2" fontId="20497" fillId="8" borderId="1" xfId="0" applyNumberFormat="1" applyFont="1" applyFill="1" applyBorder="1" applyAlignment="1">
      <alignment horizontal="center" vertical="center"/>
    </xf>
    <xf numFmtId="2" fontId="20498" fillId="8" borderId="1" xfId="0" applyNumberFormat="1" applyFont="1" applyFill="1" applyBorder="1" applyAlignment="1">
      <alignment horizontal="center" vertical="center"/>
    </xf>
    <xf numFmtId="2" fontId="20499" fillId="8" borderId="1" xfId="0" applyNumberFormat="1" applyFont="1" applyFill="1" applyBorder="1" applyAlignment="1">
      <alignment horizontal="center" vertical="center"/>
    </xf>
    <xf numFmtId="2" fontId="20500" fillId="8" borderId="1" xfId="0" applyNumberFormat="1" applyFont="1" applyFill="1" applyBorder="1" applyAlignment="1">
      <alignment horizontal="center" vertical="center"/>
    </xf>
    <xf numFmtId="2" fontId="20501" fillId="8" borderId="1" xfId="0" applyNumberFormat="1" applyFont="1" applyFill="1" applyBorder="1" applyAlignment="1">
      <alignment horizontal="center" vertical="center"/>
    </xf>
    <xf numFmtId="2" fontId="20502" fillId="8" borderId="1" xfId="0" applyNumberFormat="1" applyFont="1" applyFill="1" applyBorder="1" applyAlignment="1">
      <alignment horizontal="center" vertical="center"/>
    </xf>
    <xf numFmtId="2" fontId="20503" fillId="8" borderId="1" xfId="0" applyNumberFormat="1" applyFont="1" applyFill="1" applyBorder="1" applyAlignment="1">
      <alignment horizontal="center" vertical="center"/>
    </xf>
    <xf numFmtId="2" fontId="20504" fillId="8" borderId="1" xfId="0" applyNumberFormat="1" applyFont="1" applyFill="1" applyBorder="1" applyAlignment="1">
      <alignment horizontal="center" vertical="center"/>
    </xf>
    <xf numFmtId="2" fontId="20505" fillId="8" borderId="1" xfId="0" applyNumberFormat="1" applyFont="1" applyFill="1" applyBorder="1" applyAlignment="1">
      <alignment horizontal="center" vertical="center"/>
    </xf>
    <xf numFmtId="2" fontId="20506" fillId="8" borderId="1" xfId="0" applyNumberFormat="1" applyFont="1" applyFill="1" applyBorder="1" applyAlignment="1">
      <alignment horizontal="center" vertical="center"/>
    </xf>
    <xf numFmtId="2" fontId="20507" fillId="8" borderId="1" xfId="0" applyNumberFormat="1" applyFont="1" applyFill="1" applyBorder="1" applyAlignment="1">
      <alignment horizontal="center" vertical="center"/>
    </xf>
    <xf numFmtId="2" fontId="20508" fillId="8" borderId="1" xfId="0" applyNumberFormat="1" applyFont="1" applyFill="1" applyBorder="1" applyAlignment="1">
      <alignment horizontal="center" vertical="center"/>
    </xf>
    <xf numFmtId="2" fontId="20509" fillId="8" borderId="1" xfId="0" applyNumberFormat="1" applyFont="1" applyFill="1" applyBorder="1" applyAlignment="1">
      <alignment horizontal="center" vertical="center"/>
    </xf>
    <xf numFmtId="2" fontId="20510" fillId="8" borderId="1" xfId="0" applyNumberFormat="1" applyFont="1" applyFill="1" applyBorder="1" applyAlignment="1">
      <alignment horizontal="center" vertical="center"/>
    </xf>
    <xf numFmtId="2" fontId="20511" fillId="8" borderId="1" xfId="0" applyNumberFormat="1" applyFont="1" applyFill="1" applyBorder="1" applyAlignment="1">
      <alignment horizontal="center" vertical="center"/>
    </xf>
    <xf numFmtId="2" fontId="20512" fillId="8" borderId="1" xfId="0" applyNumberFormat="1" applyFont="1" applyFill="1" applyBorder="1" applyAlignment="1">
      <alignment horizontal="center" vertical="center"/>
    </xf>
    <xf numFmtId="2" fontId="20513" fillId="8" borderId="1" xfId="0" applyNumberFormat="1" applyFont="1" applyFill="1" applyBorder="1" applyAlignment="1">
      <alignment horizontal="center" vertical="center"/>
    </xf>
    <xf numFmtId="2" fontId="20514" fillId="8" borderId="1" xfId="0" applyNumberFormat="1" applyFont="1" applyFill="1" applyBorder="1" applyAlignment="1">
      <alignment horizontal="center" vertical="center"/>
    </xf>
    <xf numFmtId="0" fontId="20515" fillId="7" borderId="1" xfId="0" applyNumberFormat="1" applyFont="1" applyFill="1" applyBorder="1" applyAlignment="1">
      <alignment horizontal="left" vertical="center"/>
    </xf>
    <xf numFmtId="0" fontId="20516" fillId="8" borderId="1" xfId="0" applyNumberFormat="1" applyFont="1" applyFill="1" applyBorder="1" applyAlignment="1">
      <alignment horizontal="center" vertical="center"/>
    </xf>
    <xf numFmtId="164" fontId="20517" fillId="8" borderId="1" xfId="0" applyNumberFormat="1" applyFont="1" applyFill="1" applyBorder="1" applyAlignment="1">
      <alignment horizontal="center" vertical="center"/>
    </xf>
    <xf numFmtId="1" fontId="20518" fillId="8" borderId="1" xfId="0" applyNumberFormat="1" applyFont="1" applyFill="1" applyBorder="1" applyAlignment="1">
      <alignment horizontal="center" vertical="center"/>
    </xf>
    <xf numFmtId="1" fontId="20519" fillId="8" borderId="1" xfId="0" applyNumberFormat="1" applyFont="1" applyFill="1" applyBorder="1" applyAlignment="1">
      <alignment horizontal="center" vertical="center"/>
    </xf>
    <xf numFmtId="1" fontId="20520" fillId="8" borderId="1" xfId="0" applyNumberFormat="1" applyFont="1" applyFill="1" applyBorder="1" applyAlignment="1">
      <alignment horizontal="center" vertical="center"/>
    </xf>
    <xf numFmtId="1" fontId="20521" fillId="8" borderId="1" xfId="0" applyNumberFormat="1" applyFont="1" applyFill="1" applyBorder="1" applyAlignment="1">
      <alignment horizontal="center" vertical="center"/>
    </xf>
    <xf numFmtId="1" fontId="20522" fillId="8" borderId="1" xfId="0" applyNumberFormat="1" applyFont="1" applyFill="1" applyBorder="1" applyAlignment="1">
      <alignment horizontal="center" vertical="center"/>
    </xf>
    <xf numFmtId="1" fontId="20523" fillId="8" borderId="1" xfId="0" applyNumberFormat="1" applyFont="1" applyFill="1" applyBorder="1" applyAlignment="1">
      <alignment horizontal="center" vertical="center"/>
    </xf>
    <xf numFmtId="1" fontId="20524" fillId="8" borderId="1" xfId="0" applyNumberFormat="1" applyFont="1" applyFill="1" applyBorder="1" applyAlignment="1">
      <alignment horizontal="center" vertical="center"/>
    </xf>
    <xf numFmtId="0" fontId="20525" fillId="8" borderId="1" xfId="0" applyNumberFormat="1" applyFont="1" applyFill="1" applyBorder="1" applyAlignment="1">
      <alignment horizontal="center" vertical="center"/>
    </xf>
    <xf numFmtId="0" fontId="20526" fillId="8" borderId="1" xfId="0" applyNumberFormat="1" applyFont="1" applyFill="1" applyBorder="1" applyAlignment="1">
      <alignment horizontal="center" vertical="center"/>
    </xf>
    <xf numFmtId="1" fontId="20527" fillId="8" borderId="1" xfId="0" applyNumberFormat="1" applyFont="1" applyFill="1" applyBorder="1" applyAlignment="1">
      <alignment horizontal="center" vertical="center"/>
    </xf>
    <xf numFmtId="1" fontId="20528" fillId="8" borderId="1" xfId="0" applyNumberFormat="1" applyFont="1" applyFill="1" applyBorder="1" applyAlignment="1">
      <alignment horizontal="center" vertical="center"/>
    </xf>
    <xf numFmtId="1" fontId="20529" fillId="8" borderId="1" xfId="0" applyNumberFormat="1" applyFont="1" applyFill="1" applyBorder="1" applyAlignment="1">
      <alignment horizontal="center" vertical="center"/>
    </xf>
    <xf numFmtId="165" fontId="20530" fillId="8" borderId="1" xfId="0" applyNumberFormat="1" applyFont="1" applyFill="1" applyBorder="1" applyAlignment="1">
      <alignment horizontal="center" vertical="center"/>
    </xf>
    <xf numFmtId="1" fontId="20531" fillId="8" borderId="1" xfId="0" applyNumberFormat="1" applyFont="1" applyFill="1" applyBorder="1" applyAlignment="1">
      <alignment horizontal="center" vertical="center"/>
    </xf>
    <xf numFmtId="165" fontId="20532" fillId="8" borderId="1" xfId="0" applyNumberFormat="1" applyFont="1" applyFill="1" applyBorder="1" applyAlignment="1">
      <alignment horizontal="center" vertical="center"/>
    </xf>
    <xf numFmtId="1" fontId="20533" fillId="8" borderId="1" xfId="0" applyNumberFormat="1" applyFont="1" applyFill="1" applyBorder="1" applyAlignment="1">
      <alignment horizontal="center" vertical="center"/>
    </xf>
    <xf numFmtId="165" fontId="20534" fillId="8" borderId="1" xfId="0" applyNumberFormat="1" applyFont="1" applyFill="1" applyBorder="1" applyAlignment="1">
      <alignment horizontal="center" vertical="center"/>
    </xf>
    <xf numFmtId="1" fontId="20535" fillId="8" borderId="1" xfId="0" applyNumberFormat="1" applyFont="1" applyFill="1" applyBorder="1" applyAlignment="1">
      <alignment horizontal="center" vertical="center"/>
    </xf>
    <xf numFmtId="165" fontId="20536" fillId="8" borderId="1" xfId="0" applyNumberFormat="1" applyFont="1" applyFill="1" applyBorder="1" applyAlignment="1">
      <alignment horizontal="center" vertical="center"/>
    </xf>
    <xf numFmtId="165" fontId="20537" fillId="8" borderId="1" xfId="0" applyNumberFormat="1" applyFont="1" applyFill="1" applyBorder="1" applyAlignment="1">
      <alignment horizontal="center" vertical="center"/>
    </xf>
    <xf numFmtId="1" fontId="20538" fillId="8" borderId="1" xfId="0" applyNumberFormat="1" applyFont="1" applyFill="1" applyBorder="1" applyAlignment="1">
      <alignment horizontal="center" vertical="center"/>
    </xf>
    <xf numFmtId="1" fontId="20539" fillId="8" borderId="1" xfId="0" applyNumberFormat="1" applyFont="1" applyFill="1" applyBorder="1" applyAlignment="1">
      <alignment horizontal="center" vertical="center"/>
    </xf>
    <xf numFmtId="1" fontId="20540" fillId="8" borderId="1" xfId="0" applyNumberFormat="1" applyFont="1" applyFill="1" applyBorder="1" applyAlignment="1">
      <alignment horizontal="center" vertical="center"/>
    </xf>
    <xf numFmtId="165" fontId="20541" fillId="8" borderId="1" xfId="0" applyNumberFormat="1" applyFont="1" applyFill="1" applyBorder="1" applyAlignment="1">
      <alignment horizontal="center" vertical="center"/>
    </xf>
    <xf numFmtId="164" fontId="20542" fillId="8" borderId="1" xfId="0" applyNumberFormat="1" applyFont="1" applyFill="1" applyBorder="1" applyAlignment="1">
      <alignment horizontal="center" vertical="center"/>
    </xf>
    <xf numFmtId="164" fontId="20543" fillId="8" borderId="1" xfId="0" applyNumberFormat="1" applyFont="1" applyFill="1" applyBorder="1" applyAlignment="1">
      <alignment horizontal="center" vertical="center"/>
    </xf>
    <xf numFmtId="1" fontId="20544" fillId="8" borderId="1" xfId="0" applyNumberFormat="1" applyFont="1" applyFill="1" applyBorder="1" applyAlignment="1">
      <alignment horizontal="center" vertical="center"/>
    </xf>
    <xf numFmtId="1" fontId="20545" fillId="8" borderId="1" xfId="0" applyNumberFormat="1" applyFont="1" applyFill="1" applyBorder="1" applyAlignment="1">
      <alignment horizontal="center" vertical="center"/>
    </xf>
    <xf numFmtId="1" fontId="20546" fillId="8" borderId="1" xfId="0" applyNumberFormat="1" applyFont="1" applyFill="1" applyBorder="1" applyAlignment="1">
      <alignment horizontal="center" vertical="center"/>
    </xf>
    <xf numFmtId="165" fontId="20547" fillId="8" borderId="1" xfId="0" applyNumberFormat="1" applyFont="1" applyFill="1" applyBorder="1" applyAlignment="1">
      <alignment horizontal="center" vertical="center"/>
    </xf>
    <xf numFmtId="1" fontId="20548" fillId="8" borderId="1" xfId="0" applyNumberFormat="1" applyFont="1" applyFill="1" applyBorder="1" applyAlignment="1">
      <alignment horizontal="center" vertical="center"/>
    </xf>
    <xf numFmtId="165" fontId="20549" fillId="8" borderId="1" xfId="0" applyNumberFormat="1" applyFont="1" applyFill="1" applyBorder="1" applyAlignment="1">
      <alignment horizontal="center" vertical="center"/>
    </xf>
    <xf numFmtId="1" fontId="20550" fillId="8" borderId="1" xfId="0" applyNumberFormat="1" applyFont="1" applyFill="1" applyBorder="1" applyAlignment="1">
      <alignment horizontal="center" vertical="center"/>
    </xf>
    <xf numFmtId="1" fontId="20551" fillId="8" borderId="1" xfId="0" applyNumberFormat="1" applyFont="1" applyFill="1" applyBorder="1" applyAlignment="1">
      <alignment horizontal="center" vertical="center"/>
    </xf>
    <xf numFmtId="1" fontId="20552" fillId="8" borderId="1" xfId="0" applyNumberFormat="1" applyFont="1" applyFill="1" applyBorder="1" applyAlignment="1">
      <alignment horizontal="center" vertical="center"/>
    </xf>
    <xf numFmtId="1" fontId="20553" fillId="8" borderId="1" xfId="0" applyNumberFormat="1" applyFont="1" applyFill="1" applyBorder="1" applyAlignment="1">
      <alignment horizontal="center" vertical="center"/>
    </xf>
    <xf numFmtId="165" fontId="20554" fillId="8" borderId="1" xfId="0" applyNumberFormat="1" applyFont="1" applyFill="1" applyBorder="1" applyAlignment="1">
      <alignment horizontal="center" vertical="center"/>
    </xf>
    <xf numFmtId="1" fontId="20555" fillId="8" borderId="1" xfId="0" applyNumberFormat="1" applyFont="1" applyFill="1" applyBorder="1" applyAlignment="1">
      <alignment horizontal="center" vertical="center"/>
    </xf>
    <xf numFmtId="165" fontId="20556" fillId="8" borderId="1" xfId="0" applyNumberFormat="1" applyFont="1" applyFill="1" applyBorder="1" applyAlignment="1">
      <alignment horizontal="center" vertical="center"/>
    </xf>
    <xf numFmtId="1" fontId="20557" fillId="8" borderId="1" xfId="0" applyNumberFormat="1" applyFont="1" applyFill="1" applyBorder="1" applyAlignment="1">
      <alignment horizontal="center" vertical="center"/>
    </xf>
    <xf numFmtId="165" fontId="20558" fillId="8" borderId="1" xfId="0" applyNumberFormat="1" applyFont="1" applyFill="1" applyBorder="1" applyAlignment="1">
      <alignment horizontal="center" vertical="center"/>
    </xf>
    <xf numFmtId="2" fontId="20559" fillId="8" borderId="1" xfId="0" applyNumberFormat="1" applyFont="1" applyFill="1" applyBorder="1" applyAlignment="1">
      <alignment horizontal="center" vertical="center"/>
    </xf>
    <xf numFmtId="2" fontId="20560" fillId="8" borderId="1" xfId="0" applyNumberFormat="1" applyFont="1" applyFill="1" applyBorder="1" applyAlignment="1">
      <alignment horizontal="center" vertical="center"/>
    </xf>
    <xf numFmtId="2" fontId="20561" fillId="8" borderId="1" xfId="0" applyNumberFormat="1" applyFont="1" applyFill="1" applyBorder="1" applyAlignment="1">
      <alignment horizontal="center" vertical="center"/>
    </xf>
    <xf numFmtId="2" fontId="20562" fillId="8" borderId="1" xfId="0" applyNumberFormat="1" applyFont="1" applyFill="1" applyBorder="1" applyAlignment="1">
      <alignment horizontal="center" vertical="center"/>
    </xf>
    <xf numFmtId="2" fontId="20563" fillId="8" borderId="1" xfId="0" applyNumberFormat="1" applyFont="1" applyFill="1" applyBorder="1" applyAlignment="1">
      <alignment horizontal="center" vertical="center"/>
    </xf>
    <xf numFmtId="2" fontId="20564" fillId="8" borderId="1" xfId="0" applyNumberFormat="1" applyFont="1" applyFill="1" applyBorder="1" applyAlignment="1">
      <alignment horizontal="center" vertical="center"/>
    </xf>
    <xf numFmtId="2" fontId="20565" fillId="8" borderId="1" xfId="0" applyNumberFormat="1" applyFont="1" applyFill="1" applyBorder="1" applyAlignment="1">
      <alignment horizontal="center" vertical="center"/>
    </xf>
    <xf numFmtId="2" fontId="20566" fillId="8" borderId="1" xfId="0" applyNumberFormat="1" applyFont="1" applyFill="1" applyBorder="1" applyAlignment="1">
      <alignment horizontal="center" vertical="center"/>
    </xf>
    <xf numFmtId="2" fontId="20567" fillId="8" borderId="1" xfId="0" applyNumberFormat="1" applyFont="1" applyFill="1" applyBorder="1" applyAlignment="1">
      <alignment horizontal="center" vertical="center"/>
    </xf>
    <xf numFmtId="2" fontId="20568" fillId="8" borderId="1" xfId="0" applyNumberFormat="1" applyFont="1" applyFill="1" applyBorder="1" applyAlignment="1">
      <alignment horizontal="center" vertical="center"/>
    </xf>
    <xf numFmtId="2" fontId="20569" fillId="8" borderId="1" xfId="0" applyNumberFormat="1" applyFont="1" applyFill="1" applyBorder="1" applyAlignment="1">
      <alignment horizontal="center" vertical="center"/>
    </xf>
    <xf numFmtId="2" fontId="20570" fillId="8" borderId="1" xfId="0" applyNumberFormat="1" applyFont="1" applyFill="1" applyBorder="1" applyAlignment="1">
      <alignment horizontal="center" vertical="center"/>
    </xf>
    <xf numFmtId="2" fontId="20571" fillId="8" borderId="1" xfId="0" applyNumberFormat="1" applyFont="1" applyFill="1" applyBorder="1" applyAlignment="1">
      <alignment horizontal="center" vertical="center"/>
    </xf>
    <xf numFmtId="2" fontId="20572" fillId="8" borderId="1" xfId="0" applyNumberFormat="1" applyFont="1" applyFill="1" applyBorder="1" applyAlignment="1">
      <alignment horizontal="center" vertical="center"/>
    </xf>
    <xf numFmtId="2" fontId="20573" fillId="8" borderId="1" xfId="0" applyNumberFormat="1" applyFont="1" applyFill="1" applyBorder="1" applyAlignment="1">
      <alignment horizontal="center" vertical="center"/>
    </xf>
    <xf numFmtId="2" fontId="20574" fillId="8" borderId="1" xfId="0" applyNumberFormat="1" applyFont="1" applyFill="1" applyBorder="1" applyAlignment="1">
      <alignment horizontal="center" vertical="center"/>
    </xf>
    <xf numFmtId="2" fontId="20575" fillId="8" borderId="1" xfId="0" applyNumberFormat="1" applyFont="1" applyFill="1" applyBorder="1" applyAlignment="1">
      <alignment horizontal="center" vertical="center"/>
    </xf>
    <xf numFmtId="2" fontId="20576" fillId="8" borderId="1" xfId="0" applyNumberFormat="1" applyFont="1" applyFill="1" applyBorder="1" applyAlignment="1">
      <alignment horizontal="center" vertical="center"/>
    </xf>
    <xf numFmtId="2" fontId="20577" fillId="8" borderId="1" xfId="0" applyNumberFormat="1" applyFont="1" applyFill="1" applyBorder="1" applyAlignment="1">
      <alignment horizontal="center" vertical="center"/>
    </xf>
    <xf numFmtId="2" fontId="20578" fillId="8" borderId="1" xfId="0" applyNumberFormat="1" applyFont="1" applyFill="1" applyBorder="1" applyAlignment="1">
      <alignment horizontal="center" vertical="center"/>
    </xf>
    <xf numFmtId="2" fontId="20579" fillId="8" borderId="1" xfId="0" applyNumberFormat="1" applyFont="1" applyFill="1" applyBorder="1" applyAlignment="1">
      <alignment horizontal="center" vertical="center"/>
    </xf>
    <xf numFmtId="2" fontId="20580" fillId="8" borderId="1" xfId="0" applyNumberFormat="1" applyFont="1" applyFill="1" applyBorder="1" applyAlignment="1">
      <alignment horizontal="center" vertical="center"/>
    </xf>
    <xf numFmtId="2" fontId="20581" fillId="8" borderId="1" xfId="0" applyNumberFormat="1" applyFont="1" applyFill="1" applyBorder="1" applyAlignment="1">
      <alignment horizontal="center" vertical="center"/>
    </xf>
    <xf numFmtId="2" fontId="20582" fillId="8" borderId="1" xfId="0" applyNumberFormat="1" applyFont="1" applyFill="1" applyBorder="1" applyAlignment="1">
      <alignment horizontal="center" vertical="center"/>
    </xf>
    <xf numFmtId="2" fontId="20583" fillId="8" borderId="1" xfId="0" applyNumberFormat="1" applyFont="1" applyFill="1" applyBorder="1" applyAlignment="1">
      <alignment horizontal="center" vertical="center"/>
    </xf>
    <xf numFmtId="2" fontId="20584" fillId="8" borderId="1" xfId="0" applyNumberFormat="1" applyFont="1" applyFill="1" applyBorder="1" applyAlignment="1">
      <alignment horizontal="center" vertical="center"/>
    </xf>
    <xf numFmtId="2" fontId="20585" fillId="8" borderId="1" xfId="0" applyNumberFormat="1" applyFont="1" applyFill="1" applyBorder="1" applyAlignment="1">
      <alignment horizontal="center" vertical="center"/>
    </xf>
    <xf numFmtId="2" fontId="20586" fillId="8" borderId="1" xfId="0" applyNumberFormat="1" applyFont="1" applyFill="1" applyBorder="1" applyAlignment="1">
      <alignment horizontal="center" vertical="center"/>
    </xf>
    <xf numFmtId="2" fontId="20587" fillId="8" borderId="1" xfId="0" applyNumberFormat="1" applyFont="1" applyFill="1" applyBorder="1" applyAlignment="1">
      <alignment horizontal="center" vertical="center"/>
    </xf>
    <xf numFmtId="2" fontId="20588" fillId="8" borderId="1" xfId="0" applyNumberFormat="1" applyFont="1" applyFill="1" applyBorder="1" applyAlignment="1">
      <alignment horizontal="center" vertical="center"/>
    </xf>
    <xf numFmtId="2" fontId="20589" fillId="8" borderId="1" xfId="0" applyNumberFormat="1" applyFont="1" applyFill="1" applyBorder="1" applyAlignment="1">
      <alignment horizontal="center" vertical="center"/>
    </xf>
    <xf numFmtId="2" fontId="20590" fillId="8" borderId="1" xfId="0" applyNumberFormat="1" applyFont="1" applyFill="1" applyBorder="1" applyAlignment="1">
      <alignment horizontal="center" vertical="center"/>
    </xf>
    <xf numFmtId="2" fontId="20591" fillId="8" borderId="1" xfId="0" applyNumberFormat="1" applyFont="1" applyFill="1" applyBorder="1" applyAlignment="1">
      <alignment horizontal="center" vertical="center"/>
    </xf>
    <xf numFmtId="2" fontId="20592" fillId="8" borderId="1" xfId="0" applyNumberFormat="1" applyFont="1" applyFill="1" applyBorder="1" applyAlignment="1">
      <alignment horizontal="center" vertical="center"/>
    </xf>
    <xf numFmtId="0" fontId="20593" fillId="7" borderId="1" xfId="0" applyNumberFormat="1" applyFont="1" applyFill="1" applyBorder="1" applyAlignment="1">
      <alignment horizontal="left" vertical="center"/>
    </xf>
    <xf numFmtId="0" fontId="20594" fillId="8" borderId="1" xfId="0" applyNumberFormat="1" applyFont="1" applyFill="1" applyBorder="1" applyAlignment="1">
      <alignment horizontal="center" vertical="center"/>
    </xf>
    <xf numFmtId="164" fontId="20595" fillId="8" borderId="1" xfId="0" applyNumberFormat="1" applyFont="1" applyFill="1" applyBorder="1" applyAlignment="1">
      <alignment horizontal="center" vertical="center"/>
    </xf>
    <xf numFmtId="1" fontId="20596" fillId="8" borderId="1" xfId="0" applyNumberFormat="1" applyFont="1" applyFill="1" applyBorder="1" applyAlignment="1">
      <alignment horizontal="center" vertical="center"/>
    </xf>
    <xf numFmtId="1" fontId="20597" fillId="8" borderId="1" xfId="0" applyNumberFormat="1" applyFont="1" applyFill="1" applyBorder="1" applyAlignment="1">
      <alignment horizontal="center" vertical="center"/>
    </xf>
    <xf numFmtId="1" fontId="20598" fillId="8" borderId="1" xfId="0" applyNumberFormat="1" applyFont="1" applyFill="1" applyBorder="1" applyAlignment="1">
      <alignment horizontal="center" vertical="center"/>
    </xf>
    <xf numFmtId="1" fontId="20599" fillId="8" borderId="1" xfId="0" applyNumberFormat="1" applyFont="1" applyFill="1" applyBorder="1" applyAlignment="1">
      <alignment horizontal="center" vertical="center"/>
    </xf>
    <xf numFmtId="1" fontId="20600" fillId="8" borderId="1" xfId="0" applyNumberFormat="1" applyFont="1" applyFill="1" applyBorder="1" applyAlignment="1">
      <alignment horizontal="center" vertical="center"/>
    </xf>
    <xf numFmtId="1" fontId="20601" fillId="8" borderId="1" xfId="0" applyNumberFormat="1" applyFont="1" applyFill="1" applyBorder="1" applyAlignment="1">
      <alignment horizontal="center" vertical="center"/>
    </xf>
    <xf numFmtId="1" fontId="20602" fillId="8" borderId="1" xfId="0" applyNumberFormat="1" applyFont="1" applyFill="1" applyBorder="1" applyAlignment="1">
      <alignment horizontal="center" vertical="center"/>
    </xf>
    <xf numFmtId="0" fontId="20603" fillId="8" borderId="1" xfId="0" applyNumberFormat="1" applyFont="1" applyFill="1" applyBorder="1" applyAlignment="1">
      <alignment horizontal="center" vertical="center"/>
    </xf>
    <xf numFmtId="0" fontId="20604" fillId="8" borderId="1" xfId="0" applyNumberFormat="1" applyFont="1" applyFill="1" applyBorder="1" applyAlignment="1">
      <alignment horizontal="center" vertical="center"/>
    </xf>
    <xf numFmtId="1" fontId="20605" fillId="8" borderId="1" xfId="0" applyNumberFormat="1" applyFont="1" applyFill="1" applyBorder="1" applyAlignment="1">
      <alignment horizontal="center" vertical="center"/>
    </xf>
    <xf numFmtId="1" fontId="20606" fillId="8" borderId="1" xfId="0" applyNumberFormat="1" applyFont="1" applyFill="1" applyBorder="1" applyAlignment="1">
      <alignment horizontal="center" vertical="center"/>
    </xf>
    <xf numFmtId="1" fontId="20607" fillId="8" borderId="1" xfId="0" applyNumberFormat="1" applyFont="1" applyFill="1" applyBorder="1" applyAlignment="1">
      <alignment horizontal="center" vertical="center"/>
    </xf>
    <xf numFmtId="165" fontId="20608" fillId="8" borderId="1" xfId="0" applyNumberFormat="1" applyFont="1" applyFill="1" applyBorder="1" applyAlignment="1">
      <alignment horizontal="center" vertical="center"/>
    </xf>
    <xf numFmtId="1" fontId="20609" fillId="8" borderId="1" xfId="0" applyNumberFormat="1" applyFont="1" applyFill="1" applyBorder="1" applyAlignment="1">
      <alignment horizontal="center" vertical="center"/>
    </xf>
    <xf numFmtId="165" fontId="20610" fillId="8" borderId="1" xfId="0" applyNumberFormat="1" applyFont="1" applyFill="1" applyBorder="1" applyAlignment="1">
      <alignment horizontal="center" vertical="center"/>
    </xf>
    <xf numFmtId="1" fontId="20611" fillId="8" borderId="1" xfId="0" applyNumberFormat="1" applyFont="1" applyFill="1" applyBorder="1" applyAlignment="1">
      <alignment horizontal="center" vertical="center"/>
    </xf>
    <xf numFmtId="165" fontId="20612" fillId="8" borderId="1" xfId="0" applyNumberFormat="1" applyFont="1" applyFill="1" applyBorder="1" applyAlignment="1">
      <alignment horizontal="center" vertical="center"/>
    </xf>
    <xf numFmtId="1" fontId="20613" fillId="8" borderId="1" xfId="0" applyNumberFormat="1" applyFont="1" applyFill="1" applyBorder="1" applyAlignment="1">
      <alignment horizontal="center" vertical="center"/>
    </xf>
    <xf numFmtId="165" fontId="20614" fillId="8" borderId="1" xfId="0" applyNumberFormat="1" applyFont="1" applyFill="1" applyBorder="1" applyAlignment="1">
      <alignment horizontal="center" vertical="center"/>
    </xf>
    <xf numFmtId="165" fontId="20615" fillId="8" borderId="1" xfId="0" applyNumberFormat="1" applyFont="1" applyFill="1" applyBorder="1" applyAlignment="1">
      <alignment horizontal="center" vertical="center"/>
    </xf>
    <xf numFmtId="1" fontId="20616" fillId="8" borderId="1" xfId="0" applyNumberFormat="1" applyFont="1" applyFill="1" applyBorder="1" applyAlignment="1">
      <alignment horizontal="center" vertical="center"/>
    </xf>
    <xf numFmtId="1" fontId="20617" fillId="8" borderId="1" xfId="0" applyNumberFormat="1" applyFont="1" applyFill="1" applyBorder="1" applyAlignment="1">
      <alignment horizontal="center" vertical="center"/>
    </xf>
    <xf numFmtId="1" fontId="20618" fillId="8" borderId="1" xfId="0" applyNumberFormat="1" applyFont="1" applyFill="1" applyBorder="1" applyAlignment="1">
      <alignment horizontal="center" vertical="center"/>
    </xf>
    <xf numFmtId="165" fontId="20619" fillId="8" borderId="1" xfId="0" applyNumberFormat="1" applyFont="1" applyFill="1" applyBorder="1" applyAlignment="1">
      <alignment horizontal="center" vertical="center"/>
    </xf>
    <xf numFmtId="164" fontId="20620" fillId="8" borderId="1" xfId="0" applyNumberFormat="1" applyFont="1" applyFill="1" applyBorder="1" applyAlignment="1">
      <alignment horizontal="center" vertical="center"/>
    </xf>
    <xf numFmtId="164" fontId="20621" fillId="8" borderId="1" xfId="0" applyNumberFormat="1" applyFont="1" applyFill="1" applyBorder="1" applyAlignment="1">
      <alignment horizontal="center" vertical="center"/>
    </xf>
    <xf numFmtId="1" fontId="20622" fillId="8" borderId="1" xfId="0" applyNumberFormat="1" applyFont="1" applyFill="1" applyBorder="1" applyAlignment="1">
      <alignment horizontal="center" vertical="center"/>
    </xf>
    <xf numFmtId="1" fontId="20623" fillId="8" borderId="1" xfId="0" applyNumberFormat="1" applyFont="1" applyFill="1" applyBorder="1" applyAlignment="1">
      <alignment horizontal="center" vertical="center"/>
    </xf>
    <xf numFmtId="1" fontId="20624" fillId="8" borderId="1" xfId="0" applyNumberFormat="1" applyFont="1" applyFill="1" applyBorder="1" applyAlignment="1">
      <alignment horizontal="center" vertical="center"/>
    </xf>
    <xf numFmtId="165" fontId="20625" fillId="8" borderId="1" xfId="0" applyNumberFormat="1" applyFont="1" applyFill="1" applyBorder="1" applyAlignment="1">
      <alignment horizontal="center" vertical="center"/>
    </xf>
    <xf numFmtId="1" fontId="20626" fillId="8" borderId="1" xfId="0" applyNumberFormat="1" applyFont="1" applyFill="1" applyBorder="1" applyAlignment="1">
      <alignment horizontal="center" vertical="center"/>
    </xf>
    <xf numFmtId="165" fontId="20627" fillId="8" borderId="1" xfId="0" applyNumberFormat="1" applyFont="1" applyFill="1" applyBorder="1" applyAlignment="1">
      <alignment horizontal="center" vertical="center"/>
    </xf>
    <xf numFmtId="1" fontId="20628" fillId="8" borderId="1" xfId="0" applyNumberFormat="1" applyFont="1" applyFill="1" applyBorder="1" applyAlignment="1">
      <alignment horizontal="center" vertical="center"/>
    </xf>
    <xf numFmtId="1" fontId="20629" fillId="8" borderId="1" xfId="0" applyNumberFormat="1" applyFont="1" applyFill="1" applyBorder="1" applyAlignment="1">
      <alignment horizontal="center" vertical="center"/>
    </xf>
    <xf numFmtId="1" fontId="20630" fillId="8" borderId="1" xfId="0" applyNumberFormat="1" applyFont="1" applyFill="1" applyBorder="1" applyAlignment="1">
      <alignment horizontal="center" vertical="center"/>
    </xf>
    <xf numFmtId="1" fontId="20631" fillId="8" borderId="1" xfId="0" applyNumberFormat="1" applyFont="1" applyFill="1" applyBorder="1" applyAlignment="1">
      <alignment horizontal="center" vertical="center"/>
    </xf>
    <xf numFmtId="165" fontId="20632" fillId="8" borderId="1" xfId="0" applyNumberFormat="1" applyFont="1" applyFill="1" applyBorder="1" applyAlignment="1">
      <alignment horizontal="center" vertical="center"/>
    </xf>
    <xf numFmtId="1" fontId="20633" fillId="8" borderId="1" xfId="0" applyNumberFormat="1" applyFont="1" applyFill="1" applyBorder="1" applyAlignment="1">
      <alignment horizontal="center" vertical="center"/>
    </xf>
    <xf numFmtId="165" fontId="20634" fillId="8" borderId="1" xfId="0" applyNumberFormat="1" applyFont="1" applyFill="1" applyBorder="1" applyAlignment="1">
      <alignment horizontal="center" vertical="center"/>
    </xf>
    <xf numFmtId="1" fontId="20635" fillId="8" borderId="1" xfId="0" applyNumberFormat="1" applyFont="1" applyFill="1" applyBorder="1" applyAlignment="1">
      <alignment horizontal="center" vertical="center"/>
    </xf>
    <xf numFmtId="165" fontId="20636" fillId="8" borderId="1" xfId="0" applyNumberFormat="1" applyFont="1" applyFill="1" applyBorder="1" applyAlignment="1">
      <alignment horizontal="center" vertical="center"/>
    </xf>
    <xf numFmtId="2" fontId="20637" fillId="8" borderId="1" xfId="0" applyNumberFormat="1" applyFont="1" applyFill="1" applyBorder="1" applyAlignment="1">
      <alignment horizontal="center" vertical="center"/>
    </xf>
    <xf numFmtId="2" fontId="20638" fillId="8" borderId="1" xfId="0" applyNumberFormat="1" applyFont="1" applyFill="1" applyBorder="1" applyAlignment="1">
      <alignment horizontal="center" vertical="center"/>
    </xf>
    <xf numFmtId="2" fontId="20639" fillId="8" borderId="1" xfId="0" applyNumberFormat="1" applyFont="1" applyFill="1" applyBorder="1" applyAlignment="1">
      <alignment horizontal="center" vertical="center"/>
    </xf>
    <xf numFmtId="2" fontId="20640" fillId="8" borderId="1" xfId="0" applyNumberFormat="1" applyFont="1" applyFill="1" applyBorder="1" applyAlignment="1">
      <alignment horizontal="center" vertical="center"/>
    </xf>
    <xf numFmtId="2" fontId="20641" fillId="8" borderId="1" xfId="0" applyNumberFormat="1" applyFont="1" applyFill="1" applyBorder="1" applyAlignment="1">
      <alignment horizontal="center" vertical="center"/>
    </xf>
    <xf numFmtId="2" fontId="20642" fillId="8" borderId="1" xfId="0" applyNumberFormat="1" applyFont="1" applyFill="1" applyBorder="1" applyAlignment="1">
      <alignment horizontal="center" vertical="center"/>
    </xf>
    <xf numFmtId="2" fontId="20643" fillId="8" borderId="1" xfId="0" applyNumberFormat="1" applyFont="1" applyFill="1" applyBorder="1" applyAlignment="1">
      <alignment horizontal="center" vertical="center"/>
    </xf>
    <xf numFmtId="2" fontId="20644" fillId="8" borderId="1" xfId="0" applyNumberFormat="1" applyFont="1" applyFill="1" applyBorder="1" applyAlignment="1">
      <alignment horizontal="center" vertical="center"/>
    </xf>
    <xf numFmtId="2" fontId="20645" fillId="8" borderId="1" xfId="0" applyNumberFormat="1" applyFont="1" applyFill="1" applyBorder="1" applyAlignment="1">
      <alignment horizontal="center" vertical="center"/>
    </xf>
    <xf numFmtId="2" fontId="20646" fillId="8" borderId="1" xfId="0" applyNumberFormat="1" applyFont="1" applyFill="1" applyBorder="1" applyAlignment="1">
      <alignment horizontal="center" vertical="center"/>
    </xf>
    <xf numFmtId="2" fontId="20647" fillId="8" borderId="1" xfId="0" applyNumberFormat="1" applyFont="1" applyFill="1" applyBorder="1" applyAlignment="1">
      <alignment horizontal="center" vertical="center"/>
    </xf>
    <xf numFmtId="2" fontId="20648" fillId="8" borderId="1" xfId="0" applyNumberFormat="1" applyFont="1" applyFill="1" applyBorder="1" applyAlignment="1">
      <alignment horizontal="center" vertical="center"/>
    </xf>
    <xf numFmtId="2" fontId="20649" fillId="8" borderId="1" xfId="0" applyNumberFormat="1" applyFont="1" applyFill="1" applyBorder="1" applyAlignment="1">
      <alignment horizontal="center" vertical="center"/>
    </xf>
    <xf numFmtId="2" fontId="20650" fillId="8" borderId="1" xfId="0" applyNumberFormat="1" applyFont="1" applyFill="1" applyBorder="1" applyAlignment="1">
      <alignment horizontal="center" vertical="center"/>
    </xf>
    <xf numFmtId="2" fontId="20651" fillId="8" borderId="1" xfId="0" applyNumberFormat="1" applyFont="1" applyFill="1" applyBorder="1" applyAlignment="1">
      <alignment horizontal="center" vertical="center"/>
    </xf>
    <xf numFmtId="2" fontId="20652" fillId="8" borderId="1" xfId="0" applyNumberFormat="1" applyFont="1" applyFill="1" applyBorder="1" applyAlignment="1">
      <alignment horizontal="center" vertical="center"/>
    </xf>
    <xf numFmtId="2" fontId="20653" fillId="8" borderId="1" xfId="0" applyNumberFormat="1" applyFont="1" applyFill="1" applyBorder="1" applyAlignment="1">
      <alignment horizontal="center" vertical="center"/>
    </xf>
    <xf numFmtId="2" fontId="20654" fillId="8" borderId="1" xfId="0" applyNumberFormat="1" applyFont="1" applyFill="1" applyBorder="1" applyAlignment="1">
      <alignment horizontal="center" vertical="center"/>
    </xf>
    <xf numFmtId="2" fontId="20655" fillId="8" borderId="1" xfId="0" applyNumberFormat="1" applyFont="1" applyFill="1" applyBorder="1" applyAlignment="1">
      <alignment horizontal="center" vertical="center"/>
    </xf>
    <xf numFmtId="2" fontId="20656" fillId="8" borderId="1" xfId="0" applyNumberFormat="1" applyFont="1" applyFill="1" applyBorder="1" applyAlignment="1">
      <alignment horizontal="center" vertical="center"/>
    </xf>
    <xf numFmtId="2" fontId="20657" fillId="8" borderId="1" xfId="0" applyNumberFormat="1" applyFont="1" applyFill="1" applyBorder="1" applyAlignment="1">
      <alignment horizontal="center" vertical="center"/>
    </xf>
    <xf numFmtId="2" fontId="20658" fillId="8" borderId="1" xfId="0" applyNumberFormat="1" applyFont="1" applyFill="1" applyBorder="1" applyAlignment="1">
      <alignment horizontal="center" vertical="center"/>
    </xf>
    <xf numFmtId="2" fontId="20659" fillId="8" borderId="1" xfId="0" applyNumberFormat="1" applyFont="1" applyFill="1" applyBorder="1" applyAlignment="1">
      <alignment horizontal="center" vertical="center"/>
    </xf>
    <xf numFmtId="2" fontId="20660" fillId="8" borderId="1" xfId="0" applyNumberFormat="1" applyFont="1" applyFill="1" applyBorder="1" applyAlignment="1">
      <alignment horizontal="center" vertical="center"/>
    </xf>
    <xf numFmtId="2" fontId="20661" fillId="8" borderId="1" xfId="0" applyNumberFormat="1" applyFont="1" applyFill="1" applyBorder="1" applyAlignment="1">
      <alignment horizontal="center" vertical="center"/>
    </xf>
    <xf numFmtId="2" fontId="20662" fillId="8" borderId="1" xfId="0" applyNumberFormat="1" applyFont="1" applyFill="1" applyBorder="1" applyAlignment="1">
      <alignment horizontal="center" vertical="center"/>
    </xf>
    <xf numFmtId="2" fontId="20663" fillId="8" borderId="1" xfId="0" applyNumberFormat="1" applyFont="1" applyFill="1" applyBorder="1" applyAlignment="1">
      <alignment horizontal="center" vertical="center"/>
    </xf>
    <xf numFmtId="2" fontId="20664" fillId="8" borderId="1" xfId="0" applyNumberFormat="1" applyFont="1" applyFill="1" applyBorder="1" applyAlignment="1">
      <alignment horizontal="center" vertical="center"/>
    </xf>
    <xf numFmtId="2" fontId="20665" fillId="8" borderId="1" xfId="0" applyNumberFormat="1" applyFont="1" applyFill="1" applyBorder="1" applyAlignment="1">
      <alignment horizontal="center" vertical="center"/>
    </xf>
    <xf numFmtId="2" fontId="20666" fillId="8" borderId="1" xfId="0" applyNumberFormat="1" applyFont="1" applyFill="1" applyBorder="1" applyAlignment="1">
      <alignment horizontal="center" vertical="center"/>
    </xf>
    <xf numFmtId="2" fontId="20667" fillId="8" borderId="1" xfId="0" applyNumberFormat="1" applyFont="1" applyFill="1" applyBorder="1" applyAlignment="1">
      <alignment horizontal="center" vertical="center"/>
    </xf>
    <xf numFmtId="2" fontId="20668" fillId="8" borderId="1" xfId="0" applyNumberFormat="1" applyFont="1" applyFill="1" applyBorder="1" applyAlignment="1">
      <alignment horizontal="center" vertical="center"/>
    </xf>
    <xf numFmtId="2" fontId="20669" fillId="8" borderId="1" xfId="0" applyNumberFormat="1" applyFont="1" applyFill="1" applyBorder="1" applyAlignment="1">
      <alignment horizontal="center" vertical="center"/>
    </xf>
    <xf numFmtId="2" fontId="20670" fillId="8" borderId="1" xfId="0" applyNumberFormat="1" applyFont="1" applyFill="1" applyBorder="1" applyAlignment="1">
      <alignment horizontal="center" vertical="center"/>
    </xf>
    <xf numFmtId="0" fontId="20671" fillId="7" borderId="1" xfId="0" applyNumberFormat="1" applyFont="1" applyFill="1" applyBorder="1" applyAlignment="1">
      <alignment horizontal="left" vertical="center"/>
    </xf>
    <xf numFmtId="0" fontId="20672" fillId="8" borderId="1" xfId="0" applyNumberFormat="1" applyFont="1" applyFill="1" applyBorder="1" applyAlignment="1">
      <alignment horizontal="center" vertical="center"/>
    </xf>
    <xf numFmtId="164" fontId="20673" fillId="8" borderId="1" xfId="0" applyNumberFormat="1" applyFont="1" applyFill="1" applyBorder="1" applyAlignment="1">
      <alignment horizontal="center" vertical="center"/>
    </xf>
    <xf numFmtId="1" fontId="20674" fillId="8" borderId="1" xfId="0" applyNumberFormat="1" applyFont="1" applyFill="1" applyBorder="1" applyAlignment="1">
      <alignment horizontal="center" vertical="center"/>
    </xf>
    <xf numFmtId="1" fontId="20675" fillId="8" borderId="1" xfId="0" applyNumberFormat="1" applyFont="1" applyFill="1" applyBorder="1" applyAlignment="1">
      <alignment horizontal="center" vertical="center"/>
    </xf>
    <xf numFmtId="1" fontId="20676" fillId="8" borderId="1" xfId="0" applyNumberFormat="1" applyFont="1" applyFill="1" applyBorder="1" applyAlignment="1">
      <alignment horizontal="center" vertical="center"/>
    </xf>
    <xf numFmtId="1" fontId="20677" fillId="8" borderId="1" xfId="0" applyNumberFormat="1" applyFont="1" applyFill="1" applyBorder="1" applyAlignment="1">
      <alignment horizontal="center" vertical="center"/>
    </xf>
    <xf numFmtId="1" fontId="20678" fillId="8" borderId="1" xfId="0" applyNumberFormat="1" applyFont="1" applyFill="1" applyBorder="1" applyAlignment="1">
      <alignment horizontal="center" vertical="center"/>
    </xf>
    <xf numFmtId="1" fontId="20679" fillId="8" borderId="1" xfId="0" applyNumberFormat="1" applyFont="1" applyFill="1" applyBorder="1" applyAlignment="1">
      <alignment horizontal="center" vertical="center"/>
    </xf>
    <xf numFmtId="1" fontId="20680" fillId="8" borderId="1" xfId="0" applyNumberFormat="1" applyFont="1" applyFill="1" applyBorder="1" applyAlignment="1">
      <alignment horizontal="center" vertical="center"/>
    </xf>
    <xf numFmtId="0" fontId="20681" fillId="8" borderId="1" xfId="0" applyNumberFormat="1" applyFont="1" applyFill="1" applyBorder="1" applyAlignment="1">
      <alignment horizontal="center" vertical="center"/>
    </xf>
    <xf numFmtId="0" fontId="20682" fillId="8" borderId="1" xfId="0" applyNumberFormat="1" applyFont="1" applyFill="1" applyBorder="1" applyAlignment="1">
      <alignment horizontal="center" vertical="center"/>
    </xf>
    <xf numFmtId="1" fontId="20683" fillId="8" borderId="1" xfId="0" applyNumberFormat="1" applyFont="1" applyFill="1" applyBorder="1" applyAlignment="1">
      <alignment horizontal="center" vertical="center"/>
    </xf>
    <xf numFmtId="1" fontId="20684" fillId="8" borderId="1" xfId="0" applyNumberFormat="1" applyFont="1" applyFill="1" applyBorder="1" applyAlignment="1">
      <alignment horizontal="center" vertical="center"/>
    </xf>
    <xf numFmtId="1" fontId="20685" fillId="8" borderId="1" xfId="0" applyNumberFormat="1" applyFont="1" applyFill="1" applyBorder="1" applyAlignment="1">
      <alignment horizontal="center" vertical="center"/>
    </xf>
    <xf numFmtId="165" fontId="20686" fillId="8" borderId="1" xfId="0" applyNumberFormat="1" applyFont="1" applyFill="1" applyBorder="1" applyAlignment="1">
      <alignment horizontal="center" vertical="center"/>
    </xf>
    <xf numFmtId="1" fontId="20687" fillId="8" borderId="1" xfId="0" applyNumberFormat="1" applyFont="1" applyFill="1" applyBorder="1" applyAlignment="1">
      <alignment horizontal="center" vertical="center"/>
    </xf>
    <xf numFmtId="165" fontId="20688" fillId="8" borderId="1" xfId="0" applyNumberFormat="1" applyFont="1" applyFill="1" applyBorder="1" applyAlignment="1">
      <alignment horizontal="center" vertical="center"/>
    </xf>
    <xf numFmtId="1" fontId="20689" fillId="8" borderId="1" xfId="0" applyNumberFormat="1" applyFont="1" applyFill="1" applyBorder="1" applyAlignment="1">
      <alignment horizontal="center" vertical="center"/>
    </xf>
    <xf numFmtId="165" fontId="20690" fillId="8" borderId="1" xfId="0" applyNumberFormat="1" applyFont="1" applyFill="1" applyBorder="1" applyAlignment="1">
      <alignment horizontal="center" vertical="center"/>
    </xf>
    <xf numFmtId="1" fontId="20691" fillId="8" borderId="1" xfId="0" applyNumberFormat="1" applyFont="1" applyFill="1" applyBorder="1" applyAlignment="1">
      <alignment horizontal="center" vertical="center"/>
    </xf>
    <xf numFmtId="165" fontId="20692" fillId="8" borderId="1" xfId="0" applyNumberFormat="1" applyFont="1" applyFill="1" applyBorder="1" applyAlignment="1">
      <alignment horizontal="center" vertical="center"/>
    </xf>
    <xf numFmtId="165" fontId="20693" fillId="8" borderId="1" xfId="0" applyNumberFormat="1" applyFont="1" applyFill="1" applyBorder="1" applyAlignment="1">
      <alignment horizontal="center" vertical="center"/>
    </xf>
    <xf numFmtId="1" fontId="20694" fillId="8" borderId="1" xfId="0" applyNumberFormat="1" applyFont="1" applyFill="1" applyBorder="1" applyAlignment="1">
      <alignment horizontal="center" vertical="center"/>
    </xf>
    <xf numFmtId="1" fontId="20695" fillId="8" borderId="1" xfId="0" applyNumberFormat="1" applyFont="1" applyFill="1" applyBorder="1" applyAlignment="1">
      <alignment horizontal="center" vertical="center"/>
    </xf>
    <xf numFmtId="1" fontId="20696" fillId="8" borderId="1" xfId="0" applyNumberFormat="1" applyFont="1" applyFill="1" applyBorder="1" applyAlignment="1">
      <alignment horizontal="center" vertical="center"/>
    </xf>
    <xf numFmtId="165" fontId="20697" fillId="8" borderId="1" xfId="0" applyNumberFormat="1" applyFont="1" applyFill="1" applyBorder="1" applyAlignment="1">
      <alignment horizontal="center" vertical="center"/>
    </xf>
    <xf numFmtId="164" fontId="20698" fillId="8" borderId="1" xfId="0" applyNumberFormat="1" applyFont="1" applyFill="1" applyBorder="1" applyAlignment="1">
      <alignment horizontal="center" vertical="center"/>
    </xf>
    <xf numFmtId="164" fontId="20699" fillId="8" borderId="1" xfId="0" applyNumberFormat="1" applyFont="1" applyFill="1" applyBorder="1" applyAlignment="1">
      <alignment horizontal="center" vertical="center"/>
    </xf>
    <xf numFmtId="1" fontId="20700" fillId="8" borderId="1" xfId="0" applyNumberFormat="1" applyFont="1" applyFill="1" applyBorder="1" applyAlignment="1">
      <alignment horizontal="center" vertical="center"/>
    </xf>
    <xf numFmtId="1" fontId="20701" fillId="8" borderId="1" xfId="0" applyNumberFormat="1" applyFont="1" applyFill="1" applyBorder="1" applyAlignment="1">
      <alignment horizontal="center" vertical="center"/>
    </xf>
    <xf numFmtId="1" fontId="20702" fillId="8" borderId="1" xfId="0" applyNumberFormat="1" applyFont="1" applyFill="1" applyBorder="1" applyAlignment="1">
      <alignment horizontal="center" vertical="center"/>
    </xf>
    <xf numFmtId="165" fontId="20703" fillId="8" borderId="1" xfId="0" applyNumberFormat="1" applyFont="1" applyFill="1" applyBorder="1" applyAlignment="1">
      <alignment horizontal="center" vertical="center"/>
    </xf>
    <xf numFmtId="1" fontId="20704" fillId="8" borderId="1" xfId="0" applyNumberFormat="1" applyFont="1" applyFill="1" applyBorder="1" applyAlignment="1">
      <alignment horizontal="center" vertical="center"/>
    </xf>
    <xf numFmtId="165" fontId="20705" fillId="8" borderId="1" xfId="0" applyNumberFormat="1" applyFont="1" applyFill="1" applyBorder="1" applyAlignment="1">
      <alignment horizontal="center" vertical="center"/>
    </xf>
    <xf numFmtId="1" fontId="20706" fillId="8" borderId="1" xfId="0" applyNumberFormat="1" applyFont="1" applyFill="1" applyBorder="1" applyAlignment="1">
      <alignment horizontal="center" vertical="center"/>
    </xf>
    <xf numFmtId="1" fontId="20707" fillId="8" borderId="1" xfId="0" applyNumberFormat="1" applyFont="1" applyFill="1" applyBorder="1" applyAlignment="1">
      <alignment horizontal="center" vertical="center"/>
    </xf>
    <xf numFmtId="1" fontId="20708" fillId="8" borderId="1" xfId="0" applyNumberFormat="1" applyFont="1" applyFill="1" applyBorder="1" applyAlignment="1">
      <alignment horizontal="center" vertical="center"/>
    </xf>
    <xf numFmtId="1" fontId="20709" fillId="8" borderId="1" xfId="0" applyNumberFormat="1" applyFont="1" applyFill="1" applyBorder="1" applyAlignment="1">
      <alignment horizontal="center" vertical="center"/>
    </xf>
    <xf numFmtId="165" fontId="20710" fillId="8" borderId="1" xfId="0" applyNumberFormat="1" applyFont="1" applyFill="1" applyBorder="1" applyAlignment="1">
      <alignment horizontal="center" vertical="center"/>
    </xf>
    <xf numFmtId="1" fontId="20711" fillId="8" borderId="1" xfId="0" applyNumberFormat="1" applyFont="1" applyFill="1" applyBorder="1" applyAlignment="1">
      <alignment horizontal="center" vertical="center"/>
    </xf>
    <xf numFmtId="165" fontId="20712" fillId="8" borderId="1" xfId="0" applyNumberFormat="1" applyFont="1" applyFill="1" applyBorder="1" applyAlignment="1">
      <alignment horizontal="center" vertical="center"/>
    </xf>
    <xf numFmtId="1" fontId="20713" fillId="8" borderId="1" xfId="0" applyNumberFormat="1" applyFont="1" applyFill="1" applyBorder="1" applyAlignment="1">
      <alignment horizontal="center" vertical="center"/>
    </xf>
    <xf numFmtId="165" fontId="20714" fillId="8" borderId="1" xfId="0" applyNumberFormat="1" applyFont="1" applyFill="1" applyBorder="1" applyAlignment="1">
      <alignment horizontal="center" vertical="center"/>
    </xf>
    <xf numFmtId="2" fontId="20715" fillId="8" borderId="1" xfId="0" applyNumberFormat="1" applyFont="1" applyFill="1" applyBorder="1" applyAlignment="1">
      <alignment horizontal="center" vertical="center"/>
    </xf>
    <xf numFmtId="2" fontId="20716" fillId="8" borderId="1" xfId="0" applyNumberFormat="1" applyFont="1" applyFill="1" applyBorder="1" applyAlignment="1">
      <alignment horizontal="center" vertical="center"/>
    </xf>
    <xf numFmtId="2" fontId="20717" fillId="8" borderId="1" xfId="0" applyNumberFormat="1" applyFont="1" applyFill="1" applyBorder="1" applyAlignment="1">
      <alignment horizontal="center" vertical="center"/>
    </xf>
    <xf numFmtId="2" fontId="20718" fillId="8" borderId="1" xfId="0" applyNumberFormat="1" applyFont="1" applyFill="1" applyBorder="1" applyAlignment="1">
      <alignment horizontal="center" vertical="center"/>
    </xf>
    <xf numFmtId="2" fontId="20719" fillId="8" borderId="1" xfId="0" applyNumberFormat="1" applyFont="1" applyFill="1" applyBorder="1" applyAlignment="1">
      <alignment horizontal="center" vertical="center"/>
    </xf>
    <xf numFmtId="2" fontId="20720" fillId="8" borderId="1" xfId="0" applyNumberFormat="1" applyFont="1" applyFill="1" applyBorder="1" applyAlignment="1">
      <alignment horizontal="center" vertical="center"/>
    </xf>
    <xf numFmtId="2" fontId="20721" fillId="8" borderId="1" xfId="0" applyNumberFormat="1" applyFont="1" applyFill="1" applyBorder="1" applyAlignment="1">
      <alignment horizontal="center" vertical="center"/>
    </xf>
    <xf numFmtId="2" fontId="20722" fillId="8" borderId="1" xfId="0" applyNumberFormat="1" applyFont="1" applyFill="1" applyBorder="1" applyAlignment="1">
      <alignment horizontal="center" vertical="center"/>
    </xf>
    <xf numFmtId="2" fontId="20723" fillId="8" borderId="1" xfId="0" applyNumberFormat="1" applyFont="1" applyFill="1" applyBorder="1" applyAlignment="1">
      <alignment horizontal="center" vertical="center"/>
    </xf>
    <xf numFmtId="2" fontId="20724" fillId="8" borderId="1" xfId="0" applyNumberFormat="1" applyFont="1" applyFill="1" applyBorder="1" applyAlignment="1">
      <alignment horizontal="center" vertical="center"/>
    </xf>
    <xf numFmtId="2" fontId="20725" fillId="8" borderId="1" xfId="0" applyNumberFormat="1" applyFont="1" applyFill="1" applyBorder="1" applyAlignment="1">
      <alignment horizontal="center" vertical="center"/>
    </xf>
    <xf numFmtId="2" fontId="20726" fillId="8" borderId="1" xfId="0" applyNumberFormat="1" applyFont="1" applyFill="1" applyBorder="1" applyAlignment="1">
      <alignment horizontal="center" vertical="center"/>
    </xf>
    <xf numFmtId="2" fontId="20727" fillId="8" borderId="1" xfId="0" applyNumberFormat="1" applyFont="1" applyFill="1" applyBorder="1" applyAlignment="1">
      <alignment horizontal="center" vertical="center"/>
    </xf>
    <xf numFmtId="2" fontId="20728" fillId="8" borderId="1" xfId="0" applyNumberFormat="1" applyFont="1" applyFill="1" applyBorder="1" applyAlignment="1">
      <alignment horizontal="center" vertical="center"/>
    </xf>
    <xf numFmtId="2" fontId="20729" fillId="8" borderId="1" xfId="0" applyNumberFormat="1" applyFont="1" applyFill="1" applyBorder="1" applyAlignment="1">
      <alignment horizontal="center" vertical="center"/>
    </xf>
    <xf numFmtId="2" fontId="20730" fillId="8" borderId="1" xfId="0" applyNumberFormat="1" applyFont="1" applyFill="1" applyBorder="1" applyAlignment="1">
      <alignment horizontal="center" vertical="center"/>
    </xf>
    <xf numFmtId="2" fontId="20731" fillId="8" borderId="1" xfId="0" applyNumberFormat="1" applyFont="1" applyFill="1" applyBorder="1" applyAlignment="1">
      <alignment horizontal="center" vertical="center"/>
    </xf>
    <xf numFmtId="2" fontId="20732" fillId="8" borderId="1" xfId="0" applyNumberFormat="1" applyFont="1" applyFill="1" applyBorder="1" applyAlignment="1">
      <alignment horizontal="center" vertical="center"/>
    </xf>
    <xf numFmtId="2" fontId="20733" fillId="8" borderId="1" xfId="0" applyNumberFormat="1" applyFont="1" applyFill="1" applyBorder="1" applyAlignment="1">
      <alignment horizontal="center" vertical="center"/>
    </xf>
    <xf numFmtId="2" fontId="20734" fillId="8" borderId="1" xfId="0" applyNumberFormat="1" applyFont="1" applyFill="1" applyBorder="1" applyAlignment="1">
      <alignment horizontal="center" vertical="center"/>
    </xf>
    <xf numFmtId="2" fontId="20735" fillId="8" borderId="1" xfId="0" applyNumberFormat="1" applyFont="1" applyFill="1" applyBorder="1" applyAlignment="1">
      <alignment horizontal="center" vertical="center"/>
    </xf>
    <xf numFmtId="2" fontId="20736" fillId="8" borderId="1" xfId="0" applyNumberFormat="1" applyFont="1" applyFill="1" applyBorder="1" applyAlignment="1">
      <alignment horizontal="center" vertical="center"/>
    </xf>
    <xf numFmtId="2" fontId="20737" fillId="8" borderId="1" xfId="0" applyNumberFormat="1" applyFont="1" applyFill="1" applyBorder="1" applyAlignment="1">
      <alignment horizontal="center" vertical="center"/>
    </xf>
    <xf numFmtId="2" fontId="20738" fillId="8" borderId="1" xfId="0" applyNumberFormat="1" applyFont="1" applyFill="1" applyBorder="1" applyAlignment="1">
      <alignment horizontal="center" vertical="center"/>
    </xf>
    <xf numFmtId="2" fontId="20739" fillId="8" borderId="1" xfId="0" applyNumberFormat="1" applyFont="1" applyFill="1" applyBorder="1" applyAlignment="1">
      <alignment horizontal="center" vertical="center"/>
    </xf>
    <xf numFmtId="2" fontId="20740" fillId="8" borderId="1" xfId="0" applyNumberFormat="1" applyFont="1" applyFill="1" applyBorder="1" applyAlignment="1">
      <alignment horizontal="center" vertical="center"/>
    </xf>
    <xf numFmtId="2" fontId="20741" fillId="8" borderId="1" xfId="0" applyNumberFormat="1" applyFont="1" applyFill="1" applyBorder="1" applyAlignment="1">
      <alignment horizontal="center" vertical="center"/>
    </xf>
    <xf numFmtId="2" fontId="20742" fillId="8" borderId="1" xfId="0" applyNumberFormat="1" applyFont="1" applyFill="1" applyBorder="1" applyAlignment="1">
      <alignment horizontal="center" vertical="center"/>
    </xf>
    <xf numFmtId="2" fontId="20743" fillId="8" borderId="1" xfId="0" applyNumberFormat="1" applyFont="1" applyFill="1" applyBorder="1" applyAlignment="1">
      <alignment horizontal="center" vertical="center"/>
    </xf>
    <xf numFmtId="2" fontId="20744" fillId="8" borderId="1" xfId="0" applyNumberFormat="1" applyFont="1" applyFill="1" applyBorder="1" applyAlignment="1">
      <alignment horizontal="center" vertical="center"/>
    </xf>
    <xf numFmtId="2" fontId="20745" fillId="8" borderId="1" xfId="0" applyNumberFormat="1" applyFont="1" applyFill="1" applyBorder="1" applyAlignment="1">
      <alignment horizontal="center" vertical="center"/>
    </xf>
    <xf numFmtId="2" fontId="20746" fillId="8" borderId="1" xfId="0" applyNumberFormat="1" applyFont="1" applyFill="1" applyBorder="1" applyAlignment="1">
      <alignment horizontal="center" vertical="center"/>
    </xf>
    <xf numFmtId="2" fontId="20747" fillId="8" borderId="1" xfId="0" applyNumberFormat="1" applyFont="1" applyFill="1" applyBorder="1" applyAlignment="1">
      <alignment horizontal="center" vertical="center"/>
    </xf>
    <xf numFmtId="2" fontId="20748" fillId="8" borderId="1" xfId="0" applyNumberFormat="1" applyFont="1" applyFill="1" applyBorder="1" applyAlignment="1">
      <alignment horizontal="center" vertical="center"/>
    </xf>
    <xf numFmtId="0" fontId="20749" fillId="7" borderId="1" xfId="0" applyNumberFormat="1" applyFont="1" applyFill="1" applyBorder="1" applyAlignment="1">
      <alignment horizontal="left" vertical="center"/>
    </xf>
    <xf numFmtId="0" fontId="20750" fillId="8" borderId="1" xfId="0" applyNumberFormat="1" applyFont="1" applyFill="1" applyBorder="1" applyAlignment="1">
      <alignment horizontal="center" vertical="center"/>
    </xf>
    <xf numFmtId="164" fontId="20751" fillId="8" borderId="1" xfId="0" applyNumberFormat="1" applyFont="1" applyFill="1" applyBorder="1" applyAlignment="1">
      <alignment horizontal="center" vertical="center"/>
    </xf>
    <xf numFmtId="1" fontId="20752" fillId="8" borderId="1" xfId="0" applyNumberFormat="1" applyFont="1" applyFill="1" applyBorder="1" applyAlignment="1">
      <alignment horizontal="center" vertical="center"/>
    </xf>
    <xf numFmtId="1" fontId="20753" fillId="8" borderId="1" xfId="0" applyNumberFormat="1" applyFont="1" applyFill="1" applyBorder="1" applyAlignment="1">
      <alignment horizontal="center" vertical="center"/>
    </xf>
    <xf numFmtId="1" fontId="20754" fillId="8" borderId="1" xfId="0" applyNumberFormat="1" applyFont="1" applyFill="1" applyBorder="1" applyAlignment="1">
      <alignment horizontal="center" vertical="center"/>
    </xf>
    <xf numFmtId="1" fontId="20755" fillId="8" borderId="1" xfId="0" applyNumberFormat="1" applyFont="1" applyFill="1" applyBorder="1" applyAlignment="1">
      <alignment horizontal="center" vertical="center"/>
    </xf>
    <xf numFmtId="1" fontId="20756" fillId="8" borderId="1" xfId="0" applyNumberFormat="1" applyFont="1" applyFill="1" applyBorder="1" applyAlignment="1">
      <alignment horizontal="center" vertical="center"/>
    </xf>
    <xf numFmtId="1" fontId="20757" fillId="8" borderId="1" xfId="0" applyNumberFormat="1" applyFont="1" applyFill="1" applyBorder="1" applyAlignment="1">
      <alignment horizontal="center" vertical="center"/>
    </xf>
    <xf numFmtId="1" fontId="20758" fillId="8" borderId="1" xfId="0" applyNumberFormat="1" applyFont="1" applyFill="1" applyBorder="1" applyAlignment="1">
      <alignment horizontal="center" vertical="center"/>
    </xf>
    <xf numFmtId="0" fontId="20759" fillId="8" borderId="1" xfId="0" applyNumberFormat="1" applyFont="1" applyFill="1" applyBorder="1" applyAlignment="1">
      <alignment horizontal="center" vertical="center"/>
    </xf>
    <xf numFmtId="0" fontId="20760" fillId="8" borderId="1" xfId="0" applyNumberFormat="1" applyFont="1" applyFill="1" applyBorder="1" applyAlignment="1">
      <alignment horizontal="center" vertical="center"/>
    </xf>
    <xf numFmtId="1" fontId="20761" fillId="8" borderId="1" xfId="0" applyNumberFormat="1" applyFont="1" applyFill="1" applyBorder="1" applyAlignment="1">
      <alignment horizontal="center" vertical="center"/>
    </xf>
    <xf numFmtId="1" fontId="20762" fillId="8" borderId="1" xfId="0" applyNumberFormat="1" applyFont="1" applyFill="1" applyBorder="1" applyAlignment="1">
      <alignment horizontal="center" vertical="center"/>
    </xf>
    <xf numFmtId="1" fontId="20763" fillId="8" borderId="1" xfId="0" applyNumberFormat="1" applyFont="1" applyFill="1" applyBorder="1" applyAlignment="1">
      <alignment horizontal="center" vertical="center"/>
    </xf>
    <xf numFmtId="165" fontId="20764" fillId="8" borderId="1" xfId="0" applyNumberFormat="1" applyFont="1" applyFill="1" applyBorder="1" applyAlignment="1">
      <alignment horizontal="center" vertical="center"/>
    </xf>
    <xf numFmtId="1" fontId="20765" fillId="8" borderId="1" xfId="0" applyNumberFormat="1" applyFont="1" applyFill="1" applyBorder="1" applyAlignment="1">
      <alignment horizontal="center" vertical="center"/>
    </xf>
    <xf numFmtId="165" fontId="20766" fillId="8" borderId="1" xfId="0" applyNumberFormat="1" applyFont="1" applyFill="1" applyBorder="1" applyAlignment="1">
      <alignment horizontal="center" vertical="center"/>
    </xf>
    <xf numFmtId="1" fontId="20767" fillId="8" borderId="1" xfId="0" applyNumberFormat="1" applyFont="1" applyFill="1" applyBorder="1" applyAlignment="1">
      <alignment horizontal="center" vertical="center"/>
    </xf>
    <xf numFmtId="165" fontId="20768" fillId="8" borderId="1" xfId="0" applyNumberFormat="1" applyFont="1" applyFill="1" applyBorder="1" applyAlignment="1">
      <alignment horizontal="center" vertical="center"/>
    </xf>
    <xf numFmtId="1" fontId="20769" fillId="8" borderId="1" xfId="0" applyNumberFormat="1" applyFont="1" applyFill="1" applyBorder="1" applyAlignment="1">
      <alignment horizontal="center" vertical="center"/>
    </xf>
    <xf numFmtId="165" fontId="20770" fillId="8" borderId="1" xfId="0" applyNumberFormat="1" applyFont="1" applyFill="1" applyBorder="1" applyAlignment="1">
      <alignment horizontal="center" vertical="center"/>
    </xf>
    <xf numFmtId="165" fontId="20771" fillId="8" borderId="1" xfId="0" applyNumberFormat="1" applyFont="1" applyFill="1" applyBorder="1" applyAlignment="1">
      <alignment horizontal="center" vertical="center"/>
    </xf>
    <xf numFmtId="1" fontId="20772" fillId="8" borderId="1" xfId="0" applyNumberFormat="1" applyFont="1" applyFill="1" applyBorder="1" applyAlignment="1">
      <alignment horizontal="center" vertical="center"/>
    </xf>
    <xf numFmtId="1" fontId="20773" fillId="8" borderId="1" xfId="0" applyNumberFormat="1" applyFont="1" applyFill="1" applyBorder="1" applyAlignment="1">
      <alignment horizontal="center" vertical="center"/>
    </xf>
    <xf numFmtId="1" fontId="20774" fillId="8" borderId="1" xfId="0" applyNumberFormat="1" applyFont="1" applyFill="1" applyBorder="1" applyAlignment="1">
      <alignment horizontal="center" vertical="center"/>
    </xf>
    <xf numFmtId="165" fontId="20775" fillId="8" borderId="1" xfId="0" applyNumberFormat="1" applyFont="1" applyFill="1" applyBorder="1" applyAlignment="1">
      <alignment horizontal="center" vertical="center"/>
    </xf>
    <xf numFmtId="164" fontId="20776" fillId="8" borderId="1" xfId="0" applyNumberFormat="1" applyFont="1" applyFill="1" applyBorder="1" applyAlignment="1">
      <alignment horizontal="center" vertical="center"/>
    </xf>
    <xf numFmtId="164" fontId="20777" fillId="8" borderId="1" xfId="0" applyNumberFormat="1" applyFont="1" applyFill="1" applyBorder="1" applyAlignment="1">
      <alignment horizontal="center" vertical="center"/>
    </xf>
    <xf numFmtId="1" fontId="20778" fillId="8" borderId="1" xfId="0" applyNumberFormat="1" applyFont="1" applyFill="1" applyBorder="1" applyAlignment="1">
      <alignment horizontal="center" vertical="center"/>
    </xf>
    <xf numFmtId="1" fontId="20779" fillId="8" borderId="1" xfId="0" applyNumberFormat="1" applyFont="1" applyFill="1" applyBorder="1" applyAlignment="1">
      <alignment horizontal="center" vertical="center"/>
    </xf>
    <xf numFmtId="1" fontId="20780" fillId="8" borderId="1" xfId="0" applyNumberFormat="1" applyFont="1" applyFill="1" applyBorder="1" applyAlignment="1">
      <alignment horizontal="center" vertical="center"/>
    </xf>
    <xf numFmtId="165" fontId="20781" fillId="8" borderId="1" xfId="0" applyNumberFormat="1" applyFont="1" applyFill="1" applyBorder="1" applyAlignment="1">
      <alignment horizontal="center" vertical="center"/>
    </xf>
    <xf numFmtId="1" fontId="20782" fillId="8" borderId="1" xfId="0" applyNumberFormat="1" applyFont="1" applyFill="1" applyBorder="1" applyAlignment="1">
      <alignment horizontal="center" vertical="center"/>
    </xf>
    <xf numFmtId="165" fontId="20783" fillId="8" borderId="1" xfId="0" applyNumberFormat="1" applyFont="1" applyFill="1" applyBorder="1" applyAlignment="1">
      <alignment horizontal="center" vertical="center"/>
    </xf>
    <xf numFmtId="1" fontId="20784" fillId="8" borderId="1" xfId="0" applyNumberFormat="1" applyFont="1" applyFill="1" applyBorder="1" applyAlignment="1">
      <alignment horizontal="center" vertical="center"/>
    </xf>
    <xf numFmtId="1" fontId="20785" fillId="8" borderId="1" xfId="0" applyNumberFormat="1" applyFont="1" applyFill="1" applyBorder="1" applyAlignment="1">
      <alignment horizontal="center" vertical="center"/>
    </xf>
    <xf numFmtId="1" fontId="20786" fillId="8" borderId="1" xfId="0" applyNumberFormat="1" applyFont="1" applyFill="1" applyBorder="1" applyAlignment="1">
      <alignment horizontal="center" vertical="center"/>
    </xf>
    <xf numFmtId="1" fontId="20787" fillId="8" borderId="1" xfId="0" applyNumberFormat="1" applyFont="1" applyFill="1" applyBorder="1" applyAlignment="1">
      <alignment horizontal="center" vertical="center"/>
    </xf>
    <xf numFmtId="165" fontId="20788" fillId="8" borderId="1" xfId="0" applyNumberFormat="1" applyFont="1" applyFill="1" applyBorder="1" applyAlignment="1">
      <alignment horizontal="center" vertical="center"/>
    </xf>
    <xf numFmtId="1" fontId="20789" fillId="8" borderId="1" xfId="0" applyNumberFormat="1" applyFont="1" applyFill="1" applyBorder="1" applyAlignment="1">
      <alignment horizontal="center" vertical="center"/>
    </xf>
    <xf numFmtId="165" fontId="20790" fillId="8" borderId="1" xfId="0" applyNumberFormat="1" applyFont="1" applyFill="1" applyBorder="1" applyAlignment="1">
      <alignment horizontal="center" vertical="center"/>
    </xf>
    <xf numFmtId="1" fontId="20791" fillId="8" borderId="1" xfId="0" applyNumberFormat="1" applyFont="1" applyFill="1" applyBorder="1" applyAlignment="1">
      <alignment horizontal="center" vertical="center"/>
    </xf>
    <xf numFmtId="165" fontId="20792" fillId="8" borderId="1" xfId="0" applyNumberFormat="1" applyFont="1" applyFill="1" applyBorder="1" applyAlignment="1">
      <alignment horizontal="center" vertical="center"/>
    </xf>
    <xf numFmtId="2" fontId="20793" fillId="8" borderId="1" xfId="0" applyNumberFormat="1" applyFont="1" applyFill="1" applyBorder="1" applyAlignment="1">
      <alignment horizontal="center" vertical="center"/>
    </xf>
    <xf numFmtId="2" fontId="20794" fillId="8" borderId="1" xfId="0" applyNumberFormat="1" applyFont="1" applyFill="1" applyBorder="1" applyAlignment="1">
      <alignment horizontal="center" vertical="center"/>
    </xf>
    <xf numFmtId="2" fontId="20795" fillId="8" borderId="1" xfId="0" applyNumberFormat="1" applyFont="1" applyFill="1" applyBorder="1" applyAlignment="1">
      <alignment horizontal="center" vertical="center"/>
    </xf>
    <xf numFmtId="2" fontId="20796" fillId="8" borderId="1" xfId="0" applyNumberFormat="1" applyFont="1" applyFill="1" applyBorder="1" applyAlignment="1">
      <alignment horizontal="center" vertical="center"/>
    </xf>
    <xf numFmtId="2" fontId="20797" fillId="8" borderId="1" xfId="0" applyNumberFormat="1" applyFont="1" applyFill="1" applyBorder="1" applyAlignment="1">
      <alignment horizontal="center" vertical="center"/>
    </xf>
    <xf numFmtId="2" fontId="20798" fillId="8" borderId="1" xfId="0" applyNumberFormat="1" applyFont="1" applyFill="1" applyBorder="1" applyAlignment="1">
      <alignment horizontal="center" vertical="center"/>
    </xf>
    <xf numFmtId="2" fontId="20799" fillId="8" borderId="1" xfId="0" applyNumberFormat="1" applyFont="1" applyFill="1" applyBorder="1" applyAlignment="1">
      <alignment horizontal="center" vertical="center"/>
    </xf>
    <xf numFmtId="2" fontId="20800" fillId="8" borderId="1" xfId="0" applyNumberFormat="1" applyFont="1" applyFill="1" applyBorder="1" applyAlignment="1">
      <alignment horizontal="center" vertical="center"/>
    </xf>
    <xf numFmtId="2" fontId="20801" fillId="8" borderId="1" xfId="0" applyNumberFormat="1" applyFont="1" applyFill="1" applyBorder="1" applyAlignment="1">
      <alignment horizontal="center" vertical="center"/>
    </xf>
    <xf numFmtId="2" fontId="20802" fillId="8" borderId="1" xfId="0" applyNumberFormat="1" applyFont="1" applyFill="1" applyBorder="1" applyAlignment="1">
      <alignment horizontal="center" vertical="center"/>
    </xf>
    <xf numFmtId="2" fontId="20803" fillId="8" borderId="1" xfId="0" applyNumberFormat="1" applyFont="1" applyFill="1" applyBorder="1" applyAlignment="1">
      <alignment horizontal="center" vertical="center"/>
    </xf>
    <xf numFmtId="2" fontId="20804" fillId="8" borderId="1" xfId="0" applyNumberFormat="1" applyFont="1" applyFill="1" applyBorder="1" applyAlignment="1">
      <alignment horizontal="center" vertical="center"/>
    </xf>
    <xf numFmtId="2" fontId="20805" fillId="8" borderId="1" xfId="0" applyNumberFormat="1" applyFont="1" applyFill="1" applyBorder="1" applyAlignment="1">
      <alignment horizontal="center" vertical="center"/>
    </xf>
    <xf numFmtId="2" fontId="20806" fillId="8" borderId="1" xfId="0" applyNumberFormat="1" applyFont="1" applyFill="1" applyBorder="1" applyAlignment="1">
      <alignment horizontal="center" vertical="center"/>
    </xf>
    <xf numFmtId="2" fontId="20807" fillId="8" borderId="1" xfId="0" applyNumberFormat="1" applyFont="1" applyFill="1" applyBorder="1" applyAlignment="1">
      <alignment horizontal="center" vertical="center"/>
    </xf>
    <xf numFmtId="2" fontId="20808" fillId="8" borderId="1" xfId="0" applyNumberFormat="1" applyFont="1" applyFill="1" applyBorder="1" applyAlignment="1">
      <alignment horizontal="center" vertical="center"/>
    </xf>
    <xf numFmtId="2" fontId="20809" fillId="8" borderId="1" xfId="0" applyNumberFormat="1" applyFont="1" applyFill="1" applyBorder="1" applyAlignment="1">
      <alignment horizontal="center" vertical="center"/>
    </xf>
    <xf numFmtId="2" fontId="20810" fillId="8" borderId="1" xfId="0" applyNumberFormat="1" applyFont="1" applyFill="1" applyBorder="1" applyAlignment="1">
      <alignment horizontal="center" vertical="center"/>
    </xf>
    <xf numFmtId="2" fontId="20811" fillId="8" borderId="1" xfId="0" applyNumberFormat="1" applyFont="1" applyFill="1" applyBorder="1" applyAlignment="1">
      <alignment horizontal="center" vertical="center"/>
    </xf>
    <xf numFmtId="2" fontId="20812" fillId="8" borderId="1" xfId="0" applyNumberFormat="1" applyFont="1" applyFill="1" applyBorder="1" applyAlignment="1">
      <alignment horizontal="center" vertical="center"/>
    </xf>
    <xf numFmtId="2" fontId="20813" fillId="8" borderId="1" xfId="0" applyNumberFormat="1" applyFont="1" applyFill="1" applyBorder="1" applyAlignment="1">
      <alignment horizontal="center" vertical="center"/>
    </xf>
    <xf numFmtId="2" fontId="20814" fillId="8" borderId="1" xfId="0" applyNumberFormat="1" applyFont="1" applyFill="1" applyBorder="1" applyAlignment="1">
      <alignment horizontal="center" vertical="center"/>
    </xf>
    <xf numFmtId="2" fontId="20815" fillId="8" borderId="1" xfId="0" applyNumberFormat="1" applyFont="1" applyFill="1" applyBorder="1" applyAlignment="1">
      <alignment horizontal="center" vertical="center"/>
    </xf>
    <xf numFmtId="2" fontId="20816" fillId="8" borderId="1" xfId="0" applyNumberFormat="1" applyFont="1" applyFill="1" applyBorder="1" applyAlignment="1">
      <alignment horizontal="center" vertical="center"/>
    </xf>
    <xf numFmtId="2" fontId="20817" fillId="8" borderId="1" xfId="0" applyNumberFormat="1" applyFont="1" applyFill="1" applyBorder="1" applyAlignment="1">
      <alignment horizontal="center" vertical="center"/>
    </xf>
    <xf numFmtId="2" fontId="20818" fillId="8" borderId="1" xfId="0" applyNumberFormat="1" applyFont="1" applyFill="1" applyBorder="1" applyAlignment="1">
      <alignment horizontal="center" vertical="center"/>
    </xf>
    <xf numFmtId="2" fontId="20819" fillId="8" borderId="1" xfId="0" applyNumberFormat="1" applyFont="1" applyFill="1" applyBorder="1" applyAlignment="1">
      <alignment horizontal="center" vertical="center"/>
    </xf>
    <xf numFmtId="2" fontId="20820" fillId="8" borderId="1" xfId="0" applyNumberFormat="1" applyFont="1" applyFill="1" applyBorder="1" applyAlignment="1">
      <alignment horizontal="center" vertical="center"/>
    </xf>
    <xf numFmtId="2" fontId="20821" fillId="8" borderId="1" xfId="0" applyNumberFormat="1" applyFont="1" applyFill="1" applyBorder="1" applyAlignment="1">
      <alignment horizontal="center" vertical="center"/>
    </xf>
    <xf numFmtId="2" fontId="20822" fillId="8" borderId="1" xfId="0" applyNumberFormat="1" applyFont="1" applyFill="1" applyBorder="1" applyAlignment="1">
      <alignment horizontal="center" vertical="center"/>
    </xf>
    <xf numFmtId="2" fontId="20823" fillId="8" borderId="1" xfId="0" applyNumberFormat="1" applyFont="1" applyFill="1" applyBorder="1" applyAlignment="1">
      <alignment horizontal="center" vertical="center"/>
    </xf>
    <xf numFmtId="2" fontId="20824" fillId="8" borderId="1" xfId="0" applyNumberFormat="1" applyFont="1" applyFill="1" applyBorder="1" applyAlignment="1">
      <alignment horizontal="center" vertical="center"/>
    </xf>
    <xf numFmtId="2" fontId="20825" fillId="8" borderId="1" xfId="0" applyNumberFormat="1" applyFont="1" applyFill="1" applyBorder="1" applyAlignment="1">
      <alignment horizontal="center" vertical="center"/>
    </xf>
    <xf numFmtId="2" fontId="20826" fillId="8" borderId="1" xfId="0" applyNumberFormat="1" applyFont="1" applyFill="1" applyBorder="1" applyAlignment="1">
      <alignment horizontal="center" vertical="center"/>
    </xf>
    <xf numFmtId="0" fontId="20827" fillId="7" borderId="1" xfId="0" applyNumberFormat="1" applyFont="1" applyFill="1" applyBorder="1" applyAlignment="1">
      <alignment horizontal="left" vertical="center"/>
    </xf>
    <xf numFmtId="0" fontId="20828" fillId="8" borderId="1" xfId="0" applyNumberFormat="1" applyFont="1" applyFill="1" applyBorder="1" applyAlignment="1">
      <alignment horizontal="center" vertical="center"/>
    </xf>
    <xf numFmtId="164" fontId="20829" fillId="8" borderId="1" xfId="0" applyNumberFormat="1" applyFont="1" applyFill="1" applyBorder="1" applyAlignment="1">
      <alignment horizontal="center" vertical="center"/>
    </xf>
    <xf numFmtId="1" fontId="20830" fillId="8" borderId="1" xfId="0" applyNumberFormat="1" applyFont="1" applyFill="1" applyBorder="1" applyAlignment="1">
      <alignment horizontal="center" vertical="center"/>
    </xf>
    <xf numFmtId="1" fontId="20831" fillId="8" borderId="1" xfId="0" applyNumberFormat="1" applyFont="1" applyFill="1" applyBorder="1" applyAlignment="1">
      <alignment horizontal="center" vertical="center"/>
    </xf>
    <xf numFmtId="1" fontId="20832" fillId="8" borderId="1" xfId="0" applyNumberFormat="1" applyFont="1" applyFill="1" applyBorder="1" applyAlignment="1">
      <alignment horizontal="center" vertical="center"/>
    </xf>
    <xf numFmtId="1" fontId="20833" fillId="8" borderId="1" xfId="0" applyNumberFormat="1" applyFont="1" applyFill="1" applyBorder="1" applyAlignment="1">
      <alignment horizontal="center" vertical="center"/>
    </xf>
    <xf numFmtId="1" fontId="20834" fillId="8" borderId="1" xfId="0" applyNumberFormat="1" applyFont="1" applyFill="1" applyBorder="1" applyAlignment="1">
      <alignment horizontal="center" vertical="center"/>
    </xf>
    <xf numFmtId="1" fontId="20835" fillId="8" borderId="1" xfId="0" applyNumberFormat="1" applyFont="1" applyFill="1" applyBorder="1" applyAlignment="1">
      <alignment horizontal="center" vertical="center"/>
    </xf>
    <xf numFmtId="1" fontId="20836" fillId="8" borderId="1" xfId="0" applyNumberFormat="1" applyFont="1" applyFill="1" applyBorder="1" applyAlignment="1">
      <alignment horizontal="center" vertical="center"/>
    </xf>
    <xf numFmtId="0" fontId="20837" fillId="8" borderId="1" xfId="0" applyNumberFormat="1" applyFont="1" applyFill="1" applyBorder="1" applyAlignment="1">
      <alignment horizontal="center" vertical="center"/>
    </xf>
    <xf numFmtId="0" fontId="20838" fillId="8" borderId="1" xfId="0" applyNumberFormat="1" applyFont="1" applyFill="1" applyBorder="1" applyAlignment="1">
      <alignment horizontal="center" vertical="center"/>
    </xf>
    <xf numFmtId="1" fontId="20839" fillId="8" borderId="1" xfId="0" applyNumberFormat="1" applyFont="1" applyFill="1" applyBorder="1" applyAlignment="1">
      <alignment horizontal="center" vertical="center"/>
    </xf>
    <xf numFmtId="1" fontId="20840" fillId="8" borderId="1" xfId="0" applyNumberFormat="1" applyFont="1" applyFill="1" applyBorder="1" applyAlignment="1">
      <alignment horizontal="center" vertical="center"/>
    </xf>
    <xf numFmtId="1" fontId="20841" fillId="8" borderId="1" xfId="0" applyNumberFormat="1" applyFont="1" applyFill="1" applyBorder="1" applyAlignment="1">
      <alignment horizontal="center" vertical="center"/>
    </xf>
    <xf numFmtId="165" fontId="20842" fillId="8" borderId="1" xfId="0" applyNumberFormat="1" applyFont="1" applyFill="1" applyBorder="1" applyAlignment="1">
      <alignment horizontal="center" vertical="center"/>
    </xf>
    <xf numFmtId="1" fontId="20843" fillId="8" borderId="1" xfId="0" applyNumberFormat="1" applyFont="1" applyFill="1" applyBorder="1" applyAlignment="1">
      <alignment horizontal="center" vertical="center"/>
    </xf>
    <xf numFmtId="165" fontId="20844" fillId="8" borderId="1" xfId="0" applyNumberFormat="1" applyFont="1" applyFill="1" applyBorder="1" applyAlignment="1">
      <alignment horizontal="center" vertical="center"/>
    </xf>
    <xf numFmtId="1" fontId="20845" fillId="8" borderId="1" xfId="0" applyNumberFormat="1" applyFont="1" applyFill="1" applyBorder="1" applyAlignment="1">
      <alignment horizontal="center" vertical="center"/>
    </xf>
    <xf numFmtId="165" fontId="20846" fillId="8" borderId="1" xfId="0" applyNumberFormat="1" applyFont="1" applyFill="1" applyBorder="1" applyAlignment="1">
      <alignment horizontal="center" vertical="center"/>
    </xf>
    <xf numFmtId="1" fontId="20847" fillId="8" borderId="1" xfId="0" applyNumberFormat="1" applyFont="1" applyFill="1" applyBorder="1" applyAlignment="1">
      <alignment horizontal="center" vertical="center"/>
    </xf>
    <xf numFmtId="165" fontId="20848" fillId="8" borderId="1" xfId="0" applyNumberFormat="1" applyFont="1" applyFill="1" applyBorder="1" applyAlignment="1">
      <alignment horizontal="center" vertical="center"/>
    </xf>
    <xf numFmtId="165" fontId="20849" fillId="8" borderId="1" xfId="0" applyNumberFormat="1" applyFont="1" applyFill="1" applyBorder="1" applyAlignment="1">
      <alignment horizontal="center" vertical="center"/>
    </xf>
    <xf numFmtId="1" fontId="20850" fillId="8" borderId="1" xfId="0" applyNumberFormat="1" applyFont="1" applyFill="1" applyBorder="1" applyAlignment="1">
      <alignment horizontal="center" vertical="center"/>
    </xf>
    <xf numFmtId="1" fontId="20851" fillId="8" borderId="1" xfId="0" applyNumberFormat="1" applyFont="1" applyFill="1" applyBorder="1" applyAlignment="1">
      <alignment horizontal="center" vertical="center"/>
    </xf>
    <xf numFmtId="1" fontId="20852" fillId="8" borderId="1" xfId="0" applyNumberFormat="1" applyFont="1" applyFill="1" applyBorder="1" applyAlignment="1">
      <alignment horizontal="center" vertical="center"/>
    </xf>
    <xf numFmtId="165" fontId="20853" fillId="8" borderId="1" xfId="0" applyNumberFormat="1" applyFont="1" applyFill="1" applyBorder="1" applyAlignment="1">
      <alignment horizontal="center" vertical="center"/>
    </xf>
    <xf numFmtId="164" fontId="20854" fillId="8" borderId="1" xfId="0" applyNumberFormat="1" applyFont="1" applyFill="1" applyBorder="1" applyAlignment="1">
      <alignment horizontal="center" vertical="center"/>
    </xf>
    <xf numFmtId="164" fontId="20855" fillId="8" borderId="1" xfId="0" applyNumberFormat="1" applyFont="1" applyFill="1" applyBorder="1" applyAlignment="1">
      <alignment horizontal="center" vertical="center"/>
    </xf>
    <xf numFmtId="1" fontId="20856" fillId="8" borderId="1" xfId="0" applyNumberFormat="1" applyFont="1" applyFill="1" applyBorder="1" applyAlignment="1">
      <alignment horizontal="center" vertical="center"/>
    </xf>
    <xf numFmtId="1" fontId="20857" fillId="8" borderId="1" xfId="0" applyNumberFormat="1" applyFont="1" applyFill="1" applyBorder="1" applyAlignment="1">
      <alignment horizontal="center" vertical="center"/>
    </xf>
    <xf numFmtId="1" fontId="20858" fillId="8" borderId="1" xfId="0" applyNumberFormat="1" applyFont="1" applyFill="1" applyBorder="1" applyAlignment="1">
      <alignment horizontal="center" vertical="center"/>
    </xf>
    <xf numFmtId="165" fontId="20859" fillId="8" borderId="1" xfId="0" applyNumberFormat="1" applyFont="1" applyFill="1" applyBorder="1" applyAlignment="1">
      <alignment horizontal="center" vertical="center"/>
    </xf>
    <xf numFmtId="1" fontId="20860" fillId="8" borderId="1" xfId="0" applyNumberFormat="1" applyFont="1" applyFill="1" applyBorder="1" applyAlignment="1">
      <alignment horizontal="center" vertical="center"/>
    </xf>
    <xf numFmtId="165" fontId="20861" fillId="8" borderId="1" xfId="0" applyNumberFormat="1" applyFont="1" applyFill="1" applyBorder="1" applyAlignment="1">
      <alignment horizontal="center" vertical="center"/>
    </xf>
    <xf numFmtId="1" fontId="20862" fillId="8" borderId="1" xfId="0" applyNumberFormat="1" applyFont="1" applyFill="1" applyBorder="1" applyAlignment="1">
      <alignment horizontal="center" vertical="center"/>
    </xf>
    <xf numFmtId="1" fontId="20863" fillId="8" borderId="1" xfId="0" applyNumberFormat="1" applyFont="1" applyFill="1" applyBorder="1" applyAlignment="1">
      <alignment horizontal="center" vertical="center"/>
    </xf>
    <xf numFmtId="1" fontId="20864" fillId="8" borderId="1" xfId="0" applyNumberFormat="1" applyFont="1" applyFill="1" applyBorder="1" applyAlignment="1">
      <alignment horizontal="center" vertical="center"/>
    </xf>
    <xf numFmtId="1" fontId="20865" fillId="8" borderId="1" xfId="0" applyNumberFormat="1" applyFont="1" applyFill="1" applyBorder="1" applyAlignment="1">
      <alignment horizontal="center" vertical="center"/>
    </xf>
    <xf numFmtId="165" fontId="20866" fillId="8" borderId="1" xfId="0" applyNumberFormat="1" applyFont="1" applyFill="1" applyBorder="1" applyAlignment="1">
      <alignment horizontal="center" vertical="center"/>
    </xf>
    <xf numFmtId="1" fontId="20867" fillId="8" borderId="1" xfId="0" applyNumberFormat="1" applyFont="1" applyFill="1" applyBorder="1" applyAlignment="1">
      <alignment horizontal="center" vertical="center"/>
    </xf>
    <xf numFmtId="165" fontId="20868" fillId="8" borderId="1" xfId="0" applyNumberFormat="1" applyFont="1" applyFill="1" applyBorder="1" applyAlignment="1">
      <alignment horizontal="center" vertical="center"/>
    </xf>
    <xf numFmtId="1" fontId="20869" fillId="8" borderId="1" xfId="0" applyNumberFormat="1" applyFont="1" applyFill="1" applyBorder="1" applyAlignment="1">
      <alignment horizontal="center" vertical="center"/>
    </xf>
    <xf numFmtId="165" fontId="20870" fillId="8" borderId="1" xfId="0" applyNumberFormat="1" applyFont="1" applyFill="1" applyBorder="1" applyAlignment="1">
      <alignment horizontal="center" vertical="center"/>
    </xf>
    <xf numFmtId="2" fontId="20871" fillId="8" borderId="1" xfId="0" applyNumberFormat="1" applyFont="1" applyFill="1" applyBorder="1" applyAlignment="1">
      <alignment horizontal="center" vertical="center"/>
    </xf>
    <xf numFmtId="2" fontId="20872" fillId="8" borderId="1" xfId="0" applyNumberFormat="1" applyFont="1" applyFill="1" applyBorder="1" applyAlignment="1">
      <alignment horizontal="center" vertical="center"/>
    </xf>
    <xf numFmtId="2" fontId="20873" fillId="8" borderId="1" xfId="0" applyNumberFormat="1" applyFont="1" applyFill="1" applyBorder="1" applyAlignment="1">
      <alignment horizontal="center" vertical="center"/>
    </xf>
    <xf numFmtId="2" fontId="20874" fillId="8" borderId="1" xfId="0" applyNumberFormat="1" applyFont="1" applyFill="1" applyBorder="1" applyAlignment="1">
      <alignment horizontal="center" vertical="center"/>
    </xf>
    <xf numFmtId="2" fontId="20875" fillId="8" borderId="1" xfId="0" applyNumberFormat="1" applyFont="1" applyFill="1" applyBorder="1" applyAlignment="1">
      <alignment horizontal="center" vertical="center"/>
    </xf>
    <xf numFmtId="2" fontId="20876" fillId="8" borderId="1" xfId="0" applyNumberFormat="1" applyFont="1" applyFill="1" applyBorder="1" applyAlignment="1">
      <alignment horizontal="center" vertical="center"/>
    </xf>
    <xf numFmtId="2" fontId="20877" fillId="8" borderId="1" xfId="0" applyNumberFormat="1" applyFont="1" applyFill="1" applyBorder="1" applyAlignment="1">
      <alignment horizontal="center" vertical="center"/>
    </xf>
    <xf numFmtId="2" fontId="20878" fillId="8" borderId="1" xfId="0" applyNumberFormat="1" applyFont="1" applyFill="1" applyBorder="1" applyAlignment="1">
      <alignment horizontal="center" vertical="center"/>
    </xf>
    <xf numFmtId="2" fontId="20879" fillId="8" borderId="1" xfId="0" applyNumberFormat="1" applyFont="1" applyFill="1" applyBorder="1" applyAlignment="1">
      <alignment horizontal="center" vertical="center"/>
    </xf>
    <xf numFmtId="2" fontId="20880" fillId="8" borderId="1" xfId="0" applyNumberFormat="1" applyFont="1" applyFill="1" applyBorder="1" applyAlignment="1">
      <alignment horizontal="center" vertical="center"/>
    </xf>
    <xf numFmtId="2" fontId="20881" fillId="8" borderId="1" xfId="0" applyNumberFormat="1" applyFont="1" applyFill="1" applyBorder="1" applyAlignment="1">
      <alignment horizontal="center" vertical="center"/>
    </xf>
    <xf numFmtId="2" fontId="20882" fillId="8" borderId="1" xfId="0" applyNumberFormat="1" applyFont="1" applyFill="1" applyBorder="1" applyAlignment="1">
      <alignment horizontal="center" vertical="center"/>
    </xf>
    <xf numFmtId="2" fontId="20883" fillId="8" borderId="1" xfId="0" applyNumberFormat="1" applyFont="1" applyFill="1" applyBorder="1" applyAlignment="1">
      <alignment horizontal="center" vertical="center"/>
    </xf>
    <xf numFmtId="2" fontId="20884" fillId="8" borderId="1" xfId="0" applyNumberFormat="1" applyFont="1" applyFill="1" applyBorder="1" applyAlignment="1">
      <alignment horizontal="center" vertical="center"/>
    </xf>
    <xf numFmtId="2" fontId="20885" fillId="8" borderId="1" xfId="0" applyNumberFormat="1" applyFont="1" applyFill="1" applyBorder="1" applyAlignment="1">
      <alignment horizontal="center" vertical="center"/>
    </xf>
    <xf numFmtId="2" fontId="20886" fillId="8" borderId="1" xfId="0" applyNumberFormat="1" applyFont="1" applyFill="1" applyBorder="1" applyAlignment="1">
      <alignment horizontal="center" vertical="center"/>
    </xf>
    <xf numFmtId="2" fontId="20887" fillId="8" borderId="1" xfId="0" applyNumberFormat="1" applyFont="1" applyFill="1" applyBorder="1" applyAlignment="1">
      <alignment horizontal="center" vertical="center"/>
    </xf>
    <xf numFmtId="2" fontId="20888" fillId="8" borderId="1" xfId="0" applyNumberFormat="1" applyFont="1" applyFill="1" applyBorder="1" applyAlignment="1">
      <alignment horizontal="center" vertical="center"/>
    </xf>
    <xf numFmtId="2" fontId="20889" fillId="8" borderId="1" xfId="0" applyNumberFormat="1" applyFont="1" applyFill="1" applyBorder="1" applyAlignment="1">
      <alignment horizontal="center" vertical="center"/>
    </xf>
    <xf numFmtId="2" fontId="20890" fillId="8" borderId="1" xfId="0" applyNumberFormat="1" applyFont="1" applyFill="1" applyBorder="1" applyAlignment="1">
      <alignment horizontal="center" vertical="center"/>
    </xf>
    <xf numFmtId="2" fontId="20891" fillId="8" borderId="1" xfId="0" applyNumberFormat="1" applyFont="1" applyFill="1" applyBorder="1" applyAlignment="1">
      <alignment horizontal="center" vertical="center"/>
    </xf>
    <xf numFmtId="2" fontId="20892" fillId="8" borderId="1" xfId="0" applyNumberFormat="1" applyFont="1" applyFill="1" applyBorder="1" applyAlignment="1">
      <alignment horizontal="center" vertical="center"/>
    </xf>
    <xf numFmtId="2" fontId="20893" fillId="8" borderId="1" xfId="0" applyNumberFormat="1" applyFont="1" applyFill="1" applyBorder="1" applyAlignment="1">
      <alignment horizontal="center" vertical="center"/>
    </xf>
    <xf numFmtId="2" fontId="20894" fillId="8" borderId="1" xfId="0" applyNumberFormat="1" applyFont="1" applyFill="1" applyBorder="1" applyAlignment="1">
      <alignment horizontal="center" vertical="center"/>
    </xf>
    <xf numFmtId="2" fontId="20895" fillId="8" borderId="1" xfId="0" applyNumberFormat="1" applyFont="1" applyFill="1" applyBorder="1" applyAlignment="1">
      <alignment horizontal="center" vertical="center"/>
    </xf>
    <xf numFmtId="2" fontId="20896" fillId="8" borderId="1" xfId="0" applyNumberFormat="1" applyFont="1" applyFill="1" applyBorder="1" applyAlignment="1">
      <alignment horizontal="center" vertical="center"/>
    </xf>
    <xf numFmtId="2" fontId="20897" fillId="8" borderId="1" xfId="0" applyNumberFormat="1" applyFont="1" applyFill="1" applyBorder="1" applyAlignment="1">
      <alignment horizontal="center" vertical="center"/>
    </xf>
    <xf numFmtId="2" fontId="20898" fillId="8" borderId="1" xfId="0" applyNumberFormat="1" applyFont="1" applyFill="1" applyBorder="1" applyAlignment="1">
      <alignment horizontal="center" vertical="center"/>
    </xf>
    <xf numFmtId="2" fontId="20899" fillId="8" borderId="1" xfId="0" applyNumberFormat="1" applyFont="1" applyFill="1" applyBorder="1" applyAlignment="1">
      <alignment horizontal="center" vertical="center"/>
    </xf>
    <xf numFmtId="2" fontId="20900" fillId="8" borderId="1" xfId="0" applyNumberFormat="1" applyFont="1" applyFill="1" applyBorder="1" applyAlignment="1">
      <alignment horizontal="center" vertical="center"/>
    </xf>
    <xf numFmtId="2" fontId="20901" fillId="8" borderId="1" xfId="0" applyNumberFormat="1" applyFont="1" applyFill="1" applyBorder="1" applyAlignment="1">
      <alignment horizontal="center" vertical="center"/>
    </xf>
    <xf numFmtId="2" fontId="20902" fillId="8" borderId="1" xfId="0" applyNumberFormat="1" applyFont="1" applyFill="1" applyBorder="1" applyAlignment="1">
      <alignment horizontal="center" vertical="center"/>
    </xf>
    <xf numFmtId="2" fontId="20903" fillId="8" borderId="1" xfId="0" applyNumberFormat="1" applyFont="1" applyFill="1" applyBorder="1" applyAlignment="1">
      <alignment horizontal="center" vertical="center"/>
    </xf>
    <xf numFmtId="2" fontId="20904" fillId="8" borderId="1" xfId="0" applyNumberFormat="1" applyFont="1" applyFill="1" applyBorder="1" applyAlignment="1">
      <alignment horizontal="center" vertical="center"/>
    </xf>
    <xf numFmtId="0" fontId="20905" fillId="7" borderId="1" xfId="0" applyNumberFormat="1" applyFont="1" applyFill="1" applyBorder="1" applyAlignment="1">
      <alignment horizontal="left" vertical="center"/>
    </xf>
    <xf numFmtId="0" fontId="20906" fillId="8" borderId="1" xfId="0" applyNumberFormat="1" applyFont="1" applyFill="1" applyBorder="1" applyAlignment="1">
      <alignment horizontal="center" vertical="center"/>
    </xf>
    <xf numFmtId="164" fontId="20907" fillId="8" borderId="1" xfId="0" applyNumberFormat="1" applyFont="1" applyFill="1" applyBorder="1" applyAlignment="1">
      <alignment horizontal="center" vertical="center"/>
    </xf>
    <xf numFmtId="1" fontId="20908" fillId="8" borderId="1" xfId="0" applyNumberFormat="1" applyFont="1" applyFill="1" applyBorder="1" applyAlignment="1">
      <alignment horizontal="center" vertical="center"/>
    </xf>
    <xf numFmtId="1" fontId="20909" fillId="8" borderId="1" xfId="0" applyNumberFormat="1" applyFont="1" applyFill="1" applyBorder="1" applyAlignment="1">
      <alignment horizontal="center" vertical="center"/>
    </xf>
    <xf numFmtId="1" fontId="20910" fillId="8" borderId="1" xfId="0" applyNumberFormat="1" applyFont="1" applyFill="1" applyBorder="1" applyAlignment="1">
      <alignment horizontal="center" vertical="center"/>
    </xf>
    <xf numFmtId="1" fontId="20911" fillId="8" borderId="1" xfId="0" applyNumberFormat="1" applyFont="1" applyFill="1" applyBorder="1" applyAlignment="1">
      <alignment horizontal="center" vertical="center"/>
    </xf>
    <xf numFmtId="1" fontId="20912" fillId="8" borderId="1" xfId="0" applyNumberFormat="1" applyFont="1" applyFill="1" applyBorder="1" applyAlignment="1">
      <alignment horizontal="center" vertical="center"/>
    </xf>
    <xf numFmtId="1" fontId="20913" fillId="8" borderId="1" xfId="0" applyNumberFormat="1" applyFont="1" applyFill="1" applyBorder="1" applyAlignment="1">
      <alignment horizontal="center" vertical="center"/>
    </xf>
    <xf numFmtId="1" fontId="20914" fillId="8" borderId="1" xfId="0" applyNumberFormat="1" applyFont="1" applyFill="1" applyBorder="1" applyAlignment="1">
      <alignment horizontal="center" vertical="center"/>
    </xf>
    <xf numFmtId="0" fontId="20915" fillId="8" borderId="1" xfId="0" applyNumberFormat="1" applyFont="1" applyFill="1" applyBorder="1" applyAlignment="1">
      <alignment horizontal="center" vertical="center"/>
    </xf>
    <xf numFmtId="0" fontId="20916" fillId="8" borderId="1" xfId="0" applyNumberFormat="1" applyFont="1" applyFill="1" applyBorder="1" applyAlignment="1">
      <alignment horizontal="center" vertical="center"/>
    </xf>
    <xf numFmtId="1" fontId="20917" fillId="8" borderId="1" xfId="0" applyNumberFormat="1" applyFont="1" applyFill="1" applyBorder="1" applyAlignment="1">
      <alignment horizontal="center" vertical="center"/>
    </xf>
    <xf numFmtId="1" fontId="20918" fillId="8" borderId="1" xfId="0" applyNumberFormat="1" applyFont="1" applyFill="1" applyBorder="1" applyAlignment="1">
      <alignment horizontal="center" vertical="center"/>
    </xf>
    <xf numFmtId="1" fontId="20919" fillId="8" borderId="1" xfId="0" applyNumberFormat="1" applyFont="1" applyFill="1" applyBorder="1" applyAlignment="1">
      <alignment horizontal="center" vertical="center"/>
    </xf>
    <xf numFmtId="165" fontId="20920" fillId="8" borderId="1" xfId="0" applyNumberFormat="1" applyFont="1" applyFill="1" applyBorder="1" applyAlignment="1">
      <alignment horizontal="center" vertical="center"/>
    </xf>
    <xf numFmtId="1" fontId="20921" fillId="8" borderId="1" xfId="0" applyNumberFormat="1" applyFont="1" applyFill="1" applyBorder="1" applyAlignment="1">
      <alignment horizontal="center" vertical="center"/>
    </xf>
    <xf numFmtId="165" fontId="20922" fillId="8" borderId="1" xfId="0" applyNumberFormat="1" applyFont="1" applyFill="1" applyBorder="1" applyAlignment="1">
      <alignment horizontal="center" vertical="center"/>
    </xf>
    <xf numFmtId="1" fontId="20923" fillId="8" borderId="1" xfId="0" applyNumberFormat="1" applyFont="1" applyFill="1" applyBorder="1" applyAlignment="1">
      <alignment horizontal="center" vertical="center"/>
    </xf>
    <xf numFmtId="165" fontId="20924" fillId="8" borderId="1" xfId="0" applyNumberFormat="1" applyFont="1" applyFill="1" applyBorder="1" applyAlignment="1">
      <alignment horizontal="center" vertical="center"/>
    </xf>
    <xf numFmtId="1" fontId="20925" fillId="8" borderId="1" xfId="0" applyNumberFormat="1" applyFont="1" applyFill="1" applyBorder="1" applyAlignment="1">
      <alignment horizontal="center" vertical="center"/>
    </xf>
    <xf numFmtId="165" fontId="20926" fillId="8" borderId="1" xfId="0" applyNumberFormat="1" applyFont="1" applyFill="1" applyBorder="1" applyAlignment="1">
      <alignment horizontal="center" vertical="center"/>
    </xf>
    <xf numFmtId="165" fontId="20927" fillId="8" borderId="1" xfId="0" applyNumberFormat="1" applyFont="1" applyFill="1" applyBorder="1" applyAlignment="1">
      <alignment horizontal="center" vertical="center"/>
    </xf>
    <xf numFmtId="1" fontId="20928" fillId="8" borderId="1" xfId="0" applyNumberFormat="1" applyFont="1" applyFill="1" applyBorder="1" applyAlignment="1">
      <alignment horizontal="center" vertical="center"/>
    </xf>
    <xf numFmtId="1" fontId="20929" fillId="8" borderId="1" xfId="0" applyNumberFormat="1" applyFont="1" applyFill="1" applyBorder="1" applyAlignment="1">
      <alignment horizontal="center" vertical="center"/>
    </xf>
    <xf numFmtId="1" fontId="20930" fillId="8" borderId="1" xfId="0" applyNumberFormat="1" applyFont="1" applyFill="1" applyBorder="1" applyAlignment="1">
      <alignment horizontal="center" vertical="center"/>
    </xf>
    <xf numFmtId="165" fontId="20931" fillId="8" borderId="1" xfId="0" applyNumberFormat="1" applyFont="1" applyFill="1" applyBorder="1" applyAlignment="1">
      <alignment horizontal="center" vertical="center"/>
    </xf>
    <xf numFmtId="164" fontId="20932" fillId="8" borderId="1" xfId="0" applyNumberFormat="1" applyFont="1" applyFill="1" applyBorder="1" applyAlignment="1">
      <alignment horizontal="center" vertical="center"/>
    </xf>
    <xf numFmtId="164" fontId="20933" fillId="8" borderId="1" xfId="0" applyNumberFormat="1" applyFont="1" applyFill="1" applyBorder="1" applyAlignment="1">
      <alignment horizontal="center" vertical="center"/>
    </xf>
    <xf numFmtId="1" fontId="20934" fillId="8" borderId="1" xfId="0" applyNumberFormat="1" applyFont="1" applyFill="1" applyBorder="1" applyAlignment="1">
      <alignment horizontal="center" vertical="center"/>
    </xf>
    <xf numFmtId="1" fontId="20935" fillId="8" borderId="1" xfId="0" applyNumberFormat="1" applyFont="1" applyFill="1" applyBorder="1" applyAlignment="1">
      <alignment horizontal="center" vertical="center"/>
    </xf>
    <xf numFmtId="1" fontId="20936" fillId="8" borderId="1" xfId="0" applyNumberFormat="1" applyFont="1" applyFill="1" applyBorder="1" applyAlignment="1">
      <alignment horizontal="center" vertical="center"/>
    </xf>
    <xf numFmtId="165" fontId="20937" fillId="8" borderId="1" xfId="0" applyNumberFormat="1" applyFont="1" applyFill="1" applyBorder="1" applyAlignment="1">
      <alignment horizontal="center" vertical="center"/>
    </xf>
    <xf numFmtId="1" fontId="20938" fillId="8" borderId="1" xfId="0" applyNumberFormat="1" applyFont="1" applyFill="1" applyBorder="1" applyAlignment="1">
      <alignment horizontal="center" vertical="center"/>
    </xf>
    <xf numFmtId="165" fontId="20939" fillId="8" borderId="1" xfId="0" applyNumberFormat="1" applyFont="1" applyFill="1" applyBorder="1" applyAlignment="1">
      <alignment horizontal="center" vertical="center"/>
    </xf>
    <xf numFmtId="1" fontId="20940" fillId="8" borderId="1" xfId="0" applyNumberFormat="1" applyFont="1" applyFill="1" applyBorder="1" applyAlignment="1">
      <alignment horizontal="center" vertical="center"/>
    </xf>
    <xf numFmtId="1" fontId="20941" fillId="8" borderId="1" xfId="0" applyNumberFormat="1" applyFont="1" applyFill="1" applyBorder="1" applyAlignment="1">
      <alignment horizontal="center" vertical="center"/>
    </xf>
    <xf numFmtId="1" fontId="20942" fillId="8" borderId="1" xfId="0" applyNumberFormat="1" applyFont="1" applyFill="1" applyBorder="1" applyAlignment="1">
      <alignment horizontal="center" vertical="center"/>
    </xf>
    <xf numFmtId="1" fontId="20943" fillId="8" borderId="1" xfId="0" applyNumberFormat="1" applyFont="1" applyFill="1" applyBorder="1" applyAlignment="1">
      <alignment horizontal="center" vertical="center"/>
    </xf>
    <xf numFmtId="165" fontId="20944" fillId="8" borderId="1" xfId="0" applyNumberFormat="1" applyFont="1" applyFill="1" applyBorder="1" applyAlignment="1">
      <alignment horizontal="center" vertical="center"/>
    </xf>
    <xf numFmtId="1" fontId="20945" fillId="8" borderId="1" xfId="0" applyNumberFormat="1" applyFont="1" applyFill="1" applyBorder="1" applyAlignment="1">
      <alignment horizontal="center" vertical="center"/>
    </xf>
    <xf numFmtId="165" fontId="20946" fillId="8" borderId="1" xfId="0" applyNumberFormat="1" applyFont="1" applyFill="1" applyBorder="1" applyAlignment="1">
      <alignment horizontal="center" vertical="center"/>
    </xf>
    <xf numFmtId="1" fontId="20947" fillId="8" borderId="1" xfId="0" applyNumberFormat="1" applyFont="1" applyFill="1" applyBorder="1" applyAlignment="1">
      <alignment horizontal="center" vertical="center"/>
    </xf>
    <xf numFmtId="165" fontId="20948" fillId="8" borderId="1" xfId="0" applyNumberFormat="1" applyFont="1" applyFill="1" applyBorder="1" applyAlignment="1">
      <alignment horizontal="center" vertical="center"/>
    </xf>
    <xf numFmtId="2" fontId="20949" fillId="8" borderId="1" xfId="0" applyNumberFormat="1" applyFont="1" applyFill="1" applyBorder="1" applyAlignment="1">
      <alignment horizontal="center" vertical="center"/>
    </xf>
    <xf numFmtId="2" fontId="20950" fillId="8" borderId="1" xfId="0" applyNumberFormat="1" applyFont="1" applyFill="1" applyBorder="1" applyAlignment="1">
      <alignment horizontal="center" vertical="center"/>
    </xf>
    <xf numFmtId="2" fontId="20951" fillId="8" borderId="1" xfId="0" applyNumberFormat="1" applyFont="1" applyFill="1" applyBorder="1" applyAlignment="1">
      <alignment horizontal="center" vertical="center"/>
    </xf>
    <xf numFmtId="2" fontId="20952" fillId="8" borderId="1" xfId="0" applyNumberFormat="1" applyFont="1" applyFill="1" applyBorder="1" applyAlignment="1">
      <alignment horizontal="center" vertical="center"/>
    </xf>
    <xf numFmtId="2" fontId="20953" fillId="8" borderId="1" xfId="0" applyNumberFormat="1" applyFont="1" applyFill="1" applyBorder="1" applyAlignment="1">
      <alignment horizontal="center" vertical="center"/>
    </xf>
    <xf numFmtId="2" fontId="20954" fillId="8" borderId="1" xfId="0" applyNumberFormat="1" applyFont="1" applyFill="1" applyBorder="1" applyAlignment="1">
      <alignment horizontal="center" vertical="center"/>
    </xf>
    <xf numFmtId="2" fontId="20955" fillId="8" borderId="1" xfId="0" applyNumberFormat="1" applyFont="1" applyFill="1" applyBorder="1" applyAlignment="1">
      <alignment horizontal="center" vertical="center"/>
    </xf>
    <xf numFmtId="2" fontId="20956" fillId="8" borderId="1" xfId="0" applyNumberFormat="1" applyFont="1" applyFill="1" applyBorder="1" applyAlignment="1">
      <alignment horizontal="center" vertical="center"/>
    </xf>
    <xf numFmtId="2" fontId="20957" fillId="8" borderId="1" xfId="0" applyNumberFormat="1" applyFont="1" applyFill="1" applyBorder="1" applyAlignment="1">
      <alignment horizontal="center" vertical="center"/>
    </xf>
    <xf numFmtId="2" fontId="20958" fillId="8" borderId="1" xfId="0" applyNumberFormat="1" applyFont="1" applyFill="1" applyBorder="1" applyAlignment="1">
      <alignment horizontal="center" vertical="center"/>
    </xf>
    <xf numFmtId="2" fontId="20959" fillId="8" borderId="1" xfId="0" applyNumberFormat="1" applyFont="1" applyFill="1" applyBorder="1" applyAlignment="1">
      <alignment horizontal="center" vertical="center"/>
    </xf>
    <xf numFmtId="2" fontId="20960" fillId="8" borderId="1" xfId="0" applyNumberFormat="1" applyFont="1" applyFill="1" applyBorder="1" applyAlignment="1">
      <alignment horizontal="center" vertical="center"/>
    </xf>
    <xf numFmtId="2" fontId="20961" fillId="8" borderId="1" xfId="0" applyNumberFormat="1" applyFont="1" applyFill="1" applyBorder="1" applyAlignment="1">
      <alignment horizontal="center" vertical="center"/>
    </xf>
    <xf numFmtId="2" fontId="20962" fillId="8" borderId="1" xfId="0" applyNumberFormat="1" applyFont="1" applyFill="1" applyBorder="1" applyAlignment="1">
      <alignment horizontal="center" vertical="center"/>
    </xf>
    <xf numFmtId="2" fontId="20963" fillId="8" borderId="1" xfId="0" applyNumberFormat="1" applyFont="1" applyFill="1" applyBorder="1" applyAlignment="1">
      <alignment horizontal="center" vertical="center"/>
    </xf>
    <xf numFmtId="2" fontId="20964" fillId="8" borderId="1" xfId="0" applyNumberFormat="1" applyFont="1" applyFill="1" applyBorder="1" applyAlignment="1">
      <alignment horizontal="center" vertical="center"/>
    </xf>
    <xf numFmtId="2" fontId="20965" fillId="8" borderId="1" xfId="0" applyNumberFormat="1" applyFont="1" applyFill="1" applyBorder="1" applyAlignment="1">
      <alignment horizontal="center" vertical="center"/>
    </xf>
    <xf numFmtId="2" fontId="20966" fillId="8" borderId="1" xfId="0" applyNumberFormat="1" applyFont="1" applyFill="1" applyBorder="1" applyAlignment="1">
      <alignment horizontal="center" vertical="center"/>
    </xf>
    <xf numFmtId="2" fontId="20967" fillId="8" borderId="1" xfId="0" applyNumberFormat="1" applyFont="1" applyFill="1" applyBorder="1" applyAlignment="1">
      <alignment horizontal="center" vertical="center"/>
    </xf>
    <xf numFmtId="2" fontId="20968" fillId="8" borderId="1" xfId="0" applyNumberFormat="1" applyFont="1" applyFill="1" applyBorder="1" applyAlignment="1">
      <alignment horizontal="center" vertical="center"/>
    </xf>
    <xf numFmtId="2" fontId="20969" fillId="8" borderId="1" xfId="0" applyNumberFormat="1" applyFont="1" applyFill="1" applyBorder="1" applyAlignment="1">
      <alignment horizontal="center" vertical="center"/>
    </xf>
    <xf numFmtId="2" fontId="20970" fillId="8" borderId="1" xfId="0" applyNumberFormat="1" applyFont="1" applyFill="1" applyBorder="1" applyAlignment="1">
      <alignment horizontal="center" vertical="center"/>
    </xf>
    <xf numFmtId="2" fontId="20971" fillId="8" borderId="1" xfId="0" applyNumberFormat="1" applyFont="1" applyFill="1" applyBorder="1" applyAlignment="1">
      <alignment horizontal="center" vertical="center"/>
    </xf>
    <xf numFmtId="2" fontId="20972" fillId="8" borderId="1" xfId="0" applyNumberFormat="1" applyFont="1" applyFill="1" applyBorder="1" applyAlignment="1">
      <alignment horizontal="center" vertical="center"/>
    </xf>
    <xf numFmtId="2" fontId="20973" fillId="8" borderId="1" xfId="0" applyNumberFormat="1" applyFont="1" applyFill="1" applyBorder="1" applyAlignment="1">
      <alignment horizontal="center" vertical="center"/>
    </xf>
    <xf numFmtId="2" fontId="20974" fillId="8" borderId="1" xfId="0" applyNumberFormat="1" applyFont="1" applyFill="1" applyBorder="1" applyAlignment="1">
      <alignment horizontal="center" vertical="center"/>
    </xf>
    <xf numFmtId="2" fontId="20975" fillId="8" borderId="1" xfId="0" applyNumberFormat="1" applyFont="1" applyFill="1" applyBorder="1" applyAlignment="1">
      <alignment horizontal="center" vertical="center"/>
    </xf>
    <xf numFmtId="2" fontId="20976" fillId="8" borderId="1" xfId="0" applyNumberFormat="1" applyFont="1" applyFill="1" applyBorder="1" applyAlignment="1">
      <alignment horizontal="center" vertical="center"/>
    </xf>
    <xf numFmtId="2" fontId="20977" fillId="8" borderId="1" xfId="0" applyNumberFormat="1" applyFont="1" applyFill="1" applyBorder="1" applyAlignment="1">
      <alignment horizontal="center" vertical="center"/>
    </xf>
    <xf numFmtId="2" fontId="20978" fillId="8" borderId="1" xfId="0" applyNumberFormat="1" applyFont="1" applyFill="1" applyBorder="1" applyAlignment="1">
      <alignment horizontal="center" vertical="center"/>
    </xf>
    <xf numFmtId="2" fontId="20979" fillId="8" borderId="1" xfId="0" applyNumberFormat="1" applyFont="1" applyFill="1" applyBorder="1" applyAlignment="1">
      <alignment horizontal="center" vertical="center"/>
    </xf>
    <xf numFmtId="2" fontId="20980" fillId="8" borderId="1" xfId="0" applyNumberFormat="1" applyFont="1" applyFill="1" applyBorder="1" applyAlignment="1">
      <alignment horizontal="center" vertical="center"/>
    </xf>
    <xf numFmtId="2" fontId="20981" fillId="8" borderId="1" xfId="0" applyNumberFormat="1" applyFont="1" applyFill="1" applyBorder="1" applyAlignment="1">
      <alignment horizontal="center" vertical="center"/>
    </xf>
    <xf numFmtId="2" fontId="20982" fillId="8" borderId="1" xfId="0" applyNumberFormat="1" applyFont="1" applyFill="1" applyBorder="1" applyAlignment="1">
      <alignment horizontal="center" vertical="center"/>
    </xf>
    <xf numFmtId="0" fontId="20983" fillId="7" borderId="1" xfId="0" applyNumberFormat="1" applyFont="1" applyFill="1" applyBorder="1" applyAlignment="1">
      <alignment horizontal="left" vertical="center"/>
    </xf>
    <xf numFmtId="0" fontId="20984" fillId="8" borderId="1" xfId="0" applyNumberFormat="1" applyFont="1" applyFill="1" applyBorder="1" applyAlignment="1">
      <alignment horizontal="center" vertical="center"/>
    </xf>
    <xf numFmtId="164" fontId="20985" fillId="8" borderId="1" xfId="0" applyNumberFormat="1" applyFont="1" applyFill="1" applyBorder="1" applyAlignment="1">
      <alignment horizontal="center" vertical="center"/>
    </xf>
    <xf numFmtId="1" fontId="20986" fillId="8" borderId="1" xfId="0" applyNumberFormat="1" applyFont="1" applyFill="1" applyBorder="1" applyAlignment="1">
      <alignment horizontal="center" vertical="center"/>
    </xf>
    <xf numFmtId="1" fontId="20987" fillId="8" borderId="1" xfId="0" applyNumberFormat="1" applyFont="1" applyFill="1" applyBorder="1" applyAlignment="1">
      <alignment horizontal="center" vertical="center"/>
    </xf>
    <xf numFmtId="1" fontId="20988" fillId="8" borderId="1" xfId="0" applyNumberFormat="1" applyFont="1" applyFill="1" applyBorder="1" applyAlignment="1">
      <alignment horizontal="center" vertical="center"/>
    </xf>
    <xf numFmtId="1" fontId="20989" fillId="8" borderId="1" xfId="0" applyNumberFormat="1" applyFont="1" applyFill="1" applyBorder="1" applyAlignment="1">
      <alignment horizontal="center" vertical="center"/>
    </xf>
    <xf numFmtId="1" fontId="20990" fillId="8" borderId="1" xfId="0" applyNumberFormat="1" applyFont="1" applyFill="1" applyBorder="1" applyAlignment="1">
      <alignment horizontal="center" vertical="center"/>
    </xf>
    <xf numFmtId="1" fontId="20991" fillId="8" borderId="1" xfId="0" applyNumberFormat="1" applyFont="1" applyFill="1" applyBorder="1" applyAlignment="1">
      <alignment horizontal="center" vertical="center"/>
    </xf>
    <xf numFmtId="1" fontId="20992" fillId="8" borderId="1" xfId="0" applyNumberFormat="1" applyFont="1" applyFill="1" applyBorder="1" applyAlignment="1">
      <alignment horizontal="center" vertical="center"/>
    </xf>
    <xf numFmtId="0" fontId="20993" fillId="8" borderId="1" xfId="0" applyNumberFormat="1" applyFont="1" applyFill="1" applyBorder="1" applyAlignment="1">
      <alignment horizontal="center" vertical="center"/>
    </xf>
    <xf numFmtId="0" fontId="20994" fillId="8" borderId="1" xfId="0" applyNumberFormat="1" applyFont="1" applyFill="1" applyBorder="1" applyAlignment="1">
      <alignment horizontal="center" vertical="center"/>
    </xf>
    <xf numFmtId="1" fontId="20995" fillId="8" borderId="1" xfId="0" applyNumberFormat="1" applyFont="1" applyFill="1" applyBorder="1" applyAlignment="1">
      <alignment horizontal="center" vertical="center"/>
    </xf>
    <xf numFmtId="1" fontId="20996" fillId="8" borderId="1" xfId="0" applyNumberFormat="1" applyFont="1" applyFill="1" applyBorder="1" applyAlignment="1">
      <alignment horizontal="center" vertical="center"/>
    </xf>
    <xf numFmtId="1" fontId="20997" fillId="8" borderId="1" xfId="0" applyNumberFormat="1" applyFont="1" applyFill="1" applyBorder="1" applyAlignment="1">
      <alignment horizontal="center" vertical="center"/>
    </xf>
    <xf numFmtId="165" fontId="20998" fillId="8" borderId="1" xfId="0" applyNumberFormat="1" applyFont="1" applyFill="1" applyBorder="1" applyAlignment="1">
      <alignment horizontal="center" vertical="center"/>
    </xf>
    <xf numFmtId="1" fontId="20999" fillId="8" borderId="1" xfId="0" applyNumberFormat="1" applyFont="1" applyFill="1" applyBorder="1" applyAlignment="1">
      <alignment horizontal="center" vertical="center"/>
    </xf>
    <xf numFmtId="165" fontId="21000" fillId="8" borderId="1" xfId="0" applyNumberFormat="1" applyFont="1" applyFill="1" applyBorder="1" applyAlignment="1">
      <alignment horizontal="center" vertical="center"/>
    </xf>
    <xf numFmtId="1" fontId="21001" fillId="8" borderId="1" xfId="0" applyNumberFormat="1" applyFont="1" applyFill="1" applyBorder="1" applyAlignment="1">
      <alignment horizontal="center" vertical="center"/>
    </xf>
    <xf numFmtId="165" fontId="21002" fillId="8" borderId="1" xfId="0" applyNumberFormat="1" applyFont="1" applyFill="1" applyBorder="1" applyAlignment="1">
      <alignment horizontal="center" vertical="center"/>
    </xf>
    <xf numFmtId="1" fontId="21003" fillId="8" borderId="1" xfId="0" applyNumberFormat="1" applyFont="1" applyFill="1" applyBorder="1" applyAlignment="1">
      <alignment horizontal="center" vertical="center"/>
    </xf>
    <xf numFmtId="165" fontId="21004" fillId="8" borderId="1" xfId="0" applyNumberFormat="1" applyFont="1" applyFill="1" applyBorder="1" applyAlignment="1">
      <alignment horizontal="center" vertical="center"/>
    </xf>
    <xf numFmtId="165" fontId="21005" fillId="8" borderId="1" xfId="0" applyNumberFormat="1" applyFont="1" applyFill="1" applyBorder="1" applyAlignment="1">
      <alignment horizontal="center" vertical="center"/>
    </xf>
    <xf numFmtId="1" fontId="21006" fillId="8" borderId="1" xfId="0" applyNumberFormat="1" applyFont="1" applyFill="1" applyBorder="1" applyAlignment="1">
      <alignment horizontal="center" vertical="center"/>
    </xf>
    <xf numFmtId="1" fontId="21007" fillId="8" borderId="1" xfId="0" applyNumberFormat="1" applyFont="1" applyFill="1" applyBorder="1" applyAlignment="1">
      <alignment horizontal="center" vertical="center"/>
    </xf>
    <xf numFmtId="1" fontId="21008" fillId="8" borderId="1" xfId="0" applyNumberFormat="1" applyFont="1" applyFill="1" applyBorder="1" applyAlignment="1">
      <alignment horizontal="center" vertical="center"/>
    </xf>
    <xf numFmtId="165" fontId="21009" fillId="8" borderId="1" xfId="0" applyNumberFormat="1" applyFont="1" applyFill="1" applyBorder="1" applyAlignment="1">
      <alignment horizontal="center" vertical="center"/>
    </xf>
    <xf numFmtId="164" fontId="21010" fillId="8" borderId="1" xfId="0" applyNumberFormat="1" applyFont="1" applyFill="1" applyBorder="1" applyAlignment="1">
      <alignment horizontal="center" vertical="center"/>
    </xf>
    <xf numFmtId="164" fontId="21011" fillId="8" borderId="1" xfId="0" applyNumberFormat="1" applyFont="1" applyFill="1" applyBorder="1" applyAlignment="1">
      <alignment horizontal="center" vertical="center"/>
    </xf>
    <xf numFmtId="1" fontId="21012" fillId="8" borderId="1" xfId="0" applyNumberFormat="1" applyFont="1" applyFill="1" applyBorder="1" applyAlignment="1">
      <alignment horizontal="center" vertical="center"/>
    </xf>
    <xf numFmtId="1" fontId="21013" fillId="8" borderId="1" xfId="0" applyNumberFormat="1" applyFont="1" applyFill="1" applyBorder="1" applyAlignment="1">
      <alignment horizontal="center" vertical="center"/>
    </xf>
    <xf numFmtId="1" fontId="21014" fillId="8" borderId="1" xfId="0" applyNumberFormat="1" applyFont="1" applyFill="1" applyBorder="1" applyAlignment="1">
      <alignment horizontal="center" vertical="center"/>
    </xf>
    <xf numFmtId="165" fontId="21015" fillId="8" borderId="1" xfId="0" applyNumberFormat="1" applyFont="1" applyFill="1" applyBorder="1" applyAlignment="1">
      <alignment horizontal="center" vertical="center"/>
    </xf>
    <xf numFmtId="1" fontId="21016" fillId="8" borderId="1" xfId="0" applyNumberFormat="1" applyFont="1" applyFill="1" applyBorder="1" applyAlignment="1">
      <alignment horizontal="center" vertical="center"/>
    </xf>
    <xf numFmtId="165" fontId="21017" fillId="8" borderId="1" xfId="0" applyNumberFormat="1" applyFont="1" applyFill="1" applyBorder="1" applyAlignment="1">
      <alignment horizontal="center" vertical="center"/>
    </xf>
    <xf numFmtId="1" fontId="21018" fillId="8" borderId="1" xfId="0" applyNumberFormat="1" applyFont="1" applyFill="1" applyBorder="1" applyAlignment="1">
      <alignment horizontal="center" vertical="center"/>
    </xf>
    <xf numFmtId="1" fontId="21019" fillId="8" borderId="1" xfId="0" applyNumberFormat="1" applyFont="1" applyFill="1" applyBorder="1" applyAlignment="1">
      <alignment horizontal="center" vertical="center"/>
    </xf>
    <xf numFmtId="1" fontId="21020" fillId="8" borderId="1" xfId="0" applyNumberFormat="1" applyFont="1" applyFill="1" applyBorder="1" applyAlignment="1">
      <alignment horizontal="center" vertical="center"/>
    </xf>
    <xf numFmtId="1" fontId="21021" fillId="8" borderId="1" xfId="0" applyNumberFormat="1" applyFont="1" applyFill="1" applyBorder="1" applyAlignment="1">
      <alignment horizontal="center" vertical="center"/>
    </xf>
    <xf numFmtId="165" fontId="21022" fillId="8" borderId="1" xfId="0" applyNumberFormat="1" applyFont="1" applyFill="1" applyBorder="1" applyAlignment="1">
      <alignment horizontal="center" vertical="center"/>
    </xf>
    <xf numFmtId="1" fontId="21023" fillId="8" borderId="1" xfId="0" applyNumberFormat="1" applyFont="1" applyFill="1" applyBorder="1" applyAlignment="1">
      <alignment horizontal="center" vertical="center"/>
    </xf>
    <xf numFmtId="165" fontId="21024" fillId="8" borderId="1" xfId="0" applyNumberFormat="1" applyFont="1" applyFill="1" applyBorder="1" applyAlignment="1">
      <alignment horizontal="center" vertical="center"/>
    </xf>
    <xf numFmtId="1" fontId="21025" fillId="8" borderId="1" xfId="0" applyNumberFormat="1" applyFont="1" applyFill="1" applyBorder="1" applyAlignment="1">
      <alignment horizontal="center" vertical="center"/>
    </xf>
    <xf numFmtId="165" fontId="21026" fillId="8" borderId="1" xfId="0" applyNumberFormat="1" applyFont="1" applyFill="1" applyBorder="1" applyAlignment="1">
      <alignment horizontal="center" vertical="center"/>
    </xf>
    <xf numFmtId="2" fontId="21027" fillId="8" borderId="1" xfId="0" applyNumberFormat="1" applyFont="1" applyFill="1" applyBorder="1" applyAlignment="1">
      <alignment horizontal="center" vertical="center"/>
    </xf>
    <xf numFmtId="2" fontId="21028" fillId="8" borderId="1" xfId="0" applyNumberFormat="1" applyFont="1" applyFill="1" applyBorder="1" applyAlignment="1">
      <alignment horizontal="center" vertical="center"/>
    </xf>
    <xf numFmtId="2" fontId="21029" fillId="8" borderId="1" xfId="0" applyNumberFormat="1" applyFont="1" applyFill="1" applyBorder="1" applyAlignment="1">
      <alignment horizontal="center" vertical="center"/>
    </xf>
    <xf numFmtId="2" fontId="21030" fillId="8" borderId="1" xfId="0" applyNumberFormat="1" applyFont="1" applyFill="1" applyBorder="1" applyAlignment="1">
      <alignment horizontal="center" vertical="center"/>
    </xf>
    <xf numFmtId="2" fontId="21031" fillId="8" borderId="1" xfId="0" applyNumberFormat="1" applyFont="1" applyFill="1" applyBorder="1" applyAlignment="1">
      <alignment horizontal="center" vertical="center"/>
    </xf>
    <xf numFmtId="2" fontId="21032" fillId="8" borderId="1" xfId="0" applyNumberFormat="1" applyFont="1" applyFill="1" applyBorder="1" applyAlignment="1">
      <alignment horizontal="center" vertical="center"/>
    </xf>
    <xf numFmtId="2" fontId="21033" fillId="8" borderId="1" xfId="0" applyNumberFormat="1" applyFont="1" applyFill="1" applyBorder="1" applyAlignment="1">
      <alignment horizontal="center" vertical="center"/>
    </xf>
    <xf numFmtId="2" fontId="21034" fillId="8" borderId="1" xfId="0" applyNumberFormat="1" applyFont="1" applyFill="1" applyBorder="1" applyAlignment="1">
      <alignment horizontal="center" vertical="center"/>
    </xf>
    <xf numFmtId="2" fontId="21035" fillId="8" borderId="1" xfId="0" applyNumberFormat="1" applyFont="1" applyFill="1" applyBorder="1" applyAlignment="1">
      <alignment horizontal="center" vertical="center"/>
    </xf>
    <xf numFmtId="2" fontId="21036" fillId="8" borderId="1" xfId="0" applyNumberFormat="1" applyFont="1" applyFill="1" applyBorder="1" applyAlignment="1">
      <alignment horizontal="center" vertical="center"/>
    </xf>
    <xf numFmtId="2" fontId="21037" fillId="8" borderId="1" xfId="0" applyNumberFormat="1" applyFont="1" applyFill="1" applyBorder="1" applyAlignment="1">
      <alignment horizontal="center" vertical="center"/>
    </xf>
    <xf numFmtId="2" fontId="21038" fillId="8" borderId="1" xfId="0" applyNumberFormat="1" applyFont="1" applyFill="1" applyBorder="1" applyAlignment="1">
      <alignment horizontal="center" vertical="center"/>
    </xf>
    <xf numFmtId="2" fontId="21039" fillId="8" borderId="1" xfId="0" applyNumberFormat="1" applyFont="1" applyFill="1" applyBorder="1" applyAlignment="1">
      <alignment horizontal="center" vertical="center"/>
    </xf>
    <xf numFmtId="2" fontId="21040" fillId="8" borderId="1" xfId="0" applyNumberFormat="1" applyFont="1" applyFill="1" applyBorder="1" applyAlignment="1">
      <alignment horizontal="center" vertical="center"/>
    </xf>
    <xf numFmtId="2" fontId="21041" fillId="8" borderId="1" xfId="0" applyNumberFormat="1" applyFont="1" applyFill="1" applyBorder="1" applyAlignment="1">
      <alignment horizontal="center" vertical="center"/>
    </xf>
    <xf numFmtId="2" fontId="21042" fillId="8" borderId="1" xfId="0" applyNumberFormat="1" applyFont="1" applyFill="1" applyBorder="1" applyAlignment="1">
      <alignment horizontal="center" vertical="center"/>
    </xf>
    <xf numFmtId="2" fontId="21043" fillId="8" borderId="1" xfId="0" applyNumberFormat="1" applyFont="1" applyFill="1" applyBorder="1" applyAlignment="1">
      <alignment horizontal="center" vertical="center"/>
    </xf>
    <xf numFmtId="2" fontId="21044" fillId="8" borderId="1" xfId="0" applyNumberFormat="1" applyFont="1" applyFill="1" applyBorder="1" applyAlignment="1">
      <alignment horizontal="center" vertical="center"/>
    </xf>
    <xf numFmtId="2" fontId="21045" fillId="8" borderId="1" xfId="0" applyNumberFormat="1" applyFont="1" applyFill="1" applyBorder="1" applyAlignment="1">
      <alignment horizontal="center" vertical="center"/>
    </xf>
    <xf numFmtId="2" fontId="21046" fillId="8" borderId="1" xfId="0" applyNumberFormat="1" applyFont="1" applyFill="1" applyBorder="1" applyAlignment="1">
      <alignment horizontal="center" vertical="center"/>
    </xf>
    <xf numFmtId="2" fontId="21047" fillId="8" borderId="1" xfId="0" applyNumberFormat="1" applyFont="1" applyFill="1" applyBorder="1" applyAlignment="1">
      <alignment horizontal="center" vertical="center"/>
    </xf>
    <xf numFmtId="2" fontId="21048" fillId="8" borderId="1" xfId="0" applyNumberFormat="1" applyFont="1" applyFill="1" applyBorder="1" applyAlignment="1">
      <alignment horizontal="center" vertical="center"/>
    </xf>
    <xf numFmtId="2" fontId="21049" fillId="8" borderId="1" xfId="0" applyNumberFormat="1" applyFont="1" applyFill="1" applyBorder="1" applyAlignment="1">
      <alignment horizontal="center" vertical="center"/>
    </xf>
    <xf numFmtId="2" fontId="21050" fillId="8" borderId="1" xfId="0" applyNumberFormat="1" applyFont="1" applyFill="1" applyBorder="1" applyAlignment="1">
      <alignment horizontal="center" vertical="center"/>
    </xf>
    <xf numFmtId="2" fontId="21051" fillId="8" borderId="1" xfId="0" applyNumberFormat="1" applyFont="1" applyFill="1" applyBorder="1" applyAlignment="1">
      <alignment horizontal="center" vertical="center"/>
    </xf>
    <xf numFmtId="2" fontId="21052" fillId="8" borderId="1" xfId="0" applyNumberFormat="1" applyFont="1" applyFill="1" applyBorder="1" applyAlignment="1">
      <alignment horizontal="center" vertical="center"/>
    </xf>
    <xf numFmtId="2" fontId="21053" fillId="8" borderId="1" xfId="0" applyNumberFormat="1" applyFont="1" applyFill="1" applyBorder="1" applyAlignment="1">
      <alignment horizontal="center" vertical="center"/>
    </xf>
    <xf numFmtId="2" fontId="21054" fillId="8" borderId="1" xfId="0" applyNumberFormat="1" applyFont="1" applyFill="1" applyBorder="1" applyAlignment="1">
      <alignment horizontal="center" vertical="center"/>
    </xf>
    <xf numFmtId="2" fontId="21055" fillId="8" borderId="1" xfId="0" applyNumberFormat="1" applyFont="1" applyFill="1" applyBorder="1" applyAlignment="1">
      <alignment horizontal="center" vertical="center"/>
    </xf>
    <xf numFmtId="2" fontId="21056" fillId="8" borderId="1" xfId="0" applyNumberFormat="1" applyFont="1" applyFill="1" applyBorder="1" applyAlignment="1">
      <alignment horizontal="center" vertical="center"/>
    </xf>
    <xf numFmtId="2" fontId="21057" fillId="8" borderId="1" xfId="0" applyNumberFormat="1" applyFont="1" applyFill="1" applyBorder="1" applyAlignment="1">
      <alignment horizontal="center" vertical="center"/>
    </xf>
    <xf numFmtId="2" fontId="21058" fillId="8" borderId="1" xfId="0" applyNumberFormat="1" applyFont="1" applyFill="1" applyBorder="1" applyAlignment="1">
      <alignment horizontal="center" vertical="center"/>
    </xf>
    <xf numFmtId="2" fontId="21059" fillId="8" borderId="1" xfId="0" applyNumberFormat="1" applyFont="1" applyFill="1" applyBorder="1" applyAlignment="1">
      <alignment horizontal="center" vertical="center"/>
    </xf>
    <xf numFmtId="2" fontId="21060" fillId="8" borderId="1" xfId="0" applyNumberFormat="1" applyFont="1" applyFill="1" applyBorder="1" applyAlignment="1">
      <alignment horizontal="center" vertical="center"/>
    </xf>
    <xf numFmtId="0" fontId="21061" fillId="7" borderId="1" xfId="0" applyNumberFormat="1" applyFont="1" applyFill="1" applyBorder="1" applyAlignment="1">
      <alignment horizontal="left" vertical="center"/>
    </xf>
    <xf numFmtId="0" fontId="21062" fillId="8" borderId="1" xfId="0" applyNumberFormat="1" applyFont="1" applyFill="1" applyBorder="1" applyAlignment="1">
      <alignment horizontal="center" vertical="center"/>
    </xf>
    <xf numFmtId="164" fontId="21063" fillId="8" borderId="1" xfId="0" applyNumberFormat="1" applyFont="1" applyFill="1" applyBorder="1" applyAlignment="1">
      <alignment horizontal="center" vertical="center"/>
    </xf>
    <xf numFmtId="1" fontId="21064" fillId="8" borderId="1" xfId="0" applyNumberFormat="1" applyFont="1" applyFill="1" applyBorder="1" applyAlignment="1">
      <alignment horizontal="center" vertical="center"/>
    </xf>
    <xf numFmtId="1" fontId="21065" fillId="8" borderId="1" xfId="0" applyNumberFormat="1" applyFont="1" applyFill="1" applyBorder="1" applyAlignment="1">
      <alignment horizontal="center" vertical="center"/>
    </xf>
    <xf numFmtId="1" fontId="21066" fillId="8" borderId="1" xfId="0" applyNumberFormat="1" applyFont="1" applyFill="1" applyBorder="1" applyAlignment="1">
      <alignment horizontal="center" vertical="center"/>
    </xf>
    <xf numFmtId="1" fontId="21067" fillId="8" borderId="1" xfId="0" applyNumberFormat="1" applyFont="1" applyFill="1" applyBorder="1" applyAlignment="1">
      <alignment horizontal="center" vertical="center"/>
    </xf>
    <xf numFmtId="1" fontId="21068" fillId="8" borderId="1" xfId="0" applyNumberFormat="1" applyFont="1" applyFill="1" applyBorder="1" applyAlignment="1">
      <alignment horizontal="center" vertical="center"/>
    </xf>
    <xf numFmtId="1" fontId="21069" fillId="8" borderId="1" xfId="0" applyNumberFormat="1" applyFont="1" applyFill="1" applyBorder="1" applyAlignment="1">
      <alignment horizontal="center" vertical="center"/>
    </xf>
    <xf numFmtId="1" fontId="21070" fillId="8" borderId="1" xfId="0" applyNumberFormat="1" applyFont="1" applyFill="1" applyBorder="1" applyAlignment="1">
      <alignment horizontal="center" vertical="center"/>
    </xf>
    <xf numFmtId="0" fontId="21071" fillId="8" borderId="1" xfId="0" applyNumberFormat="1" applyFont="1" applyFill="1" applyBorder="1" applyAlignment="1">
      <alignment horizontal="center" vertical="center"/>
    </xf>
    <xf numFmtId="0" fontId="21072" fillId="8" borderId="1" xfId="0" applyNumberFormat="1" applyFont="1" applyFill="1" applyBorder="1" applyAlignment="1">
      <alignment horizontal="center" vertical="center"/>
    </xf>
    <xf numFmtId="1" fontId="21073" fillId="8" borderId="1" xfId="0" applyNumberFormat="1" applyFont="1" applyFill="1" applyBorder="1" applyAlignment="1">
      <alignment horizontal="center" vertical="center"/>
    </xf>
    <xf numFmtId="1" fontId="21074" fillId="8" borderId="1" xfId="0" applyNumberFormat="1" applyFont="1" applyFill="1" applyBorder="1" applyAlignment="1">
      <alignment horizontal="center" vertical="center"/>
    </xf>
    <xf numFmtId="1" fontId="21075" fillId="8" borderId="1" xfId="0" applyNumberFormat="1" applyFont="1" applyFill="1" applyBorder="1" applyAlignment="1">
      <alignment horizontal="center" vertical="center"/>
    </xf>
    <xf numFmtId="165" fontId="21076" fillId="8" borderId="1" xfId="0" applyNumberFormat="1" applyFont="1" applyFill="1" applyBorder="1" applyAlignment="1">
      <alignment horizontal="center" vertical="center"/>
    </xf>
    <xf numFmtId="1" fontId="21077" fillId="8" borderId="1" xfId="0" applyNumberFormat="1" applyFont="1" applyFill="1" applyBorder="1" applyAlignment="1">
      <alignment horizontal="center" vertical="center"/>
    </xf>
    <xf numFmtId="165" fontId="21078" fillId="8" borderId="1" xfId="0" applyNumberFormat="1" applyFont="1" applyFill="1" applyBorder="1" applyAlignment="1">
      <alignment horizontal="center" vertical="center"/>
    </xf>
    <xf numFmtId="1" fontId="21079" fillId="8" borderId="1" xfId="0" applyNumberFormat="1" applyFont="1" applyFill="1" applyBorder="1" applyAlignment="1">
      <alignment horizontal="center" vertical="center"/>
    </xf>
    <xf numFmtId="165" fontId="21080" fillId="8" borderId="1" xfId="0" applyNumberFormat="1" applyFont="1" applyFill="1" applyBorder="1" applyAlignment="1">
      <alignment horizontal="center" vertical="center"/>
    </xf>
    <xf numFmtId="1" fontId="21081" fillId="8" borderId="1" xfId="0" applyNumberFormat="1" applyFont="1" applyFill="1" applyBorder="1" applyAlignment="1">
      <alignment horizontal="center" vertical="center"/>
    </xf>
    <xf numFmtId="165" fontId="21082" fillId="8" borderId="1" xfId="0" applyNumberFormat="1" applyFont="1" applyFill="1" applyBorder="1" applyAlignment="1">
      <alignment horizontal="center" vertical="center"/>
    </xf>
    <xf numFmtId="165" fontId="21083" fillId="8" borderId="1" xfId="0" applyNumberFormat="1" applyFont="1" applyFill="1" applyBorder="1" applyAlignment="1">
      <alignment horizontal="center" vertical="center"/>
    </xf>
    <xf numFmtId="1" fontId="21084" fillId="8" borderId="1" xfId="0" applyNumberFormat="1" applyFont="1" applyFill="1" applyBorder="1" applyAlignment="1">
      <alignment horizontal="center" vertical="center"/>
    </xf>
    <xf numFmtId="1" fontId="21085" fillId="8" borderId="1" xfId="0" applyNumberFormat="1" applyFont="1" applyFill="1" applyBorder="1" applyAlignment="1">
      <alignment horizontal="center" vertical="center"/>
    </xf>
    <xf numFmtId="1" fontId="21086" fillId="8" borderId="1" xfId="0" applyNumberFormat="1" applyFont="1" applyFill="1" applyBorder="1" applyAlignment="1">
      <alignment horizontal="center" vertical="center"/>
    </xf>
    <xf numFmtId="165" fontId="21087" fillId="8" borderId="1" xfId="0" applyNumberFormat="1" applyFont="1" applyFill="1" applyBorder="1" applyAlignment="1">
      <alignment horizontal="center" vertical="center"/>
    </xf>
    <xf numFmtId="164" fontId="21088" fillId="8" borderId="1" xfId="0" applyNumberFormat="1" applyFont="1" applyFill="1" applyBorder="1" applyAlignment="1">
      <alignment horizontal="center" vertical="center"/>
    </xf>
    <xf numFmtId="164" fontId="21089" fillId="8" borderId="1" xfId="0" applyNumberFormat="1" applyFont="1" applyFill="1" applyBorder="1" applyAlignment="1">
      <alignment horizontal="center" vertical="center"/>
    </xf>
    <xf numFmtId="1" fontId="21090" fillId="8" borderId="1" xfId="0" applyNumberFormat="1" applyFont="1" applyFill="1" applyBorder="1" applyAlignment="1">
      <alignment horizontal="center" vertical="center"/>
    </xf>
    <xf numFmtId="1" fontId="21091" fillId="8" borderId="1" xfId="0" applyNumberFormat="1" applyFont="1" applyFill="1" applyBorder="1" applyAlignment="1">
      <alignment horizontal="center" vertical="center"/>
    </xf>
    <xf numFmtId="1" fontId="21092" fillId="8" borderId="1" xfId="0" applyNumberFormat="1" applyFont="1" applyFill="1" applyBorder="1" applyAlignment="1">
      <alignment horizontal="center" vertical="center"/>
    </xf>
    <xf numFmtId="165" fontId="21093" fillId="8" borderId="1" xfId="0" applyNumberFormat="1" applyFont="1" applyFill="1" applyBorder="1" applyAlignment="1">
      <alignment horizontal="center" vertical="center"/>
    </xf>
    <xf numFmtId="1" fontId="21094" fillId="8" borderId="1" xfId="0" applyNumberFormat="1" applyFont="1" applyFill="1" applyBorder="1" applyAlignment="1">
      <alignment horizontal="center" vertical="center"/>
    </xf>
    <xf numFmtId="165" fontId="21095" fillId="8" borderId="1" xfId="0" applyNumberFormat="1" applyFont="1" applyFill="1" applyBorder="1" applyAlignment="1">
      <alignment horizontal="center" vertical="center"/>
    </xf>
    <xf numFmtId="1" fontId="21096" fillId="8" borderId="1" xfId="0" applyNumberFormat="1" applyFont="1" applyFill="1" applyBorder="1" applyAlignment="1">
      <alignment horizontal="center" vertical="center"/>
    </xf>
    <xf numFmtId="1" fontId="21097" fillId="8" borderId="1" xfId="0" applyNumberFormat="1" applyFont="1" applyFill="1" applyBorder="1" applyAlignment="1">
      <alignment horizontal="center" vertical="center"/>
    </xf>
    <xf numFmtId="1" fontId="21098" fillId="8" borderId="1" xfId="0" applyNumberFormat="1" applyFont="1" applyFill="1" applyBorder="1" applyAlignment="1">
      <alignment horizontal="center" vertical="center"/>
    </xf>
    <xf numFmtId="1" fontId="21099" fillId="8" borderId="1" xfId="0" applyNumberFormat="1" applyFont="1" applyFill="1" applyBorder="1" applyAlignment="1">
      <alignment horizontal="center" vertical="center"/>
    </xf>
    <xf numFmtId="165" fontId="21100" fillId="8" borderId="1" xfId="0" applyNumberFormat="1" applyFont="1" applyFill="1" applyBorder="1" applyAlignment="1">
      <alignment horizontal="center" vertical="center"/>
    </xf>
    <xf numFmtId="1" fontId="21101" fillId="8" borderId="1" xfId="0" applyNumberFormat="1" applyFont="1" applyFill="1" applyBorder="1" applyAlignment="1">
      <alignment horizontal="center" vertical="center"/>
    </xf>
    <xf numFmtId="165" fontId="21102" fillId="8" borderId="1" xfId="0" applyNumberFormat="1" applyFont="1" applyFill="1" applyBorder="1" applyAlignment="1">
      <alignment horizontal="center" vertical="center"/>
    </xf>
    <xf numFmtId="1" fontId="21103" fillId="8" borderId="1" xfId="0" applyNumberFormat="1" applyFont="1" applyFill="1" applyBorder="1" applyAlignment="1">
      <alignment horizontal="center" vertical="center"/>
    </xf>
    <xf numFmtId="165" fontId="21104" fillId="8" borderId="1" xfId="0" applyNumberFormat="1" applyFont="1" applyFill="1" applyBorder="1" applyAlignment="1">
      <alignment horizontal="center" vertical="center"/>
    </xf>
    <xf numFmtId="2" fontId="21105" fillId="8" borderId="1" xfId="0" applyNumberFormat="1" applyFont="1" applyFill="1" applyBorder="1" applyAlignment="1">
      <alignment horizontal="center" vertical="center"/>
    </xf>
    <xf numFmtId="2" fontId="21106" fillId="8" borderId="1" xfId="0" applyNumberFormat="1" applyFont="1" applyFill="1" applyBorder="1" applyAlignment="1">
      <alignment horizontal="center" vertical="center"/>
    </xf>
    <xf numFmtId="2" fontId="21107" fillId="8" borderId="1" xfId="0" applyNumberFormat="1" applyFont="1" applyFill="1" applyBorder="1" applyAlignment="1">
      <alignment horizontal="center" vertical="center"/>
    </xf>
    <xf numFmtId="2" fontId="21108" fillId="8" borderId="1" xfId="0" applyNumberFormat="1" applyFont="1" applyFill="1" applyBorder="1" applyAlignment="1">
      <alignment horizontal="center" vertical="center"/>
    </xf>
    <xf numFmtId="2" fontId="21109" fillId="8" borderId="1" xfId="0" applyNumberFormat="1" applyFont="1" applyFill="1" applyBorder="1" applyAlignment="1">
      <alignment horizontal="center" vertical="center"/>
    </xf>
    <xf numFmtId="2" fontId="21110" fillId="8" borderId="1" xfId="0" applyNumberFormat="1" applyFont="1" applyFill="1" applyBorder="1" applyAlignment="1">
      <alignment horizontal="center" vertical="center"/>
    </xf>
    <xf numFmtId="2" fontId="21111" fillId="8" borderId="1" xfId="0" applyNumberFormat="1" applyFont="1" applyFill="1" applyBorder="1" applyAlignment="1">
      <alignment horizontal="center" vertical="center"/>
    </xf>
    <xf numFmtId="2" fontId="21112" fillId="8" borderId="1" xfId="0" applyNumberFormat="1" applyFont="1" applyFill="1" applyBorder="1" applyAlignment="1">
      <alignment horizontal="center" vertical="center"/>
    </xf>
    <xf numFmtId="2" fontId="21113" fillId="8" borderId="1" xfId="0" applyNumberFormat="1" applyFont="1" applyFill="1" applyBorder="1" applyAlignment="1">
      <alignment horizontal="center" vertical="center"/>
    </xf>
    <xf numFmtId="2" fontId="21114" fillId="8" borderId="1" xfId="0" applyNumberFormat="1" applyFont="1" applyFill="1" applyBorder="1" applyAlignment="1">
      <alignment horizontal="center" vertical="center"/>
    </xf>
    <xf numFmtId="2" fontId="21115" fillId="8" borderId="1" xfId="0" applyNumberFormat="1" applyFont="1" applyFill="1" applyBorder="1" applyAlignment="1">
      <alignment horizontal="center" vertical="center"/>
    </xf>
    <xf numFmtId="2" fontId="21116" fillId="8" borderId="1" xfId="0" applyNumberFormat="1" applyFont="1" applyFill="1" applyBorder="1" applyAlignment="1">
      <alignment horizontal="center" vertical="center"/>
    </xf>
    <xf numFmtId="2" fontId="21117" fillId="8" borderId="1" xfId="0" applyNumberFormat="1" applyFont="1" applyFill="1" applyBorder="1" applyAlignment="1">
      <alignment horizontal="center" vertical="center"/>
    </xf>
    <xf numFmtId="2" fontId="21118" fillId="8" borderId="1" xfId="0" applyNumberFormat="1" applyFont="1" applyFill="1" applyBorder="1" applyAlignment="1">
      <alignment horizontal="center" vertical="center"/>
    </xf>
    <xf numFmtId="2" fontId="21119" fillId="8" borderId="1" xfId="0" applyNumberFormat="1" applyFont="1" applyFill="1" applyBorder="1" applyAlignment="1">
      <alignment horizontal="center" vertical="center"/>
    </xf>
    <xf numFmtId="2" fontId="21120" fillId="8" borderId="1" xfId="0" applyNumberFormat="1" applyFont="1" applyFill="1" applyBorder="1" applyAlignment="1">
      <alignment horizontal="center" vertical="center"/>
    </xf>
    <xf numFmtId="2" fontId="21121" fillId="8" borderId="1" xfId="0" applyNumberFormat="1" applyFont="1" applyFill="1" applyBorder="1" applyAlignment="1">
      <alignment horizontal="center" vertical="center"/>
    </xf>
    <xf numFmtId="2" fontId="21122" fillId="8" borderId="1" xfId="0" applyNumberFormat="1" applyFont="1" applyFill="1" applyBorder="1" applyAlignment="1">
      <alignment horizontal="center" vertical="center"/>
    </xf>
    <xf numFmtId="2" fontId="21123" fillId="8" borderId="1" xfId="0" applyNumberFormat="1" applyFont="1" applyFill="1" applyBorder="1" applyAlignment="1">
      <alignment horizontal="center" vertical="center"/>
    </xf>
    <xf numFmtId="2" fontId="21124" fillId="8" borderId="1" xfId="0" applyNumberFormat="1" applyFont="1" applyFill="1" applyBorder="1" applyAlignment="1">
      <alignment horizontal="center" vertical="center"/>
    </xf>
    <xf numFmtId="2" fontId="21125" fillId="8" borderId="1" xfId="0" applyNumberFormat="1" applyFont="1" applyFill="1" applyBorder="1" applyAlignment="1">
      <alignment horizontal="center" vertical="center"/>
    </xf>
    <xf numFmtId="2" fontId="21126" fillId="8" borderId="1" xfId="0" applyNumberFormat="1" applyFont="1" applyFill="1" applyBorder="1" applyAlignment="1">
      <alignment horizontal="center" vertical="center"/>
    </xf>
    <xf numFmtId="2" fontId="21127" fillId="8" borderId="1" xfId="0" applyNumberFormat="1" applyFont="1" applyFill="1" applyBorder="1" applyAlignment="1">
      <alignment horizontal="center" vertical="center"/>
    </xf>
    <xf numFmtId="2" fontId="21128" fillId="8" borderId="1" xfId="0" applyNumberFormat="1" applyFont="1" applyFill="1" applyBorder="1" applyAlignment="1">
      <alignment horizontal="center" vertical="center"/>
    </xf>
    <xf numFmtId="2" fontId="21129" fillId="8" borderId="1" xfId="0" applyNumberFormat="1" applyFont="1" applyFill="1" applyBorder="1" applyAlignment="1">
      <alignment horizontal="center" vertical="center"/>
    </xf>
    <xf numFmtId="2" fontId="21130" fillId="8" borderId="1" xfId="0" applyNumberFormat="1" applyFont="1" applyFill="1" applyBorder="1" applyAlignment="1">
      <alignment horizontal="center" vertical="center"/>
    </xf>
    <xf numFmtId="2" fontId="21131" fillId="8" borderId="1" xfId="0" applyNumberFormat="1" applyFont="1" applyFill="1" applyBorder="1" applyAlignment="1">
      <alignment horizontal="center" vertical="center"/>
    </xf>
    <xf numFmtId="2" fontId="21132" fillId="8" borderId="1" xfId="0" applyNumberFormat="1" applyFont="1" applyFill="1" applyBorder="1" applyAlignment="1">
      <alignment horizontal="center" vertical="center"/>
    </xf>
    <xf numFmtId="2" fontId="21133" fillId="8" borderId="1" xfId="0" applyNumberFormat="1" applyFont="1" applyFill="1" applyBorder="1" applyAlignment="1">
      <alignment horizontal="center" vertical="center"/>
    </xf>
    <xf numFmtId="2" fontId="21134" fillId="8" borderId="1" xfId="0" applyNumberFormat="1" applyFont="1" applyFill="1" applyBorder="1" applyAlignment="1">
      <alignment horizontal="center" vertical="center"/>
    </xf>
    <xf numFmtId="2" fontId="21135" fillId="8" borderId="1" xfId="0" applyNumberFormat="1" applyFont="1" applyFill="1" applyBorder="1" applyAlignment="1">
      <alignment horizontal="center" vertical="center"/>
    </xf>
    <xf numFmtId="2" fontId="21136" fillId="8" borderId="1" xfId="0" applyNumberFormat="1" applyFont="1" applyFill="1" applyBorder="1" applyAlignment="1">
      <alignment horizontal="center" vertical="center"/>
    </xf>
    <xf numFmtId="2" fontId="21137" fillId="8" borderId="1" xfId="0" applyNumberFormat="1" applyFont="1" applyFill="1" applyBorder="1" applyAlignment="1">
      <alignment horizontal="center" vertical="center"/>
    </xf>
    <xf numFmtId="2" fontId="21138" fillId="8" borderId="1" xfId="0" applyNumberFormat="1" applyFont="1" applyFill="1" applyBorder="1" applyAlignment="1">
      <alignment horizontal="center" vertical="center"/>
    </xf>
    <xf numFmtId="0" fontId="21139" fillId="7" borderId="1" xfId="0" applyNumberFormat="1" applyFont="1" applyFill="1" applyBorder="1" applyAlignment="1">
      <alignment horizontal="left" vertical="center"/>
    </xf>
    <xf numFmtId="0" fontId="21140" fillId="8" borderId="1" xfId="0" applyNumberFormat="1" applyFont="1" applyFill="1" applyBorder="1" applyAlignment="1">
      <alignment horizontal="center" vertical="center"/>
    </xf>
    <xf numFmtId="164" fontId="21141" fillId="8" borderId="1" xfId="0" applyNumberFormat="1" applyFont="1" applyFill="1" applyBorder="1" applyAlignment="1">
      <alignment horizontal="center" vertical="center"/>
    </xf>
    <xf numFmtId="1" fontId="21142" fillId="8" borderId="1" xfId="0" applyNumberFormat="1" applyFont="1" applyFill="1" applyBorder="1" applyAlignment="1">
      <alignment horizontal="center" vertical="center"/>
    </xf>
    <xf numFmtId="1" fontId="21143" fillId="8" borderId="1" xfId="0" applyNumberFormat="1" applyFont="1" applyFill="1" applyBorder="1" applyAlignment="1">
      <alignment horizontal="center" vertical="center"/>
    </xf>
    <xf numFmtId="1" fontId="21144" fillId="8" borderId="1" xfId="0" applyNumberFormat="1" applyFont="1" applyFill="1" applyBorder="1" applyAlignment="1">
      <alignment horizontal="center" vertical="center"/>
    </xf>
    <xf numFmtId="1" fontId="21145" fillId="8" borderId="1" xfId="0" applyNumberFormat="1" applyFont="1" applyFill="1" applyBorder="1" applyAlignment="1">
      <alignment horizontal="center" vertical="center"/>
    </xf>
    <xf numFmtId="1" fontId="21146" fillId="8" borderId="1" xfId="0" applyNumberFormat="1" applyFont="1" applyFill="1" applyBorder="1" applyAlignment="1">
      <alignment horizontal="center" vertical="center"/>
    </xf>
    <xf numFmtId="1" fontId="21147" fillId="8" borderId="1" xfId="0" applyNumberFormat="1" applyFont="1" applyFill="1" applyBorder="1" applyAlignment="1">
      <alignment horizontal="center" vertical="center"/>
    </xf>
    <xf numFmtId="1" fontId="21148" fillId="8" borderId="1" xfId="0" applyNumberFormat="1" applyFont="1" applyFill="1" applyBorder="1" applyAlignment="1">
      <alignment horizontal="center" vertical="center"/>
    </xf>
    <xf numFmtId="0" fontId="21149" fillId="8" borderId="1" xfId="0" applyNumberFormat="1" applyFont="1" applyFill="1" applyBorder="1" applyAlignment="1">
      <alignment horizontal="center" vertical="center"/>
    </xf>
    <xf numFmtId="0" fontId="21150" fillId="8" borderId="1" xfId="0" applyNumberFormat="1" applyFont="1" applyFill="1" applyBorder="1" applyAlignment="1">
      <alignment horizontal="center" vertical="center"/>
    </xf>
    <xf numFmtId="1" fontId="21151" fillId="8" borderId="1" xfId="0" applyNumberFormat="1" applyFont="1" applyFill="1" applyBorder="1" applyAlignment="1">
      <alignment horizontal="center" vertical="center"/>
    </xf>
    <xf numFmtId="1" fontId="21152" fillId="8" borderId="1" xfId="0" applyNumberFormat="1" applyFont="1" applyFill="1" applyBorder="1" applyAlignment="1">
      <alignment horizontal="center" vertical="center"/>
    </xf>
    <xf numFmtId="1" fontId="21153" fillId="8" borderId="1" xfId="0" applyNumberFormat="1" applyFont="1" applyFill="1" applyBorder="1" applyAlignment="1">
      <alignment horizontal="center" vertical="center"/>
    </xf>
    <xf numFmtId="165" fontId="21154" fillId="8" borderId="1" xfId="0" applyNumberFormat="1" applyFont="1" applyFill="1" applyBorder="1" applyAlignment="1">
      <alignment horizontal="center" vertical="center"/>
    </xf>
    <xf numFmtId="1" fontId="21155" fillId="8" borderId="1" xfId="0" applyNumberFormat="1" applyFont="1" applyFill="1" applyBorder="1" applyAlignment="1">
      <alignment horizontal="center" vertical="center"/>
    </xf>
    <xf numFmtId="165" fontId="21156" fillId="8" borderId="1" xfId="0" applyNumberFormat="1" applyFont="1" applyFill="1" applyBorder="1" applyAlignment="1">
      <alignment horizontal="center" vertical="center"/>
    </xf>
    <xf numFmtId="1" fontId="21157" fillId="8" borderId="1" xfId="0" applyNumberFormat="1" applyFont="1" applyFill="1" applyBorder="1" applyAlignment="1">
      <alignment horizontal="center" vertical="center"/>
    </xf>
    <xf numFmtId="165" fontId="21158" fillId="8" borderId="1" xfId="0" applyNumberFormat="1" applyFont="1" applyFill="1" applyBorder="1" applyAlignment="1">
      <alignment horizontal="center" vertical="center"/>
    </xf>
    <xf numFmtId="1" fontId="21159" fillId="8" borderId="1" xfId="0" applyNumberFormat="1" applyFont="1" applyFill="1" applyBorder="1" applyAlignment="1">
      <alignment horizontal="center" vertical="center"/>
    </xf>
    <xf numFmtId="165" fontId="21160" fillId="8" borderId="1" xfId="0" applyNumberFormat="1" applyFont="1" applyFill="1" applyBorder="1" applyAlignment="1">
      <alignment horizontal="center" vertical="center"/>
    </xf>
    <xf numFmtId="165" fontId="21161" fillId="8" borderId="1" xfId="0" applyNumberFormat="1" applyFont="1" applyFill="1" applyBorder="1" applyAlignment="1">
      <alignment horizontal="center" vertical="center"/>
    </xf>
    <xf numFmtId="1" fontId="21162" fillId="8" borderId="1" xfId="0" applyNumberFormat="1" applyFont="1" applyFill="1" applyBorder="1" applyAlignment="1">
      <alignment horizontal="center" vertical="center"/>
    </xf>
    <xf numFmtId="1" fontId="21163" fillId="8" borderId="1" xfId="0" applyNumberFormat="1" applyFont="1" applyFill="1" applyBorder="1" applyAlignment="1">
      <alignment horizontal="center" vertical="center"/>
    </xf>
    <xf numFmtId="1" fontId="21164" fillId="8" borderId="1" xfId="0" applyNumberFormat="1" applyFont="1" applyFill="1" applyBorder="1" applyAlignment="1">
      <alignment horizontal="center" vertical="center"/>
    </xf>
    <xf numFmtId="165" fontId="21165" fillId="8" borderId="1" xfId="0" applyNumberFormat="1" applyFont="1" applyFill="1" applyBorder="1" applyAlignment="1">
      <alignment horizontal="center" vertical="center"/>
    </xf>
    <xf numFmtId="164" fontId="21166" fillId="8" borderId="1" xfId="0" applyNumberFormat="1" applyFont="1" applyFill="1" applyBorder="1" applyAlignment="1">
      <alignment horizontal="center" vertical="center"/>
    </xf>
    <xf numFmtId="164" fontId="21167" fillId="8" borderId="1" xfId="0" applyNumberFormat="1" applyFont="1" applyFill="1" applyBorder="1" applyAlignment="1">
      <alignment horizontal="center" vertical="center"/>
    </xf>
    <xf numFmtId="1" fontId="21168" fillId="8" borderId="1" xfId="0" applyNumberFormat="1" applyFont="1" applyFill="1" applyBorder="1" applyAlignment="1">
      <alignment horizontal="center" vertical="center"/>
    </xf>
    <xf numFmtId="1" fontId="21169" fillId="8" borderId="1" xfId="0" applyNumberFormat="1" applyFont="1" applyFill="1" applyBorder="1" applyAlignment="1">
      <alignment horizontal="center" vertical="center"/>
    </xf>
    <xf numFmtId="1" fontId="21170" fillId="8" borderId="1" xfId="0" applyNumberFormat="1" applyFont="1" applyFill="1" applyBorder="1" applyAlignment="1">
      <alignment horizontal="center" vertical="center"/>
    </xf>
    <xf numFmtId="165" fontId="21171" fillId="8" borderId="1" xfId="0" applyNumberFormat="1" applyFont="1" applyFill="1" applyBorder="1" applyAlignment="1">
      <alignment horizontal="center" vertical="center"/>
    </xf>
    <xf numFmtId="1" fontId="21172" fillId="8" borderId="1" xfId="0" applyNumberFormat="1" applyFont="1" applyFill="1" applyBorder="1" applyAlignment="1">
      <alignment horizontal="center" vertical="center"/>
    </xf>
    <xf numFmtId="165" fontId="21173" fillId="8" borderId="1" xfId="0" applyNumberFormat="1" applyFont="1" applyFill="1" applyBorder="1" applyAlignment="1">
      <alignment horizontal="center" vertical="center"/>
    </xf>
    <xf numFmtId="1" fontId="21174" fillId="8" borderId="1" xfId="0" applyNumberFormat="1" applyFont="1" applyFill="1" applyBorder="1" applyAlignment="1">
      <alignment horizontal="center" vertical="center"/>
    </xf>
    <xf numFmtId="1" fontId="21175" fillId="8" borderId="1" xfId="0" applyNumberFormat="1" applyFont="1" applyFill="1" applyBorder="1" applyAlignment="1">
      <alignment horizontal="center" vertical="center"/>
    </xf>
    <xf numFmtId="1" fontId="21176" fillId="8" borderId="1" xfId="0" applyNumberFormat="1" applyFont="1" applyFill="1" applyBorder="1" applyAlignment="1">
      <alignment horizontal="center" vertical="center"/>
    </xf>
    <xf numFmtId="1" fontId="21177" fillId="8" borderId="1" xfId="0" applyNumberFormat="1" applyFont="1" applyFill="1" applyBorder="1" applyAlignment="1">
      <alignment horizontal="center" vertical="center"/>
    </xf>
    <xf numFmtId="165" fontId="21178" fillId="8" borderId="1" xfId="0" applyNumberFormat="1" applyFont="1" applyFill="1" applyBorder="1" applyAlignment="1">
      <alignment horizontal="center" vertical="center"/>
    </xf>
    <xf numFmtId="1" fontId="21179" fillId="8" borderId="1" xfId="0" applyNumberFormat="1" applyFont="1" applyFill="1" applyBorder="1" applyAlignment="1">
      <alignment horizontal="center" vertical="center"/>
    </xf>
    <xf numFmtId="165" fontId="21180" fillId="8" borderId="1" xfId="0" applyNumberFormat="1" applyFont="1" applyFill="1" applyBorder="1" applyAlignment="1">
      <alignment horizontal="center" vertical="center"/>
    </xf>
    <xf numFmtId="1" fontId="21181" fillId="8" borderId="1" xfId="0" applyNumberFormat="1" applyFont="1" applyFill="1" applyBorder="1" applyAlignment="1">
      <alignment horizontal="center" vertical="center"/>
    </xf>
    <xf numFmtId="165" fontId="21182" fillId="8" borderId="1" xfId="0" applyNumberFormat="1" applyFont="1" applyFill="1" applyBorder="1" applyAlignment="1">
      <alignment horizontal="center" vertical="center"/>
    </xf>
    <xf numFmtId="2" fontId="21183" fillId="8" borderId="1" xfId="0" applyNumberFormat="1" applyFont="1" applyFill="1" applyBorder="1" applyAlignment="1">
      <alignment horizontal="center" vertical="center"/>
    </xf>
    <xf numFmtId="2" fontId="21184" fillId="8" borderId="1" xfId="0" applyNumberFormat="1" applyFont="1" applyFill="1" applyBorder="1" applyAlignment="1">
      <alignment horizontal="center" vertical="center"/>
    </xf>
    <xf numFmtId="2" fontId="21185" fillId="8" borderId="1" xfId="0" applyNumberFormat="1" applyFont="1" applyFill="1" applyBorder="1" applyAlignment="1">
      <alignment horizontal="center" vertical="center"/>
    </xf>
    <xf numFmtId="2" fontId="21186" fillId="8" borderId="1" xfId="0" applyNumberFormat="1" applyFont="1" applyFill="1" applyBorder="1" applyAlignment="1">
      <alignment horizontal="center" vertical="center"/>
    </xf>
    <xf numFmtId="2" fontId="21187" fillId="8" borderId="1" xfId="0" applyNumberFormat="1" applyFont="1" applyFill="1" applyBorder="1" applyAlignment="1">
      <alignment horizontal="center" vertical="center"/>
    </xf>
    <xf numFmtId="2" fontId="21188" fillId="8" borderId="1" xfId="0" applyNumberFormat="1" applyFont="1" applyFill="1" applyBorder="1" applyAlignment="1">
      <alignment horizontal="center" vertical="center"/>
    </xf>
    <xf numFmtId="2" fontId="21189" fillId="8" borderId="1" xfId="0" applyNumberFormat="1" applyFont="1" applyFill="1" applyBorder="1" applyAlignment="1">
      <alignment horizontal="center" vertical="center"/>
    </xf>
    <xf numFmtId="2" fontId="21190" fillId="8" borderId="1" xfId="0" applyNumberFormat="1" applyFont="1" applyFill="1" applyBorder="1" applyAlignment="1">
      <alignment horizontal="center" vertical="center"/>
    </xf>
    <xf numFmtId="2" fontId="21191" fillId="8" borderId="1" xfId="0" applyNumberFormat="1" applyFont="1" applyFill="1" applyBorder="1" applyAlignment="1">
      <alignment horizontal="center" vertical="center"/>
    </xf>
    <xf numFmtId="2" fontId="21192" fillId="8" borderId="1" xfId="0" applyNumberFormat="1" applyFont="1" applyFill="1" applyBorder="1" applyAlignment="1">
      <alignment horizontal="center" vertical="center"/>
    </xf>
    <xf numFmtId="2" fontId="21193" fillId="8" borderId="1" xfId="0" applyNumberFormat="1" applyFont="1" applyFill="1" applyBorder="1" applyAlignment="1">
      <alignment horizontal="center" vertical="center"/>
    </xf>
    <xf numFmtId="2" fontId="21194" fillId="8" borderId="1" xfId="0" applyNumberFormat="1" applyFont="1" applyFill="1" applyBorder="1" applyAlignment="1">
      <alignment horizontal="center" vertical="center"/>
    </xf>
    <xf numFmtId="2" fontId="21195" fillId="8" borderId="1" xfId="0" applyNumberFormat="1" applyFont="1" applyFill="1" applyBorder="1" applyAlignment="1">
      <alignment horizontal="center" vertical="center"/>
    </xf>
    <xf numFmtId="2" fontId="21196" fillId="8" borderId="1" xfId="0" applyNumberFormat="1" applyFont="1" applyFill="1" applyBorder="1" applyAlignment="1">
      <alignment horizontal="center" vertical="center"/>
    </xf>
    <xf numFmtId="2" fontId="21197" fillId="8" borderId="1" xfId="0" applyNumberFormat="1" applyFont="1" applyFill="1" applyBorder="1" applyAlignment="1">
      <alignment horizontal="center" vertical="center"/>
    </xf>
    <xf numFmtId="2" fontId="21198" fillId="8" borderId="1" xfId="0" applyNumberFormat="1" applyFont="1" applyFill="1" applyBorder="1" applyAlignment="1">
      <alignment horizontal="center" vertical="center"/>
    </xf>
    <xf numFmtId="2" fontId="21199" fillId="8" borderId="1" xfId="0" applyNumberFormat="1" applyFont="1" applyFill="1" applyBorder="1" applyAlignment="1">
      <alignment horizontal="center" vertical="center"/>
    </xf>
    <xf numFmtId="2" fontId="21200" fillId="8" borderId="1" xfId="0" applyNumberFormat="1" applyFont="1" applyFill="1" applyBorder="1" applyAlignment="1">
      <alignment horizontal="center" vertical="center"/>
    </xf>
    <xf numFmtId="2" fontId="21201" fillId="8" borderId="1" xfId="0" applyNumberFormat="1" applyFont="1" applyFill="1" applyBorder="1" applyAlignment="1">
      <alignment horizontal="center" vertical="center"/>
    </xf>
    <xf numFmtId="2" fontId="21202" fillId="8" borderId="1" xfId="0" applyNumberFormat="1" applyFont="1" applyFill="1" applyBorder="1" applyAlignment="1">
      <alignment horizontal="center" vertical="center"/>
    </xf>
    <xf numFmtId="2" fontId="21203" fillId="8" borderId="1" xfId="0" applyNumberFormat="1" applyFont="1" applyFill="1" applyBorder="1" applyAlignment="1">
      <alignment horizontal="center" vertical="center"/>
    </xf>
    <xf numFmtId="2" fontId="21204" fillId="8" borderId="1" xfId="0" applyNumberFormat="1" applyFont="1" applyFill="1" applyBorder="1" applyAlignment="1">
      <alignment horizontal="center" vertical="center"/>
    </xf>
    <xf numFmtId="2" fontId="21205" fillId="8" borderId="1" xfId="0" applyNumberFormat="1" applyFont="1" applyFill="1" applyBorder="1" applyAlignment="1">
      <alignment horizontal="center" vertical="center"/>
    </xf>
    <xf numFmtId="2" fontId="21206" fillId="8" borderId="1" xfId="0" applyNumberFormat="1" applyFont="1" applyFill="1" applyBorder="1" applyAlignment="1">
      <alignment horizontal="center" vertical="center"/>
    </xf>
    <xf numFmtId="2" fontId="21207" fillId="8" borderId="1" xfId="0" applyNumberFormat="1" applyFont="1" applyFill="1" applyBorder="1" applyAlignment="1">
      <alignment horizontal="center" vertical="center"/>
    </xf>
    <xf numFmtId="2" fontId="21208" fillId="8" borderId="1" xfId="0" applyNumberFormat="1" applyFont="1" applyFill="1" applyBorder="1" applyAlignment="1">
      <alignment horizontal="center" vertical="center"/>
    </xf>
    <xf numFmtId="2" fontId="21209" fillId="8" borderId="1" xfId="0" applyNumberFormat="1" applyFont="1" applyFill="1" applyBorder="1" applyAlignment="1">
      <alignment horizontal="center" vertical="center"/>
    </xf>
    <xf numFmtId="2" fontId="21210" fillId="8" borderId="1" xfId="0" applyNumberFormat="1" applyFont="1" applyFill="1" applyBorder="1" applyAlignment="1">
      <alignment horizontal="center" vertical="center"/>
    </xf>
    <xf numFmtId="2" fontId="21211" fillId="8" borderId="1" xfId="0" applyNumberFormat="1" applyFont="1" applyFill="1" applyBorder="1" applyAlignment="1">
      <alignment horizontal="center" vertical="center"/>
    </xf>
    <xf numFmtId="2" fontId="21212" fillId="8" borderId="1" xfId="0" applyNumberFormat="1" applyFont="1" applyFill="1" applyBorder="1" applyAlignment="1">
      <alignment horizontal="center" vertical="center"/>
    </xf>
    <xf numFmtId="2" fontId="21213" fillId="8" borderId="1" xfId="0" applyNumberFormat="1" applyFont="1" applyFill="1" applyBorder="1" applyAlignment="1">
      <alignment horizontal="center" vertical="center"/>
    </xf>
    <xf numFmtId="2" fontId="21214" fillId="8" borderId="1" xfId="0" applyNumberFormat="1" applyFont="1" applyFill="1" applyBorder="1" applyAlignment="1">
      <alignment horizontal="center" vertical="center"/>
    </xf>
    <xf numFmtId="2" fontId="21215" fillId="8" borderId="1" xfId="0" applyNumberFormat="1" applyFont="1" applyFill="1" applyBorder="1" applyAlignment="1">
      <alignment horizontal="center" vertical="center"/>
    </xf>
    <xf numFmtId="2" fontId="21216" fillId="8" borderId="1" xfId="0" applyNumberFormat="1" applyFont="1" applyFill="1" applyBorder="1" applyAlignment="1">
      <alignment horizontal="center" vertical="center"/>
    </xf>
    <xf numFmtId="0" fontId="21217" fillId="7" borderId="1" xfId="0" applyNumberFormat="1" applyFont="1" applyFill="1" applyBorder="1" applyAlignment="1">
      <alignment horizontal="left" vertical="center"/>
    </xf>
    <xf numFmtId="0" fontId="21218" fillId="8" borderId="1" xfId="0" applyNumberFormat="1" applyFont="1" applyFill="1" applyBorder="1" applyAlignment="1">
      <alignment horizontal="center" vertical="center"/>
    </xf>
    <xf numFmtId="164" fontId="21219" fillId="8" borderId="1" xfId="0" applyNumberFormat="1" applyFont="1" applyFill="1" applyBorder="1" applyAlignment="1">
      <alignment horizontal="center" vertical="center"/>
    </xf>
    <xf numFmtId="1" fontId="21220" fillId="8" borderId="1" xfId="0" applyNumberFormat="1" applyFont="1" applyFill="1" applyBorder="1" applyAlignment="1">
      <alignment horizontal="center" vertical="center"/>
    </xf>
    <xf numFmtId="1" fontId="21221" fillId="8" borderId="1" xfId="0" applyNumberFormat="1" applyFont="1" applyFill="1" applyBorder="1" applyAlignment="1">
      <alignment horizontal="center" vertical="center"/>
    </xf>
    <xf numFmtId="1" fontId="21222" fillId="8" borderId="1" xfId="0" applyNumberFormat="1" applyFont="1" applyFill="1" applyBorder="1" applyAlignment="1">
      <alignment horizontal="center" vertical="center"/>
    </xf>
    <xf numFmtId="1" fontId="21223" fillId="8" borderId="1" xfId="0" applyNumberFormat="1" applyFont="1" applyFill="1" applyBorder="1" applyAlignment="1">
      <alignment horizontal="center" vertical="center"/>
    </xf>
    <xf numFmtId="1" fontId="21224" fillId="8" borderId="1" xfId="0" applyNumberFormat="1" applyFont="1" applyFill="1" applyBorder="1" applyAlignment="1">
      <alignment horizontal="center" vertical="center"/>
    </xf>
    <xf numFmtId="1" fontId="21225" fillId="8" borderId="1" xfId="0" applyNumberFormat="1" applyFont="1" applyFill="1" applyBorder="1" applyAlignment="1">
      <alignment horizontal="center" vertical="center"/>
    </xf>
    <xf numFmtId="1" fontId="21226" fillId="8" borderId="1" xfId="0" applyNumberFormat="1" applyFont="1" applyFill="1" applyBorder="1" applyAlignment="1">
      <alignment horizontal="center" vertical="center"/>
    </xf>
    <xf numFmtId="0" fontId="21227" fillId="8" borderId="1" xfId="0" applyNumberFormat="1" applyFont="1" applyFill="1" applyBorder="1" applyAlignment="1">
      <alignment horizontal="center" vertical="center"/>
    </xf>
    <xf numFmtId="0" fontId="21228" fillId="8" borderId="1" xfId="0" applyNumberFormat="1" applyFont="1" applyFill="1" applyBorder="1" applyAlignment="1">
      <alignment horizontal="center" vertical="center"/>
    </xf>
    <xf numFmtId="1" fontId="21229" fillId="8" borderId="1" xfId="0" applyNumberFormat="1" applyFont="1" applyFill="1" applyBorder="1" applyAlignment="1">
      <alignment horizontal="center" vertical="center"/>
    </xf>
    <xf numFmtId="1" fontId="21230" fillId="8" borderId="1" xfId="0" applyNumberFormat="1" applyFont="1" applyFill="1" applyBorder="1" applyAlignment="1">
      <alignment horizontal="center" vertical="center"/>
    </xf>
    <xf numFmtId="1" fontId="21231" fillId="8" borderId="1" xfId="0" applyNumberFormat="1" applyFont="1" applyFill="1" applyBorder="1" applyAlignment="1">
      <alignment horizontal="center" vertical="center"/>
    </xf>
    <xf numFmtId="165" fontId="21232" fillId="8" borderId="1" xfId="0" applyNumberFormat="1" applyFont="1" applyFill="1" applyBorder="1" applyAlignment="1">
      <alignment horizontal="center" vertical="center"/>
    </xf>
    <xf numFmtId="1" fontId="21233" fillId="8" borderId="1" xfId="0" applyNumberFormat="1" applyFont="1" applyFill="1" applyBorder="1" applyAlignment="1">
      <alignment horizontal="center" vertical="center"/>
    </xf>
    <xf numFmtId="165" fontId="21234" fillId="8" borderId="1" xfId="0" applyNumberFormat="1" applyFont="1" applyFill="1" applyBorder="1" applyAlignment="1">
      <alignment horizontal="center" vertical="center"/>
    </xf>
    <xf numFmtId="1" fontId="21235" fillId="8" borderId="1" xfId="0" applyNumberFormat="1" applyFont="1" applyFill="1" applyBorder="1" applyAlignment="1">
      <alignment horizontal="center" vertical="center"/>
    </xf>
    <xf numFmtId="165" fontId="21236" fillId="8" borderId="1" xfId="0" applyNumberFormat="1" applyFont="1" applyFill="1" applyBorder="1" applyAlignment="1">
      <alignment horizontal="center" vertical="center"/>
    </xf>
    <xf numFmtId="1" fontId="21237" fillId="8" borderId="1" xfId="0" applyNumberFormat="1" applyFont="1" applyFill="1" applyBorder="1" applyAlignment="1">
      <alignment horizontal="center" vertical="center"/>
    </xf>
    <xf numFmtId="165" fontId="21238" fillId="8" borderId="1" xfId="0" applyNumberFormat="1" applyFont="1" applyFill="1" applyBorder="1" applyAlignment="1">
      <alignment horizontal="center" vertical="center"/>
    </xf>
    <xf numFmtId="165" fontId="21239" fillId="8" borderId="1" xfId="0" applyNumberFormat="1" applyFont="1" applyFill="1" applyBorder="1" applyAlignment="1">
      <alignment horizontal="center" vertical="center"/>
    </xf>
    <xf numFmtId="1" fontId="21240" fillId="8" borderId="1" xfId="0" applyNumberFormat="1" applyFont="1" applyFill="1" applyBorder="1" applyAlignment="1">
      <alignment horizontal="center" vertical="center"/>
    </xf>
    <xf numFmtId="1" fontId="21241" fillId="8" borderId="1" xfId="0" applyNumberFormat="1" applyFont="1" applyFill="1" applyBorder="1" applyAlignment="1">
      <alignment horizontal="center" vertical="center"/>
    </xf>
    <xf numFmtId="1" fontId="21242" fillId="8" borderId="1" xfId="0" applyNumberFormat="1" applyFont="1" applyFill="1" applyBorder="1" applyAlignment="1">
      <alignment horizontal="center" vertical="center"/>
    </xf>
    <xf numFmtId="165" fontId="21243" fillId="8" borderId="1" xfId="0" applyNumberFormat="1" applyFont="1" applyFill="1" applyBorder="1" applyAlignment="1">
      <alignment horizontal="center" vertical="center"/>
    </xf>
    <xf numFmtId="164" fontId="21244" fillId="8" borderId="1" xfId="0" applyNumberFormat="1" applyFont="1" applyFill="1" applyBorder="1" applyAlignment="1">
      <alignment horizontal="center" vertical="center"/>
    </xf>
    <xf numFmtId="164" fontId="21245" fillId="8" borderId="1" xfId="0" applyNumberFormat="1" applyFont="1" applyFill="1" applyBorder="1" applyAlignment="1">
      <alignment horizontal="center" vertical="center"/>
    </xf>
    <xf numFmtId="1" fontId="21246" fillId="8" borderId="1" xfId="0" applyNumberFormat="1" applyFont="1" applyFill="1" applyBorder="1" applyAlignment="1">
      <alignment horizontal="center" vertical="center"/>
    </xf>
    <xf numFmtId="1" fontId="21247" fillId="8" borderId="1" xfId="0" applyNumberFormat="1" applyFont="1" applyFill="1" applyBorder="1" applyAlignment="1">
      <alignment horizontal="center" vertical="center"/>
    </xf>
    <xf numFmtId="1" fontId="21248" fillId="8" borderId="1" xfId="0" applyNumberFormat="1" applyFont="1" applyFill="1" applyBorder="1" applyAlignment="1">
      <alignment horizontal="center" vertical="center"/>
    </xf>
    <xf numFmtId="165" fontId="21249" fillId="8" borderId="1" xfId="0" applyNumberFormat="1" applyFont="1" applyFill="1" applyBorder="1" applyAlignment="1">
      <alignment horizontal="center" vertical="center"/>
    </xf>
    <xf numFmtId="1" fontId="21250" fillId="8" borderId="1" xfId="0" applyNumberFormat="1" applyFont="1" applyFill="1" applyBorder="1" applyAlignment="1">
      <alignment horizontal="center" vertical="center"/>
    </xf>
    <xf numFmtId="165" fontId="21251" fillId="8" borderId="1" xfId="0" applyNumberFormat="1" applyFont="1" applyFill="1" applyBorder="1" applyAlignment="1">
      <alignment horizontal="center" vertical="center"/>
    </xf>
    <xf numFmtId="1" fontId="21252" fillId="8" borderId="1" xfId="0" applyNumberFormat="1" applyFont="1" applyFill="1" applyBorder="1" applyAlignment="1">
      <alignment horizontal="center" vertical="center"/>
    </xf>
    <xf numFmtId="1" fontId="21253" fillId="8" borderId="1" xfId="0" applyNumberFormat="1" applyFont="1" applyFill="1" applyBorder="1" applyAlignment="1">
      <alignment horizontal="center" vertical="center"/>
    </xf>
    <xf numFmtId="1" fontId="21254" fillId="8" borderId="1" xfId="0" applyNumberFormat="1" applyFont="1" applyFill="1" applyBorder="1" applyAlignment="1">
      <alignment horizontal="center" vertical="center"/>
    </xf>
    <xf numFmtId="1" fontId="21255" fillId="8" borderId="1" xfId="0" applyNumberFormat="1" applyFont="1" applyFill="1" applyBorder="1" applyAlignment="1">
      <alignment horizontal="center" vertical="center"/>
    </xf>
    <xf numFmtId="165" fontId="21256" fillId="8" borderId="1" xfId="0" applyNumberFormat="1" applyFont="1" applyFill="1" applyBorder="1" applyAlignment="1">
      <alignment horizontal="center" vertical="center"/>
    </xf>
    <xf numFmtId="1" fontId="21257" fillId="8" borderId="1" xfId="0" applyNumberFormat="1" applyFont="1" applyFill="1" applyBorder="1" applyAlignment="1">
      <alignment horizontal="center" vertical="center"/>
    </xf>
    <xf numFmtId="165" fontId="21258" fillId="8" borderId="1" xfId="0" applyNumberFormat="1" applyFont="1" applyFill="1" applyBorder="1" applyAlignment="1">
      <alignment horizontal="center" vertical="center"/>
    </xf>
    <xf numFmtId="1" fontId="21259" fillId="8" borderId="1" xfId="0" applyNumberFormat="1" applyFont="1" applyFill="1" applyBorder="1" applyAlignment="1">
      <alignment horizontal="center" vertical="center"/>
    </xf>
    <xf numFmtId="165" fontId="21260" fillId="8" borderId="1" xfId="0" applyNumberFormat="1" applyFont="1" applyFill="1" applyBorder="1" applyAlignment="1">
      <alignment horizontal="center" vertical="center"/>
    </xf>
    <xf numFmtId="2" fontId="21261" fillId="8" borderId="1" xfId="0" applyNumberFormat="1" applyFont="1" applyFill="1" applyBorder="1" applyAlignment="1">
      <alignment horizontal="center" vertical="center"/>
    </xf>
    <xf numFmtId="2" fontId="21262" fillId="8" borderId="1" xfId="0" applyNumberFormat="1" applyFont="1" applyFill="1" applyBorder="1" applyAlignment="1">
      <alignment horizontal="center" vertical="center"/>
    </xf>
    <xf numFmtId="2" fontId="21263" fillId="8" borderId="1" xfId="0" applyNumberFormat="1" applyFont="1" applyFill="1" applyBorder="1" applyAlignment="1">
      <alignment horizontal="center" vertical="center"/>
    </xf>
    <xf numFmtId="2" fontId="21264" fillId="8" borderId="1" xfId="0" applyNumberFormat="1" applyFont="1" applyFill="1" applyBorder="1" applyAlignment="1">
      <alignment horizontal="center" vertical="center"/>
    </xf>
    <xf numFmtId="2" fontId="21265" fillId="8" borderId="1" xfId="0" applyNumberFormat="1" applyFont="1" applyFill="1" applyBorder="1" applyAlignment="1">
      <alignment horizontal="center" vertical="center"/>
    </xf>
    <xf numFmtId="2" fontId="21266" fillId="8" borderId="1" xfId="0" applyNumberFormat="1" applyFont="1" applyFill="1" applyBorder="1" applyAlignment="1">
      <alignment horizontal="center" vertical="center"/>
    </xf>
    <xf numFmtId="2" fontId="21267" fillId="8" borderId="1" xfId="0" applyNumberFormat="1" applyFont="1" applyFill="1" applyBorder="1" applyAlignment="1">
      <alignment horizontal="center" vertical="center"/>
    </xf>
    <xf numFmtId="2" fontId="21268" fillId="8" borderId="1" xfId="0" applyNumberFormat="1" applyFont="1" applyFill="1" applyBorder="1" applyAlignment="1">
      <alignment horizontal="center" vertical="center"/>
    </xf>
    <xf numFmtId="2" fontId="21269" fillId="8" borderId="1" xfId="0" applyNumberFormat="1" applyFont="1" applyFill="1" applyBorder="1" applyAlignment="1">
      <alignment horizontal="center" vertical="center"/>
    </xf>
    <xf numFmtId="2" fontId="21270" fillId="8" borderId="1" xfId="0" applyNumberFormat="1" applyFont="1" applyFill="1" applyBorder="1" applyAlignment="1">
      <alignment horizontal="center" vertical="center"/>
    </xf>
    <xf numFmtId="2" fontId="21271" fillId="8" borderId="1" xfId="0" applyNumberFormat="1" applyFont="1" applyFill="1" applyBorder="1" applyAlignment="1">
      <alignment horizontal="center" vertical="center"/>
    </xf>
    <xf numFmtId="2" fontId="21272" fillId="8" borderId="1" xfId="0" applyNumberFormat="1" applyFont="1" applyFill="1" applyBorder="1" applyAlignment="1">
      <alignment horizontal="center" vertical="center"/>
    </xf>
    <xf numFmtId="2" fontId="21273" fillId="8" borderId="1" xfId="0" applyNumberFormat="1" applyFont="1" applyFill="1" applyBorder="1" applyAlignment="1">
      <alignment horizontal="center" vertical="center"/>
    </xf>
    <xf numFmtId="2" fontId="21274" fillId="8" borderId="1" xfId="0" applyNumberFormat="1" applyFont="1" applyFill="1" applyBorder="1" applyAlignment="1">
      <alignment horizontal="center" vertical="center"/>
    </xf>
    <xf numFmtId="2" fontId="21275" fillId="8" borderId="1" xfId="0" applyNumberFormat="1" applyFont="1" applyFill="1" applyBorder="1" applyAlignment="1">
      <alignment horizontal="center" vertical="center"/>
    </xf>
    <xf numFmtId="2" fontId="21276" fillId="8" borderId="1" xfId="0" applyNumberFormat="1" applyFont="1" applyFill="1" applyBorder="1" applyAlignment="1">
      <alignment horizontal="center" vertical="center"/>
    </xf>
    <xf numFmtId="2" fontId="21277" fillId="8" borderId="1" xfId="0" applyNumberFormat="1" applyFont="1" applyFill="1" applyBorder="1" applyAlignment="1">
      <alignment horizontal="center" vertical="center"/>
    </xf>
    <xf numFmtId="2" fontId="21278" fillId="8" borderId="1" xfId="0" applyNumberFormat="1" applyFont="1" applyFill="1" applyBorder="1" applyAlignment="1">
      <alignment horizontal="center" vertical="center"/>
    </xf>
    <xf numFmtId="2" fontId="21279" fillId="8" borderId="1" xfId="0" applyNumberFormat="1" applyFont="1" applyFill="1" applyBorder="1" applyAlignment="1">
      <alignment horizontal="center" vertical="center"/>
    </xf>
    <xf numFmtId="2" fontId="21280" fillId="8" borderId="1" xfId="0" applyNumberFormat="1" applyFont="1" applyFill="1" applyBorder="1" applyAlignment="1">
      <alignment horizontal="center" vertical="center"/>
    </xf>
    <xf numFmtId="2" fontId="21281" fillId="8" borderId="1" xfId="0" applyNumberFormat="1" applyFont="1" applyFill="1" applyBorder="1" applyAlignment="1">
      <alignment horizontal="center" vertical="center"/>
    </xf>
    <xf numFmtId="2" fontId="21282" fillId="8" borderId="1" xfId="0" applyNumberFormat="1" applyFont="1" applyFill="1" applyBorder="1" applyAlignment="1">
      <alignment horizontal="center" vertical="center"/>
    </xf>
    <xf numFmtId="2" fontId="21283" fillId="8" borderId="1" xfId="0" applyNumberFormat="1" applyFont="1" applyFill="1" applyBorder="1" applyAlignment="1">
      <alignment horizontal="center" vertical="center"/>
    </xf>
    <xf numFmtId="2" fontId="21284" fillId="8" borderId="1" xfId="0" applyNumberFormat="1" applyFont="1" applyFill="1" applyBorder="1" applyAlignment="1">
      <alignment horizontal="center" vertical="center"/>
    </xf>
    <xf numFmtId="2" fontId="21285" fillId="8" borderId="1" xfId="0" applyNumberFormat="1" applyFont="1" applyFill="1" applyBorder="1" applyAlignment="1">
      <alignment horizontal="center" vertical="center"/>
    </xf>
    <xf numFmtId="2" fontId="21286" fillId="8" borderId="1" xfId="0" applyNumberFormat="1" applyFont="1" applyFill="1" applyBorder="1" applyAlignment="1">
      <alignment horizontal="center" vertical="center"/>
    </xf>
    <xf numFmtId="2" fontId="21287" fillId="8" borderId="1" xfId="0" applyNumberFormat="1" applyFont="1" applyFill="1" applyBorder="1" applyAlignment="1">
      <alignment horizontal="center" vertical="center"/>
    </xf>
    <xf numFmtId="2" fontId="21288" fillId="8" borderId="1" xfId="0" applyNumberFormat="1" applyFont="1" applyFill="1" applyBorder="1" applyAlignment="1">
      <alignment horizontal="center" vertical="center"/>
    </xf>
    <xf numFmtId="2" fontId="21289" fillId="8" borderId="1" xfId="0" applyNumberFormat="1" applyFont="1" applyFill="1" applyBorder="1" applyAlignment="1">
      <alignment horizontal="center" vertical="center"/>
    </xf>
    <xf numFmtId="2" fontId="21290" fillId="8" borderId="1" xfId="0" applyNumberFormat="1" applyFont="1" applyFill="1" applyBorder="1" applyAlignment="1">
      <alignment horizontal="center" vertical="center"/>
    </xf>
    <xf numFmtId="2" fontId="21291" fillId="8" borderId="1" xfId="0" applyNumberFormat="1" applyFont="1" applyFill="1" applyBorder="1" applyAlignment="1">
      <alignment horizontal="center" vertical="center"/>
    </xf>
    <xf numFmtId="2" fontId="21292" fillId="8" borderId="1" xfId="0" applyNumberFormat="1" applyFont="1" applyFill="1" applyBorder="1" applyAlignment="1">
      <alignment horizontal="center" vertical="center"/>
    </xf>
    <xf numFmtId="2" fontId="21293" fillId="8" borderId="1" xfId="0" applyNumberFormat="1" applyFont="1" applyFill="1" applyBorder="1" applyAlignment="1">
      <alignment horizontal="center" vertical="center"/>
    </xf>
    <xf numFmtId="2" fontId="21294" fillId="8" borderId="1" xfId="0" applyNumberFormat="1" applyFont="1" applyFill="1" applyBorder="1" applyAlignment="1">
      <alignment horizontal="center" vertical="center"/>
    </xf>
    <xf numFmtId="0" fontId="21295" fillId="7" borderId="1" xfId="0" applyNumberFormat="1" applyFont="1" applyFill="1" applyBorder="1" applyAlignment="1">
      <alignment horizontal="left" vertical="center"/>
    </xf>
    <xf numFmtId="0" fontId="21296" fillId="8" borderId="1" xfId="0" applyNumberFormat="1" applyFont="1" applyFill="1" applyBorder="1" applyAlignment="1">
      <alignment horizontal="center" vertical="center"/>
    </xf>
    <xf numFmtId="164" fontId="21297" fillId="8" borderId="1" xfId="0" applyNumberFormat="1" applyFont="1" applyFill="1" applyBorder="1" applyAlignment="1">
      <alignment horizontal="center" vertical="center"/>
    </xf>
    <xf numFmtId="1" fontId="21298" fillId="8" borderId="1" xfId="0" applyNumberFormat="1" applyFont="1" applyFill="1" applyBorder="1" applyAlignment="1">
      <alignment horizontal="center" vertical="center"/>
    </xf>
    <xf numFmtId="1" fontId="21299" fillId="8" borderId="1" xfId="0" applyNumberFormat="1" applyFont="1" applyFill="1" applyBorder="1" applyAlignment="1">
      <alignment horizontal="center" vertical="center"/>
    </xf>
    <xf numFmtId="1" fontId="21300" fillId="8" borderId="1" xfId="0" applyNumberFormat="1" applyFont="1" applyFill="1" applyBorder="1" applyAlignment="1">
      <alignment horizontal="center" vertical="center"/>
    </xf>
    <xf numFmtId="1" fontId="21301" fillId="8" borderId="1" xfId="0" applyNumberFormat="1" applyFont="1" applyFill="1" applyBorder="1" applyAlignment="1">
      <alignment horizontal="center" vertical="center"/>
    </xf>
    <xf numFmtId="1" fontId="21302" fillId="8" borderId="1" xfId="0" applyNumberFormat="1" applyFont="1" applyFill="1" applyBorder="1" applyAlignment="1">
      <alignment horizontal="center" vertical="center"/>
    </xf>
    <xf numFmtId="1" fontId="21303" fillId="8" borderId="1" xfId="0" applyNumberFormat="1" applyFont="1" applyFill="1" applyBorder="1" applyAlignment="1">
      <alignment horizontal="center" vertical="center"/>
    </xf>
    <xf numFmtId="1" fontId="21304" fillId="8" borderId="1" xfId="0" applyNumberFormat="1" applyFont="1" applyFill="1" applyBorder="1" applyAlignment="1">
      <alignment horizontal="center" vertical="center"/>
    </xf>
    <xf numFmtId="0" fontId="21305" fillId="8" borderId="1" xfId="0" applyNumberFormat="1" applyFont="1" applyFill="1" applyBorder="1" applyAlignment="1">
      <alignment horizontal="center" vertical="center"/>
    </xf>
    <xf numFmtId="0" fontId="21306" fillId="8" borderId="1" xfId="0" applyNumberFormat="1" applyFont="1" applyFill="1" applyBorder="1" applyAlignment="1">
      <alignment horizontal="center" vertical="center"/>
    </xf>
    <xf numFmtId="1" fontId="21307" fillId="8" borderId="1" xfId="0" applyNumberFormat="1" applyFont="1" applyFill="1" applyBorder="1" applyAlignment="1">
      <alignment horizontal="center" vertical="center"/>
    </xf>
    <xf numFmtId="1" fontId="21308" fillId="8" borderId="1" xfId="0" applyNumberFormat="1" applyFont="1" applyFill="1" applyBorder="1" applyAlignment="1">
      <alignment horizontal="center" vertical="center"/>
    </xf>
    <xf numFmtId="1" fontId="21309" fillId="8" borderId="1" xfId="0" applyNumberFormat="1" applyFont="1" applyFill="1" applyBorder="1" applyAlignment="1">
      <alignment horizontal="center" vertical="center"/>
    </xf>
    <xf numFmtId="165" fontId="21310" fillId="8" borderId="1" xfId="0" applyNumberFormat="1" applyFont="1" applyFill="1" applyBorder="1" applyAlignment="1">
      <alignment horizontal="center" vertical="center"/>
    </xf>
    <xf numFmtId="1" fontId="21311" fillId="8" borderId="1" xfId="0" applyNumberFormat="1" applyFont="1" applyFill="1" applyBorder="1" applyAlignment="1">
      <alignment horizontal="center" vertical="center"/>
    </xf>
    <xf numFmtId="165" fontId="21312" fillId="8" borderId="1" xfId="0" applyNumberFormat="1" applyFont="1" applyFill="1" applyBorder="1" applyAlignment="1">
      <alignment horizontal="center" vertical="center"/>
    </xf>
    <xf numFmtId="1" fontId="21313" fillId="8" borderId="1" xfId="0" applyNumberFormat="1" applyFont="1" applyFill="1" applyBorder="1" applyAlignment="1">
      <alignment horizontal="center" vertical="center"/>
    </xf>
    <xf numFmtId="165" fontId="21314" fillId="8" borderId="1" xfId="0" applyNumberFormat="1" applyFont="1" applyFill="1" applyBorder="1" applyAlignment="1">
      <alignment horizontal="center" vertical="center"/>
    </xf>
    <xf numFmtId="1" fontId="21315" fillId="8" borderId="1" xfId="0" applyNumberFormat="1" applyFont="1" applyFill="1" applyBorder="1" applyAlignment="1">
      <alignment horizontal="center" vertical="center"/>
    </xf>
    <xf numFmtId="165" fontId="21316" fillId="8" borderId="1" xfId="0" applyNumberFormat="1" applyFont="1" applyFill="1" applyBorder="1" applyAlignment="1">
      <alignment horizontal="center" vertical="center"/>
    </xf>
    <xf numFmtId="165" fontId="21317" fillId="8" borderId="1" xfId="0" applyNumberFormat="1" applyFont="1" applyFill="1" applyBorder="1" applyAlignment="1">
      <alignment horizontal="center" vertical="center"/>
    </xf>
    <xf numFmtId="1" fontId="21318" fillId="8" borderId="1" xfId="0" applyNumberFormat="1" applyFont="1" applyFill="1" applyBorder="1" applyAlignment="1">
      <alignment horizontal="center" vertical="center"/>
    </xf>
    <xf numFmtId="1" fontId="21319" fillId="8" borderId="1" xfId="0" applyNumberFormat="1" applyFont="1" applyFill="1" applyBorder="1" applyAlignment="1">
      <alignment horizontal="center" vertical="center"/>
    </xf>
    <xf numFmtId="1" fontId="21320" fillId="8" borderId="1" xfId="0" applyNumberFormat="1" applyFont="1" applyFill="1" applyBorder="1" applyAlignment="1">
      <alignment horizontal="center" vertical="center"/>
    </xf>
    <xf numFmtId="165" fontId="21321" fillId="8" borderId="1" xfId="0" applyNumberFormat="1" applyFont="1" applyFill="1" applyBorder="1" applyAlignment="1">
      <alignment horizontal="center" vertical="center"/>
    </xf>
    <xf numFmtId="164" fontId="21322" fillId="8" borderId="1" xfId="0" applyNumberFormat="1" applyFont="1" applyFill="1" applyBorder="1" applyAlignment="1">
      <alignment horizontal="center" vertical="center"/>
    </xf>
    <xf numFmtId="164" fontId="21323" fillId="8" borderId="1" xfId="0" applyNumberFormat="1" applyFont="1" applyFill="1" applyBorder="1" applyAlignment="1">
      <alignment horizontal="center" vertical="center"/>
    </xf>
    <xf numFmtId="1" fontId="21324" fillId="8" borderId="1" xfId="0" applyNumberFormat="1" applyFont="1" applyFill="1" applyBorder="1" applyAlignment="1">
      <alignment horizontal="center" vertical="center"/>
    </xf>
    <xf numFmtId="1" fontId="21325" fillId="8" borderId="1" xfId="0" applyNumberFormat="1" applyFont="1" applyFill="1" applyBorder="1" applyAlignment="1">
      <alignment horizontal="center" vertical="center"/>
    </xf>
    <xf numFmtId="1" fontId="21326" fillId="8" borderId="1" xfId="0" applyNumberFormat="1" applyFont="1" applyFill="1" applyBorder="1" applyAlignment="1">
      <alignment horizontal="center" vertical="center"/>
    </xf>
    <xf numFmtId="165" fontId="21327" fillId="8" borderId="1" xfId="0" applyNumberFormat="1" applyFont="1" applyFill="1" applyBorder="1" applyAlignment="1">
      <alignment horizontal="center" vertical="center"/>
    </xf>
    <xf numFmtId="1" fontId="21328" fillId="8" borderId="1" xfId="0" applyNumberFormat="1" applyFont="1" applyFill="1" applyBorder="1" applyAlignment="1">
      <alignment horizontal="center" vertical="center"/>
    </xf>
    <xf numFmtId="165" fontId="21329" fillId="8" borderId="1" xfId="0" applyNumberFormat="1" applyFont="1" applyFill="1" applyBorder="1" applyAlignment="1">
      <alignment horizontal="center" vertical="center"/>
    </xf>
    <xf numFmtId="1" fontId="21330" fillId="8" borderId="1" xfId="0" applyNumberFormat="1" applyFont="1" applyFill="1" applyBorder="1" applyAlignment="1">
      <alignment horizontal="center" vertical="center"/>
    </xf>
    <xf numFmtId="1" fontId="21331" fillId="8" borderId="1" xfId="0" applyNumberFormat="1" applyFont="1" applyFill="1" applyBorder="1" applyAlignment="1">
      <alignment horizontal="center" vertical="center"/>
    </xf>
    <xf numFmtId="1" fontId="21332" fillId="8" borderId="1" xfId="0" applyNumberFormat="1" applyFont="1" applyFill="1" applyBorder="1" applyAlignment="1">
      <alignment horizontal="center" vertical="center"/>
    </xf>
    <xf numFmtId="1" fontId="21333" fillId="8" borderId="1" xfId="0" applyNumberFormat="1" applyFont="1" applyFill="1" applyBorder="1" applyAlignment="1">
      <alignment horizontal="center" vertical="center"/>
    </xf>
    <xf numFmtId="165" fontId="21334" fillId="8" borderId="1" xfId="0" applyNumberFormat="1" applyFont="1" applyFill="1" applyBorder="1" applyAlignment="1">
      <alignment horizontal="center" vertical="center"/>
    </xf>
    <xf numFmtId="1" fontId="21335" fillId="8" borderId="1" xfId="0" applyNumberFormat="1" applyFont="1" applyFill="1" applyBorder="1" applyAlignment="1">
      <alignment horizontal="center" vertical="center"/>
    </xf>
    <xf numFmtId="165" fontId="21336" fillId="8" borderId="1" xfId="0" applyNumberFormat="1" applyFont="1" applyFill="1" applyBorder="1" applyAlignment="1">
      <alignment horizontal="center" vertical="center"/>
    </xf>
    <xf numFmtId="1" fontId="21337" fillId="8" borderId="1" xfId="0" applyNumberFormat="1" applyFont="1" applyFill="1" applyBorder="1" applyAlignment="1">
      <alignment horizontal="center" vertical="center"/>
    </xf>
    <xf numFmtId="165" fontId="21338" fillId="8" borderId="1" xfId="0" applyNumberFormat="1" applyFont="1" applyFill="1" applyBorder="1" applyAlignment="1">
      <alignment horizontal="center" vertical="center"/>
    </xf>
    <xf numFmtId="2" fontId="21339" fillId="8" borderId="1" xfId="0" applyNumberFormat="1" applyFont="1" applyFill="1" applyBorder="1" applyAlignment="1">
      <alignment horizontal="center" vertical="center"/>
    </xf>
    <xf numFmtId="2" fontId="21340" fillId="8" borderId="1" xfId="0" applyNumberFormat="1" applyFont="1" applyFill="1" applyBorder="1" applyAlignment="1">
      <alignment horizontal="center" vertical="center"/>
    </xf>
    <xf numFmtId="2" fontId="21341" fillId="8" borderId="1" xfId="0" applyNumberFormat="1" applyFont="1" applyFill="1" applyBorder="1" applyAlignment="1">
      <alignment horizontal="center" vertical="center"/>
    </xf>
    <xf numFmtId="2" fontId="21342" fillId="8" borderId="1" xfId="0" applyNumberFormat="1" applyFont="1" applyFill="1" applyBorder="1" applyAlignment="1">
      <alignment horizontal="center" vertical="center"/>
    </xf>
    <xf numFmtId="2" fontId="21343" fillId="8" borderId="1" xfId="0" applyNumberFormat="1" applyFont="1" applyFill="1" applyBorder="1" applyAlignment="1">
      <alignment horizontal="center" vertical="center"/>
    </xf>
    <xf numFmtId="2" fontId="21344" fillId="8" borderId="1" xfId="0" applyNumberFormat="1" applyFont="1" applyFill="1" applyBorder="1" applyAlignment="1">
      <alignment horizontal="center" vertical="center"/>
    </xf>
    <xf numFmtId="2" fontId="21345" fillId="8" borderId="1" xfId="0" applyNumberFormat="1" applyFont="1" applyFill="1" applyBorder="1" applyAlignment="1">
      <alignment horizontal="center" vertical="center"/>
    </xf>
    <xf numFmtId="2" fontId="21346" fillId="8" borderId="1" xfId="0" applyNumberFormat="1" applyFont="1" applyFill="1" applyBorder="1" applyAlignment="1">
      <alignment horizontal="center" vertical="center"/>
    </xf>
    <xf numFmtId="2" fontId="21347" fillId="8" borderId="1" xfId="0" applyNumberFormat="1" applyFont="1" applyFill="1" applyBorder="1" applyAlignment="1">
      <alignment horizontal="center" vertical="center"/>
    </xf>
    <xf numFmtId="2" fontId="21348" fillId="8" borderId="1" xfId="0" applyNumberFormat="1" applyFont="1" applyFill="1" applyBorder="1" applyAlignment="1">
      <alignment horizontal="center" vertical="center"/>
    </xf>
    <xf numFmtId="2" fontId="21349" fillId="8" borderId="1" xfId="0" applyNumberFormat="1" applyFont="1" applyFill="1" applyBorder="1" applyAlignment="1">
      <alignment horizontal="center" vertical="center"/>
    </xf>
    <xf numFmtId="2" fontId="21350" fillId="8" borderId="1" xfId="0" applyNumberFormat="1" applyFont="1" applyFill="1" applyBorder="1" applyAlignment="1">
      <alignment horizontal="center" vertical="center"/>
    </xf>
    <xf numFmtId="2" fontId="21351" fillId="8" borderId="1" xfId="0" applyNumberFormat="1" applyFont="1" applyFill="1" applyBorder="1" applyAlignment="1">
      <alignment horizontal="center" vertical="center"/>
    </xf>
    <xf numFmtId="2" fontId="21352" fillId="8" borderId="1" xfId="0" applyNumberFormat="1" applyFont="1" applyFill="1" applyBorder="1" applyAlignment="1">
      <alignment horizontal="center" vertical="center"/>
    </xf>
    <xf numFmtId="2" fontId="21353" fillId="8" borderId="1" xfId="0" applyNumberFormat="1" applyFont="1" applyFill="1" applyBorder="1" applyAlignment="1">
      <alignment horizontal="center" vertical="center"/>
    </xf>
    <xf numFmtId="2" fontId="21354" fillId="8" borderId="1" xfId="0" applyNumberFormat="1" applyFont="1" applyFill="1" applyBorder="1" applyAlignment="1">
      <alignment horizontal="center" vertical="center"/>
    </xf>
    <xf numFmtId="2" fontId="21355" fillId="8" borderId="1" xfId="0" applyNumberFormat="1" applyFont="1" applyFill="1" applyBorder="1" applyAlignment="1">
      <alignment horizontal="center" vertical="center"/>
    </xf>
    <xf numFmtId="2" fontId="21356" fillId="8" borderId="1" xfId="0" applyNumberFormat="1" applyFont="1" applyFill="1" applyBorder="1" applyAlignment="1">
      <alignment horizontal="center" vertical="center"/>
    </xf>
    <xf numFmtId="2" fontId="21357" fillId="8" borderId="1" xfId="0" applyNumberFormat="1" applyFont="1" applyFill="1" applyBorder="1" applyAlignment="1">
      <alignment horizontal="center" vertical="center"/>
    </xf>
    <xf numFmtId="2" fontId="21358" fillId="8" borderId="1" xfId="0" applyNumberFormat="1" applyFont="1" applyFill="1" applyBorder="1" applyAlignment="1">
      <alignment horizontal="center" vertical="center"/>
    </xf>
    <xf numFmtId="2" fontId="21359" fillId="8" borderId="1" xfId="0" applyNumberFormat="1" applyFont="1" applyFill="1" applyBorder="1" applyAlignment="1">
      <alignment horizontal="center" vertical="center"/>
    </xf>
    <xf numFmtId="2" fontId="21360" fillId="8" borderId="1" xfId="0" applyNumberFormat="1" applyFont="1" applyFill="1" applyBorder="1" applyAlignment="1">
      <alignment horizontal="center" vertical="center"/>
    </xf>
    <xf numFmtId="2" fontId="21361" fillId="8" borderId="1" xfId="0" applyNumberFormat="1" applyFont="1" applyFill="1" applyBorder="1" applyAlignment="1">
      <alignment horizontal="center" vertical="center"/>
    </xf>
    <xf numFmtId="2" fontId="21362" fillId="8" borderId="1" xfId="0" applyNumberFormat="1" applyFont="1" applyFill="1" applyBorder="1" applyAlignment="1">
      <alignment horizontal="center" vertical="center"/>
    </xf>
    <xf numFmtId="2" fontId="21363" fillId="8" borderId="1" xfId="0" applyNumberFormat="1" applyFont="1" applyFill="1" applyBorder="1" applyAlignment="1">
      <alignment horizontal="center" vertical="center"/>
    </xf>
    <xf numFmtId="2" fontId="21364" fillId="8" borderId="1" xfId="0" applyNumberFormat="1" applyFont="1" applyFill="1" applyBorder="1" applyAlignment="1">
      <alignment horizontal="center" vertical="center"/>
    </xf>
    <xf numFmtId="2" fontId="21365" fillId="8" borderId="1" xfId="0" applyNumberFormat="1" applyFont="1" applyFill="1" applyBorder="1" applyAlignment="1">
      <alignment horizontal="center" vertical="center"/>
    </xf>
    <xf numFmtId="2" fontId="21366" fillId="8" borderId="1" xfId="0" applyNumberFormat="1" applyFont="1" applyFill="1" applyBorder="1" applyAlignment="1">
      <alignment horizontal="center" vertical="center"/>
    </xf>
    <xf numFmtId="2" fontId="21367" fillId="8" borderId="1" xfId="0" applyNumberFormat="1" applyFont="1" applyFill="1" applyBorder="1" applyAlignment="1">
      <alignment horizontal="center" vertical="center"/>
    </xf>
    <xf numFmtId="2" fontId="21368" fillId="8" borderId="1" xfId="0" applyNumberFormat="1" applyFont="1" applyFill="1" applyBorder="1" applyAlignment="1">
      <alignment horizontal="center" vertical="center"/>
    </xf>
    <xf numFmtId="2" fontId="21369" fillId="8" borderId="1" xfId="0" applyNumberFormat="1" applyFont="1" applyFill="1" applyBorder="1" applyAlignment="1">
      <alignment horizontal="center" vertical="center"/>
    </xf>
    <xf numFmtId="2" fontId="21370" fillId="8" borderId="1" xfId="0" applyNumberFormat="1" applyFont="1" applyFill="1" applyBorder="1" applyAlignment="1">
      <alignment horizontal="center" vertical="center"/>
    </xf>
    <xf numFmtId="2" fontId="21371" fillId="8" borderId="1" xfId="0" applyNumberFormat="1" applyFont="1" applyFill="1" applyBorder="1" applyAlignment="1">
      <alignment horizontal="center" vertical="center"/>
    </xf>
    <xf numFmtId="2" fontId="21372" fillId="8" borderId="1" xfId="0" applyNumberFormat="1" applyFont="1" applyFill="1" applyBorder="1" applyAlignment="1">
      <alignment horizontal="center" vertical="center"/>
    </xf>
    <xf numFmtId="0" fontId="21373" fillId="7" borderId="1" xfId="0" applyNumberFormat="1" applyFont="1" applyFill="1" applyBorder="1" applyAlignment="1">
      <alignment horizontal="left" vertical="center"/>
    </xf>
    <xf numFmtId="0" fontId="21374" fillId="8" borderId="1" xfId="0" applyNumberFormat="1" applyFont="1" applyFill="1" applyBorder="1" applyAlignment="1">
      <alignment horizontal="center" vertical="center"/>
    </xf>
    <xf numFmtId="164" fontId="21375" fillId="8" borderId="1" xfId="0" applyNumberFormat="1" applyFont="1" applyFill="1" applyBorder="1" applyAlignment="1">
      <alignment horizontal="center" vertical="center"/>
    </xf>
    <xf numFmtId="1" fontId="21376" fillId="8" borderId="1" xfId="0" applyNumberFormat="1" applyFont="1" applyFill="1" applyBorder="1" applyAlignment="1">
      <alignment horizontal="center" vertical="center"/>
    </xf>
    <xf numFmtId="1" fontId="21377" fillId="8" borderId="1" xfId="0" applyNumberFormat="1" applyFont="1" applyFill="1" applyBorder="1" applyAlignment="1">
      <alignment horizontal="center" vertical="center"/>
    </xf>
    <xf numFmtId="1" fontId="21378" fillId="8" borderId="1" xfId="0" applyNumberFormat="1" applyFont="1" applyFill="1" applyBorder="1" applyAlignment="1">
      <alignment horizontal="center" vertical="center"/>
    </xf>
    <xf numFmtId="1" fontId="21379" fillId="8" borderId="1" xfId="0" applyNumberFormat="1" applyFont="1" applyFill="1" applyBorder="1" applyAlignment="1">
      <alignment horizontal="center" vertical="center"/>
    </xf>
    <xf numFmtId="1" fontId="21380" fillId="8" borderId="1" xfId="0" applyNumberFormat="1" applyFont="1" applyFill="1" applyBorder="1" applyAlignment="1">
      <alignment horizontal="center" vertical="center"/>
    </xf>
    <xf numFmtId="1" fontId="21381" fillId="8" borderId="1" xfId="0" applyNumberFormat="1" applyFont="1" applyFill="1" applyBorder="1" applyAlignment="1">
      <alignment horizontal="center" vertical="center"/>
    </xf>
    <xf numFmtId="1" fontId="21382" fillId="8" borderId="1" xfId="0" applyNumberFormat="1" applyFont="1" applyFill="1" applyBorder="1" applyAlignment="1">
      <alignment horizontal="center" vertical="center"/>
    </xf>
    <xf numFmtId="0" fontId="21383" fillId="8" borderId="1" xfId="0" applyNumberFormat="1" applyFont="1" applyFill="1" applyBorder="1" applyAlignment="1">
      <alignment horizontal="center" vertical="center"/>
    </xf>
    <xf numFmtId="0" fontId="21384" fillId="8" borderId="1" xfId="0" applyNumberFormat="1" applyFont="1" applyFill="1" applyBorder="1" applyAlignment="1">
      <alignment horizontal="center" vertical="center"/>
    </xf>
    <xf numFmtId="1" fontId="21385" fillId="8" borderId="1" xfId="0" applyNumberFormat="1" applyFont="1" applyFill="1" applyBorder="1" applyAlignment="1">
      <alignment horizontal="center" vertical="center"/>
    </xf>
    <xf numFmtId="1" fontId="21386" fillId="8" borderId="1" xfId="0" applyNumberFormat="1" applyFont="1" applyFill="1" applyBorder="1" applyAlignment="1">
      <alignment horizontal="center" vertical="center"/>
    </xf>
    <xf numFmtId="1" fontId="21387" fillId="8" borderId="1" xfId="0" applyNumberFormat="1" applyFont="1" applyFill="1" applyBorder="1" applyAlignment="1">
      <alignment horizontal="center" vertical="center"/>
    </xf>
    <xf numFmtId="165" fontId="21388" fillId="8" borderId="1" xfId="0" applyNumberFormat="1" applyFont="1" applyFill="1" applyBorder="1" applyAlignment="1">
      <alignment horizontal="center" vertical="center"/>
    </xf>
    <xf numFmtId="1" fontId="21389" fillId="8" borderId="1" xfId="0" applyNumberFormat="1" applyFont="1" applyFill="1" applyBorder="1" applyAlignment="1">
      <alignment horizontal="center" vertical="center"/>
    </xf>
    <xf numFmtId="165" fontId="21390" fillId="8" borderId="1" xfId="0" applyNumberFormat="1" applyFont="1" applyFill="1" applyBorder="1" applyAlignment="1">
      <alignment horizontal="center" vertical="center"/>
    </xf>
    <xf numFmtId="1" fontId="21391" fillId="8" borderId="1" xfId="0" applyNumberFormat="1" applyFont="1" applyFill="1" applyBorder="1" applyAlignment="1">
      <alignment horizontal="center" vertical="center"/>
    </xf>
    <xf numFmtId="165" fontId="21392" fillId="8" borderId="1" xfId="0" applyNumberFormat="1" applyFont="1" applyFill="1" applyBorder="1" applyAlignment="1">
      <alignment horizontal="center" vertical="center"/>
    </xf>
    <xf numFmtId="1" fontId="21393" fillId="8" borderId="1" xfId="0" applyNumberFormat="1" applyFont="1" applyFill="1" applyBorder="1" applyAlignment="1">
      <alignment horizontal="center" vertical="center"/>
    </xf>
    <xf numFmtId="165" fontId="21394" fillId="8" borderId="1" xfId="0" applyNumberFormat="1" applyFont="1" applyFill="1" applyBorder="1" applyAlignment="1">
      <alignment horizontal="center" vertical="center"/>
    </xf>
    <xf numFmtId="165" fontId="21395" fillId="8" borderId="1" xfId="0" applyNumberFormat="1" applyFont="1" applyFill="1" applyBorder="1" applyAlignment="1">
      <alignment horizontal="center" vertical="center"/>
    </xf>
    <xf numFmtId="1" fontId="21396" fillId="8" borderId="1" xfId="0" applyNumberFormat="1" applyFont="1" applyFill="1" applyBorder="1" applyAlignment="1">
      <alignment horizontal="center" vertical="center"/>
    </xf>
    <xf numFmtId="1" fontId="21397" fillId="8" borderId="1" xfId="0" applyNumberFormat="1" applyFont="1" applyFill="1" applyBorder="1" applyAlignment="1">
      <alignment horizontal="center" vertical="center"/>
    </xf>
    <xf numFmtId="1" fontId="21398" fillId="8" borderId="1" xfId="0" applyNumberFormat="1" applyFont="1" applyFill="1" applyBorder="1" applyAlignment="1">
      <alignment horizontal="center" vertical="center"/>
    </xf>
    <xf numFmtId="165" fontId="21399" fillId="8" borderId="1" xfId="0" applyNumberFormat="1" applyFont="1" applyFill="1" applyBorder="1" applyAlignment="1">
      <alignment horizontal="center" vertical="center"/>
    </xf>
    <xf numFmtId="164" fontId="21400" fillId="8" borderId="1" xfId="0" applyNumberFormat="1" applyFont="1" applyFill="1" applyBorder="1" applyAlignment="1">
      <alignment horizontal="center" vertical="center"/>
    </xf>
    <xf numFmtId="164" fontId="21401" fillId="8" borderId="1" xfId="0" applyNumberFormat="1" applyFont="1" applyFill="1" applyBorder="1" applyAlignment="1">
      <alignment horizontal="center" vertical="center"/>
    </xf>
    <xf numFmtId="1" fontId="21402" fillId="8" borderId="1" xfId="0" applyNumberFormat="1" applyFont="1" applyFill="1" applyBorder="1" applyAlignment="1">
      <alignment horizontal="center" vertical="center"/>
    </xf>
    <xf numFmtId="1" fontId="21403" fillId="8" borderId="1" xfId="0" applyNumberFormat="1" applyFont="1" applyFill="1" applyBorder="1" applyAlignment="1">
      <alignment horizontal="center" vertical="center"/>
    </xf>
    <xf numFmtId="1" fontId="21404" fillId="8" borderId="1" xfId="0" applyNumberFormat="1" applyFont="1" applyFill="1" applyBorder="1" applyAlignment="1">
      <alignment horizontal="center" vertical="center"/>
    </xf>
    <xf numFmtId="165" fontId="21405" fillId="8" borderId="1" xfId="0" applyNumberFormat="1" applyFont="1" applyFill="1" applyBorder="1" applyAlignment="1">
      <alignment horizontal="center" vertical="center"/>
    </xf>
    <xf numFmtId="1" fontId="21406" fillId="8" borderId="1" xfId="0" applyNumberFormat="1" applyFont="1" applyFill="1" applyBorder="1" applyAlignment="1">
      <alignment horizontal="center" vertical="center"/>
    </xf>
    <xf numFmtId="165" fontId="21407" fillId="8" borderId="1" xfId="0" applyNumberFormat="1" applyFont="1" applyFill="1" applyBorder="1" applyAlignment="1">
      <alignment horizontal="center" vertical="center"/>
    </xf>
    <xf numFmtId="1" fontId="21408" fillId="8" borderId="1" xfId="0" applyNumberFormat="1" applyFont="1" applyFill="1" applyBorder="1" applyAlignment="1">
      <alignment horizontal="center" vertical="center"/>
    </xf>
    <xf numFmtId="1" fontId="21409" fillId="8" borderId="1" xfId="0" applyNumberFormat="1" applyFont="1" applyFill="1" applyBorder="1" applyAlignment="1">
      <alignment horizontal="center" vertical="center"/>
    </xf>
    <xf numFmtId="1" fontId="21410" fillId="8" borderId="1" xfId="0" applyNumberFormat="1" applyFont="1" applyFill="1" applyBorder="1" applyAlignment="1">
      <alignment horizontal="center" vertical="center"/>
    </xf>
    <xf numFmtId="1" fontId="21411" fillId="8" borderId="1" xfId="0" applyNumberFormat="1" applyFont="1" applyFill="1" applyBorder="1" applyAlignment="1">
      <alignment horizontal="center" vertical="center"/>
    </xf>
    <xf numFmtId="165" fontId="21412" fillId="8" borderId="1" xfId="0" applyNumberFormat="1" applyFont="1" applyFill="1" applyBorder="1" applyAlignment="1">
      <alignment horizontal="center" vertical="center"/>
    </xf>
    <xf numFmtId="1" fontId="21413" fillId="8" borderId="1" xfId="0" applyNumberFormat="1" applyFont="1" applyFill="1" applyBorder="1" applyAlignment="1">
      <alignment horizontal="center" vertical="center"/>
    </xf>
    <xf numFmtId="165" fontId="21414" fillId="8" borderId="1" xfId="0" applyNumberFormat="1" applyFont="1" applyFill="1" applyBorder="1" applyAlignment="1">
      <alignment horizontal="center" vertical="center"/>
    </xf>
    <xf numFmtId="1" fontId="21415" fillId="8" borderId="1" xfId="0" applyNumberFormat="1" applyFont="1" applyFill="1" applyBorder="1" applyAlignment="1">
      <alignment horizontal="center" vertical="center"/>
    </xf>
    <xf numFmtId="165" fontId="21416" fillId="8" borderId="1" xfId="0" applyNumberFormat="1" applyFont="1" applyFill="1" applyBorder="1" applyAlignment="1">
      <alignment horizontal="center" vertical="center"/>
    </xf>
    <xf numFmtId="2" fontId="21417" fillId="8" borderId="1" xfId="0" applyNumberFormat="1" applyFont="1" applyFill="1" applyBorder="1" applyAlignment="1">
      <alignment horizontal="center" vertical="center"/>
    </xf>
    <xf numFmtId="2" fontId="21418" fillId="8" borderId="1" xfId="0" applyNumberFormat="1" applyFont="1" applyFill="1" applyBorder="1" applyAlignment="1">
      <alignment horizontal="center" vertical="center"/>
    </xf>
    <xf numFmtId="2" fontId="21419" fillId="8" borderId="1" xfId="0" applyNumberFormat="1" applyFont="1" applyFill="1" applyBorder="1" applyAlignment="1">
      <alignment horizontal="center" vertical="center"/>
    </xf>
    <xf numFmtId="2" fontId="21420" fillId="8" borderId="1" xfId="0" applyNumberFormat="1" applyFont="1" applyFill="1" applyBorder="1" applyAlignment="1">
      <alignment horizontal="center" vertical="center"/>
    </xf>
    <xf numFmtId="2" fontId="21421" fillId="8" borderId="1" xfId="0" applyNumberFormat="1" applyFont="1" applyFill="1" applyBorder="1" applyAlignment="1">
      <alignment horizontal="center" vertical="center"/>
    </xf>
    <xf numFmtId="2" fontId="21422" fillId="8" borderId="1" xfId="0" applyNumberFormat="1" applyFont="1" applyFill="1" applyBorder="1" applyAlignment="1">
      <alignment horizontal="center" vertical="center"/>
    </xf>
    <xf numFmtId="2" fontId="21423" fillId="8" borderId="1" xfId="0" applyNumberFormat="1" applyFont="1" applyFill="1" applyBorder="1" applyAlignment="1">
      <alignment horizontal="center" vertical="center"/>
    </xf>
    <xf numFmtId="2" fontId="21424" fillId="8" borderId="1" xfId="0" applyNumberFormat="1" applyFont="1" applyFill="1" applyBorder="1" applyAlignment="1">
      <alignment horizontal="center" vertical="center"/>
    </xf>
    <xf numFmtId="2" fontId="21425" fillId="8" borderId="1" xfId="0" applyNumberFormat="1" applyFont="1" applyFill="1" applyBorder="1" applyAlignment="1">
      <alignment horizontal="center" vertical="center"/>
    </xf>
    <xf numFmtId="2" fontId="21426" fillId="8" borderId="1" xfId="0" applyNumberFormat="1" applyFont="1" applyFill="1" applyBorder="1" applyAlignment="1">
      <alignment horizontal="center" vertical="center"/>
    </xf>
    <xf numFmtId="2" fontId="21427" fillId="8" borderId="1" xfId="0" applyNumberFormat="1" applyFont="1" applyFill="1" applyBorder="1" applyAlignment="1">
      <alignment horizontal="center" vertical="center"/>
    </xf>
    <xf numFmtId="2" fontId="21428" fillId="8" borderId="1" xfId="0" applyNumberFormat="1" applyFont="1" applyFill="1" applyBorder="1" applyAlignment="1">
      <alignment horizontal="center" vertical="center"/>
    </xf>
    <xf numFmtId="2" fontId="21429" fillId="8" borderId="1" xfId="0" applyNumberFormat="1" applyFont="1" applyFill="1" applyBorder="1" applyAlignment="1">
      <alignment horizontal="center" vertical="center"/>
    </xf>
    <xf numFmtId="2" fontId="21430" fillId="8" borderId="1" xfId="0" applyNumberFormat="1" applyFont="1" applyFill="1" applyBorder="1" applyAlignment="1">
      <alignment horizontal="center" vertical="center"/>
    </xf>
    <xf numFmtId="2" fontId="21431" fillId="8" borderId="1" xfId="0" applyNumberFormat="1" applyFont="1" applyFill="1" applyBorder="1" applyAlignment="1">
      <alignment horizontal="center" vertical="center"/>
    </xf>
    <xf numFmtId="2" fontId="21432" fillId="8" borderId="1" xfId="0" applyNumberFormat="1" applyFont="1" applyFill="1" applyBorder="1" applyAlignment="1">
      <alignment horizontal="center" vertical="center"/>
    </xf>
    <xf numFmtId="2" fontId="21433" fillId="8" borderId="1" xfId="0" applyNumberFormat="1" applyFont="1" applyFill="1" applyBorder="1" applyAlignment="1">
      <alignment horizontal="center" vertical="center"/>
    </xf>
    <xf numFmtId="2" fontId="21434" fillId="8" borderId="1" xfId="0" applyNumberFormat="1" applyFont="1" applyFill="1" applyBorder="1" applyAlignment="1">
      <alignment horizontal="center" vertical="center"/>
    </xf>
    <xf numFmtId="2" fontId="21435" fillId="8" borderId="1" xfId="0" applyNumberFormat="1" applyFont="1" applyFill="1" applyBorder="1" applyAlignment="1">
      <alignment horizontal="center" vertical="center"/>
    </xf>
    <xf numFmtId="2" fontId="21436" fillId="8" borderId="1" xfId="0" applyNumberFormat="1" applyFont="1" applyFill="1" applyBorder="1" applyAlignment="1">
      <alignment horizontal="center" vertical="center"/>
    </xf>
    <xf numFmtId="2" fontId="21437" fillId="8" borderId="1" xfId="0" applyNumberFormat="1" applyFont="1" applyFill="1" applyBorder="1" applyAlignment="1">
      <alignment horizontal="center" vertical="center"/>
    </xf>
    <xf numFmtId="2" fontId="21438" fillId="8" borderId="1" xfId="0" applyNumberFormat="1" applyFont="1" applyFill="1" applyBorder="1" applyAlignment="1">
      <alignment horizontal="center" vertical="center"/>
    </xf>
    <xf numFmtId="2" fontId="21439" fillId="8" borderId="1" xfId="0" applyNumberFormat="1" applyFont="1" applyFill="1" applyBorder="1" applyAlignment="1">
      <alignment horizontal="center" vertical="center"/>
    </xf>
    <xf numFmtId="2" fontId="21440" fillId="8" borderId="1" xfId="0" applyNumberFormat="1" applyFont="1" applyFill="1" applyBorder="1" applyAlignment="1">
      <alignment horizontal="center" vertical="center"/>
    </xf>
    <xf numFmtId="2" fontId="21441" fillId="8" borderId="1" xfId="0" applyNumberFormat="1" applyFont="1" applyFill="1" applyBorder="1" applyAlignment="1">
      <alignment horizontal="center" vertical="center"/>
    </xf>
    <xf numFmtId="2" fontId="21442" fillId="8" borderId="1" xfId="0" applyNumberFormat="1" applyFont="1" applyFill="1" applyBorder="1" applyAlignment="1">
      <alignment horizontal="center" vertical="center"/>
    </xf>
    <xf numFmtId="2" fontId="21443" fillId="8" borderId="1" xfId="0" applyNumberFormat="1" applyFont="1" applyFill="1" applyBorder="1" applyAlignment="1">
      <alignment horizontal="center" vertical="center"/>
    </xf>
    <xf numFmtId="2" fontId="21444" fillId="8" borderId="1" xfId="0" applyNumberFormat="1" applyFont="1" applyFill="1" applyBorder="1" applyAlignment="1">
      <alignment horizontal="center" vertical="center"/>
    </xf>
    <xf numFmtId="2" fontId="21445" fillId="8" borderId="1" xfId="0" applyNumberFormat="1" applyFont="1" applyFill="1" applyBorder="1" applyAlignment="1">
      <alignment horizontal="center" vertical="center"/>
    </xf>
    <xf numFmtId="2" fontId="21446" fillId="8" borderId="1" xfId="0" applyNumberFormat="1" applyFont="1" applyFill="1" applyBorder="1" applyAlignment="1">
      <alignment horizontal="center" vertical="center"/>
    </xf>
    <xf numFmtId="2" fontId="21447" fillId="8" borderId="1" xfId="0" applyNumberFormat="1" applyFont="1" applyFill="1" applyBorder="1" applyAlignment="1">
      <alignment horizontal="center" vertical="center"/>
    </xf>
    <xf numFmtId="2" fontId="21448" fillId="8" borderId="1" xfId="0" applyNumberFormat="1" applyFont="1" applyFill="1" applyBorder="1" applyAlignment="1">
      <alignment horizontal="center" vertical="center"/>
    </xf>
    <xf numFmtId="2" fontId="21449" fillId="8" borderId="1" xfId="0" applyNumberFormat="1" applyFont="1" applyFill="1" applyBorder="1" applyAlignment="1">
      <alignment horizontal="center" vertical="center"/>
    </xf>
    <xf numFmtId="2" fontId="21450" fillId="8" borderId="1" xfId="0" applyNumberFormat="1" applyFont="1" applyFill="1" applyBorder="1" applyAlignment="1">
      <alignment horizontal="center" vertical="center"/>
    </xf>
    <xf numFmtId="0" fontId="21451" fillId="7" borderId="1" xfId="0" applyNumberFormat="1" applyFont="1" applyFill="1" applyBorder="1" applyAlignment="1">
      <alignment horizontal="left" vertical="center"/>
    </xf>
    <xf numFmtId="0" fontId="21452" fillId="8" borderId="1" xfId="0" applyNumberFormat="1" applyFont="1" applyFill="1" applyBorder="1" applyAlignment="1">
      <alignment horizontal="center" vertical="center"/>
    </xf>
    <xf numFmtId="164" fontId="21453" fillId="8" borderId="1" xfId="0" applyNumberFormat="1" applyFont="1" applyFill="1" applyBorder="1" applyAlignment="1">
      <alignment horizontal="center" vertical="center"/>
    </xf>
    <xf numFmtId="1" fontId="21454" fillId="8" borderId="1" xfId="0" applyNumberFormat="1" applyFont="1" applyFill="1" applyBorder="1" applyAlignment="1">
      <alignment horizontal="center" vertical="center"/>
    </xf>
    <xf numFmtId="1" fontId="21455" fillId="8" borderId="1" xfId="0" applyNumberFormat="1" applyFont="1" applyFill="1" applyBorder="1" applyAlignment="1">
      <alignment horizontal="center" vertical="center"/>
    </xf>
    <xf numFmtId="1" fontId="21456" fillId="8" borderId="1" xfId="0" applyNumberFormat="1" applyFont="1" applyFill="1" applyBorder="1" applyAlignment="1">
      <alignment horizontal="center" vertical="center"/>
    </xf>
    <xf numFmtId="1" fontId="21457" fillId="8" borderId="1" xfId="0" applyNumberFormat="1" applyFont="1" applyFill="1" applyBorder="1" applyAlignment="1">
      <alignment horizontal="center" vertical="center"/>
    </xf>
    <xf numFmtId="1" fontId="21458" fillId="8" borderId="1" xfId="0" applyNumberFormat="1" applyFont="1" applyFill="1" applyBorder="1" applyAlignment="1">
      <alignment horizontal="center" vertical="center"/>
    </xf>
    <xf numFmtId="1" fontId="21459" fillId="8" borderId="1" xfId="0" applyNumberFormat="1" applyFont="1" applyFill="1" applyBorder="1" applyAlignment="1">
      <alignment horizontal="center" vertical="center"/>
    </xf>
    <xf numFmtId="1" fontId="21460" fillId="8" borderId="1" xfId="0" applyNumberFormat="1" applyFont="1" applyFill="1" applyBorder="1" applyAlignment="1">
      <alignment horizontal="center" vertical="center"/>
    </xf>
    <xf numFmtId="0" fontId="21461" fillId="8" borderId="1" xfId="0" applyNumberFormat="1" applyFont="1" applyFill="1" applyBorder="1" applyAlignment="1">
      <alignment horizontal="center" vertical="center"/>
    </xf>
    <xf numFmtId="0" fontId="21462" fillId="8" borderId="1" xfId="0" applyNumberFormat="1" applyFont="1" applyFill="1" applyBorder="1" applyAlignment="1">
      <alignment horizontal="center" vertical="center"/>
    </xf>
    <xf numFmtId="1" fontId="21463" fillId="8" borderId="1" xfId="0" applyNumberFormat="1" applyFont="1" applyFill="1" applyBorder="1" applyAlignment="1">
      <alignment horizontal="center" vertical="center"/>
    </xf>
    <xf numFmtId="1" fontId="21464" fillId="8" borderId="1" xfId="0" applyNumberFormat="1" applyFont="1" applyFill="1" applyBorder="1" applyAlignment="1">
      <alignment horizontal="center" vertical="center"/>
    </xf>
    <xf numFmtId="1" fontId="21465" fillId="8" borderId="1" xfId="0" applyNumberFormat="1" applyFont="1" applyFill="1" applyBorder="1" applyAlignment="1">
      <alignment horizontal="center" vertical="center"/>
    </xf>
    <xf numFmtId="165" fontId="21466" fillId="8" borderId="1" xfId="0" applyNumberFormat="1" applyFont="1" applyFill="1" applyBorder="1" applyAlignment="1">
      <alignment horizontal="center" vertical="center"/>
    </xf>
    <xf numFmtId="1" fontId="21467" fillId="8" borderId="1" xfId="0" applyNumberFormat="1" applyFont="1" applyFill="1" applyBorder="1" applyAlignment="1">
      <alignment horizontal="center" vertical="center"/>
    </xf>
    <xf numFmtId="165" fontId="21468" fillId="8" borderId="1" xfId="0" applyNumberFormat="1" applyFont="1" applyFill="1" applyBorder="1" applyAlignment="1">
      <alignment horizontal="center" vertical="center"/>
    </xf>
    <xf numFmtId="1" fontId="21469" fillId="8" borderId="1" xfId="0" applyNumberFormat="1" applyFont="1" applyFill="1" applyBorder="1" applyAlignment="1">
      <alignment horizontal="center" vertical="center"/>
    </xf>
    <xf numFmtId="165" fontId="21470" fillId="8" borderId="1" xfId="0" applyNumberFormat="1" applyFont="1" applyFill="1" applyBorder="1" applyAlignment="1">
      <alignment horizontal="center" vertical="center"/>
    </xf>
    <xf numFmtId="1" fontId="21471" fillId="8" borderId="1" xfId="0" applyNumberFormat="1" applyFont="1" applyFill="1" applyBorder="1" applyAlignment="1">
      <alignment horizontal="center" vertical="center"/>
    </xf>
    <xf numFmtId="165" fontId="21472" fillId="8" borderId="1" xfId="0" applyNumberFormat="1" applyFont="1" applyFill="1" applyBorder="1" applyAlignment="1">
      <alignment horizontal="center" vertical="center"/>
    </xf>
    <xf numFmtId="165" fontId="21473" fillId="8" borderId="1" xfId="0" applyNumberFormat="1" applyFont="1" applyFill="1" applyBorder="1" applyAlignment="1">
      <alignment horizontal="center" vertical="center"/>
    </xf>
    <xf numFmtId="1" fontId="21474" fillId="8" borderId="1" xfId="0" applyNumberFormat="1" applyFont="1" applyFill="1" applyBorder="1" applyAlignment="1">
      <alignment horizontal="center" vertical="center"/>
    </xf>
    <xf numFmtId="1" fontId="21475" fillId="8" borderId="1" xfId="0" applyNumberFormat="1" applyFont="1" applyFill="1" applyBorder="1" applyAlignment="1">
      <alignment horizontal="center" vertical="center"/>
    </xf>
    <xf numFmtId="1" fontId="21476" fillId="8" borderId="1" xfId="0" applyNumberFormat="1" applyFont="1" applyFill="1" applyBorder="1" applyAlignment="1">
      <alignment horizontal="center" vertical="center"/>
    </xf>
    <xf numFmtId="165" fontId="21477" fillId="8" borderId="1" xfId="0" applyNumberFormat="1" applyFont="1" applyFill="1" applyBorder="1" applyAlignment="1">
      <alignment horizontal="center" vertical="center"/>
    </xf>
    <xf numFmtId="164" fontId="21478" fillId="8" borderId="1" xfId="0" applyNumberFormat="1" applyFont="1" applyFill="1" applyBorder="1" applyAlignment="1">
      <alignment horizontal="center" vertical="center"/>
    </xf>
    <xf numFmtId="164" fontId="21479" fillId="8" borderId="1" xfId="0" applyNumberFormat="1" applyFont="1" applyFill="1" applyBorder="1" applyAlignment="1">
      <alignment horizontal="center" vertical="center"/>
    </xf>
    <xf numFmtId="1" fontId="21480" fillId="8" borderId="1" xfId="0" applyNumberFormat="1" applyFont="1" applyFill="1" applyBorder="1" applyAlignment="1">
      <alignment horizontal="center" vertical="center"/>
    </xf>
    <xf numFmtId="1" fontId="21481" fillId="8" borderId="1" xfId="0" applyNumberFormat="1" applyFont="1" applyFill="1" applyBorder="1" applyAlignment="1">
      <alignment horizontal="center" vertical="center"/>
    </xf>
    <xf numFmtId="1" fontId="21482" fillId="8" borderId="1" xfId="0" applyNumberFormat="1" applyFont="1" applyFill="1" applyBorder="1" applyAlignment="1">
      <alignment horizontal="center" vertical="center"/>
    </xf>
    <xf numFmtId="165" fontId="21483" fillId="8" borderId="1" xfId="0" applyNumberFormat="1" applyFont="1" applyFill="1" applyBorder="1" applyAlignment="1">
      <alignment horizontal="center" vertical="center"/>
    </xf>
    <xf numFmtId="1" fontId="21484" fillId="8" borderId="1" xfId="0" applyNumberFormat="1" applyFont="1" applyFill="1" applyBorder="1" applyAlignment="1">
      <alignment horizontal="center" vertical="center"/>
    </xf>
    <xf numFmtId="165" fontId="21485" fillId="8" borderId="1" xfId="0" applyNumberFormat="1" applyFont="1" applyFill="1" applyBorder="1" applyAlignment="1">
      <alignment horizontal="center" vertical="center"/>
    </xf>
    <xf numFmtId="1" fontId="21486" fillId="8" borderId="1" xfId="0" applyNumberFormat="1" applyFont="1" applyFill="1" applyBorder="1" applyAlignment="1">
      <alignment horizontal="center" vertical="center"/>
    </xf>
    <xf numFmtId="1" fontId="21487" fillId="8" borderId="1" xfId="0" applyNumberFormat="1" applyFont="1" applyFill="1" applyBorder="1" applyAlignment="1">
      <alignment horizontal="center" vertical="center"/>
    </xf>
    <xf numFmtId="1" fontId="21488" fillId="8" borderId="1" xfId="0" applyNumberFormat="1" applyFont="1" applyFill="1" applyBorder="1" applyAlignment="1">
      <alignment horizontal="center" vertical="center"/>
    </xf>
    <xf numFmtId="1" fontId="21489" fillId="8" borderId="1" xfId="0" applyNumberFormat="1" applyFont="1" applyFill="1" applyBorder="1" applyAlignment="1">
      <alignment horizontal="center" vertical="center"/>
    </xf>
    <xf numFmtId="165" fontId="21490" fillId="8" borderId="1" xfId="0" applyNumberFormat="1" applyFont="1" applyFill="1" applyBorder="1" applyAlignment="1">
      <alignment horizontal="center" vertical="center"/>
    </xf>
    <xf numFmtId="1" fontId="21491" fillId="8" borderId="1" xfId="0" applyNumberFormat="1" applyFont="1" applyFill="1" applyBorder="1" applyAlignment="1">
      <alignment horizontal="center" vertical="center"/>
    </xf>
    <xf numFmtId="165" fontId="21492" fillId="8" borderId="1" xfId="0" applyNumberFormat="1" applyFont="1" applyFill="1" applyBorder="1" applyAlignment="1">
      <alignment horizontal="center" vertical="center"/>
    </xf>
    <xf numFmtId="1" fontId="21493" fillId="8" borderId="1" xfId="0" applyNumberFormat="1" applyFont="1" applyFill="1" applyBorder="1" applyAlignment="1">
      <alignment horizontal="center" vertical="center"/>
    </xf>
    <xf numFmtId="165" fontId="21494" fillId="8" borderId="1" xfId="0" applyNumberFormat="1" applyFont="1" applyFill="1" applyBorder="1" applyAlignment="1">
      <alignment horizontal="center" vertical="center"/>
    </xf>
    <xf numFmtId="2" fontId="21495" fillId="8" borderId="1" xfId="0" applyNumberFormat="1" applyFont="1" applyFill="1" applyBorder="1" applyAlignment="1">
      <alignment horizontal="center" vertical="center"/>
    </xf>
    <xf numFmtId="2" fontId="21496" fillId="8" borderId="1" xfId="0" applyNumberFormat="1" applyFont="1" applyFill="1" applyBorder="1" applyAlignment="1">
      <alignment horizontal="center" vertical="center"/>
    </xf>
    <xf numFmtId="2" fontId="21497" fillId="8" borderId="1" xfId="0" applyNumberFormat="1" applyFont="1" applyFill="1" applyBorder="1" applyAlignment="1">
      <alignment horizontal="center" vertical="center"/>
    </xf>
    <xf numFmtId="2" fontId="21498" fillId="8" borderId="1" xfId="0" applyNumberFormat="1" applyFont="1" applyFill="1" applyBorder="1" applyAlignment="1">
      <alignment horizontal="center" vertical="center"/>
    </xf>
    <xf numFmtId="2" fontId="21499" fillId="8" borderId="1" xfId="0" applyNumberFormat="1" applyFont="1" applyFill="1" applyBorder="1" applyAlignment="1">
      <alignment horizontal="center" vertical="center"/>
    </xf>
    <xf numFmtId="2" fontId="21500" fillId="8" borderId="1" xfId="0" applyNumberFormat="1" applyFont="1" applyFill="1" applyBorder="1" applyAlignment="1">
      <alignment horizontal="center" vertical="center"/>
    </xf>
    <xf numFmtId="2" fontId="21501" fillId="8" borderId="1" xfId="0" applyNumberFormat="1" applyFont="1" applyFill="1" applyBorder="1" applyAlignment="1">
      <alignment horizontal="center" vertical="center"/>
    </xf>
    <xf numFmtId="2" fontId="21502" fillId="8" borderId="1" xfId="0" applyNumberFormat="1" applyFont="1" applyFill="1" applyBorder="1" applyAlignment="1">
      <alignment horizontal="center" vertical="center"/>
    </xf>
    <xf numFmtId="2" fontId="21503" fillId="8" borderId="1" xfId="0" applyNumberFormat="1" applyFont="1" applyFill="1" applyBorder="1" applyAlignment="1">
      <alignment horizontal="center" vertical="center"/>
    </xf>
    <xf numFmtId="2" fontId="21504" fillId="8" borderId="1" xfId="0" applyNumberFormat="1" applyFont="1" applyFill="1" applyBorder="1" applyAlignment="1">
      <alignment horizontal="center" vertical="center"/>
    </xf>
    <xf numFmtId="2" fontId="21505" fillId="8" borderId="1" xfId="0" applyNumberFormat="1" applyFont="1" applyFill="1" applyBorder="1" applyAlignment="1">
      <alignment horizontal="center" vertical="center"/>
    </xf>
    <xf numFmtId="2" fontId="21506" fillId="8" borderId="1" xfId="0" applyNumberFormat="1" applyFont="1" applyFill="1" applyBorder="1" applyAlignment="1">
      <alignment horizontal="center" vertical="center"/>
    </xf>
    <xf numFmtId="2" fontId="21507" fillId="8" borderId="1" xfId="0" applyNumberFormat="1" applyFont="1" applyFill="1" applyBorder="1" applyAlignment="1">
      <alignment horizontal="center" vertical="center"/>
    </xf>
    <xf numFmtId="2" fontId="21508" fillId="8" borderId="1" xfId="0" applyNumberFormat="1" applyFont="1" applyFill="1" applyBorder="1" applyAlignment="1">
      <alignment horizontal="center" vertical="center"/>
    </xf>
    <xf numFmtId="2" fontId="21509" fillId="8" borderId="1" xfId="0" applyNumberFormat="1" applyFont="1" applyFill="1" applyBorder="1" applyAlignment="1">
      <alignment horizontal="center" vertical="center"/>
    </xf>
    <xf numFmtId="2" fontId="21510" fillId="8" borderId="1" xfId="0" applyNumberFormat="1" applyFont="1" applyFill="1" applyBorder="1" applyAlignment="1">
      <alignment horizontal="center" vertical="center"/>
    </xf>
    <xf numFmtId="2" fontId="21511" fillId="8" borderId="1" xfId="0" applyNumberFormat="1" applyFont="1" applyFill="1" applyBorder="1" applyAlignment="1">
      <alignment horizontal="center" vertical="center"/>
    </xf>
    <xf numFmtId="2" fontId="21512" fillId="8" borderId="1" xfId="0" applyNumberFormat="1" applyFont="1" applyFill="1" applyBorder="1" applyAlignment="1">
      <alignment horizontal="center" vertical="center"/>
    </xf>
    <xf numFmtId="2" fontId="21513" fillId="8" borderId="1" xfId="0" applyNumberFormat="1" applyFont="1" applyFill="1" applyBorder="1" applyAlignment="1">
      <alignment horizontal="center" vertical="center"/>
    </xf>
    <xf numFmtId="2" fontId="21514" fillId="8" borderId="1" xfId="0" applyNumberFormat="1" applyFont="1" applyFill="1" applyBorder="1" applyAlignment="1">
      <alignment horizontal="center" vertical="center"/>
    </xf>
    <xf numFmtId="2" fontId="21515" fillId="8" borderId="1" xfId="0" applyNumberFormat="1" applyFont="1" applyFill="1" applyBorder="1" applyAlignment="1">
      <alignment horizontal="center" vertical="center"/>
    </xf>
    <xf numFmtId="2" fontId="21516" fillId="8" borderId="1" xfId="0" applyNumberFormat="1" applyFont="1" applyFill="1" applyBorder="1" applyAlignment="1">
      <alignment horizontal="center" vertical="center"/>
    </xf>
    <xf numFmtId="2" fontId="21517" fillId="8" borderId="1" xfId="0" applyNumberFormat="1" applyFont="1" applyFill="1" applyBorder="1" applyAlignment="1">
      <alignment horizontal="center" vertical="center"/>
    </xf>
    <xf numFmtId="2" fontId="21518" fillId="8" borderId="1" xfId="0" applyNumberFormat="1" applyFont="1" applyFill="1" applyBorder="1" applyAlignment="1">
      <alignment horizontal="center" vertical="center"/>
    </xf>
    <xf numFmtId="2" fontId="21519" fillId="8" borderId="1" xfId="0" applyNumberFormat="1" applyFont="1" applyFill="1" applyBorder="1" applyAlignment="1">
      <alignment horizontal="center" vertical="center"/>
    </xf>
    <xf numFmtId="2" fontId="21520" fillId="8" borderId="1" xfId="0" applyNumberFormat="1" applyFont="1" applyFill="1" applyBorder="1" applyAlignment="1">
      <alignment horizontal="center" vertical="center"/>
    </xf>
    <xf numFmtId="2" fontId="21521" fillId="8" borderId="1" xfId="0" applyNumberFormat="1" applyFont="1" applyFill="1" applyBorder="1" applyAlignment="1">
      <alignment horizontal="center" vertical="center"/>
    </xf>
    <xf numFmtId="2" fontId="21522" fillId="8" borderId="1" xfId="0" applyNumberFormat="1" applyFont="1" applyFill="1" applyBorder="1" applyAlignment="1">
      <alignment horizontal="center" vertical="center"/>
    </xf>
    <xf numFmtId="2" fontId="21523" fillId="8" borderId="1" xfId="0" applyNumberFormat="1" applyFont="1" applyFill="1" applyBorder="1" applyAlignment="1">
      <alignment horizontal="center" vertical="center"/>
    </xf>
    <xf numFmtId="2" fontId="21524" fillId="8" borderId="1" xfId="0" applyNumberFormat="1" applyFont="1" applyFill="1" applyBorder="1" applyAlignment="1">
      <alignment horizontal="center" vertical="center"/>
    </xf>
    <xf numFmtId="2" fontId="21525" fillId="8" borderId="1" xfId="0" applyNumberFormat="1" applyFont="1" applyFill="1" applyBorder="1" applyAlignment="1">
      <alignment horizontal="center" vertical="center"/>
    </xf>
    <xf numFmtId="2" fontId="21526" fillId="8" borderId="1" xfId="0" applyNumberFormat="1" applyFont="1" applyFill="1" applyBorder="1" applyAlignment="1">
      <alignment horizontal="center" vertical="center"/>
    </xf>
    <xf numFmtId="2" fontId="21527" fillId="8" borderId="1" xfId="0" applyNumberFormat="1" applyFont="1" applyFill="1" applyBorder="1" applyAlignment="1">
      <alignment horizontal="center" vertical="center"/>
    </xf>
    <xf numFmtId="2" fontId="21528" fillId="8" borderId="1" xfId="0" applyNumberFormat="1" applyFont="1" applyFill="1" applyBorder="1" applyAlignment="1">
      <alignment horizontal="center" vertical="center"/>
    </xf>
    <xf numFmtId="0" fontId="21529" fillId="7" borderId="1" xfId="0" applyNumberFormat="1" applyFont="1" applyFill="1" applyBorder="1" applyAlignment="1">
      <alignment horizontal="left" vertical="center"/>
    </xf>
    <xf numFmtId="0" fontId="21530" fillId="8" borderId="1" xfId="0" applyNumberFormat="1" applyFont="1" applyFill="1" applyBorder="1" applyAlignment="1">
      <alignment horizontal="center" vertical="center"/>
    </xf>
    <xf numFmtId="164" fontId="21531" fillId="8" borderId="1" xfId="0" applyNumberFormat="1" applyFont="1" applyFill="1" applyBorder="1" applyAlignment="1">
      <alignment horizontal="center" vertical="center"/>
    </xf>
    <xf numFmtId="1" fontId="21532" fillId="8" borderId="1" xfId="0" applyNumberFormat="1" applyFont="1" applyFill="1" applyBorder="1" applyAlignment="1">
      <alignment horizontal="center" vertical="center"/>
    </xf>
    <xf numFmtId="1" fontId="21533" fillId="8" borderId="1" xfId="0" applyNumberFormat="1" applyFont="1" applyFill="1" applyBorder="1" applyAlignment="1">
      <alignment horizontal="center" vertical="center"/>
    </xf>
    <xf numFmtId="1" fontId="21534" fillId="8" borderId="1" xfId="0" applyNumberFormat="1" applyFont="1" applyFill="1" applyBorder="1" applyAlignment="1">
      <alignment horizontal="center" vertical="center"/>
    </xf>
    <xf numFmtId="1" fontId="21535" fillId="8" borderId="1" xfId="0" applyNumberFormat="1" applyFont="1" applyFill="1" applyBorder="1" applyAlignment="1">
      <alignment horizontal="center" vertical="center"/>
    </xf>
    <xf numFmtId="1" fontId="21536" fillId="8" borderId="1" xfId="0" applyNumberFormat="1" applyFont="1" applyFill="1" applyBorder="1" applyAlignment="1">
      <alignment horizontal="center" vertical="center"/>
    </xf>
    <xf numFmtId="1" fontId="21537" fillId="8" borderId="1" xfId="0" applyNumberFormat="1" applyFont="1" applyFill="1" applyBorder="1" applyAlignment="1">
      <alignment horizontal="center" vertical="center"/>
    </xf>
    <xf numFmtId="1" fontId="21538" fillId="8" borderId="1" xfId="0" applyNumberFormat="1" applyFont="1" applyFill="1" applyBorder="1" applyAlignment="1">
      <alignment horizontal="center" vertical="center"/>
    </xf>
    <xf numFmtId="0" fontId="21539" fillId="8" borderId="1" xfId="0" applyNumberFormat="1" applyFont="1" applyFill="1" applyBorder="1" applyAlignment="1">
      <alignment horizontal="center" vertical="center"/>
    </xf>
    <xf numFmtId="0" fontId="21540" fillId="8" borderId="1" xfId="0" applyNumberFormat="1" applyFont="1" applyFill="1" applyBorder="1" applyAlignment="1">
      <alignment horizontal="center" vertical="center"/>
    </xf>
    <xf numFmtId="1" fontId="21541" fillId="8" borderId="1" xfId="0" applyNumberFormat="1" applyFont="1" applyFill="1" applyBorder="1" applyAlignment="1">
      <alignment horizontal="center" vertical="center"/>
    </xf>
    <xf numFmtId="1" fontId="21542" fillId="8" borderId="1" xfId="0" applyNumberFormat="1" applyFont="1" applyFill="1" applyBorder="1" applyAlignment="1">
      <alignment horizontal="center" vertical="center"/>
    </xf>
    <xf numFmtId="1" fontId="21543" fillId="8" borderId="1" xfId="0" applyNumberFormat="1" applyFont="1" applyFill="1" applyBorder="1" applyAlignment="1">
      <alignment horizontal="center" vertical="center"/>
    </xf>
    <xf numFmtId="165" fontId="21544" fillId="8" borderId="1" xfId="0" applyNumberFormat="1" applyFont="1" applyFill="1" applyBorder="1" applyAlignment="1">
      <alignment horizontal="center" vertical="center"/>
    </xf>
    <xf numFmtId="1" fontId="21545" fillId="8" borderId="1" xfId="0" applyNumberFormat="1" applyFont="1" applyFill="1" applyBorder="1" applyAlignment="1">
      <alignment horizontal="center" vertical="center"/>
    </xf>
    <xf numFmtId="165" fontId="21546" fillId="8" borderId="1" xfId="0" applyNumberFormat="1" applyFont="1" applyFill="1" applyBorder="1" applyAlignment="1">
      <alignment horizontal="center" vertical="center"/>
    </xf>
    <xf numFmtId="1" fontId="21547" fillId="8" borderId="1" xfId="0" applyNumberFormat="1" applyFont="1" applyFill="1" applyBorder="1" applyAlignment="1">
      <alignment horizontal="center" vertical="center"/>
    </xf>
    <xf numFmtId="165" fontId="21548" fillId="8" borderId="1" xfId="0" applyNumberFormat="1" applyFont="1" applyFill="1" applyBorder="1" applyAlignment="1">
      <alignment horizontal="center" vertical="center"/>
    </xf>
    <xf numFmtId="1" fontId="21549" fillId="8" borderId="1" xfId="0" applyNumberFormat="1" applyFont="1" applyFill="1" applyBorder="1" applyAlignment="1">
      <alignment horizontal="center" vertical="center"/>
    </xf>
    <xf numFmtId="165" fontId="21550" fillId="8" borderId="1" xfId="0" applyNumberFormat="1" applyFont="1" applyFill="1" applyBorder="1" applyAlignment="1">
      <alignment horizontal="center" vertical="center"/>
    </xf>
    <xf numFmtId="165" fontId="21551" fillId="8" borderId="1" xfId="0" applyNumberFormat="1" applyFont="1" applyFill="1" applyBorder="1" applyAlignment="1">
      <alignment horizontal="center" vertical="center"/>
    </xf>
    <xf numFmtId="1" fontId="21552" fillId="8" borderId="1" xfId="0" applyNumberFormat="1" applyFont="1" applyFill="1" applyBorder="1" applyAlignment="1">
      <alignment horizontal="center" vertical="center"/>
    </xf>
    <xf numFmtId="1" fontId="21553" fillId="8" borderId="1" xfId="0" applyNumberFormat="1" applyFont="1" applyFill="1" applyBorder="1" applyAlignment="1">
      <alignment horizontal="center" vertical="center"/>
    </xf>
    <xf numFmtId="1" fontId="21554" fillId="8" borderId="1" xfId="0" applyNumberFormat="1" applyFont="1" applyFill="1" applyBorder="1" applyAlignment="1">
      <alignment horizontal="center" vertical="center"/>
    </xf>
    <xf numFmtId="165" fontId="21555" fillId="8" borderId="1" xfId="0" applyNumberFormat="1" applyFont="1" applyFill="1" applyBorder="1" applyAlignment="1">
      <alignment horizontal="center" vertical="center"/>
    </xf>
    <xf numFmtId="164" fontId="21556" fillId="8" borderId="1" xfId="0" applyNumberFormat="1" applyFont="1" applyFill="1" applyBorder="1" applyAlignment="1">
      <alignment horizontal="center" vertical="center"/>
    </xf>
    <xf numFmtId="164" fontId="21557" fillId="8" borderId="1" xfId="0" applyNumberFormat="1" applyFont="1" applyFill="1" applyBorder="1" applyAlignment="1">
      <alignment horizontal="center" vertical="center"/>
    </xf>
    <xf numFmtId="1" fontId="21558" fillId="8" borderId="1" xfId="0" applyNumberFormat="1" applyFont="1" applyFill="1" applyBorder="1" applyAlignment="1">
      <alignment horizontal="center" vertical="center"/>
    </xf>
    <xf numFmtId="1" fontId="21559" fillId="8" borderId="1" xfId="0" applyNumberFormat="1" applyFont="1" applyFill="1" applyBorder="1" applyAlignment="1">
      <alignment horizontal="center" vertical="center"/>
    </xf>
    <xf numFmtId="1" fontId="21560" fillId="8" borderId="1" xfId="0" applyNumberFormat="1" applyFont="1" applyFill="1" applyBorder="1" applyAlignment="1">
      <alignment horizontal="center" vertical="center"/>
    </xf>
    <xf numFmtId="165" fontId="21561" fillId="8" borderId="1" xfId="0" applyNumberFormat="1" applyFont="1" applyFill="1" applyBorder="1" applyAlignment="1">
      <alignment horizontal="center" vertical="center"/>
    </xf>
    <xf numFmtId="1" fontId="21562" fillId="8" borderId="1" xfId="0" applyNumberFormat="1" applyFont="1" applyFill="1" applyBorder="1" applyAlignment="1">
      <alignment horizontal="center" vertical="center"/>
    </xf>
    <xf numFmtId="165" fontId="21563" fillId="8" borderId="1" xfId="0" applyNumberFormat="1" applyFont="1" applyFill="1" applyBorder="1" applyAlignment="1">
      <alignment horizontal="center" vertical="center"/>
    </xf>
    <xf numFmtId="1" fontId="21564" fillId="8" borderId="1" xfId="0" applyNumberFormat="1" applyFont="1" applyFill="1" applyBorder="1" applyAlignment="1">
      <alignment horizontal="center" vertical="center"/>
    </xf>
    <xf numFmtId="1" fontId="21565" fillId="8" borderId="1" xfId="0" applyNumberFormat="1" applyFont="1" applyFill="1" applyBorder="1" applyAlignment="1">
      <alignment horizontal="center" vertical="center"/>
    </xf>
    <xf numFmtId="1" fontId="21566" fillId="8" borderId="1" xfId="0" applyNumberFormat="1" applyFont="1" applyFill="1" applyBorder="1" applyAlignment="1">
      <alignment horizontal="center" vertical="center"/>
    </xf>
    <xf numFmtId="1" fontId="21567" fillId="8" borderId="1" xfId="0" applyNumberFormat="1" applyFont="1" applyFill="1" applyBorder="1" applyAlignment="1">
      <alignment horizontal="center" vertical="center"/>
    </xf>
    <xf numFmtId="165" fontId="21568" fillId="8" borderId="1" xfId="0" applyNumberFormat="1" applyFont="1" applyFill="1" applyBorder="1" applyAlignment="1">
      <alignment horizontal="center" vertical="center"/>
    </xf>
    <xf numFmtId="1" fontId="21569" fillId="8" borderId="1" xfId="0" applyNumberFormat="1" applyFont="1" applyFill="1" applyBorder="1" applyAlignment="1">
      <alignment horizontal="center" vertical="center"/>
    </xf>
    <xf numFmtId="165" fontId="21570" fillId="8" borderId="1" xfId="0" applyNumberFormat="1" applyFont="1" applyFill="1" applyBorder="1" applyAlignment="1">
      <alignment horizontal="center" vertical="center"/>
    </xf>
    <xf numFmtId="1" fontId="21571" fillId="8" borderId="1" xfId="0" applyNumberFormat="1" applyFont="1" applyFill="1" applyBorder="1" applyAlignment="1">
      <alignment horizontal="center" vertical="center"/>
    </xf>
    <xf numFmtId="165" fontId="21572" fillId="8" borderId="1" xfId="0" applyNumberFormat="1" applyFont="1" applyFill="1" applyBorder="1" applyAlignment="1">
      <alignment horizontal="center" vertical="center"/>
    </xf>
    <xf numFmtId="2" fontId="21573" fillId="8" borderId="1" xfId="0" applyNumberFormat="1" applyFont="1" applyFill="1" applyBorder="1" applyAlignment="1">
      <alignment horizontal="center" vertical="center"/>
    </xf>
    <xf numFmtId="2" fontId="21574" fillId="8" borderId="1" xfId="0" applyNumberFormat="1" applyFont="1" applyFill="1" applyBorder="1" applyAlignment="1">
      <alignment horizontal="center" vertical="center"/>
    </xf>
    <xf numFmtId="2" fontId="21575" fillId="8" borderId="1" xfId="0" applyNumberFormat="1" applyFont="1" applyFill="1" applyBorder="1" applyAlignment="1">
      <alignment horizontal="center" vertical="center"/>
    </xf>
    <xf numFmtId="2" fontId="21576" fillId="8" borderId="1" xfId="0" applyNumberFormat="1" applyFont="1" applyFill="1" applyBorder="1" applyAlignment="1">
      <alignment horizontal="center" vertical="center"/>
    </xf>
    <xf numFmtId="2" fontId="21577" fillId="8" borderId="1" xfId="0" applyNumberFormat="1" applyFont="1" applyFill="1" applyBorder="1" applyAlignment="1">
      <alignment horizontal="center" vertical="center"/>
    </xf>
    <xf numFmtId="2" fontId="21578" fillId="8" borderId="1" xfId="0" applyNumberFormat="1" applyFont="1" applyFill="1" applyBorder="1" applyAlignment="1">
      <alignment horizontal="center" vertical="center"/>
    </xf>
    <xf numFmtId="2" fontId="21579" fillId="8" borderId="1" xfId="0" applyNumberFormat="1" applyFont="1" applyFill="1" applyBorder="1" applyAlignment="1">
      <alignment horizontal="center" vertical="center"/>
    </xf>
    <xf numFmtId="2" fontId="21580" fillId="8" borderId="1" xfId="0" applyNumberFormat="1" applyFont="1" applyFill="1" applyBorder="1" applyAlignment="1">
      <alignment horizontal="center" vertical="center"/>
    </xf>
    <xf numFmtId="2" fontId="21581" fillId="8" borderId="1" xfId="0" applyNumberFormat="1" applyFont="1" applyFill="1" applyBorder="1" applyAlignment="1">
      <alignment horizontal="center" vertical="center"/>
    </xf>
    <xf numFmtId="2" fontId="21582" fillId="8" borderId="1" xfId="0" applyNumberFormat="1" applyFont="1" applyFill="1" applyBorder="1" applyAlignment="1">
      <alignment horizontal="center" vertical="center"/>
    </xf>
    <xf numFmtId="2" fontId="21583" fillId="8" borderId="1" xfId="0" applyNumberFormat="1" applyFont="1" applyFill="1" applyBorder="1" applyAlignment="1">
      <alignment horizontal="center" vertical="center"/>
    </xf>
    <xf numFmtId="2" fontId="21584" fillId="8" borderId="1" xfId="0" applyNumberFormat="1" applyFont="1" applyFill="1" applyBorder="1" applyAlignment="1">
      <alignment horizontal="center" vertical="center"/>
    </xf>
    <xf numFmtId="2" fontId="21585" fillId="8" borderId="1" xfId="0" applyNumberFormat="1" applyFont="1" applyFill="1" applyBorder="1" applyAlignment="1">
      <alignment horizontal="center" vertical="center"/>
    </xf>
    <xf numFmtId="2" fontId="21586" fillId="8" borderId="1" xfId="0" applyNumberFormat="1" applyFont="1" applyFill="1" applyBorder="1" applyAlignment="1">
      <alignment horizontal="center" vertical="center"/>
    </xf>
    <xf numFmtId="2" fontId="21587" fillId="8" borderId="1" xfId="0" applyNumberFormat="1" applyFont="1" applyFill="1" applyBorder="1" applyAlignment="1">
      <alignment horizontal="center" vertical="center"/>
    </xf>
    <xf numFmtId="2" fontId="21588" fillId="8" borderId="1" xfId="0" applyNumberFormat="1" applyFont="1" applyFill="1" applyBorder="1" applyAlignment="1">
      <alignment horizontal="center" vertical="center"/>
    </xf>
    <xf numFmtId="2" fontId="21589" fillId="8" borderId="1" xfId="0" applyNumberFormat="1" applyFont="1" applyFill="1" applyBorder="1" applyAlignment="1">
      <alignment horizontal="center" vertical="center"/>
    </xf>
    <xf numFmtId="2" fontId="21590" fillId="8" borderId="1" xfId="0" applyNumberFormat="1" applyFont="1" applyFill="1" applyBorder="1" applyAlignment="1">
      <alignment horizontal="center" vertical="center"/>
    </xf>
    <xf numFmtId="2" fontId="21591" fillId="8" borderId="1" xfId="0" applyNumberFormat="1" applyFont="1" applyFill="1" applyBorder="1" applyAlignment="1">
      <alignment horizontal="center" vertical="center"/>
    </xf>
    <xf numFmtId="2" fontId="21592" fillId="8" borderId="1" xfId="0" applyNumberFormat="1" applyFont="1" applyFill="1" applyBorder="1" applyAlignment="1">
      <alignment horizontal="center" vertical="center"/>
    </xf>
    <xf numFmtId="2" fontId="21593" fillId="8" borderId="1" xfId="0" applyNumberFormat="1" applyFont="1" applyFill="1" applyBorder="1" applyAlignment="1">
      <alignment horizontal="center" vertical="center"/>
    </xf>
    <xf numFmtId="2" fontId="21594" fillId="8" borderId="1" xfId="0" applyNumberFormat="1" applyFont="1" applyFill="1" applyBorder="1" applyAlignment="1">
      <alignment horizontal="center" vertical="center"/>
    </xf>
    <xf numFmtId="2" fontId="21595" fillId="8" borderId="1" xfId="0" applyNumberFormat="1" applyFont="1" applyFill="1" applyBorder="1" applyAlignment="1">
      <alignment horizontal="center" vertical="center"/>
    </xf>
    <xf numFmtId="2" fontId="21596" fillId="8" borderId="1" xfId="0" applyNumberFormat="1" applyFont="1" applyFill="1" applyBorder="1" applyAlignment="1">
      <alignment horizontal="center" vertical="center"/>
    </xf>
    <xf numFmtId="2" fontId="21597" fillId="8" borderId="1" xfId="0" applyNumberFormat="1" applyFont="1" applyFill="1" applyBorder="1" applyAlignment="1">
      <alignment horizontal="center" vertical="center"/>
    </xf>
    <xf numFmtId="2" fontId="21598" fillId="8" borderId="1" xfId="0" applyNumberFormat="1" applyFont="1" applyFill="1" applyBorder="1" applyAlignment="1">
      <alignment horizontal="center" vertical="center"/>
    </xf>
    <xf numFmtId="2" fontId="21599" fillId="8" borderId="1" xfId="0" applyNumberFormat="1" applyFont="1" applyFill="1" applyBorder="1" applyAlignment="1">
      <alignment horizontal="center" vertical="center"/>
    </xf>
    <xf numFmtId="2" fontId="21600" fillId="8" borderId="1" xfId="0" applyNumberFormat="1" applyFont="1" applyFill="1" applyBorder="1" applyAlignment="1">
      <alignment horizontal="center" vertical="center"/>
    </xf>
    <xf numFmtId="2" fontId="21601" fillId="8" borderId="1" xfId="0" applyNumberFormat="1" applyFont="1" applyFill="1" applyBorder="1" applyAlignment="1">
      <alignment horizontal="center" vertical="center"/>
    </xf>
    <xf numFmtId="2" fontId="21602" fillId="8" borderId="1" xfId="0" applyNumberFormat="1" applyFont="1" applyFill="1" applyBorder="1" applyAlignment="1">
      <alignment horizontal="center" vertical="center"/>
    </xf>
    <xf numFmtId="2" fontId="21603" fillId="8" borderId="1" xfId="0" applyNumberFormat="1" applyFont="1" applyFill="1" applyBorder="1" applyAlignment="1">
      <alignment horizontal="center" vertical="center"/>
    </xf>
    <xf numFmtId="2" fontId="21604" fillId="8" borderId="1" xfId="0" applyNumberFormat="1" applyFont="1" applyFill="1" applyBorder="1" applyAlignment="1">
      <alignment horizontal="center" vertical="center"/>
    </xf>
    <xf numFmtId="2" fontId="21605" fillId="8" borderId="1" xfId="0" applyNumberFormat="1" applyFont="1" applyFill="1" applyBorder="1" applyAlignment="1">
      <alignment horizontal="center" vertical="center"/>
    </xf>
    <xf numFmtId="2" fontId="21606" fillId="8" borderId="1" xfId="0" applyNumberFormat="1" applyFont="1" applyFill="1" applyBorder="1" applyAlignment="1">
      <alignment horizontal="center" vertical="center"/>
    </xf>
    <xf numFmtId="0" fontId="21607" fillId="7" borderId="1" xfId="0" applyNumberFormat="1" applyFont="1" applyFill="1" applyBorder="1" applyAlignment="1">
      <alignment horizontal="left" vertical="center"/>
    </xf>
    <xf numFmtId="0" fontId="21608" fillId="8" borderId="1" xfId="0" applyNumberFormat="1" applyFont="1" applyFill="1" applyBorder="1" applyAlignment="1">
      <alignment horizontal="center" vertical="center"/>
    </xf>
    <xf numFmtId="164" fontId="21609" fillId="8" borderId="1" xfId="0" applyNumberFormat="1" applyFont="1" applyFill="1" applyBorder="1" applyAlignment="1">
      <alignment horizontal="center" vertical="center"/>
    </xf>
    <xf numFmtId="1" fontId="21610" fillId="8" borderId="1" xfId="0" applyNumberFormat="1" applyFont="1" applyFill="1" applyBorder="1" applyAlignment="1">
      <alignment horizontal="center" vertical="center"/>
    </xf>
    <xf numFmtId="1" fontId="21611" fillId="8" borderId="1" xfId="0" applyNumberFormat="1" applyFont="1" applyFill="1" applyBorder="1" applyAlignment="1">
      <alignment horizontal="center" vertical="center"/>
    </xf>
    <xf numFmtId="1" fontId="21612" fillId="8" borderId="1" xfId="0" applyNumberFormat="1" applyFont="1" applyFill="1" applyBorder="1" applyAlignment="1">
      <alignment horizontal="center" vertical="center"/>
    </xf>
    <xf numFmtId="1" fontId="21613" fillId="8" borderId="1" xfId="0" applyNumberFormat="1" applyFont="1" applyFill="1" applyBorder="1" applyAlignment="1">
      <alignment horizontal="center" vertical="center"/>
    </xf>
    <xf numFmtId="1" fontId="21614" fillId="8" borderId="1" xfId="0" applyNumberFormat="1" applyFont="1" applyFill="1" applyBorder="1" applyAlignment="1">
      <alignment horizontal="center" vertical="center"/>
    </xf>
    <xf numFmtId="1" fontId="21615" fillId="8" borderId="1" xfId="0" applyNumberFormat="1" applyFont="1" applyFill="1" applyBorder="1" applyAlignment="1">
      <alignment horizontal="center" vertical="center"/>
    </xf>
    <xf numFmtId="1" fontId="21616" fillId="8" borderId="1" xfId="0" applyNumberFormat="1" applyFont="1" applyFill="1" applyBorder="1" applyAlignment="1">
      <alignment horizontal="center" vertical="center"/>
    </xf>
    <xf numFmtId="0" fontId="21617" fillId="8" borderId="1" xfId="0" applyNumberFormat="1" applyFont="1" applyFill="1" applyBorder="1" applyAlignment="1">
      <alignment horizontal="center" vertical="center"/>
    </xf>
    <xf numFmtId="0" fontId="21618" fillId="8" borderId="1" xfId="0" applyNumberFormat="1" applyFont="1" applyFill="1" applyBorder="1" applyAlignment="1">
      <alignment horizontal="center" vertical="center"/>
    </xf>
    <xf numFmtId="1" fontId="21619" fillId="8" borderId="1" xfId="0" applyNumberFormat="1" applyFont="1" applyFill="1" applyBorder="1" applyAlignment="1">
      <alignment horizontal="center" vertical="center"/>
    </xf>
    <xf numFmtId="1" fontId="21620" fillId="8" borderId="1" xfId="0" applyNumberFormat="1" applyFont="1" applyFill="1" applyBorder="1" applyAlignment="1">
      <alignment horizontal="center" vertical="center"/>
    </xf>
    <xf numFmtId="1" fontId="21621" fillId="8" borderId="1" xfId="0" applyNumberFormat="1" applyFont="1" applyFill="1" applyBorder="1" applyAlignment="1">
      <alignment horizontal="center" vertical="center"/>
    </xf>
    <xf numFmtId="165" fontId="21622" fillId="8" borderId="1" xfId="0" applyNumberFormat="1" applyFont="1" applyFill="1" applyBorder="1" applyAlignment="1">
      <alignment horizontal="center" vertical="center"/>
    </xf>
    <xf numFmtId="1" fontId="21623" fillId="8" borderId="1" xfId="0" applyNumberFormat="1" applyFont="1" applyFill="1" applyBorder="1" applyAlignment="1">
      <alignment horizontal="center" vertical="center"/>
    </xf>
    <xf numFmtId="165" fontId="21624" fillId="8" borderId="1" xfId="0" applyNumberFormat="1" applyFont="1" applyFill="1" applyBorder="1" applyAlignment="1">
      <alignment horizontal="center" vertical="center"/>
    </xf>
    <xf numFmtId="1" fontId="21625" fillId="8" borderId="1" xfId="0" applyNumberFormat="1" applyFont="1" applyFill="1" applyBorder="1" applyAlignment="1">
      <alignment horizontal="center" vertical="center"/>
    </xf>
    <xf numFmtId="165" fontId="21626" fillId="8" borderId="1" xfId="0" applyNumberFormat="1" applyFont="1" applyFill="1" applyBorder="1" applyAlignment="1">
      <alignment horizontal="center" vertical="center"/>
    </xf>
    <xf numFmtId="1" fontId="21627" fillId="8" borderId="1" xfId="0" applyNumberFormat="1" applyFont="1" applyFill="1" applyBorder="1" applyAlignment="1">
      <alignment horizontal="center" vertical="center"/>
    </xf>
    <xf numFmtId="165" fontId="21628" fillId="8" borderId="1" xfId="0" applyNumberFormat="1" applyFont="1" applyFill="1" applyBorder="1" applyAlignment="1">
      <alignment horizontal="center" vertical="center"/>
    </xf>
    <xf numFmtId="165" fontId="21629" fillId="8" borderId="1" xfId="0" applyNumberFormat="1" applyFont="1" applyFill="1" applyBorder="1" applyAlignment="1">
      <alignment horizontal="center" vertical="center"/>
    </xf>
    <xf numFmtId="1" fontId="21630" fillId="8" borderId="1" xfId="0" applyNumberFormat="1" applyFont="1" applyFill="1" applyBorder="1" applyAlignment="1">
      <alignment horizontal="center" vertical="center"/>
    </xf>
    <xf numFmtId="1" fontId="21631" fillId="8" borderId="1" xfId="0" applyNumberFormat="1" applyFont="1" applyFill="1" applyBorder="1" applyAlignment="1">
      <alignment horizontal="center" vertical="center"/>
    </xf>
    <xf numFmtId="1" fontId="21632" fillId="8" borderId="1" xfId="0" applyNumberFormat="1" applyFont="1" applyFill="1" applyBorder="1" applyAlignment="1">
      <alignment horizontal="center" vertical="center"/>
    </xf>
    <xf numFmtId="165" fontId="21633" fillId="8" borderId="1" xfId="0" applyNumberFormat="1" applyFont="1" applyFill="1" applyBorder="1" applyAlignment="1">
      <alignment horizontal="center" vertical="center"/>
    </xf>
    <xf numFmtId="164" fontId="21634" fillId="8" borderId="1" xfId="0" applyNumberFormat="1" applyFont="1" applyFill="1" applyBorder="1" applyAlignment="1">
      <alignment horizontal="center" vertical="center"/>
    </xf>
    <xf numFmtId="164" fontId="21635" fillId="8" borderId="1" xfId="0" applyNumberFormat="1" applyFont="1" applyFill="1" applyBorder="1" applyAlignment="1">
      <alignment horizontal="center" vertical="center"/>
    </xf>
    <xf numFmtId="1" fontId="21636" fillId="8" borderId="1" xfId="0" applyNumberFormat="1" applyFont="1" applyFill="1" applyBorder="1" applyAlignment="1">
      <alignment horizontal="center" vertical="center"/>
    </xf>
    <xf numFmtId="1" fontId="21637" fillId="8" borderId="1" xfId="0" applyNumberFormat="1" applyFont="1" applyFill="1" applyBorder="1" applyAlignment="1">
      <alignment horizontal="center" vertical="center"/>
    </xf>
    <xf numFmtId="1" fontId="21638" fillId="8" borderId="1" xfId="0" applyNumberFormat="1" applyFont="1" applyFill="1" applyBorder="1" applyAlignment="1">
      <alignment horizontal="center" vertical="center"/>
    </xf>
    <xf numFmtId="165" fontId="21639" fillId="8" borderId="1" xfId="0" applyNumberFormat="1" applyFont="1" applyFill="1" applyBorder="1" applyAlignment="1">
      <alignment horizontal="center" vertical="center"/>
    </xf>
    <xf numFmtId="1" fontId="21640" fillId="8" borderId="1" xfId="0" applyNumberFormat="1" applyFont="1" applyFill="1" applyBorder="1" applyAlignment="1">
      <alignment horizontal="center" vertical="center"/>
    </xf>
    <xf numFmtId="165" fontId="21641" fillId="8" borderId="1" xfId="0" applyNumberFormat="1" applyFont="1" applyFill="1" applyBorder="1" applyAlignment="1">
      <alignment horizontal="center" vertical="center"/>
    </xf>
    <xf numFmtId="1" fontId="21642" fillId="8" borderId="1" xfId="0" applyNumberFormat="1" applyFont="1" applyFill="1" applyBorder="1" applyAlignment="1">
      <alignment horizontal="center" vertical="center"/>
    </xf>
    <xf numFmtId="1" fontId="21643" fillId="8" borderId="1" xfId="0" applyNumberFormat="1" applyFont="1" applyFill="1" applyBorder="1" applyAlignment="1">
      <alignment horizontal="center" vertical="center"/>
    </xf>
    <xf numFmtId="1" fontId="21644" fillId="8" borderId="1" xfId="0" applyNumberFormat="1" applyFont="1" applyFill="1" applyBorder="1" applyAlignment="1">
      <alignment horizontal="center" vertical="center"/>
    </xf>
    <xf numFmtId="1" fontId="21645" fillId="8" borderId="1" xfId="0" applyNumberFormat="1" applyFont="1" applyFill="1" applyBorder="1" applyAlignment="1">
      <alignment horizontal="center" vertical="center"/>
    </xf>
    <xf numFmtId="165" fontId="21646" fillId="8" borderId="1" xfId="0" applyNumberFormat="1" applyFont="1" applyFill="1" applyBorder="1" applyAlignment="1">
      <alignment horizontal="center" vertical="center"/>
    </xf>
    <xf numFmtId="1" fontId="21647" fillId="8" borderId="1" xfId="0" applyNumberFormat="1" applyFont="1" applyFill="1" applyBorder="1" applyAlignment="1">
      <alignment horizontal="center" vertical="center"/>
    </xf>
    <xf numFmtId="165" fontId="21648" fillId="8" borderId="1" xfId="0" applyNumberFormat="1" applyFont="1" applyFill="1" applyBorder="1" applyAlignment="1">
      <alignment horizontal="center" vertical="center"/>
    </xf>
    <xf numFmtId="1" fontId="21649" fillId="8" borderId="1" xfId="0" applyNumberFormat="1" applyFont="1" applyFill="1" applyBorder="1" applyAlignment="1">
      <alignment horizontal="center" vertical="center"/>
    </xf>
    <xf numFmtId="165" fontId="21650" fillId="8" borderId="1" xfId="0" applyNumberFormat="1" applyFont="1" applyFill="1" applyBorder="1" applyAlignment="1">
      <alignment horizontal="center" vertical="center"/>
    </xf>
    <xf numFmtId="2" fontId="21651" fillId="8" borderId="1" xfId="0" applyNumberFormat="1" applyFont="1" applyFill="1" applyBorder="1" applyAlignment="1">
      <alignment horizontal="center" vertical="center"/>
    </xf>
    <xf numFmtId="2" fontId="21652" fillId="8" borderId="1" xfId="0" applyNumberFormat="1" applyFont="1" applyFill="1" applyBorder="1" applyAlignment="1">
      <alignment horizontal="center" vertical="center"/>
    </xf>
    <xf numFmtId="2" fontId="21653" fillId="8" borderId="1" xfId="0" applyNumberFormat="1" applyFont="1" applyFill="1" applyBorder="1" applyAlignment="1">
      <alignment horizontal="center" vertical="center"/>
    </xf>
    <xf numFmtId="2" fontId="21654" fillId="8" borderId="1" xfId="0" applyNumberFormat="1" applyFont="1" applyFill="1" applyBorder="1" applyAlignment="1">
      <alignment horizontal="center" vertical="center"/>
    </xf>
    <xf numFmtId="2" fontId="21655" fillId="8" borderId="1" xfId="0" applyNumberFormat="1" applyFont="1" applyFill="1" applyBorder="1" applyAlignment="1">
      <alignment horizontal="center" vertical="center"/>
    </xf>
    <xf numFmtId="2" fontId="21656" fillId="8" borderId="1" xfId="0" applyNumberFormat="1" applyFont="1" applyFill="1" applyBorder="1" applyAlignment="1">
      <alignment horizontal="center" vertical="center"/>
    </xf>
    <xf numFmtId="2" fontId="21657" fillId="8" borderId="1" xfId="0" applyNumberFormat="1" applyFont="1" applyFill="1" applyBorder="1" applyAlignment="1">
      <alignment horizontal="center" vertical="center"/>
    </xf>
    <xf numFmtId="2" fontId="21658" fillId="8" borderId="1" xfId="0" applyNumberFormat="1" applyFont="1" applyFill="1" applyBorder="1" applyAlignment="1">
      <alignment horizontal="center" vertical="center"/>
    </xf>
    <xf numFmtId="2" fontId="21659" fillId="8" borderId="1" xfId="0" applyNumberFormat="1" applyFont="1" applyFill="1" applyBorder="1" applyAlignment="1">
      <alignment horizontal="center" vertical="center"/>
    </xf>
    <xf numFmtId="2" fontId="21660" fillId="8" borderId="1" xfId="0" applyNumberFormat="1" applyFont="1" applyFill="1" applyBorder="1" applyAlignment="1">
      <alignment horizontal="center" vertical="center"/>
    </xf>
    <xf numFmtId="2" fontId="21661" fillId="8" borderId="1" xfId="0" applyNumberFormat="1" applyFont="1" applyFill="1" applyBorder="1" applyAlignment="1">
      <alignment horizontal="center" vertical="center"/>
    </xf>
    <xf numFmtId="2" fontId="21662" fillId="8" borderId="1" xfId="0" applyNumberFormat="1" applyFont="1" applyFill="1" applyBorder="1" applyAlignment="1">
      <alignment horizontal="center" vertical="center"/>
    </xf>
    <xf numFmtId="2" fontId="21663" fillId="8" borderId="1" xfId="0" applyNumberFormat="1" applyFont="1" applyFill="1" applyBorder="1" applyAlignment="1">
      <alignment horizontal="center" vertical="center"/>
    </xf>
    <xf numFmtId="2" fontId="21664" fillId="8" borderId="1" xfId="0" applyNumberFormat="1" applyFont="1" applyFill="1" applyBorder="1" applyAlignment="1">
      <alignment horizontal="center" vertical="center"/>
    </xf>
    <xf numFmtId="2" fontId="21665" fillId="8" borderId="1" xfId="0" applyNumberFormat="1" applyFont="1" applyFill="1" applyBorder="1" applyAlignment="1">
      <alignment horizontal="center" vertical="center"/>
    </xf>
    <xf numFmtId="2" fontId="21666" fillId="8" borderId="1" xfId="0" applyNumberFormat="1" applyFont="1" applyFill="1" applyBorder="1" applyAlignment="1">
      <alignment horizontal="center" vertical="center"/>
    </xf>
    <xf numFmtId="2" fontId="21667" fillId="8" borderId="1" xfId="0" applyNumberFormat="1" applyFont="1" applyFill="1" applyBorder="1" applyAlignment="1">
      <alignment horizontal="center" vertical="center"/>
    </xf>
    <xf numFmtId="2" fontId="21668" fillId="8" borderId="1" xfId="0" applyNumberFormat="1" applyFont="1" applyFill="1" applyBorder="1" applyAlignment="1">
      <alignment horizontal="center" vertical="center"/>
    </xf>
    <xf numFmtId="2" fontId="21669" fillId="8" borderId="1" xfId="0" applyNumberFormat="1" applyFont="1" applyFill="1" applyBorder="1" applyAlignment="1">
      <alignment horizontal="center" vertical="center"/>
    </xf>
    <xf numFmtId="2" fontId="21670" fillId="8" borderId="1" xfId="0" applyNumberFormat="1" applyFont="1" applyFill="1" applyBorder="1" applyAlignment="1">
      <alignment horizontal="center" vertical="center"/>
    </xf>
    <xf numFmtId="2" fontId="21671" fillId="8" borderId="1" xfId="0" applyNumberFormat="1" applyFont="1" applyFill="1" applyBorder="1" applyAlignment="1">
      <alignment horizontal="center" vertical="center"/>
    </xf>
    <xf numFmtId="2" fontId="21672" fillId="8" borderId="1" xfId="0" applyNumberFormat="1" applyFont="1" applyFill="1" applyBorder="1" applyAlignment="1">
      <alignment horizontal="center" vertical="center"/>
    </xf>
    <xf numFmtId="2" fontId="21673" fillId="8" borderId="1" xfId="0" applyNumberFormat="1" applyFont="1" applyFill="1" applyBorder="1" applyAlignment="1">
      <alignment horizontal="center" vertical="center"/>
    </xf>
    <xf numFmtId="2" fontId="21674" fillId="8" borderId="1" xfId="0" applyNumberFormat="1" applyFont="1" applyFill="1" applyBorder="1" applyAlignment="1">
      <alignment horizontal="center" vertical="center"/>
    </xf>
    <xf numFmtId="2" fontId="21675" fillId="8" borderId="1" xfId="0" applyNumberFormat="1" applyFont="1" applyFill="1" applyBorder="1" applyAlignment="1">
      <alignment horizontal="center" vertical="center"/>
    </xf>
    <xf numFmtId="2" fontId="21676" fillId="8" borderId="1" xfId="0" applyNumberFormat="1" applyFont="1" applyFill="1" applyBorder="1" applyAlignment="1">
      <alignment horizontal="center" vertical="center"/>
    </xf>
    <xf numFmtId="2" fontId="21677" fillId="8" borderId="1" xfId="0" applyNumberFormat="1" applyFont="1" applyFill="1" applyBorder="1" applyAlignment="1">
      <alignment horizontal="center" vertical="center"/>
    </xf>
    <xf numFmtId="2" fontId="21678" fillId="8" borderId="1" xfId="0" applyNumberFormat="1" applyFont="1" applyFill="1" applyBorder="1" applyAlignment="1">
      <alignment horizontal="center" vertical="center"/>
    </xf>
    <xf numFmtId="2" fontId="21679" fillId="8" borderId="1" xfId="0" applyNumberFormat="1" applyFont="1" applyFill="1" applyBorder="1" applyAlignment="1">
      <alignment horizontal="center" vertical="center"/>
    </xf>
    <xf numFmtId="2" fontId="21680" fillId="8" borderId="1" xfId="0" applyNumberFormat="1" applyFont="1" applyFill="1" applyBorder="1" applyAlignment="1">
      <alignment horizontal="center" vertical="center"/>
    </xf>
    <xf numFmtId="2" fontId="21681" fillId="8" borderId="1" xfId="0" applyNumberFormat="1" applyFont="1" applyFill="1" applyBorder="1" applyAlignment="1">
      <alignment horizontal="center" vertical="center"/>
    </xf>
    <xf numFmtId="2" fontId="21682" fillId="8" borderId="1" xfId="0" applyNumberFormat="1" applyFont="1" applyFill="1" applyBorder="1" applyAlignment="1">
      <alignment horizontal="center" vertical="center"/>
    </xf>
    <xf numFmtId="2" fontId="21683" fillId="8" borderId="1" xfId="0" applyNumberFormat="1" applyFont="1" applyFill="1" applyBorder="1" applyAlignment="1">
      <alignment horizontal="center" vertical="center"/>
    </xf>
    <xf numFmtId="2" fontId="21684" fillId="8" borderId="1" xfId="0" applyNumberFormat="1" applyFont="1" applyFill="1" applyBorder="1" applyAlignment="1">
      <alignment horizontal="center" vertical="center"/>
    </xf>
    <xf numFmtId="0" fontId="21685" fillId="7" borderId="1" xfId="0" applyNumberFormat="1" applyFont="1" applyFill="1" applyBorder="1" applyAlignment="1">
      <alignment horizontal="left" vertical="center"/>
    </xf>
    <xf numFmtId="0" fontId="21686" fillId="8" borderId="1" xfId="0" applyNumberFormat="1" applyFont="1" applyFill="1" applyBorder="1" applyAlignment="1">
      <alignment horizontal="center" vertical="center"/>
    </xf>
    <xf numFmtId="164" fontId="21687" fillId="8" borderId="1" xfId="0" applyNumberFormat="1" applyFont="1" applyFill="1" applyBorder="1" applyAlignment="1">
      <alignment horizontal="center" vertical="center"/>
    </xf>
    <xf numFmtId="1" fontId="21688" fillId="8" borderId="1" xfId="0" applyNumberFormat="1" applyFont="1" applyFill="1" applyBorder="1" applyAlignment="1">
      <alignment horizontal="center" vertical="center"/>
    </xf>
    <xf numFmtId="1" fontId="21689" fillId="8" borderId="1" xfId="0" applyNumberFormat="1" applyFont="1" applyFill="1" applyBorder="1" applyAlignment="1">
      <alignment horizontal="center" vertical="center"/>
    </xf>
    <xf numFmtId="1" fontId="21690" fillId="8" borderId="1" xfId="0" applyNumberFormat="1" applyFont="1" applyFill="1" applyBorder="1" applyAlignment="1">
      <alignment horizontal="center" vertical="center"/>
    </xf>
    <xf numFmtId="1" fontId="21691" fillId="8" borderId="1" xfId="0" applyNumberFormat="1" applyFont="1" applyFill="1" applyBorder="1" applyAlignment="1">
      <alignment horizontal="center" vertical="center"/>
    </xf>
    <xf numFmtId="1" fontId="21692" fillId="8" borderId="1" xfId="0" applyNumberFormat="1" applyFont="1" applyFill="1" applyBorder="1" applyAlignment="1">
      <alignment horizontal="center" vertical="center"/>
    </xf>
    <xf numFmtId="1" fontId="21693" fillId="8" borderId="1" xfId="0" applyNumberFormat="1" applyFont="1" applyFill="1" applyBorder="1" applyAlignment="1">
      <alignment horizontal="center" vertical="center"/>
    </xf>
    <xf numFmtId="1" fontId="21694" fillId="8" borderId="1" xfId="0" applyNumberFormat="1" applyFont="1" applyFill="1" applyBorder="1" applyAlignment="1">
      <alignment horizontal="center" vertical="center"/>
    </xf>
    <xf numFmtId="0" fontId="21695" fillId="8" borderId="1" xfId="0" applyNumberFormat="1" applyFont="1" applyFill="1" applyBorder="1" applyAlignment="1">
      <alignment horizontal="center" vertical="center"/>
    </xf>
    <xf numFmtId="0" fontId="21696" fillId="8" borderId="1" xfId="0" applyNumberFormat="1" applyFont="1" applyFill="1" applyBorder="1" applyAlignment="1">
      <alignment horizontal="center" vertical="center"/>
    </xf>
    <xf numFmtId="1" fontId="21697" fillId="8" borderId="1" xfId="0" applyNumberFormat="1" applyFont="1" applyFill="1" applyBorder="1" applyAlignment="1">
      <alignment horizontal="center" vertical="center"/>
    </xf>
    <xf numFmtId="1" fontId="21698" fillId="8" borderId="1" xfId="0" applyNumberFormat="1" applyFont="1" applyFill="1" applyBorder="1" applyAlignment="1">
      <alignment horizontal="center" vertical="center"/>
    </xf>
    <xf numFmtId="1" fontId="21699" fillId="8" borderId="1" xfId="0" applyNumberFormat="1" applyFont="1" applyFill="1" applyBorder="1" applyAlignment="1">
      <alignment horizontal="center" vertical="center"/>
    </xf>
    <xf numFmtId="165" fontId="21700" fillId="8" borderId="1" xfId="0" applyNumberFormat="1" applyFont="1" applyFill="1" applyBorder="1" applyAlignment="1">
      <alignment horizontal="center" vertical="center"/>
    </xf>
    <xf numFmtId="1" fontId="21701" fillId="8" borderId="1" xfId="0" applyNumberFormat="1" applyFont="1" applyFill="1" applyBorder="1" applyAlignment="1">
      <alignment horizontal="center" vertical="center"/>
    </xf>
    <xf numFmtId="165" fontId="21702" fillId="8" borderId="1" xfId="0" applyNumberFormat="1" applyFont="1" applyFill="1" applyBorder="1" applyAlignment="1">
      <alignment horizontal="center" vertical="center"/>
    </xf>
    <xf numFmtId="1" fontId="21703" fillId="8" borderId="1" xfId="0" applyNumberFormat="1" applyFont="1" applyFill="1" applyBorder="1" applyAlignment="1">
      <alignment horizontal="center" vertical="center"/>
    </xf>
    <xf numFmtId="165" fontId="21704" fillId="8" borderId="1" xfId="0" applyNumberFormat="1" applyFont="1" applyFill="1" applyBorder="1" applyAlignment="1">
      <alignment horizontal="center" vertical="center"/>
    </xf>
    <xf numFmtId="1" fontId="21705" fillId="8" borderId="1" xfId="0" applyNumberFormat="1" applyFont="1" applyFill="1" applyBorder="1" applyAlignment="1">
      <alignment horizontal="center" vertical="center"/>
    </xf>
    <xf numFmtId="165" fontId="21706" fillId="8" borderId="1" xfId="0" applyNumberFormat="1" applyFont="1" applyFill="1" applyBorder="1" applyAlignment="1">
      <alignment horizontal="center" vertical="center"/>
    </xf>
    <xf numFmtId="165" fontId="21707" fillId="8" borderId="1" xfId="0" applyNumberFormat="1" applyFont="1" applyFill="1" applyBorder="1" applyAlignment="1">
      <alignment horizontal="center" vertical="center"/>
    </xf>
    <xf numFmtId="1" fontId="21708" fillId="8" borderId="1" xfId="0" applyNumberFormat="1" applyFont="1" applyFill="1" applyBorder="1" applyAlignment="1">
      <alignment horizontal="center" vertical="center"/>
    </xf>
    <xf numFmtId="1" fontId="21709" fillId="8" borderId="1" xfId="0" applyNumberFormat="1" applyFont="1" applyFill="1" applyBorder="1" applyAlignment="1">
      <alignment horizontal="center" vertical="center"/>
    </xf>
    <xf numFmtId="1" fontId="21710" fillId="8" borderId="1" xfId="0" applyNumberFormat="1" applyFont="1" applyFill="1" applyBorder="1" applyAlignment="1">
      <alignment horizontal="center" vertical="center"/>
    </xf>
    <xf numFmtId="165" fontId="21711" fillId="8" borderId="1" xfId="0" applyNumberFormat="1" applyFont="1" applyFill="1" applyBorder="1" applyAlignment="1">
      <alignment horizontal="center" vertical="center"/>
    </xf>
    <xf numFmtId="164" fontId="21712" fillId="8" borderId="1" xfId="0" applyNumberFormat="1" applyFont="1" applyFill="1" applyBorder="1" applyAlignment="1">
      <alignment horizontal="center" vertical="center"/>
    </xf>
    <xf numFmtId="164" fontId="21713" fillId="8" borderId="1" xfId="0" applyNumberFormat="1" applyFont="1" applyFill="1" applyBorder="1" applyAlignment="1">
      <alignment horizontal="center" vertical="center"/>
    </xf>
    <xf numFmtId="1" fontId="21714" fillId="8" borderId="1" xfId="0" applyNumberFormat="1" applyFont="1" applyFill="1" applyBorder="1" applyAlignment="1">
      <alignment horizontal="center" vertical="center"/>
    </xf>
    <xf numFmtId="1" fontId="21715" fillId="8" borderId="1" xfId="0" applyNumberFormat="1" applyFont="1" applyFill="1" applyBorder="1" applyAlignment="1">
      <alignment horizontal="center" vertical="center"/>
    </xf>
    <xf numFmtId="1" fontId="21716" fillId="8" borderId="1" xfId="0" applyNumberFormat="1" applyFont="1" applyFill="1" applyBorder="1" applyAlignment="1">
      <alignment horizontal="center" vertical="center"/>
    </xf>
    <xf numFmtId="165" fontId="21717" fillId="8" borderId="1" xfId="0" applyNumberFormat="1" applyFont="1" applyFill="1" applyBorder="1" applyAlignment="1">
      <alignment horizontal="center" vertical="center"/>
    </xf>
    <xf numFmtId="1" fontId="21718" fillId="8" borderId="1" xfId="0" applyNumberFormat="1" applyFont="1" applyFill="1" applyBorder="1" applyAlignment="1">
      <alignment horizontal="center" vertical="center"/>
    </xf>
    <xf numFmtId="165" fontId="21719" fillId="8" borderId="1" xfId="0" applyNumberFormat="1" applyFont="1" applyFill="1" applyBorder="1" applyAlignment="1">
      <alignment horizontal="center" vertical="center"/>
    </xf>
    <xf numFmtId="1" fontId="21720" fillId="8" borderId="1" xfId="0" applyNumberFormat="1" applyFont="1" applyFill="1" applyBorder="1" applyAlignment="1">
      <alignment horizontal="center" vertical="center"/>
    </xf>
    <xf numFmtId="1" fontId="21721" fillId="8" borderId="1" xfId="0" applyNumberFormat="1" applyFont="1" applyFill="1" applyBorder="1" applyAlignment="1">
      <alignment horizontal="center" vertical="center"/>
    </xf>
    <xf numFmtId="1" fontId="21722" fillId="8" borderId="1" xfId="0" applyNumberFormat="1" applyFont="1" applyFill="1" applyBorder="1" applyAlignment="1">
      <alignment horizontal="center" vertical="center"/>
    </xf>
    <xf numFmtId="1" fontId="21723" fillId="8" borderId="1" xfId="0" applyNumberFormat="1" applyFont="1" applyFill="1" applyBorder="1" applyAlignment="1">
      <alignment horizontal="center" vertical="center"/>
    </xf>
    <xf numFmtId="165" fontId="21724" fillId="8" borderId="1" xfId="0" applyNumberFormat="1" applyFont="1" applyFill="1" applyBorder="1" applyAlignment="1">
      <alignment horizontal="center" vertical="center"/>
    </xf>
    <xf numFmtId="1" fontId="21725" fillId="8" borderId="1" xfId="0" applyNumberFormat="1" applyFont="1" applyFill="1" applyBorder="1" applyAlignment="1">
      <alignment horizontal="center" vertical="center"/>
    </xf>
    <xf numFmtId="165" fontId="21726" fillId="8" borderId="1" xfId="0" applyNumberFormat="1" applyFont="1" applyFill="1" applyBorder="1" applyAlignment="1">
      <alignment horizontal="center" vertical="center"/>
    </xf>
    <xf numFmtId="1" fontId="21727" fillId="8" borderId="1" xfId="0" applyNumberFormat="1" applyFont="1" applyFill="1" applyBorder="1" applyAlignment="1">
      <alignment horizontal="center" vertical="center"/>
    </xf>
    <xf numFmtId="165" fontId="21728" fillId="8" borderId="1" xfId="0" applyNumberFormat="1" applyFont="1" applyFill="1" applyBorder="1" applyAlignment="1">
      <alignment horizontal="center" vertical="center"/>
    </xf>
    <xf numFmtId="2" fontId="21729" fillId="8" borderId="1" xfId="0" applyNumberFormat="1" applyFont="1" applyFill="1" applyBorder="1" applyAlignment="1">
      <alignment horizontal="center" vertical="center"/>
    </xf>
    <xf numFmtId="2" fontId="21730" fillId="8" borderId="1" xfId="0" applyNumberFormat="1" applyFont="1" applyFill="1" applyBorder="1" applyAlignment="1">
      <alignment horizontal="center" vertical="center"/>
    </xf>
    <xf numFmtId="2" fontId="21731" fillId="8" borderId="1" xfId="0" applyNumberFormat="1" applyFont="1" applyFill="1" applyBorder="1" applyAlignment="1">
      <alignment horizontal="center" vertical="center"/>
    </xf>
    <xf numFmtId="2" fontId="21732" fillId="8" borderId="1" xfId="0" applyNumberFormat="1" applyFont="1" applyFill="1" applyBorder="1" applyAlignment="1">
      <alignment horizontal="center" vertical="center"/>
    </xf>
    <xf numFmtId="2" fontId="21733" fillId="8" borderId="1" xfId="0" applyNumberFormat="1" applyFont="1" applyFill="1" applyBorder="1" applyAlignment="1">
      <alignment horizontal="center" vertical="center"/>
    </xf>
    <xf numFmtId="2" fontId="21734" fillId="8" borderId="1" xfId="0" applyNumberFormat="1" applyFont="1" applyFill="1" applyBorder="1" applyAlignment="1">
      <alignment horizontal="center" vertical="center"/>
    </xf>
    <xf numFmtId="2" fontId="21735" fillId="8" borderId="1" xfId="0" applyNumberFormat="1" applyFont="1" applyFill="1" applyBorder="1" applyAlignment="1">
      <alignment horizontal="center" vertical="center"/>
    </xf>
    <xf numFmtId="2" fontId="21736" fillId="8" borderId="1" xfId="0" applyNumberFormat="1" applyFont="1" applyFill="1" applyBorder="1" applyAlignment="1">
      <alignment horizontal="center" vertical="center"/>
    </xf>
    <xf numFmtId="2" fontId="21737" fillId="8" borderId="1" xfId="0" applyNumberFormat="1" applyFont="1" applyFill="1" applyBorder="1" applyAlignment="1">
      <alignment horizontal="center" vertical="center"/>
    </xf>
    <xf numFmtId="2" fontId="21738" fillId="8" borderId="1" xfId="0" applyNumberFormat="1" applyFont="1" applyFill="1" applyBorder="1" applyAlignment="1">
      <alignment horizontal="center" vertical="center"/>
    </xf>
    <xf numFmtId="2" fontId="21739" fillId="8" borderId="1" xfId="0" applyNumberFormat="1" applyFont="1" applyFill="1" applyBorder="1" applyAlignment="1">
      <alignment horizontal="center" vertical="center"/>
    </xf>
    <xf numFmtId="2" fontId="21740" fillId="8" borderId="1" xfId="0" applyNumberFormat="1" applyFont="1" applyFill="1" applyBorder="1" applyAlignment="1">
      <alignment horizontal="center" vertical="center"/>
    </xf>
    <xf numFmtId="2" fontId="21741" fillId="8" borderId="1" xfId="0" applyNumberFormat="1" applyFont="1" applyFill="1" applyBorder="1" applyAlignment="1">
      <alignment horizontal="center" vertical="center"/>
    </xf>
    <xf numFmtId="2" fontId="21742" fillId="8" borderId="1" xfId="0" applyNumberFormat="1" applyFont="1" applyFill="1" applyBorder="1" applyAlignment="1">
      <alignment horizontal="center" vertical="center"/>
    </xf>
    <xf numFmtId="2" fontId="21743" fillId="8" borderId="1" xfId="0" applyNumberFormat="1" applyFont="1" applyFill="1" applyBorder="1" applyAlignment="1">
      <alignment horizontal="center" vertical="center"/>
    </xf>
    <xf numFmtId="2" fontId="21744" fillId="8" borderId="1" xfId="0" applyNumberFormat="1" applyFont="1" applyFill="1" applyBorder="1" applyAlignment="1">
      <alignment horizontal="center" vertical="center"/>
    </xf>
    <xf numFmtId="2" fontId="21745" fillId="8" borderId="1" xfId="0" applyNumberFormat="1" applyFont="1" applyFill="1" applyBorder="1" applyAlignment="1">
      <alignment horizontal="center" vertical="center"/>
    </xf>
    <xf numFmtId="2" fontId="21746" fillId="8" borderId="1" xfId="0" applyNumberFormat="1" applyFont="1" applyFill="1" applyBorder="1" applyAlignment="1">
      <alignment horizontal="center" vertical="center"/>
    </xf>
    <xf numFmtId="2" fontId="21747" fillId="8" borderId="1" xfId="0" applyNumberFormat="1" applyFont="1" applyFill="1" applyBorder="1" applyAlignment="1">
      <alignment horizontal="center" vertical="center"/>
    </xf>
    <xf numFmtId="2" fontId="21748" fillId="8" borderId="1" xfId="0" applyNumberFormat="1" applyFont="1" applyFill="1" applyBorder="1" applyAlignment="1">
      <alignment horizontal="center" vertical="center"/>
    </xf>
    <xf numFmtId="2" fontId="21749" fillId="8" borderId="1" xfId="0" applyNumberFormat="1" applyFont="1" applyFill="1" applyBorder="1" applyAlignment="1">
      <alignment horizontal="center" vertical="center"/>
    </xf>
    <xf numFmtId="2" fontId="21750" fillId="8" borderId="1" xfId="0" applyNumberFormat="1" applyFont="1" applyFill="1" applyBorder="1" applyAlignment="1">
      <alignment horizontal="center" vertical="center"/>
    </xf>
    <xf numFmtId="2" fontId="21751" fillId="8" borderId="1" xfId="0" applyNumberFormat="1" applyFont="1" applyFill="1" applyBorder="1" applyAlignment="1">
      <alignment horizontal="center" vertical="center"/>
    </xf>
    <xf numFmtId="2" fontId="21752" fillId="8" borderId="1" xfId="0" applyNumberFormat="1" applyFont="1" applyFill="1" applyBorder="1" applyAlignment="1">
      <alignment horizontal="center" vertical="center"/>
    </xf>
    <xf numFmtId="2" fontId="21753" fillId="8" borderId="1" xfId="0" applyNumberFormat="1" applyFont="1" applyFill="1" applyBorder="1" applyAlignment="1">
      <alignment horizontal="center" vertical="center"/>
    </xf>
    <xf numFmtId="2" fontId="21754" fillId="8" borderId="1" xfId="0" applyNumberFormat="1" applyFont="1" applyFill="1" applyBorder="1" applyAlignment="1">
      <alignment horizontal="center" vertical="center"/>
    </xf>
    <xf numFmtId="2" fontId="21755" fillId="8" borderId="1" xfId="0" applyNumberFormat="1" applyFont="1" applyFill="1" applyBorder="1" applyAlignment="1">
      <alignment horizontal="center" vertical="center"/>
    </xf>
    <xf numFmtId="2" fontId="21756" fillId="8" borderId="1" xfId="0" applyNumberFormat="1" applyFont="1" applyFill="1" applyBorder="1" applyAlignment="1">
      <alignment horizontal="center" vertical="center"/>
    </xf>
    <xf numFmtId="2" fontId="21757" fillId="8" borderId="1" xfId="0" applyNumberFormat="1" applyFont="1" applyFill="1" applyBorder="1" applyAlignment="1">
      <alignment horizontal="center" vertical="center"/>
    </xf>
    <xf numFmtId="2" fontId="21758" fillId="8" borderId="1" xfId="0" applyNumberFormat="1" applyFont="1" applyFill="1" applyBorder="1" applyAlignment="1">
      <alignment horizontal="center" vertical="center"/>
    </xf>
    <xf numFmtId="2" fontId="21759" fillId="8" borderId="1" xfId="0" applyNumberFormat="1" applyFont="1" applyFill="1" applyBorder="1" applyAlignment="1">
      <alignment horizontal="center" vertical="center"/>
    </xf>
    <xf numFmtId="2" fontId="21760" fillId="8" borderId="1" xfId="0" applyNumberFormat="1" applyFont="1" applyFill="1" applyBorder="1" applyAlignment="1">
      <alignment horizontal="center" vertical="center"/>
    </xf>
    <xf numFmtId="2" fontId="21761" fillId="8" borderId="1" xfId="0" applyNumberFormat="1" applyFont="1" applyFill="1" applyBorder="1" applyAlignment="1">
      <alignment horizontal="center" vertical="center"/>
    </xf>
    <xf numFmtId="2" fontId="21762" fillId="8" borderId="1" xfId="0" applyNumberFormat="1" applyFont="1" applyFill="1" applyBorder="1" applyAlignment="1">
      <alignment horizontal="center" vertical="center"/>
    </xf>
    <xf numFmtId="0" fontId="21763" fillId="7" borderId="1" xfId="0" applyNumberFormat="1" applyFont="1" applyFill="1" applyBorder="1" applyAlignment="1">
      <alignment horizontal="left" vertical="center"/>
    </xf>
    <xf numFmtId="0" fontId="21764" fillId="8" borderId="1" xfId="0" applyNumberFormat="1" applyFont="1" applyFill="1" applyBorder="1" applyAlignment="1">
      <alignment horizontal="center" vertical="center"/>
    </xf>
    <xf numFmtId="164" fontId="21765" fillId="8" borderId="1" xfId="0" applyNumberFormat="1" applyFont="1" applyFill="1" applyBorder="1" applyAlignment="1">
      <alignment horizontal="center" vertical="center"/>
    </xf>
    <xf numFmtId="1" fontId="21766" fillId="8" borderId="1" xfId="0" applyNumberFormat="1" applyFont="1" applyFill="1" applyBorder="1" applyAlignment="1">
      <alignment horizontal="center" vertical="center"/>
    </xf>
    <xf numFmtId="1" fontId="21767" fillId="8" borderId="1" xfId="0" applyNumberFormat="1" applyFont="1" applyFill="1" applyBorder="1" applyAlignment="1">
      <alignment horizontal="center" vertical="center"/>
    </xf>
    <xf numFmtId="1" fontId="21768" fillId="8" borderId="1" xfId="0" applyNumberFormat="1" applyFont="1" applyFill="1" applyBorder="1" applyAlignment="1">
      <alignment horizontal="center" vertical="center"/>
    </xf>
    <xf numFmtId="1" fontId="21769" fillId="8" borderId="1" xfId="0" applyNumberFormat="1" applyFont="1" applyFill="1" applyBorder="1" applyAlignment="1">
      <alignment horizontal="center" vertical="center"/>
    </xf>
    <xf numFmtId="1" fontId="21770" fillId="8" borderId="1" xfId="0" applyNumberFormat="1" applyFont="1" applyFill="1" applyBorder="1" applyAlignment="1">
      <alignment horizontal="center" vertical="center"/>
    </xf>
    <xf numFmtId="1" fontId="21771" fillId="8" borderId="1" xfId="0" applyNumberFormat="1" applyFont="1" applyFill="1" applyBorder="1" applyAlignment="1">
      <alignment horizontal="center" vertical="center"/>
    </xf>
    <xf numFmtId="1" fontId="21772" fillId="8" borderId="1" xfId="0" applyNumberFormat="1" applyFont="1" applyFill="1" applyBorder="1" applyAlignment="1">
      <alignment horizontal="center" vertical="center"/>
    </xf>
    <xf numFmtId="0" fontId="21773" fillId="8" borderId="1" xfId="0" applyNumberFormat="1" applyFont="1" applyFill="1" applyBorder="1" applyAlignment="1">
      <alignment horizontal="center" vertical="center"/>
    </xf>
    <xf numFmtId="0" fontId="21774" fillId="8" borderId="1" xfId="0" applyNumberFormat="1" applyFont="1" applyFill="1" applyBorder="1" applyAlignment="1">
      <alignment horizontal="center" vertical="center"/>
    </xf>
    <xf numFmtId="1" fontId="21775" fillId="8" borderId="1" xfId="0" applyNumberFormat="1" applyFont="1" applyFill="1" applyBorder="1" applyAlignment="1">
      <alignment horizontal="center" vertical="center"/>
    </xf>
    <xf numFmtId="1" fontId="21776" fillId="8" borderId="1" xfId="0" applyNumberFormat="1" applyFont="1" applyFill="1" applyBorder="1" applyAlignment="1">
      <alignment horizontal="center" vertical="center"/>
    </xf>
    <xf numFmtId="1" fontId="21777" fillId="8" borderId="1" xfId="0" applyNumberFormat="1" applyFont="1" applyFill="1" applyBorder="1" applyAlignment="1">
      <alignment horizontal="center" vertical="center"/>
    </xf>
    <xf numFmtId="165" fontId="21778" fillId="8" borderId="1" xfId="0" applyNumberFormat="1" applyFont="1" applyFill="1" applyBorder="1" applyAlignment="1">
      <alignment horizontal="center" vertical="center"/>
    </xf>
    <xf numFmtId="1" fontId="21779" fillId="8" borderId="1" xfId="0" applyNumberFormat="1" applyFont="1" applyFill="1" applyBorder="1" applyAlignment="1">
      <alignment horizontal="center" vertical="center"/>
    </xf>
    <xf numFmtId="165" fontId="21780" fillId="8" borderId="1" xfId="0" applyNumberFormat="1" applyFont="1" applyFill="1" applyBorder="1" applyAlignment="1">
      <alignment horizontal="center" vertical="center"/>
    </xf>
    <xf numFmtId="1" fontId="21781" fillId="8" borderId="1" xfId="0" applyNumberFormat="1" applyFont="1" applyFill="1" applyBorder="1" applyAlignment="1">
      <alignment horizontal="center" vertical="center"/>
    </xf>
    <xf numFmtId="165" fontId="21782" fillId="8" borderId="1" xfId="0" applyNumberFormat="1" applyFont="1" applyFill="1" applyBorder="1" applyAlignment="1">
      <alignment horizontal="center" vertical="center"/>
    </xf>
    <xf numFmtId="1" fontId="21783" fillId="8" borderId="1" xfId="0" applyNumberFormat="1" applyFont="1" applyFill="1" applyBorder="1" applyAlignment="1">
      <alignment horizontal="center" vertical="center"/>
    </xf>
    <xf numFmtId="165" fontId="21784" fillId="8" borderId="1" xfId="0" applyNumberFormat="1" applyFont="1" applyFill="1" applyBorder="1" applyAlignment="1">
      <alignment horizontal="center" vertical="center"/>
    </xf>
    <xf numFmtId="165" fontId="21785" fillId="8" borderId="1" xfId="0" applyNumberFormat="1" applyFont="1" applyFill="1" applyBorder="1" applyAlignment="1">
      <alignment horizontal="center" vertical="center"/>
    </xf>
    <xf numFmtId="1" fontId="21786" fillId="8" borderId="1" xfId="0" applyNumberFormat="1" applyFont="1" applyFill="1" applyBorder="1" applyAlignment="1">
      <alignment horizontal="center" vertical="center"/>
    </xf>
    <xf numFmtId="1" fontId="21787" fillId="8" borderId="1" xfId="0" applyNumberFormat="1" applyFont="1" applyFill="1" applyBorder="1" applyAlignment="1">
      <alignment horizontal="center" vertical="center"/>
    </xf>
    <xf numFmtId="1" fontId="21788" fillId="8" borderId="1" xfId="0" applyNumberFormat="1" applyFont="1" applyFill="1" applyBorder="1" applyAlignment="1">
      <alignment horizontal="center" vertical="center"/>
    </xf>
    <xf numFmtId="165" fontId="21789" fillId="8" borderId="1" xfId="0" applyNumberFormat="1" applyFont="1" applyFill="1" applyBorder="1" applyAlignment="1">
      <alignment horizontal="center" vertical="center"/>
    </xf>
    <xf numFmtId="164" fontId="21790" fillId="8" borderId="1" xfId="0" applyNumberFormat="1" applyFont="1" applyFill="1" applyBorder="1" applyAlignment="1">
      <alignment horizontal="center" vertical="center"/>
    </xf>
    <xf numFmtId="164" fontId="21791" fillId="8" borderId="1" xfId="0" applyNumberFormat="1" applyFont="1" applyFill="1" applyBorder="1" applyAlignment="1">
      <alignment horizontal="center" vertical="center"/>
    </xf>
    <xf numFmtId="1" fontId="21792" fillId="8" borderId="1" xfId="0" applyNumberFormat="1" applyFont="1" applyFill="1" applyBorder="1" applyAlignment="1">
      <alignment horizontal="center" vertical="center"/>
    </xf>
    <xf numFmtId="1" fontId="21793" fillId="8" borderId="1" xfId="0" applyNumberFormat="1" applyFont="1" applyFill="1" applyBorder="1" applyAlignment="1">
      <alignment horizontal="center" vertical="center"/>
    </xf>
    <xf numFmtId="1" fontId="21794" fillId="8" borderId="1" xfId="0" applyNumberFormat="1" applyFont="1" applyFill="1" applyBorder="1" applyAlignment="1">
      <alignment horizontal="center" vertical="center"/>
    </xf>
    <xf numFmtId="165" fontId="21795" fillId="8" borderId="1" xfId="0" applyNumberFormat="1" applyFont="1" applyFill="1" applyBorder="1" applyAlignment="1">
      <alignment horizontal="center" vertical="center"/>
    </xf>
    <xf numFmtId="1" fontId="21796" fillId="8" borderId="1" xfId="0" applyNumberFormat="1" applyFont="1" applyFill="1" applyBorder="1" applyAlignment="1">
      <alignment horizontal="center" vertical="center"/>
    </xf>
    <xf numFmtId="165" fontId="21797" fillId="8" borderId="1" xfId="0" applyNumberFormat="1" applyFont="1" applyFill="1" applyBorder="1" applyAlignment="1">
      <alignment horizontal="center" vertical="center"/>
    </xf>
    <xf numFmtId="1" fontId="21798" fillId="8" borderId="1" xfId="0" applyNumberFormat="1" applyFont="1" applyFill="1" applyBorder="1" applyAlignment="1">
      <alignment horizontal="center" vertical="center"/>
    </xf>
    <xf numFmtId="1" fontId="21799" fillId="8" borderId="1" xfId="0" applyNumberFormat="1" applyFont="1" applyFill="1" applyBorder="1" applyAlignment="1">
      <alignment horizontal="center" vertical="center"/>
    </xf>
    <xf numFmtId="1" fontId="21800" fillId="8" borderId="1" xfId="0" applyNumberFormat="1" applyFont="1" applyFill="1" applyBorder="1" applyAlignment="1">
      <alignment horizontal="center" vertical="center"/>
    </xf>
    <xf numFmtId="1" fontId="21801" fillId="8" borderId="1" xfId="0" applyNumberFormat="1" applyFont="1" applyFill="1" applyBorder="1" applyAlignment="1">
      <alignment horizontal="center" vertical="center"/>
    </xf>
    <xf numFmtId="165" fontId="21802" fillId="8" borderId="1" xfId="0" applyNumberFormat="1" applyFont="1" applyFill="1" applyBorder="1" applyAlignment="1">
      <alignment horizontal="center" vertical="center"/>
    </xf>
    <xf numFmtId="1" fontId="21803" fillId="8" borderId="1" xfId="0" applyNumberFormat="1" applyFont="1" applyFill="1" applyBorder="1" applyAlignment="1">
      <alignment horizontal="center" vertical="center"/>
    </xf>
    <xf numFmtId="165" fontId="21804" fillId="8" borderId="1" xfId="0" applyNumberFormat="1" applyFont="1" applyFill="1" applyBorder="1" applyAlignment="1">
      <alignment horizontal="center" vertical="center"/>
    </xf>
    <xf numFmtId="1" fontId="21805" fillId="8" borderId="1" xfId="0" applyNumberFormat="1" applyFont="1" applyFill="1" applyBorder="1" applyAlignment="1">
      <alignment horizontal="center" vertical="center"/>
    </xf>
    <xf numFmtId="165" fontId="21806" fillId="8" borderId="1" xfId="0" applyNumberFormat="1" applyFont="1" applyFill="1" applyBorder="1" applyAlignment="1">
      <alignment horizontal="center" vertical="center"/>
    </xf>
    <xf numFmtId="2" fontId="21807" fillId="8" borderId="1" xfId="0" applyNumberFormat="1" applyFont="1" applyFill="1" applyBorder="1" applyAlignment="1">
      <alignment horizontal="center" vertical="center"/>
    </xf>
    <xf numFmtId="2" fontId="21808" fillId="8" borderId="1" xfId="0" applyNumberFormat="1" applyFont="1" applyFill="1" applyBorder="1" applyAlignment="1">
      <alignment horizontal="center" vertical="center"/>
    </xf>
    <xf numFmtId="2" fontId="21809" fillId="8" borderId="1" xfId="0" applyNumberFormat="1" applyFont="1" applyFill="1" applyBorder="1" applyAlignment="1">
      <alignment horizontal="center" vertical="center"/>
    </xf>
    <xf numFmtId="2" fontId="21810" fillId="8" borderId="1" xfId="0" applyNumberFormat="1" applyFont="1" applyFill="1" applyBorder="1" applyAlignment="1">
      <alignment horizontal="center" vertical="center"/>
    </xf>
    <xf numFmtId="2" fontId="21811" fillId="8" borderId="1" xfId="0" applyNumberFormat="1" applyFont="1" applyFill="1" applyBorder="1" applyAlignment="1">
      <alignment horizontal="center" vertical="center"/>
    </xf>
    <xf numFmtId="2" fontId="21812" fillId="8" borderId="1" xfId="0" applyNumberFormat="1" applyFont="1" applyFill="1" applyBorder="1" applyAlignment="1">
      <alignment horizontal="center" vertical="center"/>
    </xf>
    <xf numFmtId="2" fontId="21813" fillId="8" borderId="1" xfId="0" applyNumberFormat="1" applyFont="1" applyFill="1" applyBorder="1" applyAlignment="1">
      <alignment horizontal="center" vertical="center"/>
    </xf>
    <xf numFmtId="2" fontId="21814" fillId="8" borderId="1" xfId="0" applyNumberFormat="1" applyFont="1" applyFill="1" applyBorder="1" applyAlignment="1">
      <alignment horizontal="center" vertical="center"/>
    </xf>
    <xf numFmtId="2" fontId="21815" fillId="8" borderId="1" xfId="0" applyNumberFormat="1" applyFont="1" applyFill="1" applyBorder="1" applyAlignment="1">
      <alignment horizontal="center" vertical="center"/>
    </xf>
    <xf numFmtId="2" fontId="21816" fillId="8" borderId="1" xfId="0" applyNumberFormat="1" applyFont="1" applyFill="1" applyBorder="1" applyAlignment="1">
      <alignment horizontal="center" vertical="center"/>
    </xf>
    <xf numFmtId="2" fontId="21817" fillId="8" borderId="1" xfId="0" applyNumberFormat="1" applyFont="1" applyFill="1" applyBorder="1" applyAlignment="1">
      <alignment horizontal="center" vertical="center"/>
    </xf>
    <xf numFmtId="2" fontId="21818" fillId="8" borderId="1" xfId="0" applyNumberFormat="1" applyFont="1" applyFill="1" applyBorder="1" applyAlignment="1">
      <alignment horizontal="center" vertical="center"/>
    </xf>
    <xf numFmtId="2" fontId="21819" fillId="8" borderId="1" xfId="0" applyNumberFormat="1" applyFont="1" applyFill="1" applyBorder="1" applyAlignment="1">
      <alignment horizontal="center" vertical="center"/>
    </xf>
    <xf numFmtId="2" fontId="21820" fillId="8" borderId="1" xfId="0" applyNumberFormat="1" applyFont="1" applyFill="1" applyBorder="1" applyAlignment="1">
      <alignment horizontal="center" vertical="center"/>
    </xf>
    <xf numFmtId="2" fontId="21821" fillId="8" borderId="1" xfId="0" applyNumberFormat="1" applyFont="1" applyFill="1" applyBorder="1" applyAlignment="1">
      <alignment horizontal="center" vertical="center"/>
    </xf>
    <xf numFmtId="2" fontId="21822" fillId="8" borderId="1" xfId="0" applyNumberFormat="1" applyFont="1" applyFill="1" applyBorder="1" applyAlignment="1">
      <alignment horizontal="center" vertical="center"/>
    </xf>
    <xf numFmtId="2" fontId="21823" fillId="8" borderId="1" xfId="0" applyNumberFormat="1" applyFont="1" applyFill="1" applyBorder="1" applyAlignment="1">
      <alignment horizontal="center" vertical="center"/>
    </xf>
    <xf numFmtId="2" fontId="21824" fillId="8" borderId="1" xfId="0" applyNumberFormat="1" applyFont="1" applyFill="1" applyBorder="1" applyAlignment="1">
      <alignment horizontal="center" vertical="center"/>
    </xf>
    <xf numFmtId="2" fontId="21825" fillId="8" borderId="1" xfId="0" applyNumberFormat="1" applyFont="1" applyFill="1" applyBorder="1" applyAlignment="1">
      <alignment horizontal="center" vertical="center"/>
    </xf>
    <xf numFmtId="2" fontId="21826" fillId="8" borderId="1" xfId="0" applyNumberFormat="1" applyFont="1" applyFill="1" applyBorder="1" applyAlignment="1">
      <alignment horizontal="center" vertical="center"/>
    </xf>
    <xf numFmtId="2" fontId="21827" fillId="8" borderId="1" xfId="0" applyNumberFormat="1" applyFont="1" applyFill="1" applyBorder="1" applyAlignment="1">
      <alignment horizontal="center" vertical="center"/>
    </xf>
    <xf numFmtId="2" fontId="21828" fillId="8" borderId="1" xfId="0" applyNumberFormat="1" applyFont="1" applyFill="1" applyBorder="1" applyAlignment="1">
      <alignment horizontal="center" vertical="center"/>
    </xf>
    <xf numFmtId="2" fontId="21829" fillId="8" borderId="1" xfId="0" applyNumberFormat="1" applyFont="1" applyFill="1" applyBorder="1" applyAlignment="1">
      <alignment horizontal="center" vertical="center"/>
    </xf>
    <xf numFmtId="2" fontId="21830" fillId="8" borderId="1" xfId="0" applyNumberFormat="1" applyFont="1" applyFill="1" applyBorder="1" applyAlignment="1">
      <alignment horizontal="center" vertical="center"/>
    </xf>
    <xf numFmtId="2" fontId="21831" fillId="8" borderId="1" xfId="0" applyNumberFormat="1" applyFont="1" applyFill="1" applyBorder="1" applyAlignment="1">
      <alignment horizontal="center" vertical="center"/>
    </xf>
    <xf numFmtId="2" fontId="21832" fillId="8" borderId="1" xfId="0" applyNumberFormat="1" applyFont="1" applyFill="1" applyBorder="1" applyAlignment="1">
      <alignment horizontal="center" vertical="center"/>
    </xf>
    <xf numFmtId="2" fontId="21833" fillId="8" borderId="1" xfId="0" applyNumberFormat="1" applyFont="1" applyFill="1" applyBorder="1" applyAlignment="1">
      <alignment horizontal="center" vertical="center"/>
    </xf>
    <xf numFmtId="2" fontId="21834" fillId="8" borderId="1" xfId="0" applyNumberFormat="1" applyFont="1" applyFill="1" applyBorder="1" applyAlignment="1">
      <alignment horizontal="center" vertical="center"/>
    </xf>
    <xf numFmtId="2" fontId="21835" fillId="8" borderId="1" xfId="0" applyNumberFormat="1" applyFont="1" applyFill="1" applyBorder="1" applyAlignment="1">
      <alignment horizontal="center" vertical="center"/>
    </xf>
    <xf numFmtId="2" fontId="21836" fillId="8" borderId="1" xfId="0" applyNumberFormat="1" applyFont="1" applyFill="1" applyBorder="1" applyAlignment="1">
      <alignment horizontal="center" vertical="center"/>
    </xf>
    <xf numFmtId="2" fontId="21837" fillId="8" borderId="1" xfId="0" applyNumberFormat="1" applyFont="1" applyFill="1" applyBorder="1" applyAlignment="1">
      <alignment horizontal="center" vertical="center"/>
    </xf>
    <xf numFmtId="2" fontId="21838" fillId="8" borderId="1" xfId="0" applyNumberFormat="1" applyFont="1" applyFill="1" applyBorder="1" applyAlignment="1">
      <alignment horizontal="center" vertical="center"/>
    </xf>
    <xf numFmtId="2" fontId="21839" fillId="8" borderId="1" xfId="0" applyNumberFormat="1" applyFont="1" applyFill="1" applyBorder="1" applyAlignment="1">
      <alignment horizontal="center" vertical="center"/>
    </xf>
    <xf numFmtId="2" fontId="21840" fillId="8" borderId="1" xfId="0" applyNumberFormat="1" applyFont="1" applyFill="1" applyBorder="1" applyAlignment="1">
      <alignment horizontal="center" vertical="center"/>
    </xf>
    <xf numFmtId="0" fontId="21841" fillId="7" borderId="1" xfId="0" applyNumberFormat="1" applyFont="1" applyFill="1" applyBorder="1" applyAlignment="1">
      <alignment horizontal="left" vertical="center"/>
    </xf>
    <xf numFmtId="0" fontId="21842" fillId="8" borderId="1" xfId="0" applyNumberFormat="1" applyFont="1" applyFill="1" applyBorder="1" applyAlignment="1">
      <alignment horizontal="center" vertical="center"/>
    </xf>
    <xf numFmtId="164" fontId="21843" fillId="8" borderId="1" xfId="0" applyNumberFormat="1" applyFont="1" applyFill="1" applyBorder="1" applyAlignment="1">
      <alignment horizontal="center" vertical="center"/>
    </xf>
    <xf numFmtId="1" fontId="21844" fillId="8" borderId="1" xfId="0" applyNumberFormat="1" applyFont="1" applyFill="1" applyBorder="1" applyAlignment="1">
      <alignment horizontal="center" vertical="center"/>
    </xf>
    <xf numFmtId="1" fontId="21845" fillId="8" borderId="1" xfId="0" applyNumberFormat="1" applyFont="1" applyFill="1" applyBorder="1" applyAlignment="1">
      <alignment horizontal="center" vertical="center"/>
    </xf>
    <xf numFmtId="1" fontId="21846" fillId="8" borderId="1" xfId="0" applyNumberFormat="1" applyFont="1" applyFill="1" applyBorder="1" applyAlignment="1">
      <alignment horizontal="center" vertical="center"/>
    </xf>
    <xf numFmtId="1" fontId="21847" fillId="8" borderId="1" xfId="0" applyNumberFormat="1" applyFont="1" applyFill="1" applyBorder="1" applyAlignment="1">
      <alignment horizontal="center" vertical="center"/>
    </xf>
    <xf numFmtId="1" fontId="21848" fillId="8" borderId="1" xfId="0" applyNumberFormat="1" applyFont="1" applyFill="1" applyBorder="1" applyAlignment="1">
      <alignment horizontal="center" vertical="center"/>
    </xf>
    <xf numFmtId="1" fontId="21849" fillId="8" borderId="1" xfId="0" applyNumberFormat="1" applyFont="1" applyFill="1" applyBorder="1" applyAlignment="1">
      <alignment horizontal="center" vertical="center"/>
    </xf>
    <xf numFmtId="1" fontId="21850" fillId="8" borderId="1" xfId="0" applyNumberFormat="1" applyFont="1" applyFill="1" applyBorder="1" applyAlignment="1">
      <alignment horizontal="center" vertical="center"/>
    </xf>
    <xf numFmtId="0" fontId="21851" fillId="8" borderId="1" xfId="0" applyNumberFormat="1" applyFont="1" applyFill="1" applyBorder="1" applyAlignment="1">
      <alignment horizontal="center" vertical="center"/>
    </xf>
    <xf numFmtId="0" fontId="21852" fillId="8" borderId="1" xfId="0" applyNumberFormat="1" applyFont="1" applyFill="1" applyBorder="1" applyAlignment="1">
      <alignment horizontal="center" vertical="center"/>
    </xf>
    <xf numFmtId="1" fontId="21853" fillId="8" borderId="1" xfId="0" applyNumberFormat="1" applyFont="1" applyFill="1" applyBorder="1" applyAlignment="1">
      <alignment horizontal="center" vertical="center"/>
    </xf>
    <xf numFmtId="1" fontId="21854" fillId="8" borderId="1" xfId="0" applyNumberFormat="1" applyFont="1" applyFill="1" applyBorder="1" applyAlignment="1">
      <alignment horizontal="center" vertical="center"/>
    </xf>
    <xf numFmtId="1" fontId="21855" fillId="8" borderId="1" xfId="0" applyNumberFormat="1" applyFont="1" applyFill="1" applyBorder="1" applyAlignment="1">
      <alignment horizontal="center" vertical="center"/>
    </xf>
    <xf numFmtId="165" fontId="21856" fillId="8" borderId="1" xfId="0" applyNumberFormat="1" applyFont="1" applyFill="1" applyBorder="1" applyAlignment="1">
      <alignment horizontal="center" vertical="center"/>
    </xf>
    <xf numFmtId="1" fontId="21857" fillId="8" borderId="1" xfId="0" applyNumberFormat="1" applyFont="1" applyFill="1" applyBorder="1" applyAlignment="1">
      <alignment horizontal="center" vertical="center"/>
    </xf>
    <xf numFmtId="165" fontId="21858" fillId="8" borderId="1" xfId="0" applyNumberFormat="1" applyFont="1" applyFill="1" applyBorder="1" applyAlignment="1">
      <alignment horizontal="center" vertical="center"/>
    </xf>
    <xf numFmtId="1" fontId="21859" fillId="8" borderId="1" xfId="0" applyNumberFormat="1" applyFont="1" applyFill="1" applyBorder="1" applyAlignment="1">
      <alignment horizontal="center" vertical="center"/>
    </xf>
    <xf numFmtId="165" fontId="21860" fillId="8" borderId="1" xfId="0" applyNumberFormat="1" applyFont="1" applyFill="1" applyBorder="1" applyAlignment="1">
      <alignment horizontal="center" vertical="center"/>
    </xf>
    <xf numFmtId="1" fontId="21861" fillId="8" borderId="1" xfId="0" applyNumberFormat="1" applyFont="1" applyFill="1" applyBorder="1" applyAlignment="1">
      <alignment horizontal="center" vertical="center"/>
    </xf>
    <xf numFmtId="165" fontId="21862" fillId="8" borderId="1" xfId="0" applyNumberFormat="1" applyFont="1" applyFill="1" applyBorder="1" applyAlignment="1">
      <alignment horizontal="center" vertical="center"/>
    </xf>
    <xf numFmtId="165" fontId="21863" fillId="8" borderId="1" xfId="0" applyNumberFormat="1" applyFont="1" applyFill="1" applyBorder="1" applyAlignment="1">
      <alignment horizontal="center" vertical="center"/>
    </xf>
    <xf numFmtId="1" fontId="21864" fillId="8" borderId="1" xfId="0" applyNumberFormat="1" applyFont="1" applyFill="1" applyBorder="1" applyAlignment="1">
      <alignment horizontal="center" vertical="center"/>
    </xf>
    <xf numFmtId="1" fontId="21865" fillId="8" borderId="1" xfId="0" applyNumberFormat="1" applyFont="1" applyFill="1" applyBorder="1" applyAlignment="1">
      <alignment horizontal="center" vertical="center"/>
    </xf>
    <xf numFmtId="1" fontId="21866" fillId="8" borderId="1" xfId="0" applyNumberFormat="1" applyFont="1" applyFill="1" applyBorder="1" applyAlignment="1">
      <alignment horizontal="center" vertical="center"/>
    </xf>
    <xf numFmtId="165" fontId="21867" fillId="8" borderId="1" xfId="0" applyNumberFormat="1" applyFont="1" applyFill="1" applyBorder="1" applyAlignment="1">
      <alignment horizontal="center" vertical="center"/>
    </xf>
    <xf numFmtId="164" fontId="21868" fillId="8" borderId="1" xfId="0" applyNumberFormat="1" applyFont="1" applyFill="1" applyBorder="1" applyAlignment="1">
      <alignment horizontal="center" vertical="center"/>
    </xf>
    <xf numFmtId="164" fontId="21869" fillId="8" borderId="1" xfId="0" applyNumberFormat="1" applyFont="1" applyFill="1" applyBorder="1" applyAlignment="1">
      <alignment horizontal="center" vertical="center"/>
    </xf>
    <xf numFmtId="1" fontId="21870" fillId="8" borderId="1" xfId="0" applyNumberFormat="1" applyFont="1" applyFill="1" applyBorder="1" applyAlignment="1">
      <alignment horizontal="center" vertical="center"/>
    </xf>
    <xf numFmtId="1" fontId="21871" fillId="8" borderId="1" xfId="0" applyNumberFormat="1" applyFont="1" applyFill="1" applyBorder="1" applyAlignment="1">
      <alignment horizontal="center" vertical="center"/>
    </xf>
    <xf numFmtId="1" fontId="21872" fillId="8" borderId="1" xfId="0" applyNumberFormat="1" applyFont="1" applyFill="1" applyBorder="1" applyAlignment="1">
      <alignment horizontal="center" vertical="center"/>
    </xf>
    <xf numFmtId="165" fontId="21873" fillId="8" borderId="1" xfId="0" applyNumberFormat="1" applyFont="1" applyFill="1" applyBorder="1" applyAlignment="1">
      <alignment horizontal="center" vertical="center"/>
    </xf>
    <xf numFmtId="1" fontId="21874" fillId="8" borderId="1" xfId="0" applyNumberFormat="1" applyFont="1" applyFill="1" applyBorder="1" applyAlignment="1">
      <alignment horizontal="center" vertical="center"/>
    </xf>
    <xf numFmtId="165" fontId="21875" fillId="8" borderId="1" xfId="0" applyNumberFormat="1" applyFont="1" applyFill="1" applyBorder="1" applyAlignment="1">
      <alignment horizontal="center" vertical="center"/>
    </xf>
    <xf numFmtId="1" fontId="21876" fillId="8" borderId="1" xfId="0" applyNumberFormat="1" applyFont="1" applyFill="1" applyBorder="1" applyAlignment="1">
      <alignment horizontal="center" vertical="center"/>
    </xf>
    <xf numFmtId="1" fontId="21877" fillId="8" borderId="1" xfId="0" applyNumberFormat="1" applyFont="1" applyFill="1" applyBorder="1" applyAlignment="1">
      <alignment horizontal="center" vertical="center"/>
    </xf>
    <xf numFmtId="1" fontId="21878" fillId="8" borderId="1" xfId="0" applyNumberFormat="1" applyFont="1" applyFill="1" applyBorder="1" applyAlignment="1">
      <alignment horizontal="center" vertical="center"/>
    </xf>
    <xf numFmtId="1" fontId="21879" fillId="8" borderId="1" xfId="0" applyNumberFormat="1" applyFont="1" applyFill="1" applyBorder="1" applyAlignment="1">
      <alignment horizontal="center" vertical="center"/>
    </xf>
    <xf numFmtId="165" fontId="21880" fillId="8" borderId="1" xfId="0" applyNumberFormat="1" applyFont="1" applyFill="1" applyBorder="1" applyAlignment="1">
      <alignment horizontal="center" vertical="center"/>
    </xf>
    <xf numFmtId="1" fontId="21881" fillId="8" borderId="1" xfId="0" applyNumberFormat="1" applyFont="1" applyFill="1" applyBorder="1" applyAlignment="1">
      <alignment horizontal="center" vertical="center"/>
    </xf>
    <xf numFmtId="165" fontId="21882" fillId="8" borderId="1" xfId="0" applyNumberFormat="1" applyFont="1" applyFill="1" applyBorder="1" applyAlignment="1">
      <alignment horizontal="center" vertical="center"/>
    </xf>
    <xf numFmtId="1" fontId="21883" fillId="8" borderId="1" xfId="0" applyNumberFormat="1" applyFont="1" applyFill="1" applyBorder="1" applyAlignment="1">
      <alignment horizontal="center" vertical="center"/>
    </xf>
    <xf numFmtId="165" fontId="21884" fillId="8" borderId="1" xfId="0" applyNumberFormat="1" applyFont="1" applyFill="1" applyBorder="1" applyAlignment="1">
      <alignment horizontal="center" vertical="center"/>
    </xf>
    <xf numFmtId="2" fontId="21885" fillId="8" borderId="1" xfId="0" applyNumberFormat="1" applyFont="1" applyFill="1" applyBorder="1" applyAlignment="1">
      <alignment horizontal="center" vertical="center"/>
    </xf>
    <xf numFmtId="2" fontId="21886" fillId="8" borderId="1" xfId="0" applyNumberFormat="1" applyFont="1" applyFill="1" applyBorder="1" applyAlignment="1">
      <alignment horizontal="center" vertical="center"/>
    </xf>
    <xf numFmtId="2" fontId="21887" fillId="8" borderId="1" xfId="0" applyNumberFormat="1" applyFont="1" applyFill="1" applyBorder="1" applyAlignment="1">
      <alignment horizontal="center" vertical="center"/>
    </xf>
    <xf numFmtId="2" fontId="21888" fillId="8" borderId="1" xfId="0" applyNumberFormat="1" applyFont="1" applyFill="1" applyBorder="1" applyAlignment="1">
      <alignment horizontal="center" vertical="center"/>
    </xf>
    <xf numFmtId="2" fontId="21889" fillId="8" borderId="1" xfId="0" applyNumberFormat="1" applyFont="1" applyFill="1" applyBorder="1" applyAlignment="1">
      <alignment horizontal="center" vertical="center"/>
    </xf>
    <xf numFmtId="2" fontId="21890" fillId="8" borderId="1" xfId="0" applyNumberFormat="1" applyFont="1" applyFill="1" applyBorder="1" applyAlignment="1">
      <alignment horizontal="center" vertical="center"/>
    </xf>
    <xf numFmtId="2" fontId="21891" fillId="8" borderId="1" xfId="0" applyNumberFormat="1" applyFont="1" applyFill="1" applyBorder="1" applyAlignment="1">
      <alignment horizontal="center" vertical="center"/>
    </xf>
    <xf numFmtId="2" fontId="21892" fillId="8" borderId="1" xfId="0" applyNumberFormat="1" applyFont="1" applyFill="1" applyBorder="1" applyAlignment="1">
      <alignment horizontal="center" vertical="center"/>
    </xf>
    <xf numFmtId="2" fontId="21893" fillId="8" borderId="1" xfId="0" applyNumberFormat="1" applyFont="1" applyFill="1" applyBorder="1" applyAlignment="1">
      <alignment horizontal="center" vertical="center"/>
    </xf>
    <xf numFmtId="2" fontId="21894" fillId="8" borderId="1" xfId="0" applyNumberFormat="1" applyFont="1" applyFill="1" applyBorder="1" applyAlignment="1">
      <alignment horizontal="center" vertical="center"/>
    </xf>
    <xf numFmtId="2" fontId="21895" fillId="8" borderId="1" xfId="0" applyNumberFormat="1" applyFont="1" applyFill="1" applyBorder="1" applyAlignment="1">
      <alignment horizontal="center" vertical="center"/>
    </xf>
    <xf numFmtId="2" fontId="21896" fillId="8" borderId="1" xfId="0" applyNumberFormat="1" applyFont="1" applyFill="1" applyBorder="1" applyAlignment="1">
      <alignment horizontal="center" vertical="center"/>
    </xf>
    <xf numFmtId="2" fontId="21897" fillId="8" borderId="1" xfId="0" applyNumberFormat="1" applyFont="1" applyFill="1" applyBorder="1" applyAlignment="1">
      <alignment horizontal="center" vertical="center"/>
    </xf>
    <xf numFmtId="2" fontId="21898" fillId="8" borderId="1" xfId="0" applyNumberFormat="1" applyFont="1" applyFill="1" applyBorder="1" applyAlignment="1">
      <alignment horizontal="center" vertical="center"/>
    </xf>
    <xf numFmtId="2" fontId="21899" fillId="8" borderId="1" xfId="0" applyNumberFormat="1" applyFont="1" applyFill="1" applyBorder="1" applyAlignment="1">
      <alignment horizontal="center" vertical="center"/>
    </xf>
    <xf numFmtId="2" fontId="21900" fillId="8" borderId="1" xfId="0" applyNumberFormat="1" applyFont="1" applyFill="1" applyBorder="1" applyAlignment="1">
      <alignment horizontal="center" vertical="center"/>
    </xf>
    <xf numFmtId="2" fontId="21901" fillId="8" borderId="1" xfId="0" applyNumberFormat="1" applyFont="1" applyFill="1" applyBorder="1" applyAlignment="1">
      <alignment horizontal="center" vertical="center"/>
    </xf>
    <xf numFmtId="2" fontId="21902" fillId="8" borderId="1" xfId="0" applyNumberFormat="1" applyFont="1" applyFill="1" applyBorder="1" applyAlignment="1">
      <alignment horizontal="center" vertical="center"/>
    </xf>
    <xf numFmtId="2" fontId="21903" fillId="8" borderId="1" xfId="0" applyNumberFormat="1" applyFont="1" applyFill="1" applyBorder="1" applyAlignment="1">
      <alignment horizontal="center" vertical="center"/>
    </xf>
    <xf numFmtId="2" fontId="21904" fillId="8" borderId="1" xfId="0" applyNumberFormat="1" applyFont="1" applyFill="1" applyBorder="1" applyAlignment="1">
      <alignment horizontal="center" vertical="center"/>
    </xf>
    <xf numFmtId="2" fontId="21905" fillId="8" borderId="1" xfId="0" applyNumberFormat="1" applyFont="1" applyFill="1" applyBorder="1" applyAlignment="1">
      <alignment horizontal="center" vertical="center"/>
    </xf>
    <xf numFmtId="2" fontId="21906" fillId="8" borderId="1" xfId="0" applyNumberFormat="1" applyFont="1" applyFill="1" applyBorder="1" applyAlignment="1">
      <alignment horizontal="center" vertical="center"/>
    </xf>
    <xf numFmtId="2" fontId="21907" fillId="8" borderId="1" xfId="0" applyNumberFormat="1" applyFont="1" applyFill="1" applyBorder="1" applyAlignment="1">
      <alignment horizontal="center" vertical="center"/>
    </xf>
    <xf numFmtId="2" fontId="21908" fillId="8" borderId="1" xfId="0" applyNumberFormat="1" applyFont="1" applyFill="1" applyBorder="1" applyAlignment="1">
      <alignment horizontal="center" vertical="center"/>
    </xf>
    <xf numFmtId="2" fontId="21909" fillId="8" borderId="1" xfId="0" applyNumberFormat="1" applyFont="1" applyFill="1" applyBorder="1" applyAlignment="1">
      <alignment horizontal="center" vertical="center"/>
    </xf>
    <xf numFmtId="2" fontId="21910" fillId="8" borderId="1" xfId="0" applyNumberFormat="1" applyFont="1" applyFill="1" applyBorder="1" applyAlignment="1">
      <alignment horizontal="center" vertical="center"/>
    </xf>
    <xf numFmtId="2" fontId="21911" fillId="8" borderId="1" xfId="0" applyNumberFormat="1" applyFont="1" applyFill="1" applyBorder="1" applyAlignment="1">
      <alignment horizontal="center" vertical="center"/>
    </xf>
    <xf numFmtId="2" fontId="21912" fillId="8" borderId="1" xfId="0" applyNumberFormat="1" applyFont="1" applyFill="1" applyBorder="1" applyAlignment="1">
      <alignment horizontal="center" vertical="center"/>
    </xf>
    <xf numFmtId="2" fontId="21913" fillId="8" borderId="1" xfId="0" applyNumberFormat="1" applyFont="1" applyFill="1" applyBorder="1" applyAlignment="1">
      <alignment horizontal="center" vertical="center"/>
    </xf>
    <xf numFmtId="2" fontId="21914" fillId="8" borderId="1" xfId="0" applyNumberFormat="1" applyFont="1" applyFill="1" applyBorder="1" applyAlignment="1">
      <alignment horizontal="center" vertical="center"/>
    </xf>
    <xf numFmtId="2" fontId="21915" fillId="8" borderId="1" xfId="0" applyNumberFormat="1" applyFont="1" applyFill="1" applyBorder="1" applyAlignment="1">
      <alignment horizontal="center" vertical="center"/>
    </xf>
    <xf numFmtId="2" fontId="21916" fillId="8" borderId="1" xfId="0" applyNumberFormat="1" applyFont="1" applyFill="1" applyBorder="1" applyAlignment="1">
      <alignment horizontal="center" vertical="center"/>
    </xf>
    <xf numFmtId="2" fontId="21917" fillId="8" borderId="1" xfId="0" applyNumberFormat="1" applyFont="1" applyFill="1" applyBorder="1" applyAlignment="1">
      <alignment horizontal="center" vertical="center"/>
    </xf>
    <xf numFmtId="2" fontId="21918" fillId="8" borderId="1" xfId="0" applyNumberFormat="1" applyFont="1" applyFill="1" applyBorder="1" applyAlignment="1">
      <alignment horizontal="center" vertical="center"/>
    </xf>
    <xf numFmtId="0" fontId="21919" fillId="7" borderId="1" xfId="0" applyNumberFormat="1" applyFont="1" applyFill="1" applyBorder="1" applyAlignment="1">
      <alignment horizontal="left" vertical="center"/>
    </xf>
    <xf numFmtId="0" fontId="21920" fillId="8" borderId="1" xfId="0" applyNumberFormat="1" applyFont="1" applyFill="1" applyBorder="1" applyAlignment="1">
      <alignment horizontal="center" vertical="center"/>
    </xf>
    <xf numFmtId="164" fontId="21921" fillId="8" borderId="1" xfId="0" applyNumberFormat="1" applyFont="1" applyFill="1" applyBorder="1" applyAlignment="1">
      <alignment horizontal="center" vertical="center"/>
    </xf>
    <xf numFmtId="1" fontId="21922" fillId="8" borderId="1" xfId="0" applyNumberFormat="1" applyFont="1" applyFill="1" applyBorder="1" applyAlignment="1">
      <alignment horizontal="center" vertical="center"/>
    </xf>
    <xf numFmtId="1" fontId="21923" fillId="8" borderId="1" xfId="0" applyNumberFormat="1" applyFont="1" applyFill="1" applyBorder="1" applyAlignment="1">
      <alignment horizontal="center" vertical="center"/>
    </xf>
    <xf numFmtId="1" fontId="21924" fillId="8" borderId="1" xfId="0" applyNumberFormat="1" applyFont="1" applyFill="1" applyBorder="1" applyAlignment="1">
      <alignment horizontal="center" vertical="center"/>
    </xf>
    <xf numFmtId="1" fontId="21925" fillId="8" borderId="1" xfId="0" applyNumberFormat="1" applyFont="1" applyFill="1" applyBorder="1" applyAlignment="1">
      <alignment horizontal="center" vertical="center"/>
    </xf>
    <xf numFmtId="1" fontId="21926" fillId="8" borderId="1" xfId="0" applyNumberFormat="1" applyFont="1" applyFill="1" applyBorder="1" applyAlignment="1">
      <alignment horizontal="center" vertical="center"/>
    </xf>
    <xf numFmtId="1" fontId="21927" fillId="8" borderId="1" xfId="0" applyNumberFormat="1" applyFont="1" applyFill="1" applyBorder="1" applyAlignment="1">
      <alignment horizontal="center" vertical="center"/>
    </xf>
    <xf numFmtId="1" fontId="21928" fillId="8" borderId="1" xfId="0" applyNumberFormat="1" applyFont="1" applyFill="1" applyBorder="1" applyAlignment="1">
      <alignment horizontal="center" vertical="center"/>
    </xf>
    <xf numFmtId="0" fontId="21929" fillId="8" borderId="1" xfId="0" applyNumberFormat="1" applyFont="1" applyFill="1" applyBorder="1" applyAlignment="1">
      <alignment horizontal="center" vertical="center"/>
    </xf>
    <xf numFmtId="0" fontId="21930" fillId="8" borderId="1" xfId="0" applyNumberFormat="1" applyFont="1" applyFill="1" applyBorder="1" applyAlignment="1">
      <alignment horizontal="center" vertical="center"/>
    </xf>
    <xf numFmtId="1" fontId="21931" fillId="8" borderId="1" xfId="0" applyNumberFormat="1" applyFont="1" applyFill="1" applyBorder="1" applyAlignment="1">
      <alignment horizontal="center" vertical="center"/>
    </xf>
    <xf numFmtId="1" fontId="21932" fillId="8" borderId="1" xfId="0" applyNumberFormat="1" applyFont="1" applyFill="1" applyBorder="1" applyAlignment="1">
      <alignment horizontal="center" vertical="center"/>
    </xf>
    <xf numFmtId="1" fontId="21933" fillId="8" borderId="1" xfId="0" applyNumberFormat="1" applyFont="1" applyFill="1" applyBorder="1" applyAlignment="1">
      <alignment horizontal="center" vertical="center"/>
    </xf>
    <xf numFmtId="165" fontId="21934" fillId="8" borderId="1" xfId="0" applyNumberFormat="1" applyFont="1" applyFill="1" applyBorder="1" applyAlignment="1">
      <alignment horizontal="center" vertical="center"/>
    </xf>
    <xf numFmtId="1" fontId="21935" fillId="8" borderId="1" xfId="0" applyNumberFormat="1" applyFont="1" applyFill="1" applyBorder="1" applyAlignment="1">
      <alignment horizontal="center" vertical="center"/>
    </xf>
    <xf numFmtId="165" fontId="21936" fillId="8" borderId="1" xfId="0" applyNumberFormat="1" applyFont="1" applyFill="1" applyBorder="1" applyAlignment="1">
      <alignment horizontal="center" vertical="center"/>
    </xf>
    <xf numFmtId="1" fontId="21937" fillId="8" borderId="1" xfId="0" applyNumberFormat="1" applyFont="1" applyFill="1" applyBorder="1" applyAlignment="1">
      <alignment horizontal="center" vertical="center"/>
    </xf>
    <xf numFmtId="165" fontId="21938" fillId="8" borderId="1" xfId="0" applyNumberFormat="1" applyFont="1" applyFill="1" applyBorder="1" applyAlignment="1">
      <alignment horizontal="center" vertical="center"/>
    </xf>
    <xf numFmtId="1" fontId="21939" fillId="8" borderId="1" xfId="0" applyNumberFormat="1" applyFont="1" applyFill="1" applyBorder="1" applyAlignment="1">
      <alignment horizontal="center" vertical="center"/>
    </xf>
    <xf numFmtId="165" fontId="21940" fillId="8" borderId="1" xfId="0" applyNumberFormat="1" applyFont="1" applyFill="1" applyBorder="1" applyAlignment="1">
      <alignment horizontal="center" vertical="center"/>
    </xf>
    <xf numFmtId="165" fontId="21941" fillId="8" borderId="1" xfId="0" applyNumberFormat="1" applyFont="1" applyFill="1" applyBorder="1" applyAlignment="1">
      <alignment horizontal="center" vertical="center"/>
    </xf>
    <xf numFmtId="1" fontId="21942" fillId="8" borderId="1" xfId="0" applyNumberFormat="1" applyFont="1" applyFill="1" applyBorder="1" applyAlignment="1">
      <alignment horizontal="center" vertical="center"/>
    </xf>
    <xf numFmtId="1" fontId="21943" fillId="8" borderId="1" xfId="0" applyNumberFormat="1" applyFont="1" applyFill="1" applyBorder="1" applyAlignment="1">
      <alignment horizontal="center" vertical="center"/>
    </xf>
    <xf numFmtId="1" fontId="21944" fillId="8" borderId="1" xfId="0" applyNumberFormat="1" applyFont="1" applyFill="1" applyBorder="1" applyAlignment="1">
      <alignment horizontal="center" vertical="center"/>
    </xf>
    <xf numFmtId="165" fontId="21945" fillId="8" borderId="1" xfId="0" applyNumberFormat="1" applyFont="1" applyFill="1" applyBorder="1" applyAlignment="1">
      <alignment horizontal="center" vertical="center"/>
    </xf>
    <xf numFmtId="164" fontId="21946" fillId="8" borderId="1" xfId="0" applyNumberFormat="1" applyFont="1" applyFill="1" applyBorder="1" applyAlignment="1">
      <alignment horizontal="center" vertical="center"/>
    </xf>
    <xf numFmtId="164" fontId="21947" fillId="8" borderId="1" xfId="0" applyNumberFormat="1" applyFont="1" applyFill="1" applyBorder="1" applyAlignment="1">
      <alignment horizontal="center" vertical="center"/>
    </xf>
    <xf numFmtId="1" fontId="21948" fillId="8" borderId="1" xfId="0" applyNumberFormat="1" applyFont="1" applyFill="1" applyBorder="1" applyAlignment="1">
      <alignment horizontal="center" vertical="center"/>
    </xf>
    <xf numFmtId="1" fontId="21949" fillId="8" borderId="1" xfId="0" applyNumberFormat="1" applyFont="1" applyFill="1" applyBorder="1" applyAlignment="1">
      <alignment horizontal="center" vertical="center"/>
    </xf>
    <xf numFmtId="1" fontId="21950" fillId="8" borderId="1" xfId="0" applyNumberFormat="1" applyFont="1" applyFill="1" applyBorder="1" applyAlignment="1">
      <alignment horizontal="center" vertical="center"/>
    </xf>
    <xf numFmtId="165" fontId="21951" fillId="8" borderId="1" xfId="0" applyNumberFormat="1" applyFont="1" applyFill="1" applyBorder="1" applyAlignment="1">
      <alignment horizontal="center" vertical="center"/>
    </xf>
    <xf numFmtId="1" fontId="21952" fillId="8" borderId="1" xfId="0" applyNumberFormat="1" applyFont="1" applyFill="1" applyBorder="1" applyAlignment="1">
      <alignment horizontal="center" vertical="center"/>
    </xf>
    <xf numFmtId="165" fontId="21953" fillId="8" borderId="1" xfId="0" applyNumberFormat="1" applyFont="1" applyFill="1" applyBorder="1" applyAlignment="1">
      <alignment horizontal="center" vertical="center"/>
    </xf>
    <xf numFmtId="1" fontId="21954" fillId="8" borderId="1" xfId="0" applyNumberFormat="1" applyFont="1" applyFill="1" applyBorder="1" applyAlignment="1">
      <alignment horizontal="center" vertical="center"/>
    </xf>
    <xf numFmtId="1" fontId="21955" fillId="8" borderId="1" xfId="0" applyNumberFormat="1" applyFont="1" applyFill="1" applyBorder="1" applyAlignment="1">
      <alignment horizontal="center" vertical="center"/>
    </xf>
    <xf numFmtId="1" fontId="21956" fillId="8" borderId="1" xfId="0" applyNumberFormat="1" applyFont="1" applyFill="1" applyBorder="1" applyAlignment="1">
      <alignment horizontal="center" vertical="center"/>
    </xf>
    <xf numFmtId="1" fontId="21957" fillId="8" borderId="1" xfId="0" applyNumberFormat="1" applyFont="1" applyFill="1" applyBorder="1" applyAlignment="1">
      <alignment horizontal="center" vertical="center"/>
    </xf>
    <xf numFmtId="165" fontId="21958" fillId="8" borderId="1" xfId="0" applyNumberFormat="1" applyFont="1" applyFill="1" applyBorder="1" applyAlignment="1">
      <alignment horizontal="center" vertical="center"/>
    </xf>
    <xf numFmtId="1" fontId="21959" fillId="8" borderId="1" xfId="0" applyNumberFormat="1" applyFont="1" applyFill="1" applyBorder="1" applyAlignment="1">
      <alignment horizontal="center" vertical="center"/>
    </xf>
    <xf numFmtId="165" fontId="21960" fillId="8" borderId="1" xfId="0" applyNumberFormat="1" applyFont="1" applyFill="1" applyBorder="1" applyAlignment="1">
      <alignment horizontal="center" vertical="center"/>
    </xf>
    <xf numFmtId="1" fontId="21961" fillId="8" borderId="1" xfId="0" applyNumberFormat="1" applyFont="1" applyFill="1" applyBorder="1" applyAlignment="1">
      <alignment horizontal="center" vertical="center"/>
    </xf>
    <xf numFmtId="165" fontId="21962" fillId="8" borderId="1" xfId="0" applyNumberFormat="1" applyFont="1" applyFill="1" applyBorder="1" applyAlignment="1">
      <alignment horizontal="center" vertical="center"/>
    </xf>
    <xf numFmtId="2" fontId="21963" fillId="8" borderId="1" xfId="0" applyNumberFormat="1" applyFont="1" applyFill="1" applyBorder="1" applyAlignment="1">
      <alignment horizontal="center" vertical="center"/>
    </xf>
    <xf numFmtId="2" fontId="21964" fillId="8" borderId="1" xfId="0" applyNumberFormat="1" applyFont="1" applyFill="1" applyBorder="1" applyAlignment="1">
      <alignment horizontal="center" vertical="center"/>
    </xf>
    <xf numFmtId="2" fontId="21965" fillId="8" borderId="1" xfId="0" applyNumberFormat="1" applyFont="1" applyFill="1" applyBorder="1" applyAlignment="1">
      <alignment horizontal="center" vertical="center"/>
    </xf>
    <xf numFmtId="2" fontId="21966" fillId="8" borderId="1" xfId="0" applyNumberFormat="1" applyFont="1" applyFill="1" applyBorder="1" applyAlignment="1">
      <alignment horizontal="center" vertical="center"/>
    </xf>
    <xf numFmtId="2" fontId="21967" fillId="8" borderId="1" xfId="0" applyNumberFormat="1" applyFont="1" applyFill="1" applyBorder="1" applyAlignment="1">
      <alignment horizontal="center" vertical="center"/>
    </xf>
    <xf numFmtId="2" fontId="21968" fillId="8" borderId="1" xfId="0" applyNumberFormat="1" applyFont="1" applyFill="1" applyBorder="1" applyAlignment="1">
      <alignment horizontal="center" vertical="center"/>
    </xf>
    <xf numFmtId="2" fontId="21969" fillId="8" borderId="1" xfId="0" applyNumberFormat="1" applyFont="1" applyFill="1" applyBorder="1" applyAlignment="1">
      <alignment horizontal="center" vertical="center"/>
    </xf>
    <xf numFmtId="2" fontId="21970" fillId="8" borderId="1" xfId="0" applyNumberFormat="1" applyFont="1" applyFill="1" applyBorder="1" applyAlignment="1">
      <alignment horizontal="center" vertical="center"/>
    </xf>
    <xf numFmtId="2" fontId="21971" fillId="8" borderId="1" xfId="0" applyNumberFormat="1" applyFont="1" applyFill="1" applyBorder="1" applyAlignment="1">
      <alignment horizontal="center" vertical="center"/>
    </xf>
    <xf numFmtId="2" fontId="21972" fillId="8" borderId="1" xfId="0" applyNumberFormat="1" applyFont="1" applyFill="1" applyBorder="1" applyAlignment="1">
      <alignment horizontal="center" vertical="center"/>
    </xf>
    <xf numFmtId="2" fontId="21973" fillId="8" borderId="1" xfId="0" applyNumberFormat="1" applyFont="1" applyFill="1" applyBorder="1" applyAlignment="1">
      <alignment horizontal="center" vertical="center"/>
    </xf>
    <xf numFmtId="2" fontId="21974" fillId="8" borderId="1" xfId="0" applyNumberFormat="1" applyFont="1" applyFill="1" applyBorder="1" applyAlignment="1">
      <alignment horizontal="center" vertical="center"/>
    </xf>
    <xf numFmtId="2" fontId="21975" fillId="8" borderId="1" xfId="0" applyNumberFormat="1" applyFont="1" applyFill="1" applyBorder="1" applyAlignment="1">
      <alignment horizontal="center" vertical="center"/>
    </xf>
    <xf numFmtId="2" fontId="21976" fillId="8" borderId="1" xfId="0" applyNumberFormat="1" applyFont="1" applyFill="1" applyBorder="1" applyAlignment="1">
      <alignment horizontal="center" vertical="center"/>
    </xf>
    <xf numFmtId="2" fontId="21977" fillId="8" borderId="1" xfId="0" applyNumberFormat="1" applyFont="1" applyFill="1" applyBorder="1" applyAlignment="1">
      <alignment horizontal="center" vertical="center"/>
    </xf>
    <xf numFmtId="2" fontId="21978" fillId="8" borderId="1" xfId="0" applyNumberFormat="1" applyFont="1" applyFill="1" applyBorder="1" applyAlignment="1">
      <alignment horizontal="center" vertical="center"/>
    </xf>
    <xf numFmtId="2" fontId="21979" fillId="8" borderId="1" xfId="0" applyNumberFormat="1" applyFont="1" applyFill="1" applyBorder="1" applyAlignment="1">
      <alignment horizontal="center" vertical="center"/>
    </xf>
    <xf numFmtId="2" fontId="21980" fillId="8" borderId="1" xfId="0" applyNumberFormat="1" applyFont="1" applyFill="1" applyBorder="1" applyAlignment="1">
      <alignment horizontal="center" vertical="center"/>
    </xf>
    <xf numFmtId="2" fontId="21981" fillId="8" borderId="1" xfId="0" applyNumberFormat="1" applyFont="1" applyFill="1" applyBorder="1" applyAlignment="1">
      <alignment horizontal="center" vertical="center"/>
    </xf>
    <xf numFmtId="2" fontId="21982" fillId="8" borderId="1" xfId="0" applyNumberFormat="1" applyFont="1" applyFill="1" applyBorder="1" applyAlignment="1">
      <alignment horizontal="center" vertical="center"/>
    </xf>
    <xf numFmtId="2" fontId="21983" fillId="8" borderId="1" xfId="0" applyNumberFormat="1" applyFont="1" applyFill="1" applyBorder="1" applyAlignment="1">
      <alignment horizontal="center" vertical="center"/>
    </xf>
    <xf numFmtId="2" fontId="21984" fillId="8" borderId="1" xfId="0" applyNumberFormat="1" applyFont="1" applyFill="1" applyBorder="1" applyAlignment="1">
      <alignment horizontal="center" vertical="center"/>
    </xf>
    <xf numFmtId="2" fontId="21985" fillId="8" borderId="1" xfId="0" applyNumberFormat="1" applyFont="1" applyFill="1" applyBorder="1" applyAlignment="1">
      <alignment horizontal="center" vertical="center"/>
    </xf>
    <xf numFmtId="2" fontId="21986" fillId="8" borderId="1" xfId="0" applyNumberFormat="1" applyFont="1" applyFill="1" applyBorder="1" applyAlignment="1">
      <alignment horizontal="center" vertical="center"/>
    </xf>
    <xf numFmtId="2" fontId="21987" fillId="8" borderId="1" xfId="0" applyNumberFormat="1" applyFont="1" applyFill="1" applyBorder="1" applyAlignment="1">
      <alignment horizontal="center" vertical="center"/>
    </xf>
    <xf numFmtId="2" fontId="21988" fillId="8" borderId="1" xfId="0" applyNumberFormat="1" applyFont="1" applyFill="1" applyBorder="1" applyAlignment="1">
      <alignment horizontal="center" vertical="center"/>
    </xf>
    <xf numFmtId="2" fontId="21989" fillId="8" borderId="1" xfId="0" applyNumberFormat="1" applyFont="1" applyFill="1" applyBorder="1" applyAlignment="1">
      <alignment horizontal="center" vertical="center"/>
    </xf>
    <xf numFmtId="2" fontId="21990" fillId="8" borderId="1" xfId="0" applyNumberFormat="1" applyFont="1" applyFill="1" applyBorder="1" applyAlignment="1">
      <alignment horizontal="center" vertical="center"/>
    </xf>
    <xf numFmtId="2" fontId="21991" fillId="8" borderId="1" xfId="0" applyNumberFormat="1" applyFont="1" applyFill="1" applyBorder="1" applyAlignment="1">
      <alignment horizontal="center" vertical="center"/>
    </xf>
    <xf numFmtId="2" fontId="21992" fillId="8" borderId="1" xfId="0" applyNumberFormat="1" applyFont="1" applyFill="1" applyBorder="1" applyAlignment="1">
      <alignment horizontal="center" vertical="center"/>
    </xf>
    <xf numFmtId="2" fontId="21993" fillId="8" borderId="1" xfId="0" applyNumberFormat="1" applyFont="1" applyFill="1" applyBorder="1" applyAlignment="1">
      <alignment horizontal="center" vertical="center"/>
    </xf>
    <xf numFmtId="2" fontId="21994" fillId="8" borderId="1" xfId="0" applyNumberFormat="1" applyFont="1" applyFill="1" applyBorder="1" applyAlignment="1">
      <alignment horizontal="center" vertical="center"/>
    </xf>
    <xf numFmtId="2" fontId="21995" fillId="8" borderId="1" xfId="0" applyNumberFormat="1" applyFont="1" applyFill="1" applyBorder="1" applyAlignment="1">
      <alignment horizontal="center" vertical="center"/>
    </xf>
    <xf numFmtId="2" fontId="21996" fillId="8" borderId="1" xfId="0" applyNumberFormat="1" applyFont="1" applyFill="1" applyBorder="1" applyAlignment="1">
      <alignment horizontal="center" vertical="center"/>
    </xf>
    <xf numFmtId="0" fontId="21997" fillId="7" borderId="1" xfId="0" applyNumberFormat="1" applyFont="1" applyFill="1" applyBorder="1" applyAlignment="1">
      <alignment horizontal="left" vertical="center"/>
    </xf>
    <xf numFmtId="0" fontId="21998" fillId="8" borderId="1" xfId="0" applyNumberFormat="1" applyFont="1" applyFill="1" applyBorder="1" applyAlignment="1">
      <alignment horizontal="center" vertical="center"/>
    </xf>
    <xf numFmtId="164" fontId="21999" fillId="8" borderId="1" xfId="0" applyNumberFormat="1" applyFont="1" applyFill="1" applyBorder="1" applyAlignment="1">
      <alignment horizontal="center" vertical="center"/>
    </xf>
    <xf numFmtId="1" fontId="22000" fillId="8" borderId="1" xfId="0" applyNumberFormat="1" applyFont="1" applyFill="1" applyBorder="1" applyAlignment="1">
      <alignment horizontal="center" vertical="center"/>
    </xf>
    <xf numFmtId="1" fontId="22001" fillId="8" borderId="1" xfId="0" applyNumberFormat="1" applyFont="1" applyFill="1" applyBorder="1" applyAlignment="1">
      <alignment horizontal="center" vertical="center"/>
    </xf>
    <xf numFmtId="1" fontId="22002" fillId="8" borderId="1" xfId="0" applyNumberFormat="1" applyFont="1" applyFill="1" applyBorder="1" applyAlignment="1">
      <alignment horizontal="center" vertical="center"/>
    </xf>
    <xf numFmtId="1" fontId="22003" fillId="8" borderId="1" xfId="0" applyNumberFormat="1" applyFont="1" applyFill="1" applyBorder="1" applyAlignment="1">
      <alignment horizontal="center" vertical="center"/>
    </xf>
    <xf numFmtId="1" fontId="22004" fillId="8" borderId="1" xfId="0" applyNumberFormat="1" applyFont="1" applyFill="1" applyBorder="1" applyAlignment="1">
      <alignment horizontal="center" vertical="center"/>
    </xf>
    <xf numFmtId="1" fontId="22005" fillId="8" borderId="1" xfId="0" applyNumberFormat="1" applyFont="1" applyFill="1" applyBorder="1" applyAlignment="1">
      <alignment horizontal="center" vertical="center"/>
    </xf>
    <xf numFmtId="1" fontId="22006" fillId="8" borderId="1" xfId="0" applyNumberFormat="1" applyFont="1" applyFill="1" applyBorder="1" applyAlignment="1">
      <alignment horizontal="center" vertical="center"/>
    </xf>
    <xf numFmtId="0" fontId="22007" fillId="8" borderId="1" xfId="0" applyNumberFormat="1" applyFont="1" applyFill="1" applyBorder="1" applyAlignment="1">
      <alignment horizontal="center" vertical="center"/>
    </xf>
    <xf numFmtId="0" fontId="22008" fillId="8" borderId="1" xfId="0" applyNumberFormat="1" applyFont="1" applyFill="1" applyBorder="1" applyAlignment="1">
      <alignment horizontal="center" vertical="center"/>
    </xf>
    <xf numFmtId="1" fontId="22009" fillId="8" borderId="1" xfId="0" applyNumberFormat="1" applyFont="1" applyFill="1" applyBorder="1" applyAlignment="1">
      <alignment horizontal="center" vertical="center"/>
    </xf>
    <xf numFmtId="1" fontId="22010" fillId="8" borderId="1" xfId="0" applyNumberFormat="1" applyFont="1" applyFill="1" applyBorder="1" applyAlignment="1">
      <alignment horizontal="center" vertical="center"/>
    </xf>
    <xf numFmtId="1" fontId="22011" fillId="8" borderId="1" xfId="0" applyNumberFormat="1" applyFont="1" applyFill="1" applyBorder="1" applyAlignment="1">
      <alignment horizontal="center" vertical="center"/>
    </xf>
    <xf numFmtId="165" fontId="22012" fillId="8" borderId="1" xfId="0" applyNumberFormat="1" applyFont="1" applyFill="1" applyBorder="1" applyAlignment="1">
      <alignment horizontal="center" vertical="center"/>
    </xf>
    <xf numFmtId="1" fontId="22013" fillId="8" borderId="1" xfId="0" applyNumberFormat="1" applyFont="1" applyFill="1" applyBorder="1" applyAlignment="1">
      <alignment horizontal="center" vertical="center"/>
    </xf>
    <xf numFmtId="165" fontId="22014" fillId="8" borderId="1" xfId="0" applyNumberFormat="1" applyFont="1" applyFill="1" applyBorder="1" applyAlignment="1">
      <alignment horizontal="center" vertical="center"/>
    </xf>
    <xf numFmtId="1" fontId="22015" fillId="8" borderId="1" xfId="0" applyNumberFormat="1" applyFont="1" applyFill="1" applyBorder="1" applyAlignment="1">
      <alignment horizontal="center" vertical="center"/>
    </xf>
    <xf numFmtId="165" fontId="22016" fillId="8" borderId="1" xfId="0" applyNumberFormat="1" applyFont="1" applyFill="1" applyBorder="1" applyAlignment="1">
      <alignment horizontal="center" vertical="center"/>
    </xf>
    <xf numFmtId="1" fontId="22017" fillId="8" borderId="1" xfId="0" applyNumberFormat="1" applyFont="1" applyFill="1" applyBorder="1" applyAlignment="1">
      <alignment horizontal="center" vertical="center"/>
    </xf>
    <xf numFmtId="165" fontId="22018" fillId="8" borderId="1" xfId="0" applyNumberFormat="1" applyFont="1" applyFill="1" applyBorder="1" applyAlignment="1">
      <alignment horizontal="center" vertical="center"/>
    </xf>
    <xf numFmtId="165" fontId="22019" fillId="8" borderId="1" xfId="0" applyNumberFormat="1" applyFont="1" applyFill="1" applyBorder="1" applyAlignment="1">
      <alignment horizontal="center" vertical="center"/>
    </xf>
    <xf numFmtId="1" fontId="22020" fillId="8" borderId="1" xfId="0" applyNumberFormat="1" applyFont="1" applyFill="1" applyBorder="1" applyAlignment="1">
      <alignment horizontal="center" vertical="center"/>
    </xf>
    <xf numFmtId="1" fontId="22021" fillId="8" borderId="1" xfId="0" applyNumberFormat="1" applyFont="1" applyFill="1" applyBorder="1" applyAlignment="1">
      <alignment horizontal="center" vertical="center"/>
    </xf>
    <xf numFmtId="1" fontId="22022" fillId="8" borderId="1" xfId="0" applyNumberFormat="1" applyFont="1" applyFill="1" applyBorder="1" applyAlignment="1">
      <alignment horizontal="center" vertical="center"/>
    </xf>
    <xf numFmtId="165" fontId="22023" fillId="8" borderId="1" xfId="0" applyNumberFormat="1" applyFont="1" applyFill="1" applyBorder="1" applyAlignment="1">
      <alignment horizontal="center" vertical="center"/>
    </xf>
    <xf numFmtId="164" fontId="22024" fillId="8" borderId="1" xfId="0" applyNumberFormat="1" applyFont="1" applyFill="1" applyBorder="1" applyAlignment="1">
      <alignment horizontal="center" vertical="center"/>
    </xf>
    <xf numFmtId="164" fontId="22025" fillId="8" borderId="1" xfId="0" applyNumberFormat="1" applyFont="1" applyFill="1" applyBorder="1" applyAlignment="1">
      <alignment horizontal="center" vertical="center"/>
    </xf>
    <xf numFmtId="1" fontId="22026" fillId="8" borderId="1" xfId="0" applyNumberFormat="1" applyFont="1" applyFill="1" applyBorder="1" applyAlignment="1">
      <alignment horizontal="center" vertical="center"/>
    </xf>
    <xf numFmtId="1" fontId="22027" fillId="8" borderId="1" xfId="0" applyNumberFormat="1" applyFont="1" applyFill="1" applyBorder="1" applyAlignment="1">
      <alignment horizontal="center" vertical="center"/>
    </xf>
    <xf numFmtId="1" fontId="22028" fillId="8" borderId="1" xfId="0" applyNumberFormat="1" applyFont="1" applyFill="1" applyBorder="1" applyAlignment="1">
      <alignment horizontal="center" vertical="center"/>
    </xf>
    <xf numFmtId="165" fontId="22029" fillId="8" borderId="1" xfId="0" applyNumberFormat="1" applyFont="1" applyFill="1" applyBorder="1" applyAlignment="1">
      <alignment horizontal="center" vertical="center"/>
    </xf>
    <xf numFmtId="1" fontId="22030" fillId="8" borderId="1" xfId="0" applyNumberFormat="1" applyFont="1" applyFill="1" applyBorder="1" applyAlignment="1">
      <alignment horizontal="center" vertical="center"/>
    </xf>
    <xf numFmtId="165" fontId="22031" fillId="8" borderId="1" xfId="0" applyNumberFormat="1" applyFont="1" applyFill="1" applyBorder="1" applyAlignment="1">
      <alignment horizontal="center" vertical="center"/>
    </xf>
    <xf numFmtId="1" fontId="22032" fillId="8" borderId="1" xfId="0" applyNumberFormat="1" applyFont="1" applyFill="1" applyBorder="1" applyAlignment="1">
      <alignment horizontal="center" vertical="center"/>
    </xf>
    <xf numFmtId="1" fontId="22033" fillId="8" borderId="1" xfId="0" applyNumberFormat="1" applyFont="1" applyFill="1" applyBorder="1" applyAlignment="1">
      <alignment horizontal="center" vertical="center"/>
    </xf>
    <xf numFmtId="1" fontId="22034" fillId="8" borderId="1" xfId="0" applyNumberFormat="1" applyFont="1" applyFill="1" applyBorder="1" applyAlignment="1">
      <alignment horizontal="center" vertical="center"/>
    </xf>
    <xf numFmtId="1" fontId="22035" fillId="8" borderId="1" xfId="0" applyNumberFormat="1" applyFont="1" applyFill="1" applyBorder="1" applyAlignment="1">
      <alignment horizontal="center" vertical="center"/>
    </xf>
    <xf numFmtId="165" fontId="22036" fillId="8" borderId="1" xfId="0" applyNumberFormat="1" applyFont="1" applyFill="1" applyBorder="1" applyAlignment="1">
      <alignment horizontal="center" vertical="center"/>
    </xf>
    <xf numFmtId="1" fontId="22037" fillId="8" borderId="1" xfId="0" applyNumberFormat="1" applyFont="1" applyFill="1" applyBorder="1" applyAlignment="1">
      <alignment horizontal="center" vertical="center"/>
    </xf>
    <xf numFmtId="165" fontId="22038" fillId="8" borderId="1" xfId="0" applyNumberFormat="1" applyFont="1" applyFill="1" applyBorder="1" applyAlignment="1">
      <alignment horizontal="center" vertical="center"/>
    </xf>
    <xf numFmtId="1" fontId="22039" fillId="8" borderId="1" xfId="0" applyNumberFormat="1" applyFont="1" applyFill="1" applyBorder="1" applyAlignment="1">
      <alignment horizontal="center" vertical="center"/>
    </xf>
    <xf numFmtId="165" fontId="22040" fillId="8" borderId="1" xfId="0" applyNumberFormat="1" applyFont="1" applyFill="1" applyBorder="1" applyAlignment="1">
      <alignment horizontal="center" vertical="center"/>
    </xf>
    <xf numFmtId="2" fontId="22041" fillId="8" borderId="1" xfId="0" applyNumberFormat="1" applyFont="1" applyFill="1" applyBorder="1" applyAlignment="1">
      <alignment horizontal="center" vertical="center"/>
    </xf>
    <xf numFmtId="2" fontId="22042" fillId="8" borderId="1" xfId="0" applyNumberFormat="1" applyFont="1" applyFill="1" applyBorder="1" applyAlignment="1">
      <alignment horizontal="center" vertical="center"/>
    </xf>
    <xf numFmtId="2" fontId="22043" fillId="8" borderId="1" xfId="0" applyNumberFormat="1" applyFont="1" applyFill="1" applyBorder="1" applyAlignment="1">
      <alignment horizontal="center" vertical="center"/>
    </xf>
    <xf numFmtId="2" fontId="22044" fillId="8" borderId="1" xfId="0" applyNumberFormat="1" applyFont="1" applyFill="1" applyBorder="1" applyAlignment="1">
      <alignment horizontal="center" vertical="center"/>
    </xf>
    <xf numFmtId="2" fontId="22045" fillId="8" borderId="1" xfId="0" applyNumberFormat="1" applyFont="1" applyFill="1" applyBorder="1" applyAlignment="1">
      <alignment horizontal="center" vertical="center"/>
    </xf>
    <xf numFmtId="2" fontId="22046" fillId="8" borderId="1" xfId="0" applyNumberFormat="1" applyFont="1" applyFill="1" applyBorder="1" applyAlignment="1">
      <alignment horizontal="center" vertical="center"/>
    </xf>
    <xf numFmtId="2" fontId="22047" fillId="8" borderId="1" xfId="0" applyNumberFormat="1" applyFont="1" applyFill="1" applyBorder="1" applyAlignment="1">
      <alignment horizontal="center" vertical="center"/>
    </xf>
    <xf numFmtId="2" fontId="22048" fillId="8" borderId="1" xfId="0" applyNumberFormat="1" applyFont="1" applyFill="1" applyBorder="1" applyAlignment="1">
      <alignment horizontal="center" vertical="center"/>
    </xf>
    <xf numFmtId="2" fontId="22049" fillId="8" borderId="1" xfId="0" applyNumberFormat="1" applyFont="1" applyFill="1" applyBorder="1" applyAlignment="1">
      <alignment horizontal="center" vertical="center"/>
    </xf>
    <xf numFmtId="2" fontId="22050" fillId="8" borderId="1" xfId="0" applyNumberFormat="1" applyFont="1" applyFill="1" applyBorder="1" applyAlignment="1">
      <alignment horizontal="center" vertical="center"/>
    </xf>
    <xf numFmtId="2" fontId="22051" fillId="8" borderId="1" xfId="0" applyNumberFormat="1" applyFont="1" applyFill="1" applyBorder="1" applyAlignment="1">
      <alignment horizontal="center" vertical="center"/>
    </xf>
    <xf numFmtId="2" fontId="22052" fillId="8" borderId="1" xfId="0" applyNumberFormat="1" applyFont="1" applyFill="1" applyBorder="1" applyAlignment="1">
      <alignment horizontal="center" vertical="center"/>
    </xf>
    <xf numFmtId="2" fontId="22053" fillId="8" borderId="1" xfId="0" applyNumberFormat="1" applyFont="1" applyFill="1" applyBorder="1" applyAlignment="1">
      <alignment horizontal="center" vertical="center"/>
    </xf>
    <xf numFmtId="2" fontId="22054" fillId="8" borderId="1" xfId="0" applyNumberFormat="1" applyFont="1" applyFill="1" applyBorder="1" applyAlignment="1">
      <alignment horizontal="center" vertical="center"/>
    </xf>
    <xf numFmtId="2" fontId="22055" fillId="8" borderId="1" xfId="0" applyNumberFormat="1" applyFont="1" applyFill="1" applyBorder="1" applyAlignment="1">
      <alignment horizontal="center" vertical="center"/>
    </xf>
    <xf numFmtId="2" fontId="22056" fillId="8" borderId="1" xfId="0" applyNumberFormat="1" applyFont="1" applyFill="1" applyBorder="1" applyAlignment="1">
      <alignment horizontal="center" vertical="center"/>
    </xf>
    <xf numFmtId="2" fontId="22057" fillId="8" borderId="1" xfId="0" applyNumberFormat="1" applyFont="1" applyFill="1" applyBorder="1" applyAlignment="1">
      <alignment horizontal="center" vertical="center"/>
    </xf>
    <xf numFmtId="2" fontId="22058" fillId="8" borderId="1" xfId="0" applyNumberFormat="1" applyFont="1" applyFill="1" applyBorder="1" applyAlignment="1">
      <alignment horizontal="center" vertical="center"/>
    </xf>
    <xf numFmtId="2" fontId="22059" fillId="8" borderId="1" xfId="0" applyNumberFormat="1" applyFont="1" applyFill="1" applyBorder="1" applyAlignment="1">
      <alignment horizontal="center" vertical="center"/>
    </xf>
    <xf numFmtId="2" fontId="22060" fillId="8" borderId="1" xfId="0" applyNumberFormat="1" applyFont="1" applyFill="1" applyBorder="1" applyAlignment="1">
      <alignment horizontal="center" vertical="center"/>
    </xf>
    <xf numFmtId="2" fontId="22061" fillId="8" borderId="1" xfId="0" applyNumberFormat="1" applyFont="1" applyFill="1" applyBorder="1" applyAlignment="1">
      <alignment horizontal="center" vertical="center"/>
    </xf>
    <xf numFmtId="2" fontId="22062" fillId="8" borderId="1" xfId="0" applyNumberFormat="1" applyFont="1" applyFill="1" applyBorder="1" applyAlignment="1">
      <alignment horizontal="center" vertical="center"/>
    </xf>
    <xf numFmtId="2" fontId="22063" fillId="8" borderId="1" xfId="0" applyNumberFormat="1" applyFont="1" applyFill="1" applyBorder="1" applyAlignment="1">
      <alignment horizontal="center" vertical="center"/>
    </xf>
    <xf numFmtId="2" fontId="22064" fillId="8" borderId="1" xfId="0" applyNumberFormat="1" applyFont="1" applyFill="1" applyBorder="1" applyAlignment="1">
      <alignment horizontal="center" vertical="center"/>
    </xf>
    <xf numFmtId="2" fontId="22065" fillId="8" borderId="1" xfId="0" applyNumberFormat="1" applyFont="1" applyFill="1" applyBorder="1" applyAlignment="1">
      <alignment horizontal="center" vertical="center"/>
    </xf>
    <xf numFmtId="2" fontId="22066" fillId="8" borderId="1" xfId="0" applyNumberFormat="1" applyFont="1" applyFill="1" applyBorder="1" applyAlignment="1">
      <alignment horizontal="center" vertical="center"/>
    </xf>
    <xf numFmtId="2" fontId="22067" fillId="8" borderId="1" xfId="0" applyNumberFormat="1" applyFont="1" applyFill="1" applyBorder="1" applyAlignment="1">
      <alignment horizontal="center" vertical="center"/>
    </xf>
    <xf numFmtId="2" fontId="22068" fillId="8" borderId="1" xfId="0" applyNumberFormat="1" applyFont="1" applyFill="1" applyBorder="1" applyAlignment="1">
      <alignment horizontal="center" vertical="center"/>
    </xf>
    <xf numFmtId="2" fontId="22069" fillId="8" borderId="1" xfId="0" applyNumberFormat="1" applyFont="1" applyFill="1" applyBorder="1" applyAlignment="1">
      <alignment horizontal="center" vertical="center"/>
    </xf>
    <xf numFmtId="2" fontId="22070" fillId="8" borderId="1" xfId="0" applyNumberFormat="1" applyFont="1" applyFill="1" applyBorder="1" applyAlignment="1">
      <alignment horizontal="center" vertical="center"/>
    </xf>
    <xf numFmtId="2" fontId="22071" fillId="8" borderId="1" xfId="0" applyNumberFormat="1" applyFont="1" applyFill="1" applyBorder="1" applyAlignment="1">
      <alignment horizontal="center" vertical="center"/>
    </xf>
    <xf numFmtId="2" fontId="22072" fillId="8" borderId="1" xfId="0" applyNumberFormat="1" applyFont="1" applyFill="1" applyBorder="1" applyAlignment="1">
      <alignment horizontal="center" vertical="center"/>
    </xf>
    <xf numFmtId="2" fontId="22073" fillId="8" borderId="1" xfId="0" applyNumberFormat="1" applyFont="1" applyFill="1" applyBorder="1" applyAlignment="1">
      <alignment horizontal="center" vertical="center"/>
    </xf>
    <xf numFmtId="2" fontId="22074" fillId="8" borderId="1" xfId="0" applyNumberFormat="1" applyFont="1" applyFill="1" applyBorder="1" applyAlignment="1">
      <alignment horizontal="center" vertical="center"/>
    </xf>
    <xf numFmtId="0" fontId="22075" fillId="7" borderId="1" xfId="0" applyNumberFormat="1" applyFont="1" applyFill="1" applyBorder="1" applyAlignment="1">
      <alignment horizontal="left" vertical="center"/>
    </xf>
    <xf numFmtId="0" fontId="22076" fillId="8" borderId="1" xfId="0" applyNumberFormat="1" applyFont="1" applyFill="1" applyBorder="1" applyAlignment="1">
      <alignment horizontal="center" vertical="center"/>
    </xf>
    <xf numFmtId="164" fontId="22077" fillId="8" borderId="1" xfId="0" applyNumberFormat="1" applyFont="1" applyFill="1" applyBorder="1" applyAlignment="1">
      <alignment horizontal="center" vertical="center"/>
    </xf>
    <xf numFmtId="1" fontId="22078" fillId="8" borderId="1" xfId="0" applyNumberFormat="1" applyFont="1" applyFill="1" applyBorder="1" applyAlignment="1">
      <alignment horizontal="center" vertical="center"/>
    </xf>
    <xf numFmtId="1" fontId="22079" fillId="8" borderId="1" xfId="0" applyNumberFormat="1" applyFont="1" applyFill="1" applyBorder="1" applyAlignment="1">
      <alignment horizontal="center" vertical="center"/>
    </xf>
    <xf numFmtId="1" fontId="22080" fillId="8" borderId="1" xfId="0" applyNumberFormat="1" applyFont="1" applyFill="1" applyBorder="1" applyAlignment="1">
      <alignment horizontal="center" vertical="center"/>
    </xf>
    <xf numFmtId="1" fontId="22081" fillId="8" borderId="1" xfId="0" applyNumberFormat="1" applyFont="1" applyFill="1" applyBorder="1" applyAlignment="1">
      <alignment horizontal="center" vertical="center"/>
    </xf>
    <xf numFmtId="1" fontId="22082" fillId="8" borderId="1" xfId="0" applyNumberFormat="1" applyFont="1" applyFill="1" applyBorder="1" applyAlignment="1">
      <alignment horizontal="center" vertical="center"/>
    </xf>
    <xf numFmtId="1" fontId="22083" fillId="8" borderId="1" xfId="0" applyNumberFormat="1" applyFont="1" applyFill="1" applyBorder="1" applyAlignment="1">
      <alignment horizontal="center" vertical="center"/>
    </xf>
    <xf numFmtId="1" fontId="22084" fillId="8" borderId="1" xfId="0" applyNumberFormat="1" applyFont="1" applyFill="1" applyBorder="1" applyAlignment="1">
      <alignment horizontal="center" vertical="center"/>
    </xf>
    <xf numFmtId="0" fontId="22085" fillId="8" borderId="1" xfId="0" applyNumberFormat="1" applyFont="1" applyFill="1" applyBorder="1" applyAlignment="1">
      <alignment horizontal="center" vertical="center"/>
    </xf>
    <xf numFmtId="0" fontId="22086" fillId="8" borderId="1" xfId="0" applyNumberFormat="1" applyFont="1" applyFill="1" applyBorder="1" applyAlignment="1">
      <alignment horizontal="center" vertical="center"/>
    </xf>
    <xf numFmtId="1" fontId="22087" fillId="8" borderId="1" xfId="0" applyNumberFormat="1" applyFont="1" applyFill="1" applyBorder="1" applyAlignment="1">
      <alignment horizontal="center" vertical="center"/>
    </xf>
    <xf numFmtId="1" fontId="22088" fillId="8" borderId="1" xfId="0" applyNumberFormat="1" applyFont="1" applyFill="1" applyBorder="1" applyAlignment="1">
      <alignment horizontal="center" vertical="center"/>
    </xf>
    <xf numFmtId="1" fontId="22089" fillId="8" borderId="1" xfId="0" applyNumberFormat="1" applyFont="1" applyFill="1" applyBorder="1" applyAlignment="1">
      <alignment horizontal="center" vertical="center"/>
    </xf>
    <xf numFmtId="165" fontId="22090" fillId="8" borderId="1" xfId="0" applyNumberFormat="1" applyFont="1" applyFill="1" applyBorder="1" applyAlignment="1">
      <alignment horizontal="center" vertical="center"/>
    </xf>
    <xf numFmtId="1" fontId="22091" fillId="8" borderId="1" xfId="0" applyNumberFormat="1" applyFont="1" applyFill="1" applyBorder="1" applyAlignment="1">
      <alignment horizontal="center" vertical="center"/>
    </xf>
    <xf numFmtId="165" fontId="22092" fillId="8" borderId="1" xfId="0" applyNumberFormat="1" applyFont="1" applyFill="1" applyBorder="1" applyAlignment="1">
      <alignment horizontal="center" vertical="center"/>
    </xf>
    <xf numFmtId="1" fontId="22093" fillId="8" borderId="1" xfId="0" applyNumberFormat="1" applyFont="1" applyFill="1" applyBorder="1" applyAlignment="1">
      <alignment horizontal="center" vertical="center"/>
    </xf>
    <xf numFmtId="165" fontId="22094" fillId="8" borderId="1" xfId="0" applyNumberFormat="1" applyFont="1" applyFill="1" applyBorder="1" applyAlignment="1">
      <alignment horizontal="center" vertical="center"/>
    </xf>
    <xf numFmtId="1" fontId="22095" fillId="8" borderId="1" xfId="0" applyNumberFormat="1" applyFont="1" applyFill="1" applyBorder="1" applyAlignment="1">
      <alignment horizontal="center" vertical="center"/>
    </xf>
    <xf numFmtId="165" fontId="22096" fillId="8" borderId="1" xfId="0" applyNumberFormat="1" applyFont="1" applyFill="1" applyBorder="1" applyAlignment="1">
      <alignment horizontal="center" vertical="center"/>
    </xf>
    <xf numFmtId="165" fontId="22097" fillId="8" borderId="1" xfId="0" applyNumberFormat="1" applyFont="1" applyFill="1" applyBorder="1" applyAlignment="1">
      <alignment horizontal="center" vertical="center"/>
    </xf>
    <xf numFmtId="1" fontId="22098" fillId="8" borderId="1" xfId="0" applyNumberFormat="1" applyFont="1" applyFill="1" applyBorder="1" applyAlignment="1">
      <alignment horizontal="center" vertical="center"/>
    </xf>
    <xf numFmtId="1" fontId="22099" fillId="8" borderId="1" xfId="0" applyNumberFormat="1" applyFont="1" applyFill="1" applyBorder="1" applyAlignment="1">
      <alignment horizontal="center" vertical="center"/>
    </xf>
    <xf numFmtId="1" fontId="22100" fillId="8" borderId="1" xfId="0" applyNumberFormat="1" applyFont="1" applyFill="1" applyBorder="1" applyAlignment="1">
      <alignment horizontal="center" vertical="center"/>
    </xf>
    <xf numFmtId="165" fontId="22101" fillId="8" borderId="1" xfId="0" applyNumberFormat="1" applyFont="1" applyFill="1" applyBorder="1" applyAlignment="1">
      <alignment horizontal="center" vertical="center"/>
    </xf>
    <xf numFmtId="164" fontId="22102" fillId="8" borderId="1" xfId="0" applyNumberFormat="1" applyFont="1" applyFill="1" applyBorder="1" applyAlignment="1">
      <alignment horizontal="center" vertical="center"/>
    </xf>
    <xf numFmtId="164" fontId="22103" fillId="8" borderId="1" xfId="0" applyNumberFormat="1" applyFont="1" applyFill="1" applyBorder="1" applyAlignment="1">
      <alignment horizontal="center" vertical="center"/>
    </xf>
    <xf numFmtId="1" fontId="22104" fillId="8" borderId="1" xfId="0" applyNumberFormat="1" applyFont="1" applyFill="1" applyBorder="1" applyAlignment="1">
      <alignment horizontal="center" vertical="center"/>
    </xf>
    <xf numFmtId="1" fontId="22105" fillId="8" borderId="1" xfId="0" applyNumberFormat="1" applyFont="1" applyFill="1" applyBorder="1" applyAlignment="1">
      <alignment horizontal="center" vertical="center"/>
    </xf>
    <xf numFmtId="1" fontId="22106" fillId="8" borderId="1" xfId="0" applyNumberFormat="1" applyFont="1" applyFill="1" applyBorder="1" applyAlignment="1">
      <alignment horizontal="center" vertical="center"/>
    </xf>
    <xf numFmtId="165" fontId="22107" fillId="8" borderId="1" xfId="0" applyNumberFormat="1" applyFont="1" applyFill="1" applyBorder="1" applyAlignment="1">
      <alignment horizontal="center" vertical="center"/>
    </xf>
    <xf numFmtId="1" fontId="22108" fillId="8" borderId="1" xfId="0" applyNumberFormat="1" applyFont="1" applyFill="1" applyBorder="1" applyAlignment="1">
      <alignment horizontal="center" vertical="center"/>
    </xf>
    <xf numFmtId="165" fontId="22109" fillId="8" borderId="1" xfId="0" applyNumberFormat="1" applyFont="1" applyFill="1" applyBorder="1" applyAlignment="1">
      <alignment horizontal="center" vertical="center"/>
    </xf>
    <xf numFmtId="1" fontId="22110" fillId="8" borderId="1" xfId="0" applyNumberFormat="1" applyFont="1" applyFill="1" applyBorder="1" applyAlignment="1">
      <alignment horizontal="center" vertical="center"/>
    </xf>
    <xf numFmtId="1" fontId="22111" fillId="8" borderId="1" xfId="0" applyNumberFormat="1" applyFont="1" applyFill="1" applyBorder="1" applyAlignment="1">
      <alignment horizontal="center" vertical="center"/>
    </xf>
    <xf numFmtId="1" fontId="22112" fillId="8" borderId="1" xfId="0" applyNumberFormat="1" applyFont="1" applyFill="1" applyBorder="1" applyAlignment="1">
      <alignment horizontal="center" vertical="center"/>
    </xf>
    <xf numFmtId="1" fontId="22113" fillId="8" borderId="1" xfId="0" applyNumberFormat="1" applyFont="1" applyFill="1" applyBorder="1" applyAlignment="1">
      <alignment horizontal="center" vertical="center"/>
    </xf>
    <xf numFmtId="165" fontId="22114" fillId="8" borderId="1" xfId="0" applyNumberFormat="1" applyFont="1" applyFill="1" applyBorder="1" applyAlignment="1">
      <alignment horizontal="center" vertical="center"/>
    </xf>
    <xf numFmtId="1" fontId="22115" fillId="8" borderId="1" xfId="0" applyNumberFormat="1" applyFont="1" applyFill="1" applyBorder="1" applyAlignment="1">
      <alignment horizontal="center" vertical="center"/>
    </xf>
    <xf numFmtId="165" fontId="22116" fillId="8" borderId="1" xfId="0" applyNumberFormat="1" applyFont="1" applyFill="1" applyBorder="1" applyAlignment="1">
      <alignment horizontal="center" vertical="center"/>
    </xf>
    <xf numFmtId="1" fontId="22117" fillId="8" borderId="1" xfId="0" applyNumberFormat="1" applyFont="1" applyFill="1" applyBorder="1" applyAlignment="1">
      <alignment horizontal="center" vertical="center"/>
    </xf>
    <xf numFmtId="165" fontId="22118" fillId="8" borderId="1" xfId="0" applyNumberFormat="1" applyFont="1" applyFill="1" applyBorder="1" applyAlignment="1">
      <alignment horizontal="center" vertical="center"/>
    </xf>
    <xf numFmtId="2" fontId="22119" fillId="8" borderId="1" xfId="0" applyNumberFormat="1" applyFont="1" applyFill="1" applyBorder="1" applyAlignment="1">
      <alignment horizontal="center" vertical="center"/>
    </xf>
    <xf numFmtId="2" fontId="22120" fillId="8" borderId="1" xfId="0" applyNumberFormat="1" applyFont="1" applyFill="1" applyBorder="1" applyAlignment="1">
      <alignment horizontal="center" vertical="center"/>
    </xf>
    <xf numFmtId="2" fontId="22121" fillId="8" borderId="1" xfId="0" applyNumberFormat="1" applyFont="1" applyFill="1" applyBorder="1" applyAlignment="1">
      <alignment horizontal="center" vertical="center"/>
    </xf>
    <xf numFmtId="2" fontId="22122" fillId="8" borderId="1" xfId="0" applyNumberFormat="1" applyFont="1" applyFill="1" applyBorder="1" applyAlignment="1">
      <alignment horizontal="center" vertical="center"/>
    </xf>
    <xf numFmtId="2" fontId="22123" fillId="8" borderId="1" xfId="0" applyNumberFormat="1" applyFont="1" applyFill="1" applyBorder="1" applyAlignment="1">
      <alignment horizontal="center" vertical="center"/>
    </xf>
    <xf numFmtId="2" fontId="22124" fillId="8" borderId="1" xfId="0" applyNumberFormat="1" applyFont="1" applyFill="1" applyBorder="1" applyAlignment="1">
      <alignment horizontal="center" vertical="center"/>
    </xf>
    <xf numFmtId="2" fontId="22125" fillId="8" borderId="1" xfId="0" applyNumberFormat="1" applyFont="1" applyFill="1" applyBorder="1" applyAlignment="1">
      <alignment horizontal="center" vertical="center"/>
    </xf>
    <xf numFmtId="2" fontId="22126" fillId="8" borderId="1" xfId="0" applyNumberFormat="1" applyFont="1" applyFill="1" applyBorder="1" applyAlignment="1">
      <alignment horizontal="center" vertical="center"/>
    </xf>
    <xf numFmtId="2" fontId="22127" fillId="8" borderId="1" xfId="0" applyNumberFormat="1" applyFont="1" applyFill="1" applyBorder="1" applyAlignment="1">
      <alignment horizontal="center" vertical="center"/>
    </xf>
    <xf numFmtId="2" fontId="22128" fillId="8" borderId="1" xfId="0" applyNumberFormat="1" applyFont="1" applyFill="1" applyBorder="1" applyAlignment="1">
      <alignment horizontal="center" vertical="center"/>
    </xf>
    <xf numFmtId="2" fontId="22129" fillId="8" borderId="1" xfId="0" applyNumberFormat="1" applyFont="1" applyFill="1" applyBorder="1" applyAlignment="1">
      <alignment horizontal="center" vertical="center"/>
    </xf>
    <xf numFmtId="2" fontId="22130" fillId="8" borderId="1" xfId="0" applyNumberFormat="1" applyFont="1" applyFill="1" applyBorder="1" applyAlignment="1">
      <alignment horizontal="center" vertical="center"/>
    </xf>
    <xf numFmtId="2" fontId="22131" fillId="8" borderId="1" xfId="0" applyNumberFormat="1" applyFont="1" applyFill="1" applyBorder="1" applyAlignment="1">
      <alignment horizontal="center" vertical="center"/>
    </xf>
    <xf numFmtId="2" fontId="22132" fillId="8" borderId="1" xfId="0" applyNumberFormat="1" applyFont="1" applyFill="1" applyBorder="1" applyAlignment="1">
      <alignment horizontal="center" vertical="center"/>
    </xf>
    <xf numFmtId="2" fontId="22133" fillId="8" borderId="1" xfId="0" applyNumberFormat="1" applyFont="1" applyFill="1" applyBorder="1" applyAlignment="1">
      <alignment horizontal="center" vertical="center"/>
    </xf>
    <xf numFmtId="2" fontId="22134" fillId="8" borderId="1" xfId="0" applyNumberFormat="1" applyFont="1" applyFill="1" applyBorder="1" applyAlignment="1">
      <alignment horizontal="center" vertical="center"/>
    </xf>
    <xf numFmtId="2" fontId="22135" fillId="8" borderId="1" xfId="0" applyNumberFormat="1" applyFont="1" applyFill="1" applyBorder="1" applyAlignment="1">
      <alignment horizontal="center" vertical="center"/>
    </xf>
    <xf numFmtId="2" fontId="22136" fillId="8" borderId="1" xfId="0" applyNumberFormat="1" applyFont="1" applyFill="1" applyBorder="1" applyAlignment="1">
      <alignment horizontal="center" vertical="center"/>
    </xf>
    <xf numFmtId="2" fontId="22137" fillId="8" borderId="1" xfId="0" applyNumberFormat="1" applyFont="1" applyFill="1" applyBorder="1" applyAlignment="1">
      <alignment horizontal="center" vertical="center"/>
    </xf>
    <xf numFmtId="2" fontId="22138" fillId="8" borderId="1" xfId="0" applyNumberFormat="1" applyFont="1" applyFill="1" applyBorder="1" applyAlignment="1">
      <alignment horizontal="center" vertical="center"/>
    </xf>
    <xf numFmtId="2" fontId="22139" fillId="8" borderId="1" xfId="0" applyNumberFormat="1" applyFont="1" applyFill="1" applyBorder="1" applyAlignment="1">
      <alignment horizontal="center" vertical="center"/>
    </xf>
    <xf numFmtId="2" fontId="22140" fillId="8" borderId="1" xfId="0" applyNumberFormat="1" applyFont="1" applyFill="1" applyBorder="1" applyAlignment="1">
      <alignment horizontal="center" vertical="center"/>
    </xf>
    <xf numFmtId="2" fontId="22141" fillId="8" borderId="1" xfId="0" applyNumberFormat="1" applyFont="1" applyFill="1" applyBorder="1" applyAlignment="1">
      <alignment horizontal="center" vertical="center"/>
    </xf>
    <xf numFmtId="2" fontId="22142" fillId="8" borderId="1" xfId="0" applyNumberFormat="1" applyFont="1" applyFill="1" applyBorder="1" applyAlignment="1">
      <alignment horizontal="center" vertical="center"/>
    </xf>
    <xf numFmtId="2" fontId="22143" fillId="8" borderId="1" xfId="0" applyNumberFormat="1" applyFont="1" applyFill="1" applyBorder="1" applyAlignment="1">
      <alignment horizontal="center" vertical="center"/>
    </xf>
    <xf numFmtId="2" fontId="22144" fillId="8" borderId="1" xfId="0" applyNumberFormat="1" applyFont="1" applyFill="1" applyBorder="1" applyAlignment="1">
      <alignment horizontal="center" vertical="center"/>
    </xf>
    <xf numFmtId="2" fontId="22145" fillId="8" borderId="1" xfId="0" applyNumberFormat="1" applyFont="1" applyFill="1" applyBorder="1" applyAlignment="1">
      <alignment horizontal="center" vertical="center"/>
    </xf>
    <xf numFmtId="2" fontId="22146" fillId="8" borderId="1" xfId="0" applyNumberFormat="1" applyFont="1" applyFill="1" applyBorder="1" applyAlignment="1">
      <alignment horizontal="center" vertical="center"/>
    </xf>
    <xf numFmtId="2" fontId="22147" fillId="8" borderId="1" xfId="0" applyNumberFormat="1" applyFont="1" applyFill="1" applyBorder="1" applyAlignment="1">
      <alignment horizontal="center" vertical="center"/>
    </xf>
    <xf numFmtId="2" fontId="22148" fillId="8" borderId="1" xfId="0" applyNumberFormat="1" applyFont="1" applyFill="1" applyBorder="1" applyAlignment="1">
      <alignment horizontal="center" vertical="center"/>
    </xf>
    <xf numFmtId="2" fontId="22149" fillId="8" borderId="1" xfId="0" applyNumberFormat="1" applyFont="1" applyFill="1" applyBorder="1" applyAlignment="1">
      <alignment horizontal="center" vertical="center"/>
    </xf>
    <xf numFmtId="2" fontId="22150" fillId="8" borderId="1" xfId="0" applyNumberFormat="1" applyFont="1" applyFill="1" applyBorder="1" applyAlignment="1">
      <alignment horizontal="center" vertical="center"/>
    </xf>
    <xf numFmtId="2" fontId="22151" fillId="8" borderId="1" xfId="0" applyNumberFormat="1" applyFont="1" applyFill="1" applyBorder="1" applyAlignment="1">
      <alignment horizontal="center" vertical="center"/>
    </xf>
    <xf numFmtId="2" fontId="22152" fillId="8" borderId="1" xfId="0" applyNumberFormat="1" applyFont="1" applyFill="1" applyBorder="1" applyAlignment="1">
      <alignment horizontal="center" vertical="center"/>
    </xf>
    <xf numFmtId="0" fontId="22153" fillId="7" borderId="1" xfId="0" applyNumberFormat="1" applyFont="1" applyFill="1" applyBorder="1" applyAlignment="1">
      <alignment horizontal="left" vertical="center"/>
    </xf>
    <xf numFmtId="0" fontId="22154" fillId="8" borderId="1" xfId="0" applyNumberFormat="1" applyFont="1" applyFill="1" applyBorder="1" applyAlignment="1">
      <alignment horizontal="center" vertical="center"/>
    </xf>
    <xf numFmtId="164" fontId="22155" fillId="8" borderId="1" xfId="0" applyNumberFormat="1" applyFont="1" applyFill="1" applyBorder="1" applyAlignment="1">
      <alignment horizontal="center" vertical="center"/>
    </xf>
    <xf numFmtId="1" fontId="22156" fillId="8" borderId="1" xfId="0" applyNumberFormat="1" applyFont="1" applyFill="1" applyBorder="1" applyAlignment="1">
      <alignment horizontal="center" vertical="center"/>
    </xf>
    <xf numFmtId="1" fontId="22157" fillId="8" borderId="1" xfId="0" applyNumberFormat="1" applyFont="1" applyFill="1" applyBorder="1" applyAlignment="1">
      <alignment horizontal="center" vertical="center"/>
    </xf>
    <xf numFmtId="1" fontId="22158" fillId="8" borderId="1" xfId="0" applyNumberFormat="1" applyFont="1" applyFill="1" applyBorder="1" applyAlignment="1">
      <alignment horizontal="center" vertical="center"/>
    </xf>
    <xf numFmtId="1" fontId="22159" fillId="8" borderId="1" xfId="0" applyNumberFormat="1" applyFont="1" applyFill="1" applyBorder="1" applyAlignment="1">
      <alignment horizontal="center" vertical="center"/>
    </xf>
    <xf numFmtId="1" fontId="22160" fillId="8" borderId="1" xfId="0" applyNumberFormat="1" applyFont="1" applyFill="1" applyBorder="1" applyAlignment="1">
      <alignment horizontal="center" vertical="center"/>
    </xf>
    <xf numFmtId="1" fontId="22161" fillId="8" borderId="1" xfId="0" applyNumberFormat="1" applyFont="1" applyFill="1" applyBorder="1" applyAlignment="1">
      <alignment horizontal="center" vertical="center"/>
    </xf>
    <xf numFmtId="1" fontId="22162" fillId="8" borderId="1" xfId="0" applyNumberFormat="1" applyFont="1" applyFill="1" applyBorder="1" applyAlignment="1">
      <alignment horizontal="center" vertical="center"/>
    </xf>
    <xf numFmtId="0" fontId="22163" fillId="8" borderId="1" xfId="0" applyNumberFormat="1" applyFont="1" applyFill="1" applyBorder="1" applyAlignment="1">
      <alignment horizontal="center" vertical="center"/>
    </xf>
    <xf numFmtId="0" fontId="22164" fillId="8" borderId="1" xfId="0" applyNumberFormat="1" applyFont="1" applyFill="1" applyBorder="1" applyAlignment="1">
      <alignment horizontal="center" vertical="center"/>
    </xf>
    <xf numFmtId="1" fontId="22165" fillId="8" borderId="1" xfId="0" applyNumberFormat="1" applyFont="1" applyFill="1" applyBorder="1" applyAlignment="1">
      <alignment horizontal="center" vertical="center"/>
    </xf>
    <xf numFmtId="1" fontId="22166" fillId="8" borderId="1" xfId="0" applyNumberFormat="1" applyFont="1" applyFill="1" applyBorder="1" applyAlignment="1">
      <alignment horizontal="center" vertical="center"/>
    </xf>
    <xf numFmtId="1" fontId="22167" fillId="8" borderId="1" xfId="0" applyNumberFormat="1" applyFont="1" applyFill="1" applyBorder="1" applyAlignment="1">
      <alignment horizontal="center" vertical="center"/>
    </xf>
    <xf numFmtId="165" fontId="22168" fillId="8" borderId="1" xfId="0" applyNumberFormat="1" applyFont="1" applyFill="1" applyBorder="1" applyAlignment="1">
      <alignment horizontal="center" vertical="center"/>
    </xf>
    <xf numFmtId="1" fontId="22169" fillId="8" borderId="1" xfId="0" applyNumberFormat="1" applyFont="1" applyFill="1" applyBorder="1" applyAlignment="1">
      <alignment horizontal="center" vertical="center"/>
    </xf>
    <xf numFmtId="165" fontId="22170" fillId="8" borderId="1" xfId="0" applyNumberFormat="1" applyFont="1" applyFill="1" applyBorder="1" applyAlignment="1">
      <alignment horizontal="center" vertical="center"/>
    </xf>
    <xf numFmtId="1" fontId="22171" fillId="8" borderId="1" xfId="0" applyNumberFormat="1" applyFont="1" applyFill="1" applyBorder="1" applyAlignment="1">
      <alignment horizontal="center" vertical="center"/>
    </xf>
    <xf numFmtId="165" fontId="22172" fillId="8" borderId="1" xfId="0" applyNumberFormat="1" applyFont="1" applyFill="1" applyBorder="1" applyAlignment="1">
      <alignment horizontal="center" vertical="center"/>
    </xf>
    <xf numFmtId="1" fontId="22173" fillId="8" borderId="1" xfId="0" applyNumberFormat="1" applyFont="1" applyFill="1" applyBorder="1" applyAlignment="1">
      <alignment horizontal="center" vertical="center"/>
    </xf>
    <xf numFmtId="165" fontId="22174" fillId="8" borderId="1" xfId="0" applyNumberFormat="1" applyFont="1" applyFill="1" applyBorder="1" applyAlignment="1">
      <alignment horizontal="center" vertical="center"/>
    </xf>
    <xf numFmtId="165" fontId="22175" fillId="8" borderId="1" xfId="0" applyNumberFormat="1" applyFont="1" applyFill="1" applyBorder="1" applyAlignment="1">
      <alignment horizontal="center" vertical="center"/>
    </xf>
    <xf numFmtId="1" fontId="22176" fillId="8" borderId="1" xfId="0" applyNumberFormat="1" applyFont="1" applyFill="1" applyBorder="1" applyAlignment="1">
      <alignment horizontal="center" vertical="center"/>
    </xf>
    <xf numFmtId="1" fontId="22177" fillId="8" borderId="1" xfId="0" applyNumberFormat="1" applyFont="1" applyFill="1" applyBorder="1" applyAlignment="1">
      <alignment horizontal="center" vertical="center"/>
    </xf>
    <xf numFmtId="1" fontId="22178" fillId="8" borderId="1" xfId="0" applyNumberFormat="1" applyFont="1" applyFill="1" applyBorder="1" applyAlignment="1">
      <alignment horizontal="center" vertical="center"/>
    </xf>
    <xf numFmtId="165" fontId="22179" fillId="8" borderId="1" xfId="0" applyNumberFormat="1" applyFont="1" applyFill="1" applyBorder="1" applyAlignment="1">
      <alignment horizontal="center" vertical="center"/>
    </xf>
    <xf numFmtId="164" fontId="22180" fillId="8" borderId="1" xfId="0" applyNumberFormat="1" applyFont="1" applyFill="1" applyBorder="1" applyAlignment="1">
      <alignment horizontal="center" vertical="center"/>
    </xf>
    <xf numFmtId="164" fontId="22181" fillId="8" borderId="1" xfId="0" applyNumberFormat="1" applyFont="1" applyFill="1" applyBorder="1" applyAlignment="1">
      <alignment horizontal="center" vertical="center"/>
    </xf>
    <xf numFmtId="1" fontId="22182" fillId="8" borderId="1" xfId="0" applyNumberFormat="1" applyFont="1" applyFill="1" applyBorder="1" applyAlignment="1">
      <alignment horizontal="center" vertical="center"/>
    </xf>
    <xf numFmtId="1" fontId="22183" fillId="8" borderId="1" xfId="0" applyNumberFormat="1" applyFont="1" applyFill="1" applyBorder="1" applyAlignment="1">
      <alignment horizontal="center" vertical="center"/>
    </xf>
    <xf numFmtId="1" fontId="22184" fillId="8" borderId="1" xfId="0" applyNumberFormat="1" applyFont="1" applyFill="1" applyBorder="1" applyAlignment="1">
      <alignment horizontal="center" vertical="center"/>
    </xf>
    <xf numFmtId="165" fontId="22185" fillId="8" borderId="1" xfId="0" applyNumberFormat="1" applyFont="1" applyFill="1" applyBorder="1" applyAlignment="1">
      <alignment horizontal="center" vertical="center"/>
    </xf>
    <xf numFmtId="1" fontId="22186" fillId="8" borderId="1" xfId="0" applyNumberFormat="1" applyFont="1" applyFill="1" applyBorder="1" applyAlignment="1">
      <alignment horizontal="center" vertical="center"/>
    </xf>
    <xf numFmtId="165" fontId="22187" fillId="8" borderId="1" xfId="0" applyNumberFormat="1" applyFont="1" applyFill="1" applyBorder="1" applyAlignment="1">
      <alignment horizontal="center" vertical="center"/>
    </xf>
    <xf numFmtId="1" fontId="22188" fillId="8" borderId="1" xfId="0" applyNumberFormat="1" applyFont="1" applyFill="1" applyBorder="1" applyAlignment="1">
      <alignment horizontal="center" vertical="center"/>
    </xf>
    <xf numFmtId="1" fontId="22189" fillId="8" borderId="1" xfId="0" applyNumberFormat="1" applyFont="1" applyFill="1" applyBorder="1" applyAlignment="1">
      <alignment horizontal="center" vertical="center"/>
    </xf>
    <xf numFmtId="1" fontId="22190" fillId="8" borderId="1" xfId="0" applyNumberFormat="1" applyFont="1" applyFill="1" applyBorder="1" applyAlignment="1">
      <alignment horizontal="center" vertical="center"/>
    </xf>
    <xf numFmtId="1" fontId="22191" fillId="8" borderId="1" xfId="0" applyNumberFormat="1" applyFont="1" applyFill="1" applyBorder="1" applyAlignment="1">
      <alignment horizontal="center" vertical="center"/>
    </xf>
    <xf numFmtId="165" fontId="22192" fillId="8" borderId="1" xfId="0" applyNumberFormat="1" applyFont="1" applyFill="1" applyBorder="1" applyAlignment="1">
      <alignment horizontal="center" vertical="center"/>
    </xf>
    <xf numFmtId="1" fontId="22193" fillId="8" borderId="1" xfId="0" applyNumberFormat="1" applyFont="1" applyFill="1" applyBorder="1" applyAlignment="1">
      <alignment horizontal="center" vertical="center"/>
    </xf>
    <xf numFmtId="165" fontId="22194" fillId="8" borderId="1" xfId="0" applyNumberFormat="1" applyFont="1" applyFill="1" applyBorder="1" applyAlignment="1">
      <alignment horizontal="center" vertical="center"/>
    </xf>
    <xf numFmtId="1" fontId="22195" fillId="8" borderId="1" xfId="0" applyNumberFormat="1" applyFont="1" applyFill="1" applyBorder="1" applyAlignment="1">
      <alignment horizontal="center" vertical="center"/>
    </xf>
    <xf numFmtId="165" fontId="22196" fillId="8" borderId="1" xfId="0" applyNumberFormat="1" applyFont="1" applyFill="1" applyBorder="1" applyAlignment="1">
      <alignment horizontal="center" vertical="center"/>
    </xf>
    <xf numFmtId="2" fontId="22197" fillId="8" borderId="1" xfId="0" applyNumberFormat="1" applyFont="1" applyFill="1" applyBorder="1" applyAlignment="1">
      <alignment horizontal="center" vertical="center"/>
    </xf>
    <xf numFmtId="2" fontId="22198" fillId="8" borderId="1" xfId="0" applyNumberFormat="1" applyFont="1" applyFill="1" applyBorder="1" applyAlignment="1">
      <alignment horizontal="center" vertical="center"/>
    </xf>
    <xf numFmtId="2" fontId="22199" fillId="8" borderId="1" xfId="0" applyNumberFormat="1" applyFont="1" applyFill="1" applyBorder="1" applyAlignment="1">
      <alignment horizontal="center" vertical="center"/>
    </xf>
    <xf numFmtId="2" fontId="22200" fillId="8" borderId="1" xfId="0" applyNumberFormat="1" applyFont="1" applyFill="1" applyBorder="1" applyAlignment="1">
      <alignment horizontal="center" vertical="center"/>
    </xf>
    <xf numFmtId="2" fontId="22201" fillId="8" borderId="1" xfId="0" applyNumberFormat="1" applyFont="1" applyFill="1" applyBorder="1" applyAlignment="1">
      <alignment horizontal="center" vertical="center"/>
    </xf>
    <xf numFmtId="2" fontId="22202" fillId="8" borderId="1" xfId="0" applyNumberFormat="1" applyFont="1" applyFill="1" applyBorder="1" applyAlignment="1">
      <alignment horizontal="center" vertical="center"/>
    </xf>
    <xf numFmtId="2" fontId="22203" fillId="8" borderId="1" xfId="0" applyNumberFormat="1" applyFont="1" applyFill="1" applyBorder="1" applyAlignment="1">
      <alignment horizontal="center" vertical="center"/>
    </xf>
    <xf numFmtId="2" fontId="22204" fillId="8" borderId="1" xfId="0" applyNumberFormat="1" applyFont="1" applyFill="1" applyBorder="1" applyAlignment="1">
      <alignment horizontal="center" vertical="center"/>
    </xf>
    <xf numFmtId="2" fontId="22205" fillId="8" borderId="1" xfId="0" applyNumberFormat="1" applyFont="1" applyFill="1" applyBorder="1" applyAlignment="1">
      <alignment horizontal="center" vertical="center"/>
    </xf>
    <xf numFmtId="2" fontId="22206" fillId="8" borderId="1" xfId="0" applyNumberFormat="1" applyFont="1" applyFill="1" applyBorder="1" applyAlignment="1">
      <alignment horizontal="center" vertical="center"/>
    </xf>
    <xf numFmtId="2" fontId="22207" fillId="8" borderId="1" xfId="0" applyNumberFormat="1" applyFont="1" applyFill="1" applyBorder="1" applyAlignment="1">
      <alignment horizontal="center" vertical="center"/>
    </xf>
    <xf numFmtId="2" fontId="22208" fillId="8" borderId="1" xfId="0" applyNumberFormat="1" applyFont="1" applyFill="1" applyBorder="1" applyAlignment="1">
      <alignment horizontal="center" vertical="center"/>
    </xf>
    <xf numFmtId="2" fontId="22209" fillId="8" borderId="1" xfId="0" applyNumberFormat="1" applyFont="1" applyFill="1" applyBorder="1" applyAlignment="1">
      <alignment horizontal="center" vertical="center"/>
    </xf>
    <xf numFmtId="2" fontId="22210" fillId="8" borderId="1" xfId="0" applyNumberFormat="1" applyFont="1" applyFill="1" applyBorder="1" applyAlignment="1">
      <alignment horizontal="center" vertical="center"/>
    </xf>
    <xf numFmtId="2" fontId="22211" fillId="8" borderId="1" xfId="0" applyNumberFormat="1" applyFont="1" applyFill="1" applyBorder="1" applyAlignment="1">
      <alignment horizontal="center" vertical="center"/>
    </xf>
    <xf numFmtId="2" fontId="22212" fillId="8" borderId="1" xfId="0" applyNumberFormat="1" applyFont="1" applyFill="1" applyBorder="1" applyAlignment="1">
      <alignment horizontal="center" vertical="center"/>
    </xf>
    <xf numFmtId="2" fontId="22213" fillId="8" borderId="1" xfId="0" applyNumberFormat="1" applyFont="1" applyFill="1" applyBorder="1" applyAlignment="1">
      <alignment horizontal="center" vertical="center"/>
    </xf>
    <xf numFmtId="2" fontId="22214" fillId="8" borderId="1" xfId="0" applyNumberFormat="1" applyFont="1" applyFill="1" applyBorder="1" applyAlignment="1">
      <alignment horizontal="center" vertical="center"/>
    </xf>
    <xf numFmtId="2" fontId="22215" fillId="8" borderId="1" xfId="0" applyNumberFormat="1" applyFont="1" applyFill="1" applyBorder="1" applyAlignment="1">
      <alignment horizontal="center" vertical="center"/>
    </xf>
    <xf numFmtId="2" fontId="22216" fillId="8" borderId="1" xfId="0" applyNumberFormat="1" applyFont="1" applyFill="1" applyBorder="1" applyAlignment="1">
      <alignment horizontal="center" vertical="center"/>
    </xf>
    <xf numFmtId="2" fontId="22217" fillId="8" borderId="1" xfId="0" applyNumberFormat="1" applyFont="1" applyFill="1" applyBorder="1" applyAlignment="1">
      <alignment horizontal="center" vertical="center"/>
    </xf>
    <xf numFmtId="2" fontId="22218" fillId="8" borderId="1" xfId="0" applyNumberFormat="1" applyFont="1" applyFill="1" applyBorder="1" applyAlignment="1">
      <alignment horizontal="center" vertical="center"/>
    </xf>
    <xf numFmtId="2" fontId="22219" fillId="8" borderId="1" xfId="0" applyNumberFormat="1" applyFont="1" applyFill="1" applyBorder="1" applyAlignment="1">
      <alignment horizontal="center" vertical="center"/>
    </xf>
    <xf numFmtId="2" fontId="22220" fillId="8" borderId="1" xfId="0" applyNumberFormat="1" applyFont="1" applyFill="1" applyBorder="1" applyAlignment="1">
      <alignment horizontal="center" vertical="center"/>
    </xf>
    <xf numFmtId="2" fontId="22221" fillId="8" borderId="1" xfId="0" applyNumberFormat="1" applyFont="1" applyFill="1" applyBorder="1" applyAlignment="1">
      <alignment horizontal="center" vertical="center"/>
    </xf>
    <xf numFmtId="2" fontId="22222" fillId="8" borderId="1" xfId="0" applyNumberFormat="1" applyFont="1" applyFill="1" applyBorder="1" applyAlignment="1">
      <alignment horizontal="center" vertical="center"/>
    </xf>
    <xf numFmtId="2" fontId="22223" fillId="8" borderId="1" xfId="0" applyNumberFormat="1" applyFont="1" applyFill="1" applyBorder="1" applyAlignment="1">
      <alignment horizontal="center" vertical="center"/>
    </xf>
    <xf numFmtId="2" fontId="22224" fillId="8" borderId="1" xfId="0" applyNumberFormat="1" applyFont="1" applyFill="1" applyBorder="1" applyAlignment="1">
      <alignment horizontal="center" vertical="center"/>
    </xf>
    <xf numFmtId="2" fontId="22225" fillId="8" borderId="1" xfId="0" applyNumberFormat="1" applyFont="1" applyFill="1" applyBorder="1" applyAlignment="1">
      <alignment horizontal="center" vertical="center"/>
    </xf>
    <xf numFmtId="2" fontId="22226" fillId="8" borderId="1" xfId="0" applyNumberFormat="1" applyFont="1" applyFill="1" applyBorder="1" applyAlignment="1">
      <alignment horizontal="center" vertical="center"/>
    </xf>
    <xf numFmtId="2" fontId="22227" fillId="8" borderId="1" xfId="0" applyNumberFormat="1" applyFont="1" applyFill="1" applyBorder="1" applyAlignment="1">
      <alignment horizontal="center" vertical="center"/>
    </xf>
    <xf numFmtId="2" fontId="22228" fillId="8" borderId="1" xfId="0" applyNumberFormat="1" applyFont="1" applyFill="1" applyBorder="1" applyAlignment="1">
      <alignment horizontal="center" vertical="center"/>
    </xf>
    <xf numFmtId="2" fontId="22229" fillId="8" borderId="1" xfId="0" applyNumberFormat="1" applyFont="1" applyFill="1" applyBorder="1" applyAlignment="1">
      <alignment horizontal="center" vertical="center"/>
    </xf>
    <xf numFmtId="2" fontId="22230" fillId="8" borderId="1" xfId="0" applyNumberFormat="1" applyFont="1" applyFill="1" applyBorder="1" applyAlignment="1">
      <alignment horizontal="center" vertical="center"/>
    </xf>
    <xf numFmtId="0" fontId="22231" fillId="7" borderId="1" xfId="0" applyNumberFormat="1" applyFont="1" applyFill="1" applyBorder="1" applyAlignment="1">
      <alignment horizontal="left" vertical="center"/>
    </xf>
    <xf numFmtId="0" fontId="22232" fillId="8" borderId="1" xfId="0" applyNumberFormat="1" applyFont="1" applyFill="1" applyBorder="1" applyAlignment="1">
      <alignment horizontal="center" vertical="center"/>
    </xf>
    <xf numFmtId="164" fontId="22233" fillId="8" borderId="1" xfId="0" applyNumberFormat="1" applyFont="1" applyFill="1" applyBorder="1" applyAlignment="1">
      <alignment horizontal="center" vertical="center"/>
    </xf>
    <xf numFmtId="1" fontId="22234" fillId="8" borderId="1" xfId="0" applyNumberFormat="1" applyFont="1" applyFill="1" applyBorder="1" applyAlignment="1">
      <alignment horizontal="center" vertical="center"/>
    </xf>
    <xf numFmtId="1" fontId="22235" fillId="8" borderId="1" xfId="0" applyNumberFormat="1" applyFont="1" applyFill="1" applyBorder="1" applyAlignment="1">
      <alignment horizontal="center" vertical="center"/>
    </xf>
    <xf numFmtId="1" fontId="22236" fillId="8" borderId="1" xfId="0" applyNumberFormat="1" applyFont="1" applyFill="1" applyBorder="1" applyAlignment="1">
      <alignment horizontal="center" vertical="center"/>
    </xf>
    <xf numFmtId="1" fontId="22237" fillId="8" borderId="1" xfId="0" applyNumberFormat="1" applyFont="1" applyFill="1" applyBorder="1" applyAlignment="1">
      <alignment horizontal="center" vertical="center"/>
    </xf>
    <xf numFmtId="1" fontId="22238" fillId="8" borderId="1" xfId="0" applyNumberFormat="1" applyFont="1" applyFill="1" applyBorder="1" applyAlignment="1">
      <alignment horizontal="center" vertical="center"/>
    </xf>
    <xf numFmtId="1" fontId="22239" fillId="8" borderId="1" xfId="0" applyNumberFormat="1" applyFont="1" applyFill="1" applyBorder="1" applyAlignment="1">
      <alignment horizontal="center" vertical="center"/>
    </xf>
    <xf numFmtId="1" fontId="22240" fillId="8" borderId="1" xfId="0" applyNumberFormat="1" applyFont="1" applyFill="1" applyBorder="1" applyAlignment="1">
      <alignment horizontal="center" vertical="center"/>
    </xf>
    <xf numFmtId="0" fontId="22241" fillId="8" borderId="1" xfId="0" applyNumberFormat="1" applyFont="1" applyFill="1" applyBorder="1" applyAlignment="1">
      <alignment horizontal="center" vertical="center"/>
    </xf>
    <xf numFmtId="0" fontId="22242" fillId="8" borderId="1" xfId="0" applyNumberFormat="1" applyFont="1" applyFill="1" applyBorder="1" applyAlignment="1">
      <alignment horizontal="center" vertical="center"/>
    </xf>
    <xf numFmtId="1" fontId="22243" fillId="8" borderId="1" xfId="0" applyNumberFormat="1" applyFont="1" applyFill="1" applyBorder="1" applyAlignment="1">
      <alignment horizontal="center" vertical="center"/>
    </xf>
    <xf numFmtId="1" fontId="22244" fillId="8" borderId="1" xfId="0" applyNumberFormat="1" applyFont="1" applyFill="1" applyBorder="1" applyAlignment="1">
      <alignment horizontal="center" vertical="center"/>
    </xf>
    <xf numFmtId="1" fontId="22245" fillId="8" borderId="1" xfId="0" applyNumberFormat="1" applyFont="1" applyFill="1" applyBorder="1" applyAlignment="1">
      <alignment horizontal="center" vertical="center"/>
    </xf>
    <xf numFmtId="165" fontId="22246" fillId="8" borderId="1" xfId="0" applyNumberFormat="1" applyFont="1" applyFill="1" applyBorder="1" applyAlignment="1">
      <alignment horizontal="center" vertical="center"/>
    </xf>
    <xf numFmtId="1" fontId="22247" fillId="8" borderId="1" xfId="0" applyNumberFormat="1" applyFont="1" applyFill="1" applyBorder="1" applyAlignment="1">
      <alignment horizontal="center" vertical="center"/>
    </xf>
    <xf numFmtId="165" fontId="22248" fillId="8" borderId="1" xfId="0" applyNumberFormat="1" applyFont="1" applyFill="1" applyBorder="1" applyAlignment="1">
      <alignment horizontal="center" vertical="center"/>
    </xf>
    <xf numFmtId="1" fontId="22249" fillId="8" borderId="1" xfId="0" applyNumberFormat="1" applyFont="1" applyFill="1" applyBorder="1" applyAlignment="1">
      <alignment horizontal="center" vertical="center"/>
    </xf>
    <xf numFmtId="165" fontId="22250" fillId="8" borderId="1" xfId="0" applyNumberFormat="1" applyFont="1" applyFill="1" applyBorder="1" applyAlignment="1">
      <alignment horizontal="center" vertical="center"/>
    </xf>
    <xf numFmtId="1" fontId="22251" fillId="8" borderId="1" xfId="0" applyNumberFormat="1" applyFont="1" applyFill="1" applyBorder="1" applyAlignment="1">
      <alignment horizontal="center" vertical="center"/>
    </xf>
    <xf numFmtId="165" fontId="22252" fillId="8" borderId="1" xfId="0" applyNumberFormat="1" applyFont="1" applyFill="1" applyBorder="1" applyAlignment="1">
      <alignment horizontal="center" vertical="center"/>
    </xf>
    <xf numFmtId="165" fontId="22253" fillId="8" borderId="1" xfId="0" applyNumberFormat="1" applyFont="1" applyFill="1" applyBorder="1" applyAlignment="1">
      <alignment horizontal="center" vertical="center"/>
    </xf>
    <xf numFmtId="1" fontId="22254" fillId="8" borderId="1" xfId="0" applyNumberFormat="1" applyFont="1" applyFill="1" applyBorder="1" applyAlignment="1">
      <alignment horizontal="center" vertical="center"/>
    </xf>
    <xf numFmtId="1" fontId="22255" fillId="8" borderId="1" xfId="0" applyNumberFormat="1" applyFont="1" applyFill="1" applyBorder="1" applyAlignment="1">
      <alignment horizontal="center" vertical="center"/>
    </xf>
    <xf numFmtId="1" fontId="22256" fillId="8" borderId="1" xfId="0" applyNumberFormat="1" applyFont="1" applyFill="1" applyBorder="1" applyAlignment="1">
      <alignment horizontal="center" vertical="center"/>
    </xf>
    <xf numFmtId="165" fontId="22257" fillId="8" borderId="1" xfId="0" applyNumberFormat="1" applyFont="1" applyFill="1" applyBorder="1" applyAlignment="1">
      <alignment horizontal="center" vertical="center"/>
    </xf>
    <xf numFmtId="164" fontId="22258" fillId="8" borderId="1" xfId="0" applyNumberFormat="1" applyFont="1" applyFill="1" applyBorder="1" applyAlignment="1">
      <alignment horizontal="center" vertical="center"/>
    </xf>
    <xf numFmtId="164" fontId="22259" fillId="8" borderId="1" xfId="0" applyNumberFormat="1" applyFont="1" applyFill="1" applyBorder="1" applyAlignment="1">
      <alignment horizontal="center" vertical="center"/>
    </xf>
    <xf numFmtId="1" fontId="22260" fillId="8" borderId="1" xfId="0" applyNumberFormat="1" applyFont="1" applyFill="1" applyBorder="1" applyAlignment="1">
      <alignment horizontal="center" vertical="center"/>
    </xf>
    <xf numFmtId="1" fontId="22261" fillId="8" borderId="1" xfId="0" applyNumberFormat="1" applyFont="1" applyFill="1" applyBorder="1" applyAlignment="1">
      <alignment horizontal="center" vertical="center"/>
    </xf>
    <xf numFmtId="1" fontId="22262" fillId="8" borderId="1" xfId="0" applyNumberFormat="1" applyFont="1" applyFill="1" applyBorder="1" applyAlignment="1">
      <alignment horizontal="center" vertical="center"/>
    </xf>
    <xf numFmtId="165" fontId="22263" fillId="8" borderId="1" xfId="0" applyNumberFormat="1" applyFont="1" applyFill="1" applyBorder="1" applyAlignment="1">
      <alignment horizontal="center" vertical="center"/>
    </xf>
    <xf numFmtId="1" fontId="22264" fillId="8" borderId="1" xfId="0" applyNumberFormat="1" applyFont="1" applyFill="1" applyBorder="1" applyAlignment="1">
      <alignment horizontal="center" vertical="center"/>
    </xf>
    <xf numFmtId="165" fontId="22265" fillId="8" borderId="1" xfId="0" applyNumberFormat="1" applyFont="1" applyFill="1" applyBorder="1" applyAlignment="1">
      <alignment horizontal="center" vertical="center"/>
    </xf>
    <xf numFmtId="1" fontId="22266" fillId="8" borderId="1" xfId="0" applyNumberFormat="1" applyFont="1" applyFill="1" applyBorder="1" applyAlignment="1">
      <alignment horizontal="center" vertical="center"/>
    </xf>
    <xf numFmtId="1" fontId="22267" fillId="8" borderId="1" xfId="0" applyNumberFormat="1" applyFont="1" applyFill="1" applyBorder="1" applyAlignment="1">
      <alignment horizontal="center" vertical="center"/>
    </xf>
    <xf numFmtId="1" fontId="22268" fillId="8" borderId="1" xfId="0" applyNumberFormat="1" applyFont="1" applyFill="1" applyBorder="1" applyAlignment="1">
      <alignment horizontal="center" vertical="center"/>
    </xf>
    <xf numFmtId="1" fontId="22269" fillId="8" borderId="1" xfId="0" applyNumberFormat="1" applyFont="1" applyFill="1" applyBorder="1" applyAlignment="1">
      <alignment horizontal="center" vertical="center"/>
    </xf>
    <xf numFmtId="165" fontId="22270" fillId="8" borderId="1" xfId="0" applyNumberFormat="1" applyFont="1" applyFill="1" applyBorder="1" applyAlignment="1">
      <alignment horizontal="center" vertical="center"/>
    </xf>
    <xf numFmtId="1" fontId="22271" fillId="8" borderId="1" xfId="0" applyNumberFormat="1" applyFont="1" applyFill="1" applyBorder="1" applyAlignment="1">
      <alignment horizontal="center" vertical="center"/>
    </xf>
    <xf numFmtId="165" fontId="22272" fillId="8" borderId="1" xfId="0" applyNumberFormat="1" applyFont="1" applyFill="1" applyBorder="1" applyAlignment="1">
      <alignment horizontal="center" vertical="center"/>
    </xf>
    <xf numFmtId="1" fontId="22273" fillId="8" borderId="1" xfId="0" applyNumberFormat="1" applyFont="1" applyFill="1" applyBorder="1" applyAlignment="1">
      <alignment horizontal="center" vertical="center"/>
    </xf>
    <xf numFmtId="165" fontId="22274" fillId="8" borderId="1" xfId="0" applyNumberFormat="1" applyFont="1" applyFill="1" applyBorder="1" applyAlignment="1">
      <alignment horizontal="center" vertical="center"/>
    </xf>
    <xf numFmtId="2" fontId="22275" fillId="8" borderId="1" xfId="0" applyNumberFormat="1" applyFont="1" applyFill="1" applyBorder="1" applyAlignment="1">
      <alignment horizontal="center" vertical="center"/>
    </xf>
    <xf numFmtId="2" fontId="22276" fillId="8" borderId="1" xfId="0" applyNumberFormat="1" applyFont="1" applyFill="1" applyBorder="1" applyAlignment="1">
      <alignment horizontal="center" vertical="center"/>
    </xf>
    <xf numFmtId="2" fontId="22277" fillId="8" borderId="1" xfId="0" applyNumberFormat="1" applyFont="1" applyFill="1" applyBorder="1" applyAlignment="1">
      <alignment horizontal="center" vertical="center"/>
    </xf>
    <xf numFmtId="2" fontId="22278" fillId="8" borderId="1" xfId="0" applyNumberFormat="1" applyFont="1" applyFill="1" applyBorder="1" applyAlignment="1">
      <alignment horizontal="center" vertical="center"/>
    </xf>
    <xf numFmtId="2" fontId="22279" fillId="8" borderId="1" xfId="0" applyNumberFormat="1" applyFont="1" applyFill="1" applyBorder="1" applyAlignment="1">
      <alignment horizontal="center" vertical="center"/>
    </xf>
    <xf numFmtId="2" fontId="22280" fillId="8" borderId="1" xfId="0" applyNumberFormat="1" applyFont="1" applyFill="1" applyBorder="1" applyAlignment="1">
      <alignment horizontal="center" vertical="center"/>
    </xf>
    <xf numFmtId="2" fontId="22281" fillId="8" borderId="1" xfId="0" applyNumberFormat="1" applyFont="1" applyFill="1" applyBorder="1" applyAlignment="1">
      <alignment horizontal="center" vertical="center"/>
    </xf>
    <xf numFmtId="2" fontId="22282" fillId="8" borderId="1" xfId="0" applyNumberFormat="1" applyFont="1" applyFill="1" applyBorder="1" applyAlignment="1">
      <alignment horizontal="center" vertical="center"/>
    </xf>
    <xf numFmtId="2" fontId="22283" fillId="8" borderId="1" xfId="0" applyNumberFormat="1" applyFont="1" applyFill="1" applyBorder="1" applyAlignment="1">
      <alignment horizontal="center" vertical="center"/>
    </xf>
    <xf numFmtId="2" fontId="22284" fillId="8" borderId="1" xfId="0" applyNumberFormat="1" applyFont="1" applyFill="1" applyBorder="1" applyAlignment="1">
      <alignment horizontal="center" vertical="center"/>
    </xf>
    <xf numFmtId="2" fontId="22285" fillId="8" borderId="1" xfId="0" applyNumberFormat="1" applyFont="1" applyFill="1" applyBorder="1" applyAlignment="1">
      <alignment horizontal="center" vertical="center"/>
    </xf>
    <xf numFmtId="2" fontId="22286" fillId="8" borderId="1" xfId="0" applyNumberFormat="1" applyFont="1" applyFill="1" applyBorder="1" applyAlignment="1">
      <alignment horizontal="center" vertical="center"/>
    </xf>
    <xf numFmtId="2" fontId="22287" fillId="8" borderId="1" xfId="0" applyNumberFormat="1" applyFont="1" applyFill="1" applyBorder="1" applyAlignment="1">
      <alignment horizontal="center" vertical="center"/>
    </xf>
    <xf numFmtId="2" fontId="22288" fillId="8" borderId="1" xfId="0" applyNumberFormat="1" applyFont="1" applyFill="1" applyBorder="1" applyAlignment="1">
      <alignment horizontal="center" vertical="center"/>
    </xf>
    <xf numFmtId="2" fontId="22289" fillId="8" borderId="1" xfId="0" applyNumberFormat="1" applyFont="1" applyFill="1" applyBorder="1" applyAlignment="1">
      <alignment horizontal="center" vertical="center"/>
    </xf>
    <xf numFmtId="2" fontId="22290" fillId="8" borderId="1" xfId="0" applyNumberFormat="1" applyFont="1" applyFill="1" applyBorder="1" applyAlignment="1">
      <alignment horizontal="center" vertical="center"/>
    </xf>
    <xf numFmtId="2" fontId="22291" fillId="8" borderId="1" xfId="0" applyNumberFormat="1" applyFont="1" applyFill="1" applyBorder="1" applyAlignment="1">
      <alignment horizontal="center" vertical="center"/>
    </xf>
    <xf numFmtId="2" fontId="22292" fillId="8" borderId="1" xfId="0" applyNumberFormat="1" applyFont="1" applyFill="1" applyBorder="1" applyAlignment="1">
      <alignment horizontal="center" vertical="center"/>
    </xf>
    <xf numFmtId="2" fontId="22293" fillId="8" borderId="1" xfId="0" applyNumberFormat="1" applyFont="1" applyFill="1" applyBorder="1" applyAlignment="1">
      <alignment horizontal="center" vertical="center"/>
    </xf>
    <xf numFmtId="2" fontId="22294" fillId="8" borderId="1" xfId="0" applyNumberFormat="1" applyFont="1" applyFill="1" applyBorder="1" applyAlignment="1">
      <alignment horizontal="center" vertical="center"/>
    </xf>
    <xf numFmtId="2" fontId="22295" fillId="8" borderId="1" xfId="0" applyNumberFormat="1" applyFont="1" applyFill="1" applyBorder="1" applyAlignment="1">
      <alignment horizontal="center" vertical="center"/>
    </xf>
    <xf numFmtId="2" fontId="22296" fillId="8" borderId="1" xfId="0" applyNumberFormat="1" applyFont="1" applyFill="1" applyBorder="1" applyAlignment="1">
      <alignment horizontal="center" vertical="center"/>
    </xf>
    <xf numFmtId="2" fontId="22297" fillId="8" borderId="1" xfId="0" applyNumberFormat="1" applyFont="1" applyFill="1" applyBorder="1" applyAlignment="1">
      <alignment horizontal="center" vertical="center"/>
    </xf>
    <xf numFmtId="2" fontId="22298" fillId="8" borderId="1" xfId="0" applyNumberFormat="1" applyFont="1" applyFill="1" applyBorder="1" applyAlignment="1">
      <alignment horizontal="center" vertical="center"/>
    </xf>
    <xf numFmtId="2" fontId="22299" fillId="8" borderId="1" xfId="0" applyNumberFormat="1" applyFont="1" applyFill="1" applyBorder="1" applyAlignment="1">
      <alignment horizontal="center" vertical="center"/>
    </xf>
    <xf numFmtId="2" fontId="22300" fillId="8" borderId="1" xfId="0" applyNumberFormat="1" applyFont="1" applyFill="1" applyBorder="1" applyAlignment="1">
      <alignment horizontal="center" vertical="center"/>
    </xf>
    <xf numFmtId="2" fontId="22301" fillId="8" borderId="1" xfId="0" applyNumberFormat="1" applyFont="1" applyFill="1" applyBorder="1" applyAlignment="1">
      <alignment horizontal="center" vertical="center"/>
    </xf>
    <xf numFmtId="2" fontId="22302" fillId="8" borderId="1" xfId="0" applyNumberFormat="1" applyFont="1" applyFill="1" applyBorder="1" applyAlignment="1">
      <alignment horizontal="center" vertical="center"/>
    </xf>
    <xf numFmtId="2" fontId="22303" fillId="8" borderId="1" xfId="0" applyNumberFormat="1" applyFont="1" applyFill="1" applyBorder="1" applyAlignment="1">
      <alignment horizontal="center" vertical="center"/>
    </xf>
    <xf numFmtId="2" fontId="22304" fillId="8" borderId="1" xfId="0" applyNumberFormat="1" applyFont="1" applyFill="1" applyBorder="1" applyAlignment="1">
      <alignment horizontal="center" vertical="center"/>
    </xf>
    <xf numFmtId="2" fontId="22305" fillId="8" borderId="1" xfId="0" applyNumberFormat="1" applyFont="1" applyFill="1" applyBorder="1" applyAlignment="1">
      <alignment horizontal="center" vertical="center"/>
    </xf>
    <xf numFmtId="2" fontId="22306" fillId="8" borderId="1" xfId="0" applyNumberFormat="1" applyFont="1" applyFill="1" applyBorder="1" applyAlignment="1">
      <alignment horizontal="center" vertical="center"/>
    </xf>
    <xf numFmtId="2" fontId="22307" fillId="8" borderId="1" xfId="0" applyNumberFormat="1" applyFont="1" applyFill="1" applyBorder="1" applyAlignment="1">
      <alignment horizontal="center" vertical="center"/>
    </xf>
    <xf numFmtId="2" fontId="22308" fillId="8" borderId="1" xfId="0" applyNumberFormat="1" applyFont="1" applyFill="1" applyBorder="1" applyAlignment="1">
      <alignment horizontal="center" vertical="center"/>
    </xf>
    <xf numFmtId="0" fontId="22309" fillId="7" borderId="1" xfId="0" applyNumberFormat="1" applyFont="1" applyFill="1" applyBorder="1" applyAlignment="1">
      <alignment horizontal="left" vertical="center"/>
    </xf>
    <xf numFmtId="0" fontId="22310" fillId="8" borderId="1" xfId="0" applyNumberFormat="1" applyFont="1" applyFill="1" applyBorder="1" applyAlignment="1">
      <alignment horizontal="center" vertical="center"/>
    </xf>
    <xf numFmtId="164" fontId="22311" fillId="8" borderId="1" xfId="0" applyNumberFormat="1" applyFont="1" applyFill="1" applyBorder="1" applyAlignment="1">
      <alignment horizontal="center" vertical="center"/>
    </xf>
    <xf numFmtId="1" fontId="22312" fillId="8" borderId="1" xfId="0" applyNumberFormat="1" applyFont="1" applyFill="1" applyBorder="1" applyAlignment="1">
      <alignment horizontal="center" vertical="center"/>
    </xf>
    <xf numFmtId="1" fontId="22313" fillId="8" borderId="1" xfId="0" applyNumberFormat="1" applyFont="1" applyFill="1" applyBorder="1" applyAlignment="1">
      <alignment horizontal="center" vertical="center"/>
    </xf>
    <xf numFmtId="1" fontId="22314" fillId="8" borderId="1" xfId="0" applyNumberFormat="1" applyFont="1" applyFill="1" applyBorder="1" applyAlignment="1">
      <alignment horizontal="center" vertical="center"/>
    </xf>
    <xf numFmtId="1" fontId="22315" fillId="8" borderId="1" xfId="0" applyNumberFormat="1" applyFont="1" applyFill="1" applyBorder="1" applyAlignment="1">
      <alignment horizontal="center" vertical="center"/>
    </xf>
    <xf numFmtId="1" fontId="22316" fillId="8" borderId="1" xfId="0" applyNumberFormat="1" applyFont="1" applyFill="1" applyBorder="1" applyAlignment="1">
      <alignment horizontal="center" vertical="center"/>
    </xf>
    <xf numFmtId="1" fontId="22317" fillId="8" borderId="1" xfId="0" applyNumberFormat="1" applyFont="1" applyFill="1" applyBorder="1" applyAlignment="1">
      <alignment horizontal="center" vertical="center"/>
    </xf>
    <xf numFmtId="1" fontId="22318" fillId="8" borderId="1" xfId="0" applyNumberFormat="1" applyFont="1" applyFill="1" applyBorder="1" applyAlignment="1">
      <alignment horizontal="center" vertical="center"/>
    </xf>
    <xf numFmtId="0" fontId="22319" fillId="8" borderId="1" xfId="0" applyNumberFormat="1" applyFont="1" applyFill="1" applyBorder="1" applyAlignment="1">
      <alignment horizontal="center" vertical="center"/>
    </xf>
    <xf numFmtId="0" fontId="22320" fillId="8" borderId="1" xfId="0" applyNumberFormat="1" applyFont="1" applyFill="1" applyBorder="1" applyAlignment="1">
      <alignment horizontal="center" vertical="center"/>
    </xf>
    <xf numFmtId="1" fontId="22321" fillId="8" borderId="1" xfId="0" applyNumberFormat="1" applyFont="1" applyFill="1" applyBorder="1" applyAlignment="1">
      <alignment horizontal="center" vertical="center"/>
    </xf>
    <xf numFmtId="1" fontId="22322" fillId="8" borderId="1" xfId="0" applyNumberFormat="1" applyFont="1" applyFill="1" applyBorder="1" applyAlignment="1">
      <alignment horizontal="center" vertical="center"/>
    </xf>
    <xf numFmtId="1" fontId="22323" fillId="8" borderId="1" xfId="0" applyNumberFormat="1" applyFont="1" applyFill="1" applyBorder="1" applyAlignment="1">
      <alignment horizontal="center" vertical="center"/>
    </xf>
    <xf numFmtId="165" fontId="22324" fillId="8" borderId="1" xfId="0" applyNumberFormat="1" applyFont="1" applyFill="1" applyBorder="1" applyAlignment="1">
      <alignment horizontal="center" vertical="center"/>
    </xf>
    <xf numFmtId="1" fontId="22325" fillId="8" borderId="1" xfId="0" applyNumberFormat="1" applyFont="1" applyFill="1" applyBorder="1" applyAlignment="1">
      <alignment horizontal="center" vertical="center"/>
    </xf>
    <xf numFmtId="165" fontId="22326" fillId="8" borderId="1" xfId="0" applyNumberFormat="1" applyFont="1" applyFill="1" applyBorder="1" applyAlignment="1">
      <alignment horizontal="center" vertical="center"/>
    </xf>
    <xf numFmtId="1" fontId="22327" fillId="8" borderId="1" xfId="0" applyNumberFormat="1" applyFont="1" applyFill="1" applyBorder="1" applyAlignment="1">
      <alignment horizontal="center" vertical="center"/>
    </xf>
    <xf numFmtId="165" fontId="22328" fillId="8" borderId="1" xfId="0" applyNumberFormat="1" applyFont="1" applyFill="1" applyBorder="1" applyAlignment="1">
      <alignment horizontal="center" vertical="center"/>
    </xf>
    <xf numFmtId="1" fontId="22329" fillId="8" borderId="1" xfId="0" applyNumberFormat="1" applyFont="1" applyFill="1" applyBorder="1" applyAlignment="1">
      <alignment horizontal="center" vertical="center"/>
    </xf>
    <xf numFmtId="165" fontId="22330" fillId="8" borderId="1" xfId="0" applyNumberFormat="1" applyFont="1" applyFill="1" applyBorder="1" applyAlignment="1">
      <alignment horizontal="center" vertical="center"/>
    </xf>
    <xf numFmtId="165" fontId="22331" fillId="8" borderId="1" xfId="0" applyNumberFormat="1" applyFont="1" applyFill="1" applyBorder="1" applyAlignment="1">
      <alignment horizontal="center" vertical="center"/>
    </xf>
    <xf numFmtId="1" fontId="22332" fillId="8" borderId="1" xfId="0" applyNumberFormat="1" applyFont="1" applyFill="1" applyBorder="1" applyAlignment="1">
      <alignment horizontal="center" vertical="center"/>
    </xf>
    <xf numFmtId="1" fontId="22333" fillId="8" borderId="1" xfId="0" applyNumberFormat="1" applyFont="1" applyFill="1" applyBorder="1" applyAlignment="1">
      <alignment horizontal="center" vertical="center"/>
    </xf>
    <xf numFmtId="1" fontId="22334" fillId="8" borderId="1" xfId="0" applyNumberFormat="1" applyFont="1" applyFill="1" applyBorder="1" applyAlignment="1">
      <alignment horizontal="center" vertical="center"/>
    </xf>
    <xf numFmtId="165" fontId="22335" fillId="8" borderId="1" xfId="0" applyNumberFormat="1" applyFont="1" applyFill="1" applyBorder="1" applyAlignment="1">
      <alignment horizontal="center" vertical="center"/>
    </xf>
    <xf numFmtId="164" fontId="22336" fillId="8" borderId="1" xfId="0" applyNumberFormat="1" applyFont="1" applyFill="1" applyBorder="1" applyAlignment="1">
      <alignment horizontal="center" vertical="center"/>
    </xf>
    <xf numFmtId="164" fontId="22337" fillId="8" borderId="1" xfId="0" applyNumberFormat="1" applyFont="1" applyFill="1" applyBorder="1" applyAlignment="1">
      <alignment horizontal="center" vertical="center"/>
    </xf>
    <xf numFmtId="1" fontId="22338" fillId="8" borderId="1" xfId="0" applyNumberFormat="1" applyFont="1" applyFill="1" applyBorder="1" applyAlignment="1">
      <alignment horizontal="center" vertical="center"/>
    </xf>
    <xf numFmtId="1" fontId="22339" fillId="8" borderId="1" xfId="0" applyNumberFormat="1" applyFont="1" applyFill="1" applyBorder="1" applyAlignment="1">
      <alignment horizontal="center" vertical="center"/>
    </xf>
    <xf numFmtId="1" fontId="22340" fillId="8" borderId="1" xfId="0" applyNumberFormat="1" applyFont="1" applyFill="1" applyBorder="1" applyAlignment="1">
      <alignment horizontal="center" vertical="center"/>
    </xf>
    <xf numFmtId="165" fontId="22341" fillId="8" borderId="1" xfId="0" applyNumberFormat="1" applyFont="1" applyFill="1" applyBorder="1" applyAlignment="1">
      <alignment horizontal="center" vertical="center"/>
    </xf>
    <xf numFmtId="1" fontId="22342" fillId="8" borderId="1" xfId="0" applyNumberFormat="1" applyFont="1" applyFill="1" applyBorder="1" applyAlignment="1">
      <alignment horizontal="center" vertical="center"/>
    </xf>
    <xf numFmtId="165" fontId="22343" fillId="8" borderId="1" xfId="0" applyNumberFormat="1" applyFont="1" applyFill="1" applyBorder="1" applyAlignment="1">
      <alignment horizontal="center" vertical="center"/>
    </xf>
    <xf numFmtId="1" fontId="22344" fillId="8" borderId="1" xfId="0" applyNumberFormat="1" applyFont="1" applyFill="1" applyBorder="1" applyAlignment="1">
      <alignment horizontal="center" vertical="center"/>
    </xf>
    <xf numFmtId="1" fontId="22345" fillId="8" borderId="1" xfId="0" applyNumberFormat="1" applyFont="1" applyFill="1" applyBorder="1" applyAlignment="1">
      <alignment horizontal="center" vertical="center"/>
    </xf>
    <xf numFmtId="1" fontId="22346" fillId="8" borderId="1" xfId="0" applyNumberFormat="1" applyFont="1" applyFill="1" applyBorder="1" applyAlignment="1">
      <alignment horizontal="center" vertical="center"/>
    </xf>
    <xf numFmtId="1" fontId="22347" fillId="8" borderId="1" xfId="0" applyNumberFormat="1" applyFont="1" applyFill="1" applyBorder="1" applyAlignment="1">
      <alignment horizontal="center" vertical="center"/>
    </xf>
    <xf numFmtId="165" fontId="22348" fillId="8" borderId="1" xfId="0" applyNumberFormat="1" applyFont="1" applyFill="1" applyBorder="1" applyAlignment="1">
      <alignment horizontal="center" vertical="center"/>
    </xf>
    <xf numFmtId="1" fontId="22349" fillId="8" borderId="1" xfId="0" applyNumberFormat="1" applyFont="1" applyFill="1" applyBorder="1" applyAlignment="1">
      <alignment horizontal="center" vertical="center"/>
    </xf>
    <xf numFmtId="165" fontId="22350" fillId="8" borderId="1" xfId="0" applyNumberFormat="1" applyFont="1" applyFill="1" applyBorder="1" applyAlignment="1">
      <alignment horizontal="center" vertical="center"/>
    </xf>
    <xf numFmtId="1" fontId="22351" fillId="8" borderId="1" xfId="0" applyNumberFormat="1" applyFont="1" applyFill="1" applyBorder="1" applyAlignment="1">
      <alignment horizontal="center" vertical="center"/>
    </xf>
    <xf numFmtId="165" fontId="22352" fillId="8" borderId="1" xfId="0" applyNumberFormat="1" applyFont="1" applyFill="1" applyBorder="1" applyAlignment="1">
      <alignment horizontal="center" vertical="center"/>
    </xf>
    <xf numFmtId="2" fontId="22353" fillId="8" borderId="1" xfId="0" applyNumberFormat="1" applyFont="1" applyFill="1" applyBorder="1" applyAlignment="1">
      <alignment horizontal="center" vertical="center"/>
    </xf>
    <xf numFmtId="2" fontId="22354" fillId="8" borderId="1" xfId="0" applyNumberFormat="1" applyFont="1" applyFill="1" applyBorder="1" applyAlignment="1">
      <alignment horizontal="center" vertical="center"/>
    </xf>
    <xf numFmtId="2" fontId="22355" fillId="8" borderId="1" xfId="0" applyNumberFormat="1" applyFont="1" applyFill="1" applyBorder="1" applyAlignment="1">
      <alignment horizontal="center" vertical="center"/>
    </xf>
    <xf numFmtId="2" fontId="22356" fillId="8" borderId="1" xfId="0" applyNumberFormat="1" applyFont="1" applyFill="1" applyBorder="1" applyAlignment="1">
      <alignment horizontal="center" vertical="center"/>
    </xf>
    <xf numFmtId="2" fontId="22357" fillId="8" borderId="1" xfId="0" applyNumberFormat="1" applyFont="1" applyFill="1" applyBorder="1" applyAlignment="1">
      <alignment horizontal="center" vertical="center"/>
    </xf>
    <xf numFmtId="2" fontId="22358" fillId="8" borderId="1" xfId="0" applyNumberFormat="1" applyFont="1" applyFill="1" applyBorder="1" applyAlignment="1">
      <alignment horizontal="center" vertical="center"/>
    </xf>
    <xf numFmtId="2" fontId="22359" fillId="8" borderId="1" xfId="0" applyNumberFormat="1" applyFont="1" applyFill="1" applyBorder="1" applyAlignment="1">
      <alignment horizontal="center" vertical="center"/>
    </xf>
    <xf numFmtId="2" fontId="22360" fillId="8" borderId="1" xfId="0" applyNumberFormat="1" applyFont="1" applyFill="1" applyBorder="1" applyAlignment="1">
      <alignment horizontal="center" vertical="center"/>
    </xf>
    <xf numFmtId="2" fontId="22361" fillId="8" borderId="1" xfId="0" applyNumberFormat="1" applyFont="1" applyFill="1" applyBorder="1" applyAlignment="1">
      <alignment horizontal="center" vertical="center"/>
    </xf>
    <xf numFmtId="2" fontId="22362" fillId="8" borderId="1" xfId="0" applyNumberFormat="1" applyFont="1" applyFill="1" applyBorder="1" applyAlignment="1">
      <alignment horizontal="center" vertical="center"/>
    </xf>
    <xf numFmtId="2" fontId="22363" fillId="8" borderId="1" xfId="0" applyNumberFormat="1" applyFont="1" applyFill="1" applyBorder="1" applyAlignment="1">
      <alignment horizontal="center" vertical="center"/>
    </xf>
    <xf numFmtId="2" fontId="22364" fillId="8" borderId="1" xfId="0" applyNumberFormat="1" applyFont="1" applyFill="1" applyBorder="1" applyAlignment="1">
      <alignment horizontal="center" vertical="center"/>
    </xf>
    <xf numFmtId="2" fontId="22365" fillId="8" borderId="1" xfId="0" applyNumberFormat="1" applyFont="1" applyFill="1" applyBorder="1" applyAlignment="1">
      <alignment horizontal="center" vertical="center"/>
    </xf>
    <xf numFmtId="2" fontId="22366" fillId="8" borderId="1" xfId="0" applyNumberFormat="1" applyFont="1" applyFill="1" applyBorder="1" applyAlignment="1">
      <alignment horizontal="center" vertical="center"/>
    </xf>
    <xf numFmtId="2" fontId="22367" fillId="8" borderId="1" xfId="0" applyNumberFormat="1" applyFont="1" applyFill="1" applyBorder="1" applyAlignment="1">
      <alignment horizontal="center" vertical="center"/>
    </xf>
    <xf numFmtId="2" fontId="22368" fillId="8" borderId="1" xfId="0" applyNumberFormat="1" applyFont="1" applyFill="1" applyBorder="1" applyAlignment="1">
      <alignment horizontal="center" vertical="center"/>
    </xf>
    <xf numFmtId="2" fontId="22369" fillId="8" borderId="1" xfId="0" applyNumberFormat="1" applyFont="1" applyFill="1" applyBorder="1" applyAlignment="1">
      <alignment horizontal="center" vertical="center"/>
    </xf>
    <xf numFmtId="2" fontId="22370" fillId="8" borderId="1" xfId="0" applyNumberFormat="1" applyFont="1" applyFill="1" applyBorder="1" applyAlignment="1">
      <alignment horizontal="center" vertical="center"/>
    </xf>
    <xf numFmtId="2" fontId="22371" fillId="8" borderId="1" xfId="0" applyNumberFormat="1" applyFont="1" applyFill="1" applyBorder="1" applyAlignment="1">
      <alignment horizontal="center" vertical="center"/>
    </xf>
    <xf numFmtId="2" fontId="22372" fillId="8" borderId="1" xfId="0" applyNumberFormat="1" applyFont="1" applyFill="1" applyBorder="1" applyAlignment="1">
      <alignment horizontal="center" vertical="center"/>
    </xf>
    <xf numFmtId="2" fontId="22373" fillId="8" borderId="1" xfId="0" applyNumberFormat="1" applyFont="1" applyFill="1" applyBorder="1" applyAlignment="1">
      <alignment horizontal="center" vertical="center"/>
    </xf>
    <xf numFmtId="2" fontId="22374" fillId="8" borderId="1" xfId="0" applyNumberFormat="1" applyFont="1" applyFill="1" applyBorder="1" applyAlignment="1">
      <alignment horizontal="center" vertical="center"/>
    </xf>
    <xf numFmtId="2" fontId="22375" fillId="8" borderId="1" xfId="0" applyNumberFormat="1" applyFont="1" applyFill="1" applyBorder="1" applyAlignment="1">
      <alignment horizontal="center" vertical="center"/>
    </xf>
    <xf numFmtId="2" fontId="22376" fillId="8" borderId="1" xfId="0" applyNumberFormat="1" applyFont="1" applyFill="1" applyBorder="1" applyAlignment="1">
      <alignment horizontal="center" vertical="center"/>
    </xf>
    <xf numFmtId="2" fontId="22377" fillId="8" borderId="1" xfId="0" applyNumberFormat="1" applyFont="1" applyFill="1" applyBorder="1" applyAlignment="1">
      <alignment horizontal="center" vertical="center"/>
    </xf>
    <xf numFmtId="2" fontId="22378" fillId="8" borderId="1" xfId="0" applyNumberFormat="1" applyFont="1" applyFill="1" applyBorder="1" applyAlignment="1">
      <alignment horizontal="center" vertical="center"/>
    </xf>
    <xf numFmtId="2" fontId="22379" fillId="8" borderId="1" xfId="0" applyNumberFormat="1" applyFont="1" applyFill="1" applyBorder="1" applyAlignment="1">
      <alignment horizontal="center" vertical="center"/>
    </xf>
    <xf numFmtId="2" fontId="22380" fillId="8" borderId="1" xfId="0" applyNumberFormat="1" applyFont="1" applyFill="1" applyBorder="1" applyAlignment="1">
      <alignment horizontal="center" vertical="center"/>
    </xf>
    <xf numFmtId="2" fontId="22381" fillId="8" borderId="1" xfId="0" applyNumberFormat="1" applyFont="1" applyFill="1" applyBorder="1" applyAlignment="1">
      <alignment horizontal="center" vertical="center"/>
    </xf>
    <xf numFmtId="2" fontId="22382" fillId="8" borderId="1" xfId="0" applyNumberFormat="1" applyFont="1" applyFill="1" applyBorder="1" applyAlignment="1">
      <alignment horizontal="center" vertical="center"/>
    </xf>
    <xf numFmtId="2" fontId="22383" fillId="8" borderId="1" xfId="0" applyNumberFormat="1" applyFont="1" applyFill="1" applyBorder="1" applyAlignment="1">
      <alignment horizontal="center" vertical="center"/>
    </xf>
    <xf numFmtId="2" fontId="22384" fillId="8" borderId="1" xfId="0" applyNumberFormat="1" applyFont="1" applyFill="1" applyBorder="1" applyAlignment="1">
      <alignment horizontal="center" vertical="center"/>
    </xf>
    <xf numFmtId="2" fontId="22385" fillId="8" borderId="1" xfId="0" applyNumberFormat="1" applyFont="1" applyFill="1" applyBorder="1" applyAlignment="1">
      <alignment horizontal="center" vertical="center"/>
    </xf>
    <xf numFmtId="2" fontId="22386" fillId="8" borderId="1" xfId="0" applyNumberFormat="1" applyFont="1" applyFill="1" applyBorder="1" applyAlignment="1">
      <alignment horizontal="center" vertical="center"/>
    </xf>
    <xf numFmtId="0" fontId="22387" fillId="7" borderId="1" xfId="0" applyNumberFormat="1" applyFont="1" applyFill="1" applyBorder="1" applyAlignment="1">
      <alignment horizontal="left" vertical="center"/>
    </xf>
    <xf numFmtId="0" fontId="22388" fillId="8" borderId="1" xfId="0" applyNumberFormat="1" applyFont="1" applyFill="1" applyBorder="1" applyAlignment="1">
      <alignment horizontal="center" vertical="center"/>
    </xf>
    <xf numFmtId="164" fontId="22389" fillId="8" borderId="1" xfId="0" applyNumberFormat="1" applyFont="1" applyFill="1" applyBorder="1" applyAlignment="1">
      <alignment horizontal="center" vertical="center"/>
    </xf>
    <xf numFmtId="1" fontId="22390" fillId="8" borderId="1" xfId="0" applyNumberFormat="1" applyFont="1" applyFill="1" applyBorder="1" applyAlignment="1">
      <alignment horizontal="center" vertical="center"/>
    </xf>
    <xf numFmtId="1" fontId="22391" fillId="8" borderId="1" xfId="0" applyNumberFormat="1" applyFont="1" applyFill="1" applyBorder="1" applyAlignment="1">
      <alignment horizontal="center" vertical="center"/>
    </xf>
    <xf numFmtId="1" fontId="22392" fillId="8" borderId="1" xfId="0" applyNumberFormat="1" applyFont="1" applyFill="1" applyBorder="1" applyAlignment="1">
      <alignment horizontal="center" vertical="center"/>
    </xf>
    <xf numFmtId="1" fontId="22393" fillId="8" borderId="1" xfId="0" applyNumberFormat="1" applyFont="1" applyFill="1" applyBorder="1" applyAlignment="1">
      <alignment horizontal="center" vertical="center"/>
    </xf>
    <xf numFmtId="1" fontId="22394" fillId="8" borderId="1" xfId="0" applyNumberFormat="1" applyFont="1" applyFill="1" applyBorder="1" applyAlignment="1">
      <alignment horizontal="center" vertical="center"/>
    </xf>
    <xf numFmtId="1" fontId="22395" fillId="8" borderId="1" xfId="0" applyNumberFormat="1" applyFont="1" applyFill="1" applyBorder="1" applyAlignment="1">
      <alignment horizontal="center" vertical="center"/>
    </xf>
    <xf numFmtId="1" fontId="22396" fillId="8" borderId="1" xfId="0" applyNumberFormat="1" applyFont="1" applyFill="1" applyBorder="1" applyAlignment="1">
      <alignment horizontal="center" vertical="center"/>
    </xf>
    <xf numFmtId="0" fontId="22397" fillId="8" borderId="1" xfId="0" applyNumberFormat="1" applyFont="1" applyFill="1" applyBorder="1" applyAlignment="1">
      <alignment horizontal="center" vertical="center"/>
    </xf>
    <xf numFmtId="0" fontId="22398" fillId="8" borderId="1" xfId="0" applyNumberFormat="1" applyFont="1" applyFill="1" applyBorder="1" applyAlignment="1">
      <alignment horizontal="center" vertical="center"/>
    </xf>
    <xf numFmtId="1" fontId="22399" fillId="8" borderId="1" xfId="0" applyNumberFormat="1" applyFont="1" applyFill="1" applyBorder="1" applyAlignment="1">
      <alignment horizontal="center" vertical="center"/>
    </xf>
    <xf numFmtId="1" fontId="22400" fillId="8" borderId="1" xfId="0" applyNumberFormat="1" applyFont="1" applyFill="1" applyBorder="1" applyAlignment="1">
      <alignment horizontal="center" vertical="center"/>
    </xf>
    <xf numFmtId="1" fontId="22401" fillId="8" borderId="1" xfId="0" applyNumberFormat="1" applyFont="1" applyFill="1" applyBorder="1" applyAlignment="1">
      <alignment horizontal="center" vertical="center"/>
    </xf>
    <xf numFmtId="165" fontId="22402" fillId="8" borderId="1" xfId="0" applyNumberFormat="1" applyFont="1" applyFill="1" applyBorder="1" applyAlignment="1">
      <alignment horizontal="center" vertical="center"/>
    </xf>
    <xf numFmtId="1" fontId="22403" fillId="8" borderId="1" xfId="0" applyNumberFormat="1" applyFont="1" applyFill="1" applyBorder="1" applyAlignment="1">
      <alignment horizontal="center" vertical="center"/>
    </xf>
    <xf numFmtId="165" fontId="22404" fillId="8" borderId="1" xfId="0" applyNumberFormat="1" applyFont="1" applyFill="1" applyBorder="1" applyAlignment="1">
      <alignment horizontal="center" vertical="center"/>
    </xf>
    <xf numFmtId="1" fontId="22405" fillId="8" borderId="1" xfId="0" applyNumberFormat="1" applyFont="1" applyFill="1" applyBorder="1" applyAlignment="1">
      <alignment horizontal="center" vertical="center"/>
    </xf>
    <xf numFmtId="165" fontId="22406" fillId="8" borderId="1" xfId="0" applyNumberFormat="1" applyFont="1" applyFill="1" applyBorder="1" applyAlignment="1">
      <alignment horizontal="center" vertical="center"/>
    </xf>
    <xf numFmtId="1" fontId="22407" fillId="8" borderId="1" xfId="0" applyNumberFormat="1" applyFont="1" applyFill="1" applyBorder="1" applyAlignment="1">
      <alignment horizontal="center" vertical="center"/>
    </xf>
    <xf numFmtId="165" fontId="22408" fillId="8" borderId="1" xfId="0" applyNumberFormat="1" applyFont="1" applyFill="1" applyBorder="1" applyAlignment="1">
      <alignment horizontal="center" vertical="center"/>
    </xf>
    <xf numFmtId="165" fontId="22409" fillId="8" borderId="1" xfId="0" applyNumberFormat="1" applyFont="1" applyFill="1" applyBorder="1" applyAlignment="1">
      <alignment horizontal="center" vertical="center"/>
    </xf>
    <xf numFmtId="1" fontId="22410" fillId="8" borderId="1" xfId="0" applyNumberFormat="1" applyFont="1" applyFill="1" applyBorder="1" applyAlignment="1">
      <alignment horizontal="center" vertical="center"/>
    </xf>
    <xf numFmtId="1" fontId="22411" fillId="8" borderId="1" xfId="0" applyNumberFormat="1" applyFont="1" applyFill="1" applyBorder="1" applyAlignment="1">
      <alignment horizontal="center" vertical="center"/>
    </xf>
    <xf numFmtId="1" fontId="22412" fillId="8" borderId="1" xfId="0" applyNumberFormat="1" applyFont="1" applyFill="1" applyBorder="1" applyAlignment="1">
      <alignment horizontal="center" vertical="center"/>
    </xf>
    <xf numFmtId="165" fontId="22413" fillId="8" borderId="1" xfId="0" applyNumberFormat="1" applyFont="1" applyFill="1" applyBorder="1" applyAlignment="1">
      <alignment horizontal="center" vertical="center"/>
    </xf>
    <xf numFmtId="164" fontId="22414" fillId="8" borderId="1" xfId="0" applyNumberFormat="1" applyFont="1" applyFill="1" applyBorder="1" applyAlignment="1">
      <alignment horizontal="center" vertical="center"/>
    </xf>
    <xf numFmtId="164" fontId="22415" fillId="8" borderId="1" xfId="0" applyNumberFormat="1" applyFont="1" applyFill="1" applyBorder="1" applyAlignment="1">
      <alignment horizontal="center" vertical="center"/>
    </xf>
    <xf numFmtId="1" fontId="22416" fillId="8" borderId="1" xfId="0" applyNumberFormat="1" applyFont="1" applyFill="1" applyBorder="1" applyAlignment="1">
      <alignment horizontal="center" vertical="center"/>
    </xf>
    <xf numFmtId="1" fontId="22417" fillId="8" borderId="1" xfId="0" applyNumberFormat="1" applyFont="1" applyFill="1" applyBorder="1" applyAlignment="1">
      <alignment horizontal="center" vertical="center"/>
    </xf>
    <xf numFmtId="1" fontId="22418" fillId="8" borderId="1" xfId="0" applyNumberFormat="1" applyFont="1" applyFill="1" applyBorder="1" applyAlignment="1">
      <alignment horizontal="center" vertical="center"/>
    </xf>
    <xf numFmtId="165" fontId="22419" fillId="8" borderId="1" xfId="0" applyNumberFormat="1" applyFont="1" applyFill="1" applyBorder="1" applyAlignment="1">
      <alignment horizontal="center" vertical="center"/>
    </xf>
    <xf numFmtId="1" fontId="22420" fillId="8" borderId="1" xfId="0" applyNumberFormat="1" applyFont="1" applyFill="1" applyBorder="1" applyAlignment="1">
      <alignment horizontal="center" vertical="center"/>
    </xf>
    <xf numFmtId="165" fontId="22421" fillId="8" borderId="1" xfId="0" applyNumberFormat="1" applyFont="1" applyFill="1" applyBorder="1" applyAlignment="1">
      <alignment horizontal="center" vertical="center"/>
    </xf>
    <xf numFmtId="1" fontId="22422" fillId="8" borderId="1" xfId="0" applyNumberFormat="1" applyFont="1" applyFill="1" applyBorder="1" applyAlignment="1">
      <alignment horizontal="center" vertical="center"/>
    </xf>
    <xf numFmtId="1" fontId="22423" fillId="8" borderId="1" xfId="0" applyNumberFormat="1" applyFont="1" applyFill="1" applyBorder="1" applyAlignment="1">
      <alignment horizontal="center" vertical="center"/>
    </xf>
    <xf numFmtId="1" fontId="22424" fillId="8" borderId="1" xfId="0" applyNumberFormat="1" applyFont="1" applyFill="1" applyBorder="1" applyAlignment="1">
      <alignment horizontal="center" vertical="center"/>
    </xf>
    <xf numFmtId="1" fontId="22425" fillId="8" borderId="1" xfId="0" applyNumberFormat="1" applyFont="1" applyFill="1" applyBorder="1" applyAlignment="1">
      <alignment horizontal="center" vertical="center"/>
    </xf>
    <xf numFmtId="165" fontId="22426" fillId="8" borderId="1" xfId="0" applyNumberFormat="1" applyFont="1" applyFill="1" applyBorder="1" applyAlignment="1">
      <alignment horizontal="center" vertical="center"/>
    </xf>
    <xf numFmtId="1" fontId="22427" fillId="8" borderId="1" xfId="0" applyNumberFormat="1" applyFont="1" applyFill="1" applyBorder="1" applyAlignment="1">
      <alignment horizontal="center" vertical="center"/>
    </xf>
    <xf numFmtId="165" fontId="22428" fillId="8" borderId="1" xfId="0" applyNumberFormat="1" applyFont="1" applyFill="1" applyBorder="1" applyAlignment="1">
      <alignment horizontal="center" vertical="center"/>
    </xf>
    <xf numFmtId="1" fontId="22429" fillId="8" borderId="1" xfId="0" applyNumberFormat="1" applyFont="1" applyFill="1" applyBorder="1" applyAlignment="1">
      <alignment horizontal="center" vertical="center"/>
    </xf>
    <xf numFmtId="165" fontId="22430" fillId="8" borderId="1" xfId="0" applyNumberFormat="1" applyFont="1" applyFill="1" applyBorder="1" applyAlignment="1">
      <alignment horizontal="center" vertical="center"/>
    </xf>
    <xf numFmtId="2" fontId="22431" fillId="8" borderId="1" xfId="0" applyNumberFormat="1" applyFont="1" applyFill="1" applyBorder="1" applyAlignment="1">
      <alignment horizontal="center" vertical="center"/>
    </xf>
    <xf numFmtId="2" fontId="22432" fillId="8" borderId="1" xfId="0" applyNumberFormat="1" applyFont="1" applyFill="1" applyBorder="1" applyAlignment="1">
      <alignment horizontal="center" vertical="center"/>
    </xf>
    <xf numFmtId="2" fontId="22433" fillId="8" borderId="1" xfId="0" applyNumberFormat="1" applyFont="1" applyFill="1" applyBorder="1" applyAlignment="1">
      <alignment horizontal="center" vertical="center"/>
    </xf>
    <xf numFmtId="2" fontId="22434" fillId="8" borderId="1" xfId="0" applyNumberFormat="1" applyFont="1" applyFill="1" applyBorder="1" applyAlignment="1">
      <alignment horizontal="center" vertical="center"/>
    </xf>
    <xf numFmtId="2" fontId="22435" fillId="8" borderId="1" xfId="0" applyNumberFormat="1" applyFont="1" applyFill="1" applyBorder="1" applyAlignment="1">
      <alignment horizontal="center" vertical="center"/>
    </xf>
    <xf numFmtId="2" fontId="22436" fillId="8" borderId="1" xfId="0" applyNumberFormat="1" applyFont="1" applyFill="1" applyBorder="1" applyAlignment="1">
      <alignment horizontal="center" vertical="center"/>
    </xf>
    <xf numFmtId="2" fontId="22437" fillId="8" borderId="1" xfId="0" applyNumberFormat="1" applyFont="1" applyFill="1" applyBorder="1" applyAlignment="1">
      <alignment horizontal="center" vertical="center"/>
    </xf>
    <xf numFmtId="2" fontId="22438" fillId="8" borderId="1" xfId="0" applyNumberFormat="1" applyFont="1" applyFill="1" applyBorder="1" applyAlignment="1">
      <alignment horizontal="center" vertical="center"/>
    </xf>
    <xf numFmtId="2" fontId="22439" fillId="8" borderId="1" xfId="0" applyNumberFormat="1" applyFont="1" applyFill="1" applyBorder="1" applyAlignment="1">
      <alignment horizontal="center" vertical="center"/>
    </xf>
    <xf numFmtId="2" fontId="22440" fillId="8" borderId="1" xfId="0" applyNumberFormat="1" applyFont="1" applyFill="1" applyBorder="1" applyAlignment="1">
      <alignment horizontal="center" vertical="center"/>
    </xf>
    <xf numFmtId="2" fontId="22441" fillId="8" borderId="1" xfId="0" applyNumberFormat="1" applyFont="1" applyFill="1" applyBorder="1" applyAlignment="1">
      <alignment horizontal="center" vertical="center"/>
    </xf>
    <xf numFmtId="2" fontId="22442" fillId="8" borderId="1" xfId="0" applyNumberFormat="1" applyFont="1" applyFill="1" applyBorder="1" applyAlignment="1">
      <alignment horizontal="center" vertical="center"/>
    </xf>
    <xf numFmtId="2" fontId="22443" fillId="8" borderId="1" xfId="0" applyNumberFormat="1" applyFont="1" applyFill="1" applyBorder="1" applyAlignment="1">
      <alignment horizontal="center" vertical="center"/>
    </xf>
    <xf numFmtId="2" fontId="22444" fillId="8" borderId="1" xfId="0" applyNumberFormat="1" applyFont="1" applyFill="1" applyBorder="1" applyAlignment="1">
      <alignment horizontal="center" vertical="center"/>
    </xf>
    <xf numFmtId="2" fontId="22445" fillId="8" borderId="1" xfId="0" applyNumberFormat="1" applyFont="1" applyFill="1" applyBorder="1" applyAlignment="1">
      <alignment horizontal="center" vertical="center"/>
    </xf>
    <xf numFmtId="2" fontId="22446" fillId="8" borderId="1" xfId="0" applyNumberFormat="1" applyFont="1" applyFill="1" applyBorder="1" applyAlignment="1">
      <alignment horizontal="center" vertical="center"/>
    </xf>
    <xf numFmtId="2" fontId="22447" fillId="8" borderId="1" xfId="0" applyNumberFormat="1" applyFont="1" applyFill="1" applyBorder="1" applyAlignment="1">
      <alignment horizontal="center" vertical="center"/>
    </xf>
    <xf numFmtId="2" fontId="22448" fillId="8" borderId="1" xfId="0" applyNumberFormat="1" applyFont="1" applyFill="1" applyBorder="1" applyAlignment="1">
      <alignment horizontal="center" vertical="center"/>
    </xf>
    <xf numFmtId="2" fontId="22449" fillId="8" borderId="1" xfId="0" applyNumberFormat="1" applyFont="1" applyFill="1" applyBorder="1" applyAlignment="1">
      <alignment horizontal="center" vertical="center"/>
    </xf>
    <xf numFmtId="2" fontId="22450" fillId="8" borderId="1" xfId="0" applyNumberFormat="1" applyFont="1" applyFill="1" applyBorder="1" applyAlignment="1">
      <alignment horizontal="center" vertical="center"/>
    </xf>
    <xf numFmtId="2" fontId="22451" fillId="8" borderId="1" xfId="0" applyNumberFormat="1" applyFont="1" applyFill="1" applyBorder="1" applyAlignment="1">
      <alignment horizontal="center" vertical="center"/>
    </xf>
    <xf numFmtId="2" fontId="22452" fillId="8" borderId="1" xfId="0" applyNumberFormat="1" applyFont="1" applyFill="1" applyBorder="1" applyAlignment="1">
      <alignment horizontal="center" vertical="center"/>
    </xf>
    <xf numFmtId="2" fontId="22453" fillId="8" borderId="1" xfId="0" applyNumberFormat="1" applyFont="1" applyFill="1" applyBorder="1" applyAlignment="1">
      <alignment horizontal="center" vertical="center"/>
    </xf>
    <xf numFmtId="2" fontId="22454" fillId="8" borderId="1" xfId="0" applyNumberFormat="1" applyFont="1" applyFill="1" applyBorder="1" applyAlignment="1">
      <alignment horizontal="center" vertical="center"/>
    </xf>
    <xf numFmtId="2" fontId="22455" fillId="8" borderId="1" xfId="0" applyNumberFormat="1" applyFont="1" applyFill="1" applyBorder="1" applyAlignment="1">
      <alignment horizontal="center" vertical="center"/>
    </xf>
    <xf numFmtId="2" fontId="22456" fillId="8" borderId="1" xfId="0" applyNumberFormat="1" applyFont="1" applyFill="1" applyBorder="1" applyAlignment="1">
      <alignment horizontal="center" vertical="center"/>
    </xf>
    <xf numFmtId="2" fontId="22457" fillId="8" borderId="1" xfId="0" applyNumberFormat="1" applyFont="1" applyFill="1" applyBorder="1" applyAlignment="1">
      <alignment horizontal="center" vertical="center"/>
    </xf>
    <xf numFmtId="2" fontId="22458" fillId="8" borderId="1" xfId="0" applyNumberFormat="1" applyFont="1" applyFill="1" applyBorder="1" applyAlignment="1">
      <alignment horizontal="center" vertical="center"/>
    </xf>
    <xf numFmtId="2" fontId="22459" fillId="8" borderId="1" xfId="0" applyNumberFormat="1" applyFont="1" applyFill="1" applyBorder="1" applyAlignment="1">
      <alignment horizontal="center" vertical="center"/>
    </xf>
    <xf numFmtId="2" fontId="22460" fillId="8" borderId="1" xfId="0" applyNumberFormat="1" applyFont="1" applyFill="1" applyBorder="1" applyAlignment="1">
      <alignment horizontal="center" vertical="center"/>
    </xf>
    <xf numFmtId="2" fontId="22461" fillId="8" borderId="1" xfId="0" applyNumberFormat="1" applyFont="1" applyFill="1" applyBorder="1" applyAlignment="1">
      <alignment horizontal="center" vertical="center"/>
    </xf>
    <xf numFmtId="2" fontId="22462" fillId="8" borderId="1" xfId="0" applyNumberFormat="1" applyFont="1" applyFill="1" applyBorder="1" applyAlignment="1">
      <alignment horizontal="center" vertical="center"/>
    </xf>
    <xf numFmtId="2" fontId="22463" fillId="8" borderId="1" xfId="0" applyNumberFormat="1" applyFont="1" applyFill="1" applyBorder="1" applyAlignment="1">
      <alignment horizontal="center" vertical="center"/>
    </xf>
    <xf numFmtId="2" fontId="22464" fillId="8" borderId="1" xfId="0" applyNumberFormat="1" applyFont="1" applyFill="1" applyBorder="1" applyAlignment="1">
      <alignment horizontal="center" vertical="center"/>
    </xf>
    <xf numFmtId="0" fontId="22465" fillId="7" borderId="1" xfId="0" applyNumberFormat="1" applyFont="1" applyFill="1" applyBorder="1" applyAlignment="1">
      <alignment horizontal="left" vertical="center"/>
    </xf>
    <xf numFmtId="0" fontId="22466" fillId="8" borderId="1" xfId="0" applyNumberFormat="1" applyFont="1" applyFill="1" applyBorder="1" applyAlignment="1">
      <alignment horizontal="center" vertical="center"/>
    </xf>
    <xf numFmtId="164" fontId="22467" fillId="8" borderId="1" xfId="0" applyNumberFormat="1" applyFont="1" applyFill="1" applyBorder="1" applyAlignment="1">
      <alignment horizontal="center" vertical="center"/>
    </xf>
    <xf numFmtId="1" fontId="22468" fillId="8" borderId="1" xfId="0" applyNumberFormat="1" applyFont="1" applyFill="1" applyBorder="1" applyAlignment="1">
      <alignment horizontal="center" vertical="center"/>
    </xf>
    <xf numFmtId="1" fontId="22469" fillId="8" borderId="1" xfId="0" applyNumberFormat="1" applyFont="1" applyFill="1" applyBorder="1" applyAlignment="1">
      <alignment horizontal="center" vertical="center"/>
    </xf>
    <xf numFmtId="1" fontId="22470" fillId="8" borderId="1" xfId="0" applyNumberFormat="1" applyFont="1" applyFill="1" applyBorder="1" applyAlignment="1">
      <alignment horizontal="center" vertical="center"/>
    </xf>
    <xf numFmtId="1" fontId="22471" fillId="8" borderId="1" xfId="0" applyNumberFormat="1" applyFont="1" applyFill="1" applyBorder="1" applyAlignment="1">
      <alignment horizontal="center" vertical="center"/>
    </xf>
    <xf numFmtId="1" fontId="22472" fillId="8" borderId="1" xfId="0" applyNumberFormat="1" applyFont="1" applyFill="1" applyBorder="1" applyAlignment="1">
      <alignment horizontal="center" vertical="center"/>
    </xf>
    <xf numFmtId="1" fontId="22473" fillId="8" borderId="1" xfId="0" applyNumberFormat="1" applyFont="1" applyFill="1" applyBorder="1" applyAlignment="1">
      <alignment horizontal="center" vertical="center"/>
    </xf>
    <xf numFmtId="1" fontId="22474" fillId="8" borderId="1" xfId="0" applyNumberFormat="1" applyFont="1" applyFill="1" applyBorder="1" applyAlignment="1">
      <alignment horizontal="center" vertical="center"/>
    </xf>
    <xf numFmtId="0" fontId="22475" fillId="8" borderId="1" xfId="0" applyNumberFormat="1" applyFont="1" applyFill="1" applyBorder="1" applyAlignment="1">
      <alignment horizontal="center" vertical="center"/>
    </xf>
    <xf numFmtId="0" fontId="22476" fillId="8" borderId="1" xfId="0" applyNumberFormat="1" applyFont="1" applyFill="1" applyBorder="1" applyAlignment="1">
      <alignment horizontal="center" vertical="center"/>
    </xf>
    <xf numFmtId="1" fontId="22477" fillId="8" borderId="1" xfId="0" applyNumberFormat="1" applyFont="1" applyFill="1" applyBorder="1" applyAlignment="1">
      <alignment horizontal="center" vertical="center"/>
    </xf>
    <xf numFmtId="1" fontId="22478" fillId="8" borderId="1" xfId="0" applyNumberFormat="1" applyFont="1" applyFill="1" applyBorder="1" applyAlignment="1">
      <alignment horizontal="center" vertical="center"/>
    </xf>
    <xf numFmtId="1" fontId="22479" fillId="8" borderId="1" xfId="0" applyNumberFormat="1" applyFont="1" applyFill="1" applyBorder="1" applyAlignment="1">
      <alignment horizontal="center" vertical="center"/>
    </xf>
    <xf numFmtId="165" fontId="22480" fillId="8" borderId="1" xfId="0" applyNumberFormat="1" applyFont="1" applyFill="1" applyBorder="1" applyAlignment="1">
      <alignment horizontal="center" vertical="center"/>
    </xf>
    <xf numFmtId="1" fontId="22481" fillId="8" borderId="1" xfId="0" applyNumberFormat="1" applyFont="1" applyFill="1" applyBorder="1" applyAlignment="1">
      <alignment horizontal="center" vertical="center"/>
    </xf>
    <xf numFmtId="165" fontId="22482" fillId="8" borderId="1" xfId="0" applyNumberFormat="1" applyFont="1" applyFill="1" applyBorder="1" applyAlignment="1">
      <alignment horizontal="center" vertical="center"/>
    </xf>
    <xf numFmtId="1" fontId="22483" fillId="8" borderId="1" xfId="0" applyNumberFormat="1" applyFont="1" applyFill="1" applyBorder="1" applyAlignment="1">
      <alignment horizontal="center" vertical="center"/>
    </xf>
    <xf numFmtId="165" fontId="22484" fillId="8" borderId="1" xfId="0" applyNumberFormat="1" applyFont="1" applyFill="1" applyBorder="1" applyAlignment="1">
      <alignment horizontal="center" vertical="center"/>
    </xf>
    <xf numFmtId="1" fontId="22485" fillId="8" borderId="1" xfId="0" applyNumberFormat="1" applyFont="1" applyFill="1" applyBorder="1" applyAlignment="1">
      <alignment horizontal="center" vertical="center"/>
    </xf>
    <xf numFmtId="165" fontId="22486" fillId="8" borderId="1" xfId="0" applyNumberFormat="1" applyFont="1" applyFill="1" applyBorder="1" applyAlignment="1">
      <alignment horizontal="center" vertical="center"/>
    </xf>
    <xf numFmtId="165" fontId="22487" fillId="8" borderId="1" xfId="0" applyNumberFormat="1" applyFont="1" applyFill="1" applyBorder="1" applyAlignment="1">
      <alignment horizontal="center" vertical="center"/>
    </xf>
    <xf numFmtId="1" fontId="22488" fillId="8" borderId="1" xfId="0" applyNumberFormat="1" applyFont="1" applyFill="1" applyBorder="1" applyAlignment="1">
      <alignment horizontal="center" vertical="center"/>
    </xf>
    <xf numFmtId="1" fontId="22489" fillId="8" borderId="1" xfId="0" applyNumberFormat="1" applyFont="1" applyFill="1" applyBorder="1" applyAlignment="1">
      <alignment horizontal="center" vertical="center"/>
    </xf>
    <xf numFmtId="1" fontId="22490" fillId="8" borderId="1" xfId="0" applyNumberFormat="1" applyFont="1" applyFill="1" applyBorder="1" applyAlignment="1">
      <alignment horizontal="center" vertical="center"/>
    </xf>
    <xf numFmtId="165" fontId="22491" fillId="8" borderId="1" xfId="0" applyNumberFormat="1" applyFont="1" applyFill="1" applyBorder="1" applyAlignment="1">
      <alignment horizontal="center" vertical="center"/>
    </xf>
    <xf numFmtId="164" fontId="22492" fillId="8" borderId="1" xfId="0" applyNumberFormat="1" applyFont="1" applyFill="1" applyBorder="1" applyAlignment="1">
      <alignment horizontal="center" vertical="center"/>
    </xf>
    <xf numFmtId="164" fontId="22493" fillId="8" borderId="1" xfId="0" applyNumberFormat="1" applyFont="1" applyFill="1" applyBorder="1" applyAlignment="1">
      <alignment horizontal="center" vertical="center"/>
    </xf>
    <xf numFmtId="1" fontId="22494" fillId="8" borderId="1" xfId="0" applyNumberFormat="1" applyFont="1" applyFill="1" applyBorder="1" applyAlignment="1">
      <alignment horizontal="center" vertical="center"/>
    </xf>
    <xf numFmtId="1" fontId="22495" fillId="8" borderId="1" xfId="0" applyNumberFormat="1" applyFont="1" applyFill="1" applyBorder="1" applyAlignment="1">
      <alignment horizontal="center" vertical="center"/>
    </xf>
    <xf numFmtId="1" fontId="22496" fillId="8" borderId="1" xfId="0" applyNumberFormat="1" applyFont="1" applyFill="1" applyBorder="1" applyAlignment="1">
      <alignment horizontal="center" vertical="center"/>
    </xf>
    <xf numFmtId="165" fontId="22497" fillId="8" borderId="1" xfId="0" applyNumberFormat="1" applyFont="1" applyFill="1" applyBorder="1" applyAlignment="1">
      <alignment horizontal="center" vertical="center"/>
    </xf>
    <xf numFmtId="1" fontId="22498" fillId="8" borderId="1" xfId="0" applyNumberFormat="1" applyFont="1" applyFill="1" applyBorder="1" applyAlignment="1">
      <alignment horizontal="center" vertical="center"/>
    </xf>
    <xf numFmtId="165" fontId="22499" fillId="8" borderId="1" xfId="0" applyNumberFormat="1" applyFont="1" applyFill="1" applyBorder="1" applyAlignment="1">
      <alignment horizontal="center" vertical="center"/>
    </xf>
    <xf numFmtId="1" fontId="22500" fillId="8" borderId="1" xfId="0" applyNumberFormat="1" applyFont="1" applyFill="1" applyBorder="1" applyAlignment="1">
      <alignment horizontal="center" vertical="center"/>
    </xf>
    <xf numFmtId="1" fontId="22501" fillId="8" borderId="1" xfId="0" applyNumberFormat="1" applyFont="1" applyFill="1" applyBorder="1" applyAlignment="1">
      <alignment horizontal="center" vertical="center"/>
    </xf>
    <xf numFmtId="1" fontId="22502" fillId="8" borderId="1" xfId="0" applyNumberFormat="1" applyFont="1" applyFill="1" applyBorder="1" applyAlignment="1">
      <alignment horizontal="center" vertical="center"/>
    </xf>
    <xf numFmtId="1" fontId="22503" fillId="8" borderId="1" xfId="0" applyNumberFormat="1" applyFont="1" applyFill="1" applyBorder="1" applyAlignment="1">
      <alignment horizontal="center" vertical="center"/>
    </xf>
    <xf numFmtId="165" fontId="22504" fillId="8" borderId="1" xfId="0" applyNumberFormat="1" applyFont="1" applyFill="1" applyBorder="1" applyAlignment="1">
      <alignment horizontal="center" vertical="center"/>
    </xf>
    <xf numFmtId="1" fontId="22505" fillId="8" borderId="1" xfId="0" applyNumberFormat="1" applyFont="1" applyFill="1" applyBorder="1" applyAlignment="1">
      <alignment horizontal="center" vertical="center"/>
    </xf>
    <xf numFmtId="165" fontId="22506" fillId="8" borderId="1" xfId="0" applyNumberFormat="1" applyFont="1" applyFill="1" applyBorder="1" applyAlignment="1">
      <alignment horizontal="center" vertical="center"/>
    </xf>
    <xf numFmtId="1" fontId="22507" fillId="8" borderId="1" xfId="0" applyNumberFormat="1" applyFont="1" applyFill="1" applyBorder="1" applyAlignment="1">
      <alignment horizontal="center" vertical="center"/>
    </xf>
    <xf numFmtId="165" fontId="22508" fillId="8" borderId="1" xfId="0" applyNumberFormat="1" applyFont="1" applyFill="1" applyBorder="1" applyAlignment="1">
      <alignment horizontal="center" vertical="center"/>
    </xf>
    <xf numFmtId="2" fontId="22509" fillId="8" borderId="1" xfId="0" applyNumberFormat="1" applyFont="1" applyFill="1" applyBorder="1" applyAlignment="1">
      <alignment horizontal="center" vertical="center"/>
    </xf>
    <xf numFmtId="2" fontId="22510" fillId="8" borderId="1" xfId="0" applyNumberFormat="1" applyFont="1" applyFill="1" applyBorder="1" applyAlignment="1">
      <alignment horizontal="center" vertical="center"/>
    </xf>
    <xf numFmtId="2" fontId="22511" fillId="8" borderId="1" xfId="0" applyNumberFormat="1" applyFont="1" applyFill="1" applyBorder="1" applyAlignment="1">
      <alignment horizontal="center" vertical="center"/>
    </xf>
    <xf numFmtId="2" fontId="22512" fillId="8" borderId="1" xfId="0" applyNumberFormat="1" applyFont="1" applyFill="1" applyBorder="1" applyAlignment="1">
      <alignment horizontal="center" vertical="center"/>
    </xf>
    <xf numFmtId="2" fontId="22513" fillId="8" borderId="1" xfId="0" applyNumberFormat="1" applyFont="1" applyFill="1" applyBorder="1" applyAlignment="1">
      <alignment horizontal="center" vertical="center"/>
    </xf>
    <xf numFmtId="2" fontId="22514" fillId="8" borderId="1" xfId="0" applyNumberFormat="1" applyFont="1" applyFill="1" applyBorder="1" applyAlignment="1">
      <alignment horizontal="center" vertical="center"/>
    </xf>
    <xf numFmtId="2" fontId="22515" fillId="8" borderId="1" xfId="0" applyNumberFormat="1" applyFont="1" applyFill="1" applyBorder="1" applyAlignment="1">
      <alignment horizontal="center" vertical="center"/>
    </xf>
    <xf numFmtId="2" fontId="22516" fillId="8" borderId="1" xfId="0" applyNumberFormat="1" applyFont="1" applyFill="1" applyBorder="1" applyAlignment="1">
      <alignment horizontal="center" vertical="center"/>
    </xf>
    <xf numFmtId="2" fontId="22517" fillId="8" borderId="1" xfId="0" applyNumberFormat="1" applyFont="1" applyFill="1" applyBorder="1" applyAlignment="1">
      <alignment horizontal="center" vertical="center"/>
    </xf>
    <xf numFmtId="2" fontId="22518" fillId="8" borderId="1" xfId="0" applyNumberFormat="1" applyFont="1" applyFill="1" applyBorder="1" applyAlignment="1">
      <alignment horizontal="center" vertical="center"/>
    </xf>
    <xf numFmtId="2" fontId="22519" fillId="8" borderId="1" xfId="0" applyNumberFormat="1" applyFont="1" applyFill="1" applyBorder="1" applyAlignment="1">
      <alignment horizontal="center" vertical="center"/>
    </xf>
    <xf numFmtId="2" fontId="22520" fillId="8" borderId="1" xfId="0" applyNumberFormat="1" applyFont="1" applyFill="1" applyBorder="1" applyAlignment="1">
      <alignment horizontal="center" vertical="center"/>
    </xf>
    <xf numFmtId="2" fontId="22521" fillId="8" borderId="1" xfId="0" applyNumberFormat="1" applyFont="1" applyFill="1" applyBorder="1" applyAlignment="1">
      <alignment horizontal="center" vertical="center"/>
    </xf>
    <xf numFmtId="2" fontId="22522" fillId="8" borderId="1" xfId="0" applyNumberFormat="1" applyFont="1" applyFill="1" applyBorder="1" applyAlignment="1">
      <alignment horizontal="center" vertical="center"/>
    </xf>
    <xf numFmtId="2" fontId="22523" fillId="8" borderId="1" xfId="0" applyNumberFormat="1" applyFont="1" applyFill="1" applyBorder="1" applyAlignment="1">
      <alignment horizontal="center" vertical="center"/>
    </xf>
    <xf numFmtId="2" fontId="22524" fillId="8" borderId="1" xfId="0" applyNumberFormat="1" applyFont="1" applyFill="1" applyBorder="1" applyAlignment="1">
      <alignment horizontal="center" vertical="center"/>
    </xf>
    <xf numFmtId="2" fontId="22525" fillId="8" borderId="1" xfId="0" applyNumberFormat="1" applyFont="1" applyFill="1" applyBorder="1" applyAlignment="1">
      <alignment horizontal="center" vertical="center"/>
    </xf>
    <xf numFmtId="2" fontId="22526" fillId="8" borderId="1" xfId="0" applyNumberFormat="1" applyFont="1" applyFill="1" applyBorder="1" applyAlignment="1">
      <alignment horizontal="center" vertical="center"/>
    </xf>
    <xf numFmtId="2" fontId="22527" fillId="8" borderId="1" xfId="0" applyNumberFormat="1" applyFont="1" applyFill="1" applyBorder="1" applyAlignment="1">
      <alignment horizontal="center" vertical="center"/>
    </xf>
    <xf numFmtId="2" fontId="22528" fillId="8" borderId="1" xfId="0" applyNumberFormat="1" applyFont="1" applyFill="1" applyBorder="1" applyAlignment="1">
      <alignment horizontal="center" vertical="center"/>
    </xf>
    <xf numFmtId="2" fontId="22529" fillId="8" borderId="1" xfId="0" applyNumberFormat="1" applyFont="1" applyFill="1" applyBorder="1" applyAlignment="1">
      <alignment horizontal="center" vertical="center"/>
    </xf>
    <xf numFmtId="2" fontId="22530" fillId="8" borderId="1" xfId="0" applyNumberFormat="1" applyFont="1" applyFill="1" applyBorder="1" applyAlignment="1">
      <alignment horizontal="center" vertical="center"/>
    </xf>
    <xf numFmtId="2" fontId="22531" fillId="8" borderId="1" xfId="0" applyNumberFormat="1" applyFont="1" applyFill="1" applyBorder="1" applyAlignment="1">
      <alignment horizontal="center" vertical="center"/>
    </xf>
    <xf numFmtId="2" fontId="22532" fillId="8" borderId="1" xfId="0" applyNumberFormat="1" applyFont="1" applyFill="1" applyBorder="1" applyAlignment="1">
      <alignment horizontal="center" vertical="center"/>
    </xf>
    <xf numFmtId="2" fontId="22533" fillId="8" borderId="1" xfId="0" applyNumberFormat="1" applyFont="1" applyFill="1" applyBorder="1" applyAlignment="1">
      <alignment horizontal="center" vertical="center"/>
    </xf>
    <xf numFmtId="2" fontId="22534" fillId="8" borderId="1" xfId="0" applyNumberFormat="1" applyFont="1" applyFill="1" applyBorder="1" applyAlignment="1">
      <alignment horizontal="center" vertical="center"/>
    </xf>
    <xf numFmtId="2" fontId="22535" fillId="8" borderId="1" xfId="0" applyNumberFormat="1" applyFont="1" applyFill="1" applyBorder="1" applyAlignment="1">
      <alignment horizontal="center" vertical="center"/>
    </xf>
    <xf numFmtId="2" fontId="22536" fillId="8" borderId="1" xfId="0" applyNumberFormat="1" applyFont="1" applyFill="1" applyBorder="1" applyAlignment="1">
      <alignment horizontal="center" vertical="center"/>
    </xf>
    <xf numFmtId="2" fontId="22537" fillId="8" borderId="1" xfId="0" applyNumberFormat="1" applyFont="1" applyFill="1" applyBorder="1" applyAlignment="1">
      <alignment horizontal="center" vertical="center"/>
    </xf>
    <xf numFmtId="2" fontId="22538" fillId="8" borderId="1" xfId="0" applyNumberFormat="1" applyFont="1" applyFill="1" applyBorder="1" applyAlignment="1">
      <alignment horizontal="center" vertical="center"/>
    </xf>
    <xf numFmtId="2" fontId="22539" fillId="8" borderId="1" xfId="0" applyNumberFormat="1" applyFont="1" applyFill="1" applyBorder="1" applyAlignment="1">
      <alignment horizontal="center" vertical="center"/>
    </xf>
    <xf numFmtId="2" fontId="22540" fillId="8" borderId="1" xfId="0" applyNumberFormat="1" applyFont="1" applyFill="1" applyBorder="1" applyAlignment="1">
      <alignment horizontal="center" vertical="center"/>
    </xf>
    <xf numFmtId="2" fontId="22541" fillId="8" borderId="1" xfId="0" applyNumberFormat="1" applyFont="1" applyFill="1" applyBorder="1" applyAlignment="1">
      <alignment horizontal="center" vertical="center"/>
    </xf>
    <xf numFmtId="2" fontId="22542" fillId="8" borderId="1" xfId="0" applyNumberFormat="1" applyFont="1" applyFill="1" applyBorder="1" applyAlignment="1">
      <alignment horizontal="center" vertical="center"/>
    </xf>
    <xf numFmtId="0" fontId="22543" fillId="7" borderId="1" xfId="0" applyNumberFormat="1" applyFont="1" applyFill="1" applyBorder="1" applyAlignment="1">
      <alignment horizontal="left" vertical="center"/>
    </xf>
    <xf numFmtId="0" fontId="22544" fillId="8" borderId="1" xfId="0" applyNumberFormat="1" applyFont="1" applyFill="1" applyBorder="1" applyAlignment="1">
      <alignment horizontal="center" vertical="center"/>
    </xf>
    <xf numFmtId="164" fontId="22545" fillId="8" borderId="1" xfId="0" applyNumberFormat="1" applyFont="1" applyFill="1" applyBorder="1" applyAlignment="1">
      <alignment horizontal="center" vertical="center"/>
    </xf>
    <xf numFmtId="1" fontId="22546" fillId="8" borderId="1" xfId="0" applyNumberFormat="1" applyFont="1" applyFill="1" applyBorder="1" applyAlignment="1">
      <alignment horizontal="center" vertical="center"/>
    </xf>
    <xf numFmtId="1" fontId="22547" fillId="8" borderId="1" xfId="0" applyNumberFormat="1" applyFont="1" applyFill="1" applyBorder="1" applyAlignment="1">
      <alignment horizontal="center" vertical="center"/>
    </xf>
    <xf numFmtId="1" fontId="22548" fillId="8" borderId="1" xfId="0" applyNumberFormat="1" applyFont="1" applyFill="1" applyBorder="1" applyAlignment="1">
      <alignment horizontal="center" vertical="center"/>
    </xf>
    <xf numFmtId="1" fontId="22549" fillId="8" borderId="1" xfId="0" applyNumberFormat="1" applyFont="1" applyFill="1" applyBorder="1" applyAlignment="1">
      <alignment horizontal="center" vertical="center"/>
    </xf>
    <xf numFmtId="1" fontId="22550" fillId="8" borderId="1" xfId="0" applyNumberFormat="1" applyFont="1" applyFill="1" applyBorder="1" applyAlignment="1">
      <alignment horizontal="center" vertical="center"/>
    </xf>
    <xf numFmtId="1" fontId="22551" fillId="8" borderId="1" xfId="0" applyNumberFormat="1" applyFont="1" applyFill="1" applyBorder="1" applyAlignment="1">
      <alignment horizontal="center" vertical="center"/>
    </xf>
    <xf numFmtId="1" fontId="22552" fillId="8" borderId="1" xfId="0" applyNumberFormat="1" applyFont="1" applyFill="1" applyBorder="1" applyAlignment="1">
      <alignment horizontal="center" vertical="center"/>
    </xf>
    <xf numFmtId="0" fontId="22553" fillId="8" borderId="1" xfId="0" applyNumberFormat="1" applyFont="1" applyFill="1" applyBorder="1" applyAlignment="1">
      <alignment horizontal="center" vertical="center"/>
    </xf>
    <xf numFmtId="0" fontId="22554" fillId="8" borderId="1" xfId="0" applyNumberFormat="1" applyFont="1" applyFill="1" applyBorder="1" applyAlignment="1">
      <alignment horizontal="center" vertical="center"/>
    </xf>
    <xf numFmtId="1" fontId="22555" fillId="8" borderId="1" xfId="0" applyNumberFormat="1" applyFont="1" applyFill="1" applyBorder="1" applyAlignment="1">
      <alignment horizontal="center" vertical="center"/>
    </xf>
    <xf numFmtId="1" fontId="22556" fillId="8" borderId="1" xfId="0" applyNumberFormat="1" applyFont="1" applyFill="1" applyBorder="1" applyAlignment="1">
      <alignment horizontal="center" vertical="center"/>
    </xf>
    <xf numFmtId="1" fontId="22557" fillId="8" borderId="1" xfId="0" applyNumberFormat="1" applyFont="1" applyFill="1" applyBorder="1" applyAlignment="1">
      <alignment horizontal="center" vertical="center"/>
    </xf>
    <xf numFmtId="165" fontId="22558" fillId="8" borderId="1" xfId="0" applyNumberFormat="1" applyFont="1" applyFill="1" applyBorder="1" applyAlignment="1">
      <alignment horizontal="center" vertical="center"/>
    </xf>
    <xf numFmtId="1" fontId="22559" fillId="8" borderId="1" xfId="0" applyNumberFormat="1" applyFont="1" applyFill="1" applyBorder="1" applyAlignment="1">
      <alignment horizontal="center" vertical="center"/>
    </xf>
    <xf numFmtId="165" fontId="22560" fillId="8" borderId="1" xfId="0" applyNumberFormat="1" applyFont="1" applyFill="1" applyBorder="1" applyAlignment="1">
      <alignment horizontal="center" vertical="center"/>
    </xf>
    <xf numFmtId="1" fontId="22561" fillId="8" borderId="1" xfId="0" applyNumberFormat="1" applyFont="1" applyFill="1" applyBorder="1" applyAlignment="1">
      <alignment horizontal="center" vertical="center"/>
    </xf>
    <xf numFmtId="165" fontId="22562" fillId="8" borderId="1" xfId="0" applyNumberFormat="1" applyFont="1" applyFill="1" applyBorder="1" applyAlignment="1">
      <alignment horizontal="center" vertical="center"/>
    </xf>
    <xf numFmtId="1" fontId="22563" fillId="8" borderId="1" xfId="0" applyNumberFormat="1" applyFont="1" applyFill="1" applyBorder="1" applyAlignment="1">
      <alignment horizontal="center" vertical="center"/>
    </xf>
    <xf numFmtId="165" fontId="22564" fillId="8" borderId="1" xfId="0" applyNumberFormat="1" applyFont="1" applyFill="1" applyBorder="1" applyAlignment="1">
      <alignment horizontal="center" vertical="center"/>
    </xf>
    <xf numFmtId="165" fontId="22565" fillId="8" borderId="1" xfId="0" applyNumberFormat="1" applyFont="1" applyFill="1" applyBorder="1" applyAlignment="1">
      <alignment horizontal="center" vertical="center"/>
    </xf>
    <xf numFmtId="1" fontId="22566" fillId="8" borderId="1" xfId="0" applyNumberFormat="1" applyFont="1" applyFill="1" applyBorder="1" applyAlignment="1">
      <alignment horizontal="center" vertical="center"/>
    </xf>
    <xf numFmtId="1" fontId="22567" fillId="8" borderId="1" xfId="0" applyNumberFormat="1" applyFont="1" applyFill="1" applyBorder="1" applyAlignment="1">
      <alignment horizontal="center" vertical="center"/>
    </xf>
    <xf numFmtId="1" fontId="22568" fillId="8" borderId="1" xfId="0" applyNumberFormat="1" applyFont="1" applyFill="1" applyBorder="1" applyAlignment="1">
      <alignment horizontal="center" vertical="center"/>
    </xf>
    <xf numFmtId="165" fontId="22569" fillId="8" borderId="1" xfId="0" applyNumberFormat="1" applyFont="1" applyFill="1" applyBorder="1" applyAlignment="1">
      <alignment horizontal="center" vertical="center"/>
    </xf>
    <xf numFmtId="164" fontId="22570" fillId="8" borderId="1" xfId="0" applyNumberFormat="1" applyFont="1" applyFill="1" applyBorder="1" applyAlignment="1">
      <alignment horizontal="center" vertical="center"/>
    </xf>
    <xf numFmtId="164" fontId="22571" fillId="8" borderId="1" xfId="0" applyNumberFormat="1" applyFont="1" applyFill="1" applyBorder="1" applyAlignment="1">
      <alignment horizontal="center" vertical="center"/>
    </xf>
    <xf numFmtId="1" fontId="22572" fillId="8" borderId="1" xfId="0" applyNumberFormat="1" applyFont="1" applyFill="1" applyBorder="1" applyAlignment="1">
      <alignment horizontal="center" vertical="center"/>
    </xf>
    <xf numFmtId="1" fontId="22573" fillId="8" borderId="1" xfId="0" applyNumberFormat="1" applyFont="1" applyFill="1" applyBorder="1" applyAlignment="1">
      <alignment horizontal="center" vertical="center"/>
    </xf>
    <xf numFmtId="1" fontId="22574" fillId="8" borderId="1" xfId="0" applyNumberFormat="1" applyFont="1" applyFill="1" applyBorder="1" applyAlignment="1">
      <alignment horizontal="center" vertical="center"/>
    </xf>
    <xf numFmtId="165" fontId="22575" fillId="8" borderId="1" xfId="0" applyNumberFormat="1" applyFont="1" applyFill="1" applyBorder="1" applyAlignment="1">
      <alignment horizontal="center" vertical="center"/>
    </xf>
    <xf numFmtId="1" fontId="22576" fillId="8" borderId="1" xfId="0" applyNumberFormat="1" applyFont="1" applyFill="1" applyBorder="1" applyAlignment="1">
      <alignment horizontal="center" vertical="center"/>
    </xf>
    <xf numFmtId="165" fontId="22577" fillId="8" borderId="1" xfId="0" applyNumberFormat="1" applyFont="1" applyFill="1" applyBorder="1" applyAlignment="1">
      <alignment horizontal="center" vertical="center"/>
    </xf>
    <xf numFmtId="1" fontId="22578" fillId="8" borderId="1" xfId="0" applyNumberFormat="1" applyFont="1" applyFill="1" applyBorder="1" applyAlignment="1">
      <alignment horizontal="center" vertical="center"/>
    </xf>
    <xf numFmtId="1" fontId="22579" fillId="8" borderId="1" xfId="0" applyNumberFormat="1" applyFont="1" applyFill="1" applyBorder="1" applyAlignment="1">
      <alignment horizontal="center" vertical="center"/>
    </xf>
    <xf numFmtId="1" fontId="22580" fillId="8" borderId="1" xfId="0" applyNumberFormat="1" applyFont="1" applyFill="1" applyBorder="1" applyAlignment="1">
      <alignment horizontal="center" vertical="center"/>
    </xf>
    <xf numFmtId="1" fontId="22581" fillId="8" borderId="1" xfId="0" applyNumberFormat="1" applyFont="1" applyFill="1" applyBorder="1" applyAlignment="1">
      <alignment horizontal="center" vertical="center"/>
    </xf>
    <xf numFmtId="165" fontId="22582" fillId="8" borderId="1" xfId="0" applyNumberFormat="1" applyFont="1" applyFill="1" applyBorder="1" applyAlignment="1">
      <alignment horizontal="center" vertical="center"/>
    </xf>
    <xf numFmtId="1" fontId="22583" fillId="8" borderId="1" xfId="0" applyNumberFormat="1" applyFont="1" applyFill="1" applyBorder="1" applyAlignment="1">
      <alignment horizontal="center" vertical="center"/>
    </xf>
    <xf numFmtId="165" fontId="22584" fillId="8" borderId="1" xfId="0" applyNumberFormat="1" applyFont="1" applyFill="1" applyBorder="1" applyAlignment="1">
      <alignment horizontal="center" vertical="center"/>
    </xf>
    <xf numFmtId="1" fontId="22585" fillId="8" borderId="1" xfId="0" applyNumberFormat="1" applyFont="1" applyFill="1" applyBorder="1" applyAlignment="1">
      <alignment horizontal="center" vertical="center"/>
    </xf>
    <xf numFmtId="165" fontId="22586" fillId="8" borderId="1" xfId="0" applyNumberFormat="1" applyFont="1" applyFill="1" applyBorder="1" applyAlignment="1">
      <alignment horizontal="center" vertical="center"/>
    </xf>
    <xf numFmtId="2" fontId="22587" fillId="8" borderId="1" xfId="0" applyNumberFormat="1" applyFont="1" applyFill="1" applyBorder="1" applyAlignment="1">
      <alignment horizontal="center" vertical="center"/>
    </xf>
    <xf numFmtId="2" fontId="22588" fillId="8" borderId="1" xfId="0" applyNumberFormat="1" applyFont="1" applyFill="1" applyBorder="1" applyAlignment="1">
      <alignment horizontal="center" vertical="center"/>
    </xf>
    <xf numFmtId="2" fontId="22589" fillId="8" borderId="1" xfId="0" applyNumberFormat="1" applyFont="1" applyFill="1" applyBorder="1" applyAlignment="1">
      <alignment horizontal="center" vertical="center"/>
    </xf>
    <xf numFmtId="2" fontId="22590" fillId="8" borderId="1" xfId="0" applyNumberFormat="1" applyFont="1" applyFill="1" applyBorder="1" applyAlignment="1">
      <alignment horizontal="center" vertical="center"/>
    </xf>
    <xf numFmtId="2" fontId="22591" fillId="8" borderId="1" xfId="0" applyNumberFormat="1" applyFont="1" applyFill="1" applyBorder="1" applyAlignment="1">
      <alignment horizontal="center" vertical="center"/>
    </xf>
    <xf numFmtId="2" fontId="22592" fillId="8" borderId="1" xfId="0" applyNumberFormat="1" applyFont="1" applyFill="1" applyBorder="1" applyAlignment="1">
      <alignment horizontal="center" vertical="center"/>
    </xf>
    <xf numFmtId="2" fontId="22593" fillId="8" borderId="1" xfId="0" applyNumberFormat="1" applyFont="1" applyFill="1" applyBorder="1" applyAlignment="1">
      <alignment horizontal="center" vertical="center"/>
    </xf>
    <xf numFmtId="2" fontId="22594" fillId="8" borderId="1" xfId="0" applyNumberFormat="1" applyFont="1" applyFill="1" applyBorder="1" applyAlignment="1">
      <alignment horizontal="center" vertical="center"/>
    </xf>
    <xf numFmtId="2" fontId="22595" fillId="8" borderId="1" xfId="0" applyNumberFormat="1" applyFont="1" applyFill="1" applyBorder="1" applyAlignment="1">
      <alignment horizontal="center" vertical="center"/>
    </xf>
    <xf numFmtId="2" fontId="22596" fillId="8" borderId="1" xfId="0" applyNumberFormat="1" applyFont="1" applyFill="1" applyBorder="1" applyAlignment="1">
      <alignment horizontal="center" vertical="center"/>
    </xf>
    <xf numFmtId="2" fontId="22597" fillId="8" borderId="1" xfId="0" applyNumberFormat="1" applyFont="1" applyFill="1" applyBorder="1" applyAlignment="1">
      <alignment horizontal="center" vertical="center"/>
    </xf>
    <xf numFmtId="2" fontId="22598" fillId="8" borderId="1" xfId="0" applyNumberFormat="1" applyFont="1" applyFill="1" applyBorder="1" applyAlignment="1">
      <alignment horizontal="center" vertical="center"/>
    </xf>
    <xf numFmtId="2" fontId="22599" fillId="8" borderId="1" xfId="0" applyNumberFormat="1" applyFont="1" applyFill="1" applyBorder="1" applyAlignment="1">
      <alignment horizontal="center" vertical="center"/>
    </xf>
    <xf numFmtId="2" fontId="22600" fillId="8" borderId="1" xfId="0" applyNumberFormat="1" applyFont="1" applyFill="1" applyBorder="1" applyAlignment="1">
      <alignment horizontal="center" vertical="center"/>
    </xf>
    <xf numFmtId="2" fontId="22601" fillId="8" borderId="1" xfId="0" applyNumberFormat="1" applyFont="1" applyFill="1" applyBorder="1" applyAlignment="1">
      <alignment horizontal="center" vertical="center"/>
    </xf>
    <xf numFmtId="2" fontId="22602" fillId="8" borderId="1" xfId="0" applyNumberFormat="1" applyFont="1" applyFill="1" applyBorder="1" applyAlignment="1">
      <alignment horizontal="center" vertical="center"/>
    </xf>
    <xf numFmtId="2" fontId="22603" fillId="8" borderId="1" xfId="0" applyNumberFormat="1" applyFont="1" applyFill="1" applyBorder="1" applyAlignment="1">
      <alignment horizontal="center" vertical="center"/>
    </xf>
    <xf numFmtId="2" fontId="22604" fillId="8" borderId="1" xfId="0" applyNumberFormat="1" applyFont="1" applyFill="1" applyBorder="1" applyAlignment="1">
      <alignment horizontal="center" vertical="center"/>
    </xf>
    <xf numFmtId="2" fontId="22605" fillId="8" borderId="1" xfId="0" applyNumberFormat="1" applyFont="1" applyFill="1" applyBorder="1" applyAlignment="1">
      <alignment horizontal="center" vertical="center"/>
    </xf>
    <xf numFmtId="2" fontId="22606" fillId="8" borderId="1" xfId="0" applyNumberFormat="1" applyFont="1" applyFill="1" applyBorder="1" applyAlignment="1">
      <alignment horizontal="center" vertical="center"/>
    </xf>
    <xf numFmtId="2" fontId="22607" fillId="8" borderId="1" xfId="0" applyNumberFormat="1" applyFont="1" applyFill="1" applyBorder="1" applyAlignment="1">
      <alignment horizontal="center" vertical="center"/>
    </xf>
    <xf numFmtId="2" fontId="22608" fillId="8" borderId="1" xfId="0" applyNumberFormat="1" applyFont="1" applyFill="1" applyBorder="1" applyAlignment="1">
      <alignment horizontal="center" vertical="center"/>
    </xf>
    <xf numFmtId="2" fontId="22609" fillId="8" borderId="1" xfId="0" applyNumberFormat="1" applyFont="1" applyFill="1" applyBorder="1" applyAlignment="1">
      <alignment horizontal="center" vertical="center"/>
    </xf>
    <xf numFmtId="2" fontId="22610" fillId="8" borderId="1" xfId="0" applyNumberFormat="1" applyFont="1" applyFill="1" applyBorder="1" applyAlignment="1">
      <alignment horizontal="center" vertical="center"/>
    </xf>
    <xf numFmtId="2" fontId="22611" fillId="8" borderId="1" xfId="0" applyNumberFormat="1" applyFont="1" applyFill="1" applyBorder="1" applyAlignment="1">
      <alignment horizontal="center" vertical="center"/>
    </xf>
    <xf numFmtId="2" fontId="22612" fillId="8" borderId="1" xfId="0" applyNumberFormat="1" applyFont="1" applyFill="1" applyBorder="1" applyAlignment="1">
      <alignment horizontal="center" vertical="center"/>
    </xf>
    <xf numFmtId="2" fontId="22613" fillId="8" borderId="1" xfId="0" applyNumberFormat="1" applyFont="1" applyFill="1" applyBorder="1" applyAlignment="1">
      <alignment horizontal="center" vertical="center"/>
    </xf>
    <xf numFmtId="2" fontId="22614" fillId="8" borderId="1" xfId="0" applyNumberFormat="1" applyFont="1" applyFill="1" applyBorder="1" applyAlignment="1">
      <alignment horizontal="center" vertical="center"/>
    </xf>
    <xf numFmtId="2" fontId="22615" fillId="8" borderId="1" xfId="0" applyNumberFormat="1" applyFont="1" applyFill="1" applyBorder="1" applyAlignment="1">
      <alignment horizontal="center" vertical="center"/>
    </xf>
    <xf numFmtId="2" fontId="22616" fillId="8" borderId="1" xfId="0" applyNumberFormat="1" applyFont="1" applyFill="1" applyBorder="1" applyAlignment="1">
      <alignment horizontal="center" vertical="center"/>
    </xf>
    <xf numFmtId="2" fontId="22617" fillId="8" borderId="1" xfId="0" applyNumberFormat="1" applyFont="1" applyFill="1" applyBorder="1" applyAlignment="1">
      <alignment horizontal="center" vertical="center"/>
    </xf>
    <xf numFmtId="2" fontId="22618" fillId="8" borderId="1" xfId="0" applyNumberFormat="1" applyFont="1" applyFill="1" applyBorder="1" applyAlignment="1">
      <alignment horizontal="center" vertical="center"/>
    </xf>
    <xf numFmtId="2" fontId="22619" fillId="8" borderId="1" xfId="0" applyNumberFormat="1" applyFont="1" applyFill="1" applyBorder="1" applyAlignment="1">
      <alignment horizontal="center" vertical="center"/>
    </xf>
    <xf numFmtId="2" fontId="22620" fillId="8" borderId="1" xfId="0" applyNumberFormat="1" applyFont="1" applyFill="1" applyBorder="1" applyAlignment="1">
      <alignment horizontal="center" vertical="center"/>
    </xf>
    <xf numFmtId="0" fontId="22621" fillId="7" borderId="1" xfId="0" applyNumberFormat="1" applyFont="1" applyFill="1" applyBorder="1" applyAlignment="1">
      <alignment horizontal="left" vertical="center"/>
    </xf>
    <xf numFmtId="0" fontId="22622" fillId="8" borderId="1" xfId="0" applyNumberFormat="1" applyFont="1" applyFill="1" applyBorder="1" applyAlignment="1">
      <alignment horizontal="center" vertical="center"/>
    </xf>
    <xf numFmtId="164" fontId="22623" fillId="8" borderId="1" xfId="0" applyNumberFormat="1" applyFont="1" applyFill="1" applyBorder="1" applyAlignment="1">
      <alignment horizontal="center" vertical="center"/>
    </xf>
    <xf numFmtId="1" fontId="22624" fillId="8" borderId="1" xfId="0" applyNumberFormat="1" applyFont="1" applyFill="1" applyBorder="1" applyAlignment="1">
      <alignment horizontal="center" vertical="center"/>
    </xf>
    <xf numFmtId="1" fontId="22625" fillId="8" borderId="1" xfId="0" applyNumberFormat="1" applyFont="1" applyFill="1" applyBorder="1" applyAlignment="1">
      <alignment horizontal="center" vertical="center"/>
    </xf>
    <xf numFmtId="1" fontId="22626" fillId="8" borderId="1" xfId="0" applyNumberFormat="1" applyFont="1" applyFill="1" applyBorder="1" applyAlignment="1">
      <alignment horizontal="center" vertical="center"/>
    </xf>
    <xf numFmtId="1" fontId="22627" fillId="8" borderId="1" xfId="0" applyNumberFormat="1" applyFont="1" applyFill="1" applyBorder="1" applyAlignment="1">
      <alignment horizontal="center" vertical="center"/>
    </xf>
    <xf numFmtId="1" fontId="22628" fillId="8" borderId="1" xfId="0" applyNumberFormat="1" applyFont="1" applyFill="1" applyBorder="1" applyAlignment="1">
      <alignment horizontal="center" vertical="center"/>
    </xf>
    <xf numFmtId="1" fontId="22629" fillId="8" borderId="1" xfId="0" applyNumberFormat="1" applyFont="1" applyFill="1" applyBorder="1" applyAlignment="1">
      <alignment horizontal="center" vertical="center"/>
    </xf>
    <xf numFmtId="1" fontId="22630" fillId="8" borderId="1" xfId="0" applyNumberFormat="1" applyFont="1" applyFill="1" applyBorder="1" applyAlignment="1">
      <alignment horizontal="center" vertical="center"/>
    </xf>
    <xf numFmtId="0" fontId="22631" fillId="8" borderId="1" xfId="0" applyNumberFormat="1" applyFont="1" applyFill="1" applyBorder="1" applyAlignment="1">
      <alignment horizontal="center" vertical="center"/>
    </xf>
    <xf numFmtId="0" fontId="22632" fillId="8" borderId="1" xfId="0" applyNumberFormat="1" applyFont="1" applyFill="1" applyBorder="1" applyAlignment="1">
      <alignment horizontal="center" vertical="center"/>
    </xf>
    <xf numFmtId="1" fontId="22633" fillId="8" borderId="1" xfId="0" applyNumberFormat="1" applyFont="1" applyFill="1" applyBorder="1" applyAlignment="1">
      <alignment horizontal="center" vertical="center"/>
    </xf>
    <xf numFmtId="1" fontId="22634" fillId="8" borderId="1" xfId="0" applyNumberFormat="1" applyFont="1" applyFill="1" applyBorder="1" applyAlignment="1">
      <alignment horizontal="center" vertical="center"/>
    </xf>
    <xf numFmtId="1" fontId="22635" fillId="8" borderId="1" xfId="0" applyNumberFormat="1" applyFont="1" applyFill="1" applyBorder="1" applyAlignment="1">
      <alignment horizontal="center" vertical="center"/>
    </xf>
    <xf numFmtId="165" fontId="22636" fillId="8" borderId="1" xfId="0" applyNumberFormat="1" applyFont="1" applyFill="1" applyBorder="1" applyAlignment="1">
      <alignment horizontal="center" vertical="center"/>
    </xf>
    <xf numFmtId="1" fontId="22637" fillId="8" borderId="1" xfId="0" applyNumberFormat="1" applyFont="1" applyFill="1" applyBorder="1" applyAlignment="1">
      <alignment horizontal="center" vertical="center"/>
    </xf>
    <xf numFmtId="165" fontId="22638" fillId="8" borderId="1" xfId="0" applyNumberFormat="1" applyFont="1" applyFill="1" applyBorder="1" applyAlignment="1">
      <alignment horizontal="center" vertical="center"/>
    </xf>
    <xf numFmtId="1" fontId="22639" fillId="8" borderId="1" xfId="0" applyNumberFormat="1" applyFont="1" applyFill="1" applyBorder="1" applyAlignment="1">
      <alignment horizontal="center" vertical="center"/>
    </xf>
    <xf numFmtId="165" fontId="22640" fillId="8" borderId="1" xfId="0" applyNumberFormat="1" applyFont="1" applyFill="1" applyBorder="1" applyAlignment="1">
      <alignment horizontal="center" vertical="center"/>
    </xf>
    <xf numFmtId="1" fontId="22641" fillId="8" borderId="1" xfId="0" applyNumberFormat="1" applyFont="1" applyFill="1" applyBorder="1" applyAlignment="1">
      <alignment horizontal="center" vertical="center"/>
    </xf>
    <xf numFmtId="165" fontId="22642" fillId="8" borderId="1" xfId="0" applyNumberFormat="1" applyFont="1" applyFill="1" applyBorder="1" applyAlignment="1">
      <alignment horizontal="center" vertical="center"/>
    </xf>
    <xf numFmtId="165" fontId="22643" fillId="8" borderId="1" xfId="0" applyNumberFormat="1" applyFont="1" applyFill="1" applyBorder="1" applyAlignment="1">
      <alignment horizontal="center" vertical="center"/>
    </xf>
    <xf numFmtId="1" fontId="22644" fillId="8" borderId="1" xfId="0" applyNumberFormat="1" applyFont="1" applyFill="1" applyBorder="1" applyAlignment="1">
      <alignment horizontal="center" vertical="center"/>
    </xf>
    <xf numFmtId="1" fontId="22645" fillId="8" borderId="1" xfId="0" applyNumberFormat="1" applyFont="1" applyFill="1" applyBorder="1" applyAlignment="1">
      <alignment horizontal="center" vertical="center"/>
    </xf>
    <xf numFmtId="1" fontId="22646" fillId="8" borderId="1" xfId="0" applyNumberFormat="1" applyFont="1" applyFill="1" applyBorder="1" applyAlignment="1">
      <alignment horizontal="center" vertical="center"/>
    </xf>
    <xf numFmtId="165" fontId="22647" fillId="8" borderId="1" xfId="0" applyNumberFormat="1" applyFont="1" applyFill="1" applyBorder="1" applyAlignment="1">
      <alignment horizontal="center" vertical="center"/>
    </xf>
    <xf numFmtId="164" fontId="22648" fillId="8" borderId="1" xfId="0" applyNumberFormat="1" applyFont="1" applyFill="1" applyBorder="1" applyAlignment="1">
      <alignment horizontal="center" vertical="center"/>
    </xf>
    <xf numFmtId="164" fontId="22649" fillId="8" borderId="1" xfId="0" applyNumberFormat="1" applyFont="1" applyFill="1" applyBorder="1" applyAlignment="1">
      <alignment horizontal="center" vertical="center"/>
    </xf>
    <xf numFmtId="1" fontId="22650" fillId="8" borderId="1" xfId="0" applyNumberFormat="1" applyFont="1" applyFill="1" applyBorder="1" applyAlignment="1">
      <alignment horizontal="center" vertical="center"/>
    </xf>
    <xf numFmtId="1" fontId="22651" fillId="8" borderId="1" xfId="0" applyNumberFormat="1" applyFont="1" applyFill="1" applyBorder="1" applyAlignment="1">
      <alignment horizontal="center" vertical="center"/>
    </xf>
    <xf numFmtId="1" fontId="22652" fillId="8" borderId="1" xfId="0" applyNumberFormat="1" applyFont="1" applyFill="1" applyBorder="1" applyAlignment="1">
      <alignment horizontal="center" vertical="center"/>
    </xf>
    <xf numFmtId="165" fontId="22653" fillId="8" borderId="1" xfId="0" applyNumberFormat="1" applyFont="1" applyFill="1" applyBorder="1" applyAlignment="1">
      <alignment horizontal="center" vertical="center"/>
    </xf>
    <xf numFmtId="1" fontId="22654" fillId="8" borderId="1" xfId="0" applyNumberFormat="1" applyFont="1" applyFill="1" applyBorder="1" applyAlignment="1">
      <alignment horizontal="center" vertical="center"/>
    </xf>
    <xf numFmtId="165" fontId="22655" fillId="8" borderId="1" xfId="0" applyNumberFormat="1" applyFont="1" applyFill="1" applyBorder="1" applyAlignment="1">
      <alignment horizontal="center" vertical="center"/>
    </xf>
    <xf numFmtId="1" fontId="22656" fillId="8" borderId="1" xfId="0" applyNumberFormat="1" applyFont="1" applyFill="1" applyBorder="1" applyAlignment="1">
      <alignment horizontal="center" vertical="center"/>
    </xf>
    <xf numFmtId="1" fontId="22657" fillId="8" borderId="1" xfId="0" applyNumberFormat="1" applyFont="1" applyFill="1" applyBorder="1" applyAlignment="1">
      <alignment horizontal="center" vertical="center"/>
    </xf>
    <xf numFmtId="1" fontId="22658" fillId="8" borderId="1" xfId="0" applyNumberFormat="1" applyFont="1" applyFill="1" applyBorder="1" applyAlignment="1">
      <alignment horizontal="center" vertical="center"/>
    </xf>
    <xf numFmtId="1" fontId="22659" fillId="8" borderId="1" xfId="0" applyNumberFormat="1" applyFont="1" applyFill="1" applyBorder="1" applyAlignment="1">
      <alignment horizontal="center" vertical="center"/>
    </xf>
    <xf numFmtId="165" fontId="22660" fillId="8" borderId="1" xfId="0" applyNumberFormat="1" applyFont="1" applyFill="1" applyBorder="1" applyAlignment="1">
      <alignment horizontal="center" vertical="center"/>
    </xf>
    <xf numFmtId="1" fontId="22661" fillId="8" borderId="1" xfId="0" applyNumberFormat="1" applyFont="1" applyFill="1" applyBorder="1" applyAlignment="1">
      <alignment horizontal="center" vertical="center"/>
    </xf>
    <xf numFmtId="165" fontId="22662" fillId="8" borderId="1" xfId="0" applyNumberFormat="1" applyFont="1" applyFill="1" applyBorder="1" applyAlignment="1">
      <alignment horizontal="center" vertical="center"/>
    </xf>
    <xf numFmtId="1" fontId="22663" fillId="8" borderId="1" xfId="0" applyNumberFormat="1" applyFont="1" applyFill="1" applyBorder="1" applyAlignment="1">
      <alignment horizontal="center" vertical="center"/>
    </xf>
    <xf numFmtId="165" fontId="22664" fillId="8" borderId="1" xfId="0" applyNumberFormat="1" applyFont="1" applyFill="1" applyBorder="1" applyAlignment="1">
      <alignment horizontal="center" vertical="center"/>
    </xf>
    <xf numFmtId="2" fontId="22665" fillId="8" borderId="1" xfId="0" applyNumberFormat="1" applyFont="1" applyFill="1" applyBorder="1" applyAlignment="1">
      <alignment horizontal="center" vertical="center"/>
    </xf>
    <xf numFmtId="2" fontId="22666" fillId="8" borderId="1" xfId="0" applyNumberFormat="1" applyFont="1" applyFill="1" applyBorder="1" applyAlignment="1">
      <alignment horizontal="center" vertical="center"/>
    </xf>
    <xf numFmtId="2" fontId="22667" fillId="8" borderId="1" xfId="0" applyNumberFormat="1" applyFont="1" applyFill="1" applyBorder="1" applyAlignment="1">
      <alignment horizontal="center" vertical="center"/>
    </xf>
    <xf numFmtId="2" fontId="22668" fillId="8" borderId="1" xfId="0" applyNumberFormat="1" applyFont="1" applyFill="1" applyBorder="1" applyAlignment="1">
      <alignment horizontal="center" vertical="center"/>
    </xf>
    <xf numFmtId="2" fontId="22669" fillId="8" borderId="1" xfId="0" applyNumberFormat="1" applyFont="1" applyFill="1" applyBorder="1" applyAlignment="1">
      <alignment horizontal="center" vertical="center"/>
    </xf>
    <xf numFmtId="2" fontId="22670" fillId="8" borderId="1" xfId="0" applyNumberFormat="1" applyFont="1" applyFill="1" applyBorder="1" applyAlignment="1">
      <alignment horizontal="center" vertical="center"/>
    </xf>
    <xf numFmtId="2" fontId="22671" fillId="8" borderId="1" xfId="0" applyNumberFormat="1" applyFont="1" applyFill="1" applyBorder="1" applyAlignment="1">
      <alignment horizontal="center" vertical="center"/>
    </xf>
    <xf numFmtId="2" fontId="22672" fillId="8" borderId="1" xfId="0" applyNumberFormat="1" applyFont="1" applyFill="1" applyBorder="1" applyAlignment="1">
      <alignment horizontal="center" vertical="center"/>
    </xf>
    <xf numFmtId="2" fontId="22673" fillId="8" borderId="1" xfId="0" applyNumberFormat="1" applyFont="1" applyFill="1" applyBorder="1" applyAlignment="1">
      <alignment horizontal="center" vertical="center"/>
    </xf>
    <xf numFmtId="2" fontId="22674" fillId="8" borderId="1" xfId="0" applyNumberFormat="1" applyFont="1" applyFill="1" applyBorder="1" applyAlignment="1">
      <alignment horizontal="center" vertical="center"/>
    </xf>
    <xf numFmtId="2" fontId="22675" fillId="8" borderId="1" xfId="0" applyNumberFormat="1" applyFont="1" applyFill="1" applyBorder="1" applyAlignment="1">
      <alignment horizontal="center" vertical="center"/>
    </xf>
    <xf numFmtId="2" fontId="22676" fillId="8" borderId="1" xfId="0" applyNumberFormat="1" applyFont="1" applyFill="1" applyBorder="1" applyAlignment="1">
      <alignment horizontal="center" vertical="center"/>
    </xf>
    <xf numFmtId="2" fontId="22677" fillId="8" borderId="1" xfId="0" applyNumberFormat="1" applyFont="1" applyFill="1" applyBorder="1" applyAlignment="1">
      <alignment horizontal="center" vertical="center"/>
    </xf>
    <xf numFmtId="2" fontId="22678" fillId="8" borderId="1" xfId="0" applyNumberFormat="1" applyFont="1" applyFill="1" applyBorder="1" applyAlignment="1">
      <alignment horizontal="center" vertical="center"/>
    </xf>
    <xf numFmtId="2" fontId="22679" fillId="8" borderId="1" xfId="0" applyNumberFormat="1" applyFont="1" applyFill="1" applyBorder="1" applyAlignment="1">
      <alignment horizontal="center" vertical="center"/>
    </xf>
    <xf numFmtId="2" fontId="22680" fillId="8" borderId="1" xfId="0" applyNumberFormat="1" applyFont="1" applyFill="1" applyBorder="1" applyAlignment="1">
      <alignment horizontal="center" vertical="center"/>
    </xf>
    <xf numFmtId="2" fontId="22681" fillId="8" borderId="1" xfId="0" applyNumberFormat="1" applyFont="1" applyFill="1" applyBorder="1" applyAlignment="1">
      <alignment horizontal="center" vertical="center"/>
    </xf>
    <xf numFmtId="2" fontId="22682" fillId="8" borderId="1" xfId="0" applyNumberFormat="1" applyFont="1" applyFill="1" applyBorder="1" applyAlignment="1">
      <alignment horizontal="center" vertical="center"/>
    </xf>
    <xf numFmtId="2" fontId="22683" fillId="8" borderId="1" xfId="0" applyNumberFormat="1" applyFont="1" applyFill="1" applyBorder="1" applyAlignment="1">
      <alignment horizontal="center" vertical="center"/>
    </xf>
    <xf numFmtId="2" fontId="22684" fillId="8" borderId="1" xfId="0" applyNumberFormat="1" applyFont="1" applyFill="1" applyBorder="1" applyAlignment="1">
      <alignment horizontal="center" vertical="center"/>
    </xf>
    <xf numFmtId="2" fontId="22685" fillId="8" borderId="1" xfId="0" applyNumberFormat="1" applyFont="1" applyFill="1" applyBorder="1" applyAlignment="1">
      <alignment horizontal="center" vertical="center"/>
    </xf>
    <xf numFmtId="2" fontId="22686" fillId="8" borderId="1" xfId="0" applyNumberFormat="1" applyFont="1" applyFill="1" applyBorder="1" applyAlignment="1">
      <alignment horizontal="center" vertical="center"/>
    </xf>
    <xf numFmtId="2" fontId="22687" fillId="8" borderId="1" xfId="0" applyNumberFormat="1" applyFont="1" applyFill="1" applyBorder="1" applyAlignment="1">
      <alignment horizontal="center" vertical="center"/>
    </xf>
    <xf numFmtId="2" fontId="22688" fillId="8" borderId="1" xfId="0" applyNumberFormat="1" applyFont="1" applyFill="1" applyBorder="1" applyAlignment="1">
      <alignment horizontal="center" vertical="center"/>
    </xf>
    <xf numFmtId="2" fontId="22689" fillId="8" borderId="1" xfId="0" applyNumberFormat="1" applyFont="1" applyFill="1" applyBorder="1" applyAlignment="1">
      <alignment horizontal="center" vertical="center"/>
    </xf>
    <xf numFmtId="2" fontId="22690" fillId="8" borderId="1" xfId="0" applyNumberFormat="1" applyFont="1" applyFill="1" applyBorder="1" applyAlignment="1">
      <alignment horizontal="center" vertical="center"/>
    </xf>
    <xf numFmtId="2" fontId="22691" fillId="8" borderId="1" xfId="0" applyNumberFormat="1" applyFont="1" applyFill="1" applyBorder="1" applyAlignment="1">
      <alignment horizontal="center" vertical="center"/>
    </xf>
    <xf numFmtId="2" fontId="22692" fillId="8" borderId="1" xfId="0" applyNumberFormat="1" applyFont="1" applyFill="1" applyBorder="1" applyAlignment="1">
      <alignment horizontal="center" vertical="center"/>
    </xf>
    <xf numFmtId="2" fontId="22693" fillId="8" borderId="1" xfId="0" applyNumberFormat="1" applyFont="1" applyFill="1" applyBorder="1" applyAlignment="1">
      <alignment horizontal="center" vertical="center"/>
    </xf>
    <xf numFmtId="2" fontId="22694" fillId="8" borderId="1" xfId="0" applyNumberFormat="1" applyFont="1" applyFill="1" applyBorder="1" applyAlignment="1">
      <alignment horizontal="center" vertical="center"/>
    </xf>
    <xf numFmtId="2" fontId="22695" fillId="8" borderId="1" xfId="0" applyNumberFormat="1" applyFont="1" applyFill="1" applyBorder="1" applyAlignment="1">
      <alignment horizontal="center" vertical="center"/>
    </xf>
    <xf numFmtId="2" fontId="22696" fillId="8" borderId="1" xfId="0" applyNumberFormat="1" applyFont="1" applyFill="1" applyBorder="1" applyAlignment="1">
      <alignment horizontal="center" vertical="center"/>
    </xf>
    <xf numFmtId="2" fontId="22697" fillId="8" borderId="1" xfId="0" applyNumberFormat="1" applyFont="1" applyFill="1" applyBorder="1" applyAlignment="1">
      <alignment horizontal="center" vertical="center"/>
    </xf>
    <xf numFmtId="2" fontId="22698" fillId="8" borderId="1" xfId="0" applyNumberFormat="1" applyFont="1" applyFill="1" applyBorder="1" applyAlignment="1">
      <alignment horizontal="center" vertical="center"/>
    </xf>
    <xf numFmtId="0" fontId="22699" fillId="7" borderId="1" xfId="0" applyNumberFormat="1" applyFont="1" applyFill="1" applyBorder="1" applyAlignment="1">
      <alignment horizontal="left" vertical="center"/>
    </xf>
    <xf numFmtId="0" fontId="22700" fillId="8" borderId="1" xfId="0" applyNumberFormat="1" applyFont="1" applyFill="1" applyBorder="1" applyAlignment="1">
      <alignment horizontal="center" vertical="center"/>
    </xf>
    <xf numFmtId="164" fontId="22701" fillId="8" borderId="1" xfId="0" applyNumberFormat="1" applyFont="1" applyFill="1" applyBorder="1" applyAlignment="1">
      <alignment horizontal="center" vertical="center"/>
    </xf>
    <xf numFmtId="1" fontId="22702" fillId="8" borderId="1" xfId="0" applyNumberFormat="1" applyFont="1" applyFill="1" applyBorder="1" applyAlignment="1">
      <alignment horizontal="center" vertical="center"/>
    </xf>
    <xf numFmtId="1" fontId="22703" fillId="8" borderId="1" xfId="0" applyNumberFormat="1" applyFont="1" applyFill="1" applyBorder="1" applyAlignment="1">
      <alignment horizontal="center" vertical="center"/>
    </xf>
    <xf numFmtId="1" fontId="22704" fillId="8" borderId="1" xfId="0" applyNumberFormat="1" applyFont="1" applyFill="1" applyBorder="1" applyAlignment="1">
      <alignment horizontal="center" vertical="center"/>
    </xf>
    <xf numFmtId="1" fontId="22705" fillId="8" borderId="1" xfId="0" applyNumberFormat="1" applyFont="1" applyFill="1" applyBorder="1" applyAlignment="1">
      <alignment horizontal="center" vertical="center"/>
    </xf>
    <xf numFmtId="1" fontId="22706" fillId="8" borderId="1" xfId="0" applyNumberFormat="1" applyFont="1" applyFill="1" applyBorder="1" applyAlignment="1">
      <alignment horizontal="center" vertical="center"/>
    </xf>
    <xf numFmtId="1" fontId="22707" fillId="8" borderId="1" xfId="0" applyNumberFormat="1" applyFont="1" applyFill="1" applyBorder="1" applyAlignment="1">
      <alignment horizontal="center" vertical="center"/>
    </xf>
    <xf numFmtId="1" fontId="22708" fillId="8" borderId="1" xfId="0" applyNumberFormat="1" applyFont="1" applyFill="1" applyBorder="1" applyAlignment="1">
      <alignment horizontal="center" vertical="center"/>
    </xf>
    <xf numFmtId="0" fontId="22709" fillId="8" borderId="1" xfId="0" applyNumberFormat="1" applyFont="1" applyFill="1" applyBorder="1" applyAlignment="1">
      <alignment horizontal="center" vertical="center"/>
    </xf>
    <xf numFmtId="0" fontId="22710" fillId="8" borderId="1" xfId="0" applyNumberFormat="1" applyFont="1" applyFill="1" applyBorder="1" applyAlignment="1">
      <alignment horizontal="center" vertical="center"/>
    </xf>
    <xf numFmtId="1" fontId="22711" fillId="8" borderId="1" xfId="0" applyNumberFormat="1" applyFont="1" applyFill="1" applyBorder="1" applyAlignment="1">
      <alignment horizontal="center" vertical="center"/>
    </xf>
    <xf numFmtId="1" fontId="22712" fillId="8" borderId="1" xfId="0" applyNumberFormat="1" applyFont="1" applyFill="1" applyBorder="1" applyAlignment="1">
      <alignment horizontal="center" vertical="center"/>
    </xf>
    <xf numFmtId="1" fontId="22713" fillId="8" borderId="1" xfId="0" applyNumberFormat="1" applyFont="1" applyFill="1" applyBorder="1" applyAlignment="1">
      <alignment horizontal="center" vertical="center"/>
    </xf>
    <xf numFmtId="165" fontId="22714" fillId="8" borderId="1" xfId="0" applyNumberFormat="1" applyFont="1" applyFill="1" applyBorder="1" applyAlignment="1">
      <alignment horizontal="center" vertical="center"/>
    </xf>
    <xf numFmtId="1" fontId="22715" fillId="8" borderId="1" xfId="0" applyNumberFormat="1" applyFont="1" applyFill="1" applyBorder="1" applyAlignment="1">
      <alignment horizontal="center" vertical="center"/>
    </xf>
    <xf numFmtId="165" fontId="22716" fillId="8" borderId="1" xfId="0" applyNumberFormat="1" applyFont="1" applyFill="1" applyBorder="1" applyAlignment="1">
      <alignment horizontal="center" vertical="center"/>
    </xf>
    <xf numFmtId="1" fontId="22717" fillId="8" borderId="1" xfId="0" applyNumberFormat="1" applyFont="1" applyFill="1" applyBorder="1" applyAlignment="1">
      <alignment horizontal="center" vertical="center"/>
    </xf>
    <xf numFmtId="165" fontId="22718" fillId="8" borderId="1" xfId="0" applyNumberFormat="1" applyFont="1" applyFill="1" applyBorder="1" applyAlignment="1">
      <alignment horizontal="center" vertical="center"/>
    </xf>
    <xf numFmtId="1" fontId="22719" fillId="8" borderId="1" xfId="0" applyNumberFormat="1" applyFont="1" applyFill="1" applyBorder="1" applyAlignment="1">
      <alignment horizontal="center" vertical="center"/>
    </xf>
    <xf numFmtId="165" fontId="22720" fillId="8" borderId="1" xfId="0" applyNumberFormat="1" applyFont="1" applyFill="1" applyBorder="1" applyAlignment="1">
      <alignment horizontal="center" vertical="center"/>
    </xf>
    <xf numFmtId="165" fontId="22721" fillId="8" borderId="1" xfId="0" applyNumberFormat="1" applyFont="1" applyFill="1" applyBorder="1" applyAlignment="1">
      <alignment horizontal="center" vertical="center"/>
    </xf>
    <xf numFmtId="1" fontId="22722" fillId="8" borderId="1" xfId="0" applyNumberFormat="1" applyFont="1" applyFill="1" applyBorder="1" applyAlignment="1">
      <alignment horizontal="center" vertical="center"/>
    </xf>
    <xf numFmtId="1" fontId="22723" fillId="8" borderId="1" xfId="0" applyNumberFormat="1" applyFont="1" applyFill="1" applyBorder="1" applyAlignment="1">
      <alignment horizontal="center" vertical="center"/>
    </xf>
    <xf numFmtId="1" fontId="22724" fillId="8" borderId="1" xfId="0" applyNumberFormat="1" applyFont="1" applyFill="1" applyBorder="1" applyAlignment="1">
      <alignment horizontal="center" vertical="center"/>
    </xf>
    <xf numFmtId="165" fontId="22725" fillId="8" borderId="1" xfId="0" applyNumberFormat="1" applyFont="1" applyFill="1" applyBorder="1" applyAlignment="1">
      <alignment horizontal="center" vertical="center"/>
    </xf>
    <xf numFmtId="164" fontId="22726" fillId="8" borderId="1" xfId="0" applyNumberFormat="1" applyFont="1" applyFill="1" applyBorder="1" applyAlignment="1">
      <alignment horizontal="center" vertical="center"/>
    </xf>
    <xf numFmtId="164" fontId="22727" fillId="8" borderId="1" xfId="0" applyNumberFormat="1" applyFont="1" applyFill="1" applyBorder="1" applyAlignment="1">
      <alignment horizontal="center" vertical="center"/>
    </xf>
    <xf numFmtId="1" fontId="22728" fillId="8" borderId="1" xfId="0" applyNumberFormat="1" applyFont="1" applyFill="1" applyBorder="1" applyAlignment="1">
      <alignment horizontal="center" vertical="center"/>
    </xf>
    <xf numFmtId="1" fontId="22729" fillId="8" borderId="1" xfId="0" applyNumberFormat="1" applyFont="1" applyFill="1" applyBorder="1" applyAlignment="1">
      <alignment horizontal="center" vertical="center"/>
    </xf>
    <xf numFmtId="1" fontId="22730" fillId="8" borderId="1" xfId="0" applyNumberFormat="1" applyFont="1" applyFill="1" applyBorder="1" applyAlignment="1">
      <alignment horizontal="center" vertical="center"/>
    </xf>
    <xf numFmtId="165" fontId="22731" fillId="8" borderId="1" xfId="0" applyNumberFormat="1" applyFont="1" applyFill="1" applyBorder="1" applyAlignment="1">
      <alignment horizontal="center" vertical="center"/>
    </xf>
    <xf numFmtId="1" fontId="22732" fillId="8" borderId="1" xfId="0" applyNumberFormat="1" applyFont="1" applyFill="1" applyBorder="1" applyAlignment="1">
      <alignment horizontal="center" vertical="center"/>
    </xf>
    <xf numFmtId="165" fontId="22733" fillId="8" borderId="1" xfId="0" applyNumberFormat="1" applyFont="1" applyFill="1" applyBorder="1" applyAlignment="1">
      <alignment horizontal="center" vertical="center"/>
    </xf>
    <xf numFmtId="1" fontId="22734" fillId="8" borderId="1" xfId="0" applyNumberFormat="1" applyFont="1" applyFill="1" applyBorder="1" applyAlignment="1">
      <alignment horizontal="center" vertical="center"/>
    </xf>
    <xf numFmtId="1" fontId="22735" fillId="8" borderId="1" xfId="0" applyNumberFormat="1" applyFont="1" applyFill="1" applyBorder="1" applyAlignment="1">
      <alignment horizontal="center" vertical="center"/>
    </xf>
    <xf numFmtId="1" fontId="22736" fillId="8" borderId="1" xfId="0" applyNumberFormat="1" applyFont="1" applyFill="1" applyBorder="1" applyAlignment="1">
      <alignment horizontal="center" vertical="center"/>
    </xf>
    <xf numFmtId="1" fontId="22737" fillId="8" borderId="1" xfId="0" applyNumberFormat="1" applyFont="1" applyFill="1" applyBorder="1" applyAlignment="1">
      <alignment horizontal="center" vertical="center"/>
    </xf>
    <xf numFmtId="165" fontId="22738" fillId="8" borderId="1" xfId="0" applyNumberFormat="1" applyFont="1" applyFill="1" applyBorder="1" applyAlignment="1">
      <alignment horizontal="center" vertical="center"/>
    </xf>
    <xf numFmtId="1" fontId="22739" fillId="8" borderId="1" xfId="0" applyNumberFormat="1" applyFont="1" applyFill="1" applyBorder="1" applyAlignment="1">
      <alignment horizontal="center" vertical="center"/>
    </xf>
    <xf numFmtId="165" fontId="22740" fillId="8" borderId="1" xfId="0" applyNumberFormat="1" applyFont="1" applyFill="1" applyBorder="1" applyAlignment="1">
      <alignment horizontal="center" vertical="center"/>
    </xf>
    <xf numFmtId="1" fontId="22741" fillId="8" borderId="1" xfId="0" applyNumberFormat="1" applyFont="1" applyFill="1" applyBorder="1" applyAlignment="1">
      <alignment horizontal="center" vertical="center"/>
    </xf>
    <xf numFmtId="165" fontId="22742" fillId="8" borderId="1" xfId="0" applyNumberFormat="1" applyFont="1" applyFill="1" applyBorder="1" applyAlignment="1">
      <alignment horizontal="center" vertical="center"/>
    </xf>
    <xf numFmtId="2" fontId="22743" fillId="8" borderId="1" xfId="0" applyNumberFormat="1" applyFont="1" applyFill="1" applyBorder="1" applyAlignment="1">
      <alignment horizontal="center" vertical="center"/>
    </xf>
    <xf numFmtId="2" fontId="22744" fillId="8" borderId="1" xfId="0" applyNumberFormat="1" applyFont="1" applyFill="1" applyBorder="1" applyAlignment="1">
      <alignment horizontal="center" vertical="center"/>
    </xf>
    <xf numFmtId="2" fontId="22745" fillId="8" borderId="1" xfId="0" applyNumberFormat="1" applyFont="1" applyFill="1" applyBorder="1" applyAlignment="1">
      <alignment horizontal="center" vertical="center"/>
    </xf>
    <xf numFmtId="2" fontId="22746" fillId="8" borderId="1" xfId="0" applyNumberFormat="1" applyFont="1" applyFill="1" applyBorder="1" applyAlignment="1">
      <alignment horizontal="center" vertical="center"/>
    </xf>
    <xf numFmtId="2" fontId="22747" fillId="8" borderId="1" xfId="0" applyNumberFormat="1" applyFont="1" applyFill="1" applyBorder="1" applyAlignment="1">
      <alignment horizontal="center" vertical="center"/>
    </xf>
    <xf numFmtId="2" fontId="22748" fillId="8" borderId="1" xfId="0" applyNumberFormat="1" applyFont="1" applyFill="1" applyBorder="1" applyAlignment="1">
      <alignment horizontal="center" vertical="center"/>
    </xf>
    <xf numFmtId="2" fontId="22749" fillId="8" borderId="1" xfId="0" applyNumberFormat="1" applyFont="1" applyFill="1" applyBorder="1" applyAlignment="1">
      <alignment horizontal="center" vertical="center"/>
    </xf>
    <xf numFmtId="2" fontId="22750" fillId="8" borderId="1" xfId="0" applyNumberFormat="1" applyFont="1" applyFill="1" applyBorder="1" applyAlignment="1">
      <alignment horizontal="center" vertical="center"/>
    </xf>
    <xf numFmtId="2" fontId="22751" fillId="8" borderId="1" xfId="0" applyNumberFormat="1" applyFont="1" applyFill="1" applyBorder="1" applyAlignment="1">
      <alignment horizontal="center" vertical="center"/>
    </xf>
    <xf numFmtId="2" fontId="22752" fillId="8" borderId="1" xfId="0" applyNumberFormat="1" applyFont="1" applyFill="1" applyBorder="1" applyAlignment="1">
      <alignment horizontal="center" vertical="center"/>
    </xf>
    <xf numFmtId="2" fontId="22753" fillId="8" borderId="1" xfId="0" applyNumberFormat="1" applyFont="1" applyFill="1" applyBorder="1" applyAlignment="1">
      <alignment horizontal="center" vertical="center"/>
    </xf>
    <xf numFmtId="2" fontId="22754" fillId="8" borderId="1" xfId="0" applyNumberFormat="1" applyFont="1" applyFill="1" applyBorder="1" applyAlignment="1">
      <alignment horizontal="center" vertical="center"/>
    </xf>
    <xf numFmtId="2" fontId="22755" fillId="8" borderId="1" xfId="0" applyNumberFormat="1" applyFont="1" applyFill="1" applyBorder="1" applyAlignment="1">
      <alignment horizontal="center" vertical="center"/>
    </xf>
    <xf numFmtId="2" fontId="22756" fillId="8" borderId="1" xfId="0" applyNumberFormat="1" applyFont="1" applyFill="1" applyBorder="1" applyAlignment="1">
      <alignment horizontal="center" vertical="center"/>
    </xf>
    <xf numFmtId="2" fontId="22757" fillId="8" borderId="1" xfId="0" applyNumberFormat="1" applyFont="1" applyFill="1" applyBorder="1" applyAlignment="1">
      <alignment horizontal="center" vertical="center"/>
    </xf>
    <xf numFmtId="2" fontId="22758" fillId="8" borderId="1" xfId="0" applyNumberFormat="1" applyFont="1" applyFill="1" applyBorder="1" applyAlignment="1">
      <alignment horizontal="center" vertical="center"/>
    </xf>
    <xf numFmtId="2" fontId="22759" fillId="8" borderId="1" xfId="0" applyNumberFormat="1" applyFont="1" applyFill="1" applyBorder="1" applyAlignment="1">
      <alignment horizontal="center" vertical="center"/>
    </xf>
    <xf numFmtId="2" fontId="22760" fillId="8" borderId="1" xfId="0" applyNumberFormat="1" applyFont="1" applyFill="1" applyBorder="1" applyAlignment="1">
      <alignment horizontal="center" vertical="center"/>
    </xf>
    <xf numFmtId="2" fontId="22761" fillId="8" borderId="1" xfId="0" applyNumberFormat="1" applyFont="1" applyFill="1" applyBorder="1" applyAlignment="1">
      <alignment horizontal="center" vertical="center"/>
    </xf>
    <xf numFmtId="2" fontId="22762" fillId="8" borderId="1" xfId="0" applyNumberFormat="1" applyFont="1" applyFill="1" applyBorder="1" applyAlignment="1">
      <alignment horizontal="center" vertical="center"/>
    </xf>
    <xf numFmtId="2" fontId="22763" fillId="8" borderId="1" xfId="0" applyNumberFormat="1" applyFont="1" applyFill="1" applyBorder="1" applyAlignment="1">
      <alignment horizontal="center" vertical="center"/>
    </xf>
    <xf numFmtId="2" fontId="22764" fillId="8" borderId="1" xfId="0" applyNumberFormat="1" applyFont="1" applyFill="1" applyBorder="1" applyAlignment="1">
      <alignment horizontal="center" vertical="center"/>
    </xf>
    <xf numFmtId="2" fontId="22765" fillId="8" borderId="1" xfId="0" applyNumberFormat="1" applyFont="1" applyFill="1" applyBorder="1" applyAlignment="1">
      <alignment horizontal="center" vertical="center"/>
    </xf>
    <xf numFmtId="2" fontId="22766" fillId="8" borderId="1" xfId="0" applyNumberFormat="1" applyFont="1" applyFill="1" applyBorder="1" applyAlignment="1">
      <alignment horizontal="center" vertical="center"/>
    </xf>
    <xf numFmtId="2" fontId="22767" fillId="8" borderId="1" xfId="0" applyNumberFormat="1" applyFont="1" applyFill="1" applyBorder="1" applyAlignment="1">
      <alignment horizontal="center" vertical="center"/>
    </xf>
    <xf numFmtId="2" fontId="22768" fillId="8" borderId="1" xfId="0" applyNumberFormat="1" applyFont="1" applyFill="1" applyBorder="1" applyAlignment="1">
      <alignment horizontal="center" vertical="center"/>
    </xf>
    <xf numFmtId="2" fontId="22769" fillId="8" borderId="1" xfId="0" applyNumberFormat="1" applyFont="1" applyFill="1" applyBorder="1" applyAlignment="1">
      <alignment horizontal="center" vertical="center"/>
    </xf>
    <xf numFmtId="2" fontId="22770" fillId="8" borderId="1" xfId="0" applyNumberFormat="1" applyFont="1" applyFill="1" applyBorder="1" applyAlignment="1">
      <alignment horizontal="center" vertical="center"/>
    </xf>
    <xf numFmtId="2" fontId="22771" fillId="8" borderId="1" xfId="0" applyNumberFormat="1" applyFont="1" applyFill="1" applyBorder="1" applyAlignment="1">
      <alignment horizontal="center" vertical="center"/>
    </xf>
    <xf numFmtId="2" fontId="22772" fillId="8" borderId="1" xfId="0" applyNumberFormat="1" applyFont="1" applyFill="1" applyBorder="1" applyAlignment="1">
      <alignment horizontal="center" vertical="center"/>
    </xf>
    <xf numFmtId="2" fontId="22773" fillId="8" borderId="1" xfId="0" applyNumberFormat="1" applyFont="1" applyFill="1" applyBorder="1" applyAlignment="1">
      <alignment horizontal="center" vertical="center"/>
    </xf>
    <xf numFmtId="2" fontId="22774" fillId="8" borderId="1" xfId="0" applyNumberFormat="1" applyFont="1" applyFill="1" applyBorder="1" applyAlignment="1">
      <alignment horizontal="center" vertical="center"/>
    </xf>
    <xf numFmtId="2" fontId="22775" fillId="8" borderId="1" xfId="0" applyNumberFormat="1" applyFont="1" applyFill="1" applyBorder="1" applyAlignment="1">
      <alignment horizontal="center" vertical="center"/>
    </xf>
    <xf numFmtId="2" fontId="22776" fillId="8" borderId="1" xfId="0" applyNumberFormat="1" applyFont="1" applyFill="1" applyBorder="1" applyAlignment="1">
      <alignment horizontal="center" vertical="center"/>
    </xf>
    <xf numFmtId="0" fontId="22777" fillId="7" borderId="1" xfId="0" applyNumberFormat="1" applyFont="1" applyFill="1" applyBorder="1" applyAlignment="1">
      <alignment horizontal="left" vertical="center"/>
    </xf>
    <xf numFmtId="0" fontId="22778" fillId="8" borderId="1" xfId="0" applyNumberFormat="1" applyFont="1" applyFill="1" applyBorder="1" applyAlignment="1">
      <alignment horizontal="center" vertical="center"/>
    </xf>
    <xf numFmtId="164" fontId="22779" fillId="8" borderId="1" xfId="0" applyNumberFormat="1" applyFont="1" applyFill="1" applyBorder="1" applyAlignment="1">
      <alignment horizontal="center" vertical="center"/>
    </xf>
    <xf numFmtId="1" fontId="22780" fillId="8" borderId="1" xfId="0" applyNumberFormat="1" applyFont="1" applyFill="1" applyBorder="1" applyAlignment="1">
      <alignment horizontal="center" vertical="center"/>
    </xf>
    <xf numFmtId="1" fontId="22781" fillId="8" borderId="1" xfId="0" applyNumberFormat="1" applyFont="1" applyFill="1" applyBorder="1" applyAlignment="1">
      <alignment horizontal="center" vertical="center"/>
    </xf>
    <xf numFmtId="1" fontId="22782" fillId="8" borderId="1" xfId="0" applyNumberFormat="1" applyFont="1" applyFill="1" applyBorder="1" applyAlignment="1">
      <alignment horizontal="center" vertical="center"/>
    </xf>
    <xf numFmtId="1" fontId="22783" fillId="8" borderId="1" xfId="0" applyNumberFormat="1" applyFont="1" applyFill="1" applyBorder="1" applyAlignment="1">
      <alignment horizontal="center" vertical="center"/>
    </xf>
    <xf numFmtId="1" fontId="22784" fillId="8" borderId="1" xfId="0" applyNumberFormat="1" applyFont="1" applyFill="1" applyBorder="1" applyAlignment="1">
      <alignment horizontal="center" vertical="center"/>
    </xf>
    <xf numFmtId="1" fontId="22785" fillId="8" borderId="1" xfId="0" applyNumberFormat="1" applyFont="1" applyFill="1" applyBorder="1" applyAlignment="1">
      <alignment horizontal="center" vertical="center"/>
    </xf>
    <xf numFmtId="1" fontId="22786" fillId="8" borderId="1" xfId="0" applyNumberFormat="1" applyFont="1" applyFill="1" applyBorder="1" applyAlignment="1">
      <alignment horizontal="center" vertical="center"/>
    </xf>
    <xf numFmtId="0" fontId="22787" fillId="8" borderId="1" xfId="0" applyNumberFormat="1" applyFont="1" applyFill="1" applyBorder="1" applyAlignment="1">
      <alignment horizontal="center" vertical="center"/>
    </xf>
    <xf numFmtId="0" fontId="22788" fillId="8" borderId="1" xfId="0" applyNumberFormat="1" applyFont="1" applyFill="1" applyBorder="1" applyAlignment="1">
      <alignment horizontal="center" vertical="center"/>
    </xf>
    <xf numFmtId="1" fontId="22789" fillId="8" borderId="1" xfId="0" applyNumberFormat="1" applyFont="1" applyFill="1" applyBorder="1" applyAlignment="1">
      <alignment horizontal="center" vertical="center"/>
    </xf>
    <xf numFmtId="1" fontId="22790" fillId="8" borderId="1" xfId="0" applyNumberFormat="1" applyFont="1" applyFill="1" applyBorder="1" applyAlignment="1">
      <alignment horizontal="center" vertical="center"/>
    </xf>
    <xf numFmtId="1" fontId="22791" fillId="8" borderId="1" xfId="0" applyNumberFormat="1" applyFont="1" applyFill="1" applyBorder="1" applyAlignment="1">
      <alignment horizontal="center" vertical="center"/>
    </xf>
    <xf numFmtId="165" fontId="22792" fillId="8" borderId="1" xfId="0" applyNumberFormat="1" applyFont="1" applyFill="1" applyBorder="1" applyAlignment="1">
      <alignment horizontal="center" vertical="center"/>
    </xf>
    <xf numFmtId="1" fontId="22793" fillId="8" borderId="1" xfId="0" applyNumberFormat="1" applyFont="1" applyFill="1" applyBorder="1" applyAlignment="1">
      <alignment horizontal="center" vertical="center"/>
    </xf>
    <xf numFmtId="165" fontId="22794" fillId="8" borderId="1" xfId="0" applyNumberFormat="1" applyFont="1" applyFill="1" applyBorder="1" applyAlignment="1">
      <alignment horizontal="center" vertical="center"/>
    </xf>
    <xf numFmtId="1" fontId="22795" fillId="8" borderId="1" xfId="0" applyNumberFormat="1" applyFont="1" applyFill="1" applyBorder="1" applyAlignment="1">
      <alignment horizontal="center" vertical="center"/>
    </xf>
    <xf numFmtId="165" fontId="22796" fillId="8" borderId="1" xfId="0" applyNumberFormat="1" applyFont="1" applyFill="1" applyBorder="1" applyAlignment="1">
      <alignment horizontal="center" vertical="center"/>
    </xf>
    <xf numFmtId="1" fontId="22797" fillId="8" borderId="1" xfId="0" applyNumberFormat="1" applyFont="1" applyFill="1" applyBorder="1" applyAlignment="1">
      <alignment horizontal="center" vertical="center"/>
    </xf>
    <xf numFmtId="165" fontId="22798" fillId="8" borderId="1" xfId="0" applyNumberFormat="1" applyFont="1" applyFill="1" applyBorder="1" applyAlignment="1">
      <alignment horizontal="center" vertical="center"/>
    </xf>
    <xf numFmtId="165" fontId="22799" fillId="8" borderId="1" xfId="0" applyNumberFormat="1" applyFont="1" applyFill="1" applyBorder="1" applyAlignment="1">
      <alignment horizontal="center" vertical="center"/>
    </xf>
    <xf numFmtId="1" fontId="22800" fillId="8" borderId="1" xfId="0" applyNumberFormat="1" applyFont="1" applyFill="1" applyBorder="1" applyAlignment="1">
      <alignment horizontal="center" vertical="center"/>
    </xf>
    <xf numFmtId="1" fontId="22801" fillId="8" borderId="1" xfId="0" applyNumberFormat="1" applyFont="1" applyFill="1" applyBorder="1" applyAlignment="1">
      <alignment horizontal="center" vertical="center"/>
    </xf>
    <xf numFmtId="1" fontId="22802" fillId="8" borderId="1" xfId="0" applyNumberFormat="1" applyFont="1" applyFill="1" applyBorder="1" applyAlignment="1">
      <alignment horizontal="center" vertical="center"/>
    </xf>
    <xf numFmtId="165" fontId="22803" fillId="8" borderId="1" xfId="0" applyNumberFormat="1" applyFont="1" applyFill="1" applyBorder="1" applyAlignment="1">
      <alignment horizontal="center" vertical="center"/>
    </xf>
    <xf numFmtId="164" fontId="22804" fillId="8" borderId="1" xfId="0" applyNumberFormat="1" applyFont="1" applyFill="1" applyBorder="1" applyAlignment="1">
      <alignment horizontal="center" vertical="center"/>
    </xf>
    <xf numFmtId="164" fontId="22805" fillId="8" borderId="1" xfId="0" applyNumberFormat="1" applyFont="1" applyFill="1" applyBorder="1" applyAlignment="1">
      <alignment horizontal="center" vertical="center"/>
    </xf>
    <xf numFmtId="1" fontId="22806" fillId="8" borderId="1" xfId="0" applyNumberFormat="1" applyFont="1" applyFill="1" applyBorder="1" applyAlignment="1">
      <alignment horizontal="center" vertical="center"/>
    </xf>
    <xf numFmtId="1" fontId="22807" fillId="8" borderId="1" xfId="0" applyNumberFormat="1" applyFont="1" applyFill="1" applyBorder="1" applyAlignment="1">
      <alignment horizontal="center" vertical="center"/>
    </xf>
    <xf numFmtId="1" fontId="22808" fillId="8" borderId="1" xfId="0" applyNumberFormat="1" applyFont="1" applyFill="1" applyBorder="1" applyAlignment="1">
      <alignment horizontal="center" vertical="center"/>
    </xf>
    <xf numFmtId="165" fontId="22809" fillId="8" borderId="1" xfId="0" applyNumberFormat="1" applyFont="1" applyFill="1" applyBorder="1" applyAlignment="1">
      <alignment horizontal="center" vertical="center"/>
    </xf>
    <xf numFmtId="1" fontId="22810" fillId="8" borderId="1" xfId="0" applyNumberFormat="1" applyFont="1" applyFill="1" applyBorder="1" applyAlignment="1">
      <alignment horizontal="center" vertical="center"/>
    </xf>
    <xf numFmtId="165" fontId="22811" fillId="8" borderId="1" xfId="0" applyNumberFormat="1" applyFont="1" applyFill="1" applyBorder="1" applyAlignment="1">
      <alignment horizontal="center" vertical="center"/>
    </xf>
    <xf numFmtId="1" fontId="22812" fillId="8" borderId="1" xfId="0" applyNumberFormat="1" applyFont="1" applyFill="1" applyBorder="1" applyAlignment="1">
      <alignment horizontal="center" vertical="center"/>
    </xf>
    <xf numFmtId="1" fontId="22813" fillId="8" borderId="1" xfId="0" applyNumberFormat="1" applyFont="1" applyFill="1" applyBorder="1" applyAlignment="1">
      <alignment horizontal="center" vertical="center"/>
    </xf>
    <xf numFmtId="1" fontId="22814" fillId="8" borderId="1" xfId="0" applyNumberFormat="1" applyFont="1" applyFill="1" applyBorder="1" applyAlignment="1">
      <alignment horizontal="center" vertical="center"/>
    </xf>
    <xf numFmtId="1" fontId="22815" fillId="8" borderId="1" xfId="0" applyNumberFormat="1" applyFont="1" applyFill="1" applyBorder="1" applyAlignment="1">
      <alignment horizontal="center" vertical="center"/>
    </xf>
    <xf numFmtId="165" fontId="22816" fillId="8" borderId="1" xfId="0" applyNumberFormat="1" applyFont="1" applyFill="1" applyBorder="1" applyAlignment="1">
      <alignment horizontal="center" vertical="center"/>
    </xf>
    <xf numFmtId="1" fontId="22817" fillId="8" borderId="1" xfId="0" applyNumberFormat="1" applyFont="1" applyFill="1" applyBorder="1" applyAlignment="1">
      <alignment horizontal="center" vertical="center"/>
    </xf>
    <xf numFmtId="165" fontId="22818" fillId="8" borderId="1" xfId="0" applyNumberFormat="1" applyFont="1" applyFill="1" applyBorder="1" applyAlignment="1">
      <alignment horizontal="center" vertical="center"/>
    </xf>
    <xf numFmtId="1" fontId="22819" fillId="8" borderId="1" xfId="0" applyNumberFormat="1" applyFont="1" applyFill="1" applyBorder="1" applyAlignment="1">
      <alignment horizontal="center" vertical="center"/>
    </xf>
    <xf numFmtId="165" fontId="22820" fillId="8" borderId="1" xfId="0" applyNumberFormat="1" applyFont="1" applyFill="1" applyBorder="1" applyAlignment="1">
      <alignment horizontal="center" vertical="center"/>
    </xf>
    <xf numFmtId="2" fontId="22821" fillId="8" borderId="1" xfId="0" applyNumberFormat="1" applyFont="1" applyFill="1" applyBorder="1" applyAlignment="1">
      <alignment horizontal="center" vertical="center"/>
    </xf>
    <xf numFmtId="2" fontId="22822" fillId="8" borderId="1" xfId="0" applyNumberFormat="1" applyFont="1" applyFill="1" applyBorder="1" applyAlignment="1">
      <alignment horizontal="center" vertical="center"/>
    </xf>
    <xf numFmtId="2" fontId="22823" fillId="8" borderId="1" xfId="0" applyNumberFormat="1" applyFont="1" applyFill="1" applyBorder="1" applyAlignment="1">
      <alignment horizontal="center" vertical="center"/>
    </xf>
    <xf numFmtId="2" fontId="22824" fillId="8" borderId="1" xfId="0" applyNumberFormat="1" applyFont="1" applyFill="1" applyBorder="1" applyAlignment="1">
      <alignment horizontal="center" vertical="center"/>
    </xf>
    <xf numFmtId="2" fontId="22825" fillId="8" borderId="1" xfId="0" applyNumberFormat="1" applyFont="1" applyFill="1" applyBorder="1" applyAlignment="1">
      <alignment horizontal="center" vertical="center"/>
    </xf>
    <xf numFmtId="2" fontId="22826" fillId="8" borderId="1" xfId="0" applyNumberFormat="1" applyFont="1" applyFill="1" applyBorder="1" applyAlignment="1">
      <alignment horizontal="center" vertical="center"/>
    </xf>
    <xf numFmtId="2" fontId="22827" fillId="8" borderId="1" xfId="0" applyNumberFormat="1" applyFont="1" applyFill="1" applyBorder="1" applyAlignment="1">
      <alignment horizontal="center" vertical="center"/>
    </xf>
    <xf numFmtId="2" fontId="22828" fillId="8" borderId="1" xfId="0" applyNumberFormat="1" applyFont="1" applyFill="1" applyBorder="1" applyAlignment="1">
      <alignment horizontal="center" vertical="center"/>
    </xf>
    <xf numFmtId="2" fontId="22829" fillId="8" borderId="1" xfId="0" applyNumberFormat="1" applyFont="1" applyFill="1" applyBorder="1" applyAlignment="1">
      <alignment horizontal="center" vertical="center"/>
    </xf>
    <xf numFmtId="2" fontId="22830" fillId="8" borderId="1" xfId="0" applyNumberFormat="1" applyFont="1" applyFill="1" applyBorder="1" applyAlignment="1">
      <alignment horizontal="center" vertical="center"/>
    </xf>
    <xf numFmtId="2" fontId="22831" fillId="8" borderId="1" xfId="0" applyNumberFormat="1" applyFont="1" applyFill="1" applyBorder="1" applyAlignment="1">
      <alignment horizontal="center" vertical="center"/>
    </xf>
    <xf numFmtId="2" fontId="22832" fillId="8" borderId="1" xfId="0" applyNumberFormat="1" applyFont="1" applyFill="1" applyBorder="1" applyAlignment="1">
      <alignment horizontal="center" vertical="center"/>
    </xf>
    <xf numFmtId="2" fontId="22833" fillId="8" borderId="1" xfId="0" applyNumberFormat="1" applyFont="1" applyFill="1" applyBorder="1" applyAlignment="1">
      <alignment horizontal="center" vertical="center"/>
    </xf>
    <xf numFmtId="2" fontId="22834" fillId="8" borderId="1" xfId="0" applyNumberFormat="1" applyFont="1" applyFill="1" applyBorder="1" applyAlignment="1">
      <alignment horizontal="center" vertical="center"/>
    </xf>
    <xf numFmtId="2" fontId="22835" fillId="8" borderId="1" xfId="0" applyNumberFormat="1" applyFont="1" applyFill="1" applyBorder="1" applyAlignment="1">
      <alignment horizontal="center" vertical="center"/>
    </xf>
    <xf numFmtId="2" fontId="22836" fillId="8" borderId="1" xfId="0" applyNumberFormat="1" applyFont="1" applyFill="1" applyBorder="1" applyAlignment="1">
      <alignment horizontal="center" vertical="center"/>
    </xf>
    <xf numFmtId="2" fontId="22837" fillId="8" borderId="1" xfId="0" applyNumberFormat="1" applyFont="1" applyFill="1" applyBorder="1" applyAlignment="1">
      <alignment horizontal="center" vertical="center"/>
    </xf>
    <xf numFmtId="2" fontId="22838" fillId="8" borderId="1" xfId="0" applyNumberFormat="1" applyFont="1" applyFill="1" applyBorder="1" applyAlignment="1">
      <alignment horizontal="center" vertical="center"/>
    </xf>
    <xf numFmtId="2" fontId="22839" fillId="8" borderId="1" xfId="0" applyNumberFormat="1" applyFont="1" applyFill="1" applyBorder="1" applyAlignment="1">
      <alignment horizontal="center" vertical="center"/>
    </xf>
    <xf numFmtId="2" fontId="22840" fillId="8" borderId="1" xfId="0" applyNumberFormat="1" applyFont="1" applyFill="1" applyBorder="1" applyAlignment="1">
      <alignment horizontal="center" vertical="center"/>
    </xf>
    <xf numFmtId="2" fontId="22841" fillId="8" borderId="1" xfId="0" applyNumberFormat="1" applyFont="1" applyFill="1" applyBorder="1" applyAlignment="1">
      <alignment horizontal="center" vertical="center"/>
    </xf>
    <xf numFmtId="2" fontId="22842" fillId="8" borderId="1" xfId="0" applyNumberFormat="1" applyFont="1" applyFill="1" applyBorder="1" applyAlignment="1">
      <alignment horizontal="center" vertical="center"/>
    </xf>
    <xf numFmtId="2" fontId="22843" fillId="8" borderId="1" xfId="0" applyNumberFormat="1" applyFont="1" applyFill="1" applyBorder="1" applyAlignment="1">
      <alignment horizontal="center" vertical="center"/>
    </xf>
    <xf numFmtId="2" fontId="22844" fillId="8" borderId="1" xfId="0" applyNumberFormat="1" applyFont="1" applyFill="1" applyBorder="1" applyAlignment="1">
      <alignment horizontal="center" vertical="center"/>
    </xf>
    <xf numFmtId="2" fontId="22845" fillId="8" borderId="1" xfId="0" applyNumberFormat="1" applyFont="1" applyFill="1" applyBorder="1" applyAlignment="1">
      <alignment horizontal="center" vertical="center"/>
    </xf>
    <xf numFmtId="2" fontId="22846" fillId="8" borderId="1" xfId="0" applyNumberFormat="1" applyFont="1" applyFill="1" applyBorder="1" applyAlignment="1">
      <alignment horizontal="center" vertical="center"/>
    </xf>
    <xf numFmtId="2" fontId="22847" fillId="8" borderId="1" xfId="0" applyNumberFormat="1" applyFont="1" applyFill="1" applyBorder="1" applyAlignment="1">
      <alignment horizontal="center" vertical="center"/>
    </xf>
    <xf numFmtId="2" fontId="22848" fillId="8" borderId="1" xfId="0" applyNumberFormat="1" applyFont="1" applyFill="1" applyBorder="1" applyAlignment="1">
      <alignment horizontal="center" vertical="center"/>
    </xf>
    <xf numFmtId="2" fontId="22849" fillId="8" borderId="1" xfId="0" applyNumberFormat="1" applyFont="1" applyFill="1" applyBorder="1" applyAlignment="1">
      <alignment horizontal="center" vertical="center"/>
    </xf>
    <xf numFmtId="2" fontId="22850" fillId="8" borderId="1" xfId="0" applyNumberFormat="1" applyFont="1" applyFill="1" applyBorder="1" applyAlignment="1">
      <alignment horizontal="center" vertical="center"/>
    </xf>
    <xf numFmtId="2" fontId="22851" fillId="8" borderId="1" xfId="0" applyNumberFormat="1" applyFont="1" applyFill="1" applyBorder="1" applyAlignment="1">
      <alignment horizontal="center" vertical="center"/>
    </xf>
    <xf numFmtId="2" fontId="22852" fillId="8" borderId="1" xfId="0" applyNumberFormat="1" applyFont="1" applyFill="1" applyBorder="1" applyAlignment="1">
      <alignment horizontal="center" vertical="center"/>
    </xf>
    <xf numFmtId="2" fontId="22853" fillId="8" borderId="1" xfId="0" applyNumberFormat="1" applyFont="1" applyFill="1" applyBorder="1" applyAlignment="1">
      <alignment horizontal="center" vertical="center"/>
    </xf>
    <xf numFmtId="2" fontId="22854" fillId="8" borderId="1" xfId="0" applyNumberFormat="1" applyFont="1" applyFill="1" applyBorder="1" applyAlignment="1">
      <alignment horizontal="center" vertical="center"/>
    </xf>
    <xf numFmtId="0" fontId="22855" fillId="7" borderId="1" xfId="0" applyNumberFormat="1" applyFont="1" applyFill="1" applyBorder="1" applyAlignment="1">
      <alignment horizontal="left" vertical="center"/>
    </xf>
    <xf numFmtId="0" fontId="22856" fillId="8" borderId="1" xfId="0" applyNumberFormat="1" applyFont="1" applyFill="1" applyBorder="1" applyAlignment="1">
      <alignment horizontal="center" vertical="center"/>
    </xf>
    <xf numFmtId="164" fontId="22857" fillId="8" borderId="1" xfId="0" applyNumberFormat="1" applyFont="1" applyFill="1" applyBorder="1" applyAlignment="1">
      <alignment horizontal="center" vertical="center"/>
    </xf>
    <xf numFmtId="1" fontId="22858" fillId="8" borderId="1" xfId="0" applyNumberFormat="1" applyFont="1" applyFill="1" applyBorder="1" applyAlignment="1">
      <alignment horizontal="center" vertical="center"/>
    </xf>
    <xf numFmtId="1" fontId="22859" fillId="8" borderId="1" xfId="0" applyNumberFormat="1" applyFont="1" applyFill="1" applyBorder="1" applyAlignment="1">
      <alignment horizontal="center" vertical="center"/>
    </xf>
    <xf numFmtId="1" fontId="22860" fillId="8" borderId="1" xfId="0" applyNumberFormat="1" applyFont="1" applyFill="1" applyBorder="1" applyAlignment="1">
      <alignment horizontal="center" vertical="center"/>
    </xf>
    <xf numFmtId="1" fontId="22861" fillId="8" borderId="1" xfId="0" applyNumberFormat="1" applyFont="1" applyFill="1" applyBorder="1" applyAlignment="1">
      <alignment horizontal="center" vertical="center"/>
    </xf>
    <xf numFmtId="1" fontId="22862" fillId="8" borderId="1" xfId="0" applyNumberFormat="1" applyFont="1" applyFill="1" applyBorder="1" applyAlignment="1">
      <alignment horizontal="center" vertical="center"/>
    </xf>
    <xf numFmtId="1" fontId="22863" fillId="8" borderId="1" xfId="0" applyNumberFormat="1" applyFont="1" applyFill="1" applyBorder="1" applyAlignment="1">
      <alignment horizontal="center" vertical="center"/>
    </xf>
    <xf numFmtId="1" fontId="22864" fillId="8" borderId="1" xfId="0" applyNumberFormat="1" applyFont="1" applyFill="1" applyBorder="1" applyAlignment="1">
      <alignment horizontal="center" vertical="center"/>
    </xf>
    <xf numFmtId="0" fontId="22865" fillId="8" borderId="1" xfId="0" applyNumberFormat="1" applyFont="1" applyFill="1" applyBorder="1" applyAlignment="1">
      <alignment horizontal="center" vertical="center"/>
    </xf>
    <xf numFmtId="0" fontId="22866" fillId="8" borderId="1" xfId="0" applyNumberFormat="1" applyFont="1" applyFill="1" applyBorder="1" applyAlignment="1">
      <alignment horizontal="center" vertical="center"/>
    </xf>
    <xf numFmtId="1" fontId="22867" fillId="8" borderId="1" xfId="0" applyNumberFormat="1" applyFont="1" applyFill="1" applyBorder="1" applyAlignment="1">
      <alignment horizontal="center" vertical="center"/>
    </xf>
    <xf numFmtId="1" fontId="22868" fillId="8" borderId="1" xfId="0" applyNumberFormat="1" applyFont="1" applyFill="1" applyBorder="1" applyAlignment="1">
      <alignment horizontal="center" vertical="center"/>
    </xf>
    <xf numFmtId="1" fontId="22869" fillId="8" borderId="1" xfId="0" applyNumberFormat="1" applyFont="1" applyFill="1" applyBorder="1" applyAlignment="1">
      <alignment horizontal="center" vertical="center"/>
    </xf>
    <xf numFmtId="165" fontId="22870" fillId="8" borderId="1" xfId="0" applyNumberFormat="1" applyFont="1" applyFill="1" applyBorder="1" applyAlignment="1">
      <alignment horizontal="center" vertical="center"/>
    </xf>
    <xf numFmtId="1" fontId="22871" fillId="8" borderId="1" xfId="0" applyNumberFormat="1" applyFont="1" applyFill="1" applyBorder="1" applyAlignment="1">
      <alignment horizontal="center" vertical="center"/>
    </xf>
    <xf numFmtId="165" fontId="22872" fillId="8" borderId="1" xfId="0" applyNumberFormat="1" applyFont="1" applyFill="1" applyBorder="1" applyAlignment="1">
      <alignment horizontal="center" vertical="center"/>
    </xf>
    <xf numFmtId="1" fontId="22873" fillId="8" borderId="1" xfId="0" applyNumberFormat="1" applyFont="1" applyFill="1" applyBorder="1" applyAlignment="1">
      <alignment horizontal="center" vertical="center"/>
    </xf>
    <xf numFmtId="165" fontId="22874" fillId="8" borderId="1" xfId="0" applyNumberFormat="1" applyFont="1" applyFill="1" applyBorder="1" applyAlignment="1">
      <alignment horizontal="center" vertical="center"/>
    </xf>
    <xf numFmtId="1" fontId="22875" fillId="8" borderId="1" xfId="0" applyNumberFormat="1" applyFont="1" applyFill="1" applyBorder="1" applyAlignment="1">
      <alignment horizontal="center" vertical="center"/>
    </xf>
    <xf numFmtId="165" fontId="22876" fillId="8" borderId="1" xfId="0" applyNumberFormat="1" applyFont="1" applyFill="1" applyBorder="1" applyAlignment="1">
      <alignment horizontal="center" vertical="center"/>
    </xf>
    <xf numFmtId="165" fontId="22877" fillId="8" borderId="1" xfId="0" applyNumberFormat="1" applyFont="1" applyFill="1" applyBorder="1" applyAlignment="1">
      <alignment horizontal="center" vertical="center"/>
    </xf>
    <xf numFmtId="1" fontId="22878" fillId="8" borderId="1" xfId="0" applyNumberFormat="1" applyFont="1" applyFill="1" applyBorder="1" applyAlignment="1">
      <alignment horizontal="center" vertical="center"/>
    </xf>
    <xf numFmtId="1" fontId="22879" fillId="8" borderId="1" xfId="0" applyNumberFormat="1" applyFont="1" applyFill="1" applyBorder="1" applyAlignment="1">
      <alignment horizontal="center" vertical="center"/>
    </xf>
    <xf numFmtId="1" fontId="22880" fillId="8" borderId="1" xfId="0" applyNumberFormat="1" applyFont="1" applyFill="1" applyBorder="1" applyAlignment="1">
      <alignment horizontal="center" vertical="center"/>
    </xf>
    <xf numFmtId="165" fontId="22881" fillId="8" borderId="1" xfId="0" applyNumberFormat="1" applyFont="1" applyFill="1" applyBorder="1" applyAlignment="1">
      <alignment horizontal="center" vertical="center"/>
    </xf>
    <xf numFmtId="164" fontId="22882" fillId="8" borderId="1" xfId="0" applyNumberFormat="1" applyFont="1" applyFill="1" applyBorder="1" applyAlignment="1">
      <alignment horizontal="center" vertical="center"/>
    </xf>
    <xf numFmtId="164" fontId="22883" fillId="8" borderId="1" xfId="0" applyNumberFormat="1" applyFont="1" applyFill="1" applyBorder="1" applyAlignment="1">
      <alignment horizontal="center" vertical="center"/>
    </xf>
    <xf numFmtId="1" fontId="22884" fillId="8" borderId="1" xfId="0" applyNumberFormat="1" applyFont="1" applyFill="1" applyBorder="1" applyAlignment="1">
      <alignment horizontal="center" vertical="center"/>
    </xf>
    <xf numFmtId="1" fontId="22885" fillId="8" borderId="1" xfId="0" applyNumberFormat="1" applyFont="1" applyFill="1" applyBorder="1" applyAlignment="1">
      <alignment horizontal="center" vertical="center"/>
    </xf>
    <xf numFmtId="1" fontId="22886" fillId="8" borderId="1" xfId="0" applyNumberFormat="1" applyFont="1" applyFill="1" applyBorder="1" applyAlignment="1">
      <alignment horizontal="center" vertical="center"/>
    </xf>
    <xf numFmtId="165" fontId="22887" fillId="8" borderId="1" xfId="0" applyNumberFormat="1" applyFont="1" applyFill="1" applyBorder="1" applyAlignment="1">
      <alignment horizontal="center" vertical="center"/>
    </xf>
    <xf numFmtId="1" fontId="22888" fillId="8" borderId="1" xfId="0" applyNumberFormat="1" applyFont="1" applyFill="1" applyBorder="1" applyAlignment="1">
      <alignment horizontal="center" vertical="center"/>
    </xf>
    <xf numFmtId="165" fontId="22889" fillId="8" borderId="1" xfId="0" applyNumberFormat="1" applyFont="1" applyFill="1" applyBorder="1" applyAlignment="1">
      <alignment horizontal="center" vertical="center"/>
    </xf>
    <xf numFmtId="1" fontId="22890" fillId="8" borderId="1" xfId="0" applyNumberFormat="1" applyFont="1" applyFill="1" applyBorder="1" applyAlignment="1">
      <alignment horizontal="center" vertical="center"/>
    </xf>
    <xf numFmtId="1" fontId="22891" fillId="8" borderId="1" xfId="0" applyNumberFormat="1" applyFont="1" applyFill="1" applyBorder="1" applyAlignment="1">
      <alignment horizontal="center" vertical="center"/>
    </xf>
    <xf numFmtId="1" fontId="22892" fillId="8" borderId="1" xfId="0" applyNumberFormat="1" applyFont="1" applyFill="1" applyBorder="1" applyAlignment="1">
      <alignment horizontal="center" vertical="center"/>
    </xf>
    <xf numFmtId="1" fontId="22893" fillId="8" borderId="1" xfId="0" applyNumberFormat="1" applyFont="1" applyFill="1" applyBorder="1" applyAlignment="1">
      <alignment horizontal="center" vertical="center"/>
    </xf>
    <xf numFmtId="165" fontId="22894" fillId="8" borderId="1" xfId="0" applyNumberFormat="1" applyFont="1" applyFill="1" applyBorder="1" applyAlignment="1">
      <alignment horizontal="center" vertical="center"/>
    </xf>
    <xf numFmtId="1" fontId="22895" fillId="8" borderId="1" xfId="0" applyNumberFormat="1" applyFont="1" applyFill="1" applyBorder="1" applyAlignment="1">
      <alignment horizontal="center" vertical="center"/>
    </xf>
    <xf numFmtId="165" fontId="22896" fillId="8" borderId="1" xfId="0" applyNumberFormat="1" applyFont="1" applyFill="1" applyBorder="1" applyAlignment="1">
      <alignment horizontal="center" vertical="center"/>
    </xf>
    <xf numFmtId="1" fontId="22897" fillId="8" borderId="1" xfId="0" applyNumberFormat="1" applyFont="1" applyFill="1" applyBorder="1" applyAlignment="1">
      <alignment horizontal="center" vertical="center"/>
    </xf>
    <xf numFmtId="165" fontId="22898" fillId="8" borderId="1" xfId="0" applyNumberFormat="1" applyFont="1" applyFill="1" applyBorder="1" applyAlignment="1">
      <alignment horizontal="center" vertical="center"/>
    </xf>
    <xf numFmtId="2" fontId="22899" fillId="8" borderId="1" xfId="0" applyNumberFormat="1" applyFont="1" applyFill="1" applyBorder="1" applyAlignment="1">
      <alignment horizontal="center" vertical="center"/>
    </xf>
    <xf numFmtId="2" fontId="22900" fillId="8" borderId="1" xfId="0" applyNumberFormat="1" applyFont="1" applyFill="1" applyBorder="1" applyAlignment="1">
      <alignment horizontal="center" vertical="center"/>
    </xf>
    <xf numFmtId="2" fontId="22901" fillId="8" borderId="1" xfId="0" applyNumberFormat="1" applyFont="1" applyFill="1" applyBorder="1" applyAlignment="1">
      <alignment horizontal="center" vertical="center"/>
    </xf>
    <xf numFmtId="2" fontId="22902" fillId="8" borderId="1" xfId="0" applyNumberFormat="1" applyFont="1" applyFill="1" applyBorder="1" applyAlignment="1">
      <alignment horizontal="center" vertical="center"/>
    </xf>
    <xf numFmtId="2" fontId="22903" fillId="8" borderId="1" xfId="0" applyNumberFormat="1" applyFont="1" applyFill="1" applyBorder="1" applyAlignment="1">
      <alignment horizontal="center" vertical="center"/>
    </xf>
    <xf numFmtId="2" fontId="22904" fillId="8" borderId="1" xfId="0" applyNumberFormat="1" applyFont="1" applyFill="1" applyBorder="1" applyAlignment="1">
      <alignment horizontal="center" vertical="center"/>
    </xf>
    <xf numFmtId="2" fontId="22905" fillId="8" borderId="1" xfId="0" applyNumberFormat="1" applyFont="1" applyFill="1" applyBorder="1" applyAlignment="1">
      <alignment horizontal="center" vertical="center"/>
    </xf>
    <xf numFmtId="2" fontId="22906" fillId="8" borderId="1" xfId="0" applyNumberFormat="1" applyFont="1" applyFill="1" applyBorder="1" applyAlignment="1">
      <alignment horizontal="center" vertical="center"/>
    </xf>
    <xf numFmtId="2" fontId="22907" fillId="8" borderId="1" xfId="0" applyNumberFormat="1" applyFont="1" applyFill="1" applyBorder="1" applyAlignment="1">
      <alignment horizontal="center" vertical="center"/>
    </xf>
    <xf numFmtId="2" fontId="22908" fillId="8" borderId="1" xfId="0" applyNumberFormat="1" applyFont="1" applyFill="1" applyBorder="1" applyAlignment="1">
      <alignment horizontal="center" vertical="center"/>
    </xf>
    <xf numFmtId="2" fontId="22909" fillId="8" borderId="1" xfId="0" applyNumberFormat="1" applyFont="1" applyFill="1" applyBorder="1" applyAlignment="1">
      <alignment horizontal="center" vertical="center"/>
    </xf>
    <xf numFmtId="2" fontId="22910" fillId="8" borderId="1" xfId="0" applyNumberFormat="1" applyFont="1" applyFill="1" applyBorder="1" applyAlignment="1">
      <alignment horizontal="center" vertical="center"/>
    </xf>
    <xf numFmtId="2" fontId="22911" fillId="8" borderId="1" xfId="0" applyNumberFormat="1" applyFont="1" applyFill="1" applyBorder="1" applyAlignment="1">
      <alignment horizontal="center" vertical="center"/>
    </xf>
    <xf numFmtId="2" fontId="22912" fillId="8" borderId="1" xfId="0" applyNumberFormat="1" applyFont="1" applyFill="1" applyBorder="1" applyAlignment="1">
      <alignment horizontal="center" vertical="center"/>
    </xf>
    <xf numFmtId="2" fontId="22913" fillId="8" borderId="1" xfId="0" applyNumberFormat="1" applyFont="1" applyFill="1" applyBorder="1" applyAlignment="1">
      <alignment horizontal="center" vertical="center"/>
    </xf>
    <xf numFmtId="2" fontId="22914" fillId="8" borderId="1" xfId="0" applyNumberFormat="1" applyFont="1" applyFill="1" applyBorder="1" applyAlignment="1">
      <alignment horizontal="center" vertical="center"/>
    </xf>
    <xf numFmtId="2" fontId="22915" fillId="8" borderId="1" xfId="0" applyNumberFormat="1" applyFont="1" applyFill="1" applyBorder="1" applyAlignment="1">
      <alignment horizontal="center" vertical="center"/>
    </xf>
    <xf numFmtId="2" fontId="22916" fillId="8" borderId="1" xfId="0" applyNumberFormat="1" applyFont="1" applyFill="1" applyBorder="1" applyAlignment="1">
      <alignment horizontal="center" vertical="center"/>
    </xf>
    <xf numFmtId="2" fontId="22917" fillId="8" borderId="1" xfId="0" applyNumberFormat="1" applyFont="1" applyFill="1" applyBorder="1" applyAlignment="1">
      <alignment horizontal="center" vertical="center"/>
    </xf>
    <xf numFmtId="2" fontId="22918" fillId="8" borderId="1" xfId="0" applyNumberFormat="1" applyFont="1" applyFill="1" applyBorder="1" applyAlignment="1">
      <alignment horizontal="center" vertical="center"/>
    </xf>
    <xf numFmtId="2" fontId="22919" fillId="8" borderId="1" xfId="0" applyNumberFormat="1" applyFont="1" applyFill="1" applyBorder="1" applyAlignment="1">
      <alignment horizontal="center" vertical="center"/>
    </xf>
    <xf numFmtId="2" fontId="22920" fillId="8" borderId="1" xfId="0" applyNumberFormat="1" applyFont="1" applyFill="1" applyBorder="1" applyAlignment="1">
      <alignment horizontal="center" vertical="center"/>
    </xf>
    <xf numFmtId="2" fontId="22921" fillId="8" borderId="1" xfId="0" applyNumberFormat="1" applyFont="1" applyFill="1" applyBorder="1" applyAlignment="1">
      <alignment horizontal="center" vertical="center"/>
    </xf>
    <xf numFmtId="2" fontId="22922" fillId="8" borderId="1" xfId="0" applyNumberFormat="1" applyFont="1" applyFill="1" applyBorder="1" applyAlignment="1">
      <alignment horizontal="center" vertical="center"/>
    </xf>
    <xf numFmtId="2" fontId="22923" fillId="8" borderId="1" xfId="0" applyNumberFormat="1" applyFont="1" applyFill="1" applyBorder="1" applyAlignment="1">
      <alignment horizontal="center" vertical="center"/>
    </xf>
    <xf numFmtId="2" fontId="22924" fillId="8" borderId="1" xfId="0" applyNumberFormat="1" applyFont="1" applyFill="1" applyBorder="1" applyAlignment="1">
      <alignment horizontal="center" vertical="center"/>
    </xf>
    <xf numFmtId="2" fontId="22925" fillId="8" borderId="1" xfId="0" applyNumberFormat="1" applyFont="1" applyFill="1" applyBorder="1" applyAlignment="1">
      <alignment horizontal="center" vertical="center"/>
    </xf>
    <xf numFmtId="2" fontId="22926" fillId="8" borderId="1" xfId="0" applyNumberFormat="1" applyFont="1" applyFill="1" applyBorder="1" applyAlignment="1">
      <alignment horizontal="center" vertical="center"/>
    </xf>
    <xf numFmtId="2" fontId="22927" fillId="8" borderId="1" xfId="0" applyNumberFormat="1" applyFont="1" applyFill="1" applyBorder="1" applyAlignment="1">
      <alignment horizontal="center" vertical="center"/>
    </xf>
    <xf numFmtId="2" fontId="22928" fillId="8" borderId="1" xfId="0" applyNumberFormat="1" applyFont="1" applyFill="1" applyBorder="1" applyAlignment="1">
      <alignment horizontal="center" vertical="center"/>
    </xf>
    <xf numFmtId="2" fontId="22929" fillId="8" borderId="1" xfId="0" applyNumberFormat="1" applyFont="1" applyFill="1" applyBorder="1" applyAlignment="1">
      <alignment horizontal="center" vertical="center"/>
    </xf>
    <xf numFmtId="2" fontId="22930" fillId="8" borderId="1" xfId="0" applyNumberFormat="1" applyFont="1" applyFill="1" applyBorder="1" applyAlignment="1">
      <alignment horizontal="center" vertical="center"/>
    </xf>
    <xf numFmtId="2" fontId="22931" fillId="8" borderId="1" xfId="0" applyNumberFormat="1" applyFont="1" applyFill="1" applyBorder="1" applyAlignment="1">
      <alignment horizontal="center" vertical="center"/>
    </xf>
    <xf numFmtId="2" fontId="22932" fillId="8" borderId="1" xfId="0" applyNumberFormat="1" applyFont="1" applyFill="1" applyBorder="1" applyAlignment="1">
      <alignment horizontal="center" vertical="center"/>
    </xf>
    <xf numFmtId="0" fontId="22933" fillId="7" borderId="1" xfId="0" applyNumberFormat="1" applyFont="1" applyFill="1" applyBorder="1" applyAlignment="1">
      <alignment horizontal="left" vertical="center"/>
    </xf>
    <xf numFmtId="0" fontId="22934" fillId="8" borderId="1" xfId="0" applyNumberFormat="1" applyFont="1" applyFill="1" applyBorder="1" applyAlignment="1">
      <alignment horizontal="center" vertical="center"/>
    </xf>
    <xf numFmtId="164" fontId="22935" fillId="8" borderId="1" xfId="0" applyNumberFormat="1" applyFont="1" applyFill="1" applyBorder="1" applyAlignment="1">
      <alignment horizontal="center" vertical="center"/>
    </xf>
    <xf numFmtId="1" fontId="22936" fillId="8" borderId="1" xfId="0" applyNumberFormat="1" applyFont="1" applyFill="1" applyBorder="1" applyAlignment="1">
      <alignment horizontal="center" vertical="center"/>
    </xf>
    <xf numFmtId="1" fontId="22937" fillId="8" borderId="1" xfId="0" applyNumberFormat="1" applyFont="1" applyFill="1" applyBorder="1" applyAlignment="1">
      <alignment horizontal="center" vertical="center"/>
    </xf>
    <xf numFmtId="1" fontId="22938" fillId="8" borderId="1" xfId="0" applyNumberFormat="1" applyFont="1" applyFill="1" applyBorder="1" applyAlignment="1">
      <alignment horizontal="center" vertical="center"/>
    </xf>
    <xf numFmtId="1" fontId="22939" fillId="8" borderId="1" xfId="0" applyNumberFormat="1" applyFont="1" applyFill="1" applyBorder="1" applyAlignment="1">
      <alignment horizontal="center" vertical="center"/>
    </xf>
    <xf numFmtId="1" fontId="22940" fillId="8" borderId="1" xfId="0" applyNumberFormat="1" applyFont="1" applyFill="1" applyBorder="1" applyAlignment="1">
      <alignment horizontal="center" vertical="center"/>
    </xf>
    <xf numFmtId="1" fontId="22941" fillId="8" borderId="1" xfId="0" applyNumberFormat="1" applyFont="1" applyFill="1" applyBorder="1" applyAlignment="1">
      <alignment horizontal="center" vertical="center"/>
    </xf>
    <xf numFmtId="1" fontId="22942" fillId="8" borderId="1" xfId="0" applyNumberFormat="1" applyFont="1" applyFill="1" applyBorder="1" applyAlignment="1">
      <alignment horizontal="center" vertical="center"/>
    </xf>
    <xf numFmtId="0" fontId="22943" fillId="8" borderId="1" xfId="0" applyNumberFormat="1" applyFont="1" applyFill="1" applyBorder="1" applyAlignment="1">
      <alignment horizontal="center" vertical="center"/>
    </xf>
    <xf numFmtId="0" fontId="22944" fillId="8" borderId="1" xfId="0" applyNumberFormat="1" applyFont="1" applyFill="1" applyBorder="1" applyAlignment="1">
      <alignment horizontal="center" vertical="center"/>
    </xf>
    <xf numFmtId="1" fontId="22945" fillId="8" borderId="1" xfId="0" applyNumberFormat="1" applyFont="1" applyFill="1" applyBorder="1" applyAlignment="1">
      <alignment horizontal="center" vertical="center"/>
    </xf>
    <xf numFmtId="1" fontId="22946" fillId="8" borderId="1" xfId="0" applyNumberFormat="1" applyFont="1" applyFill="1" applyBorder="1" applyAlignment="1">
      <alignment horizontal="center" vertical="center"/>
    </xf>
    <xf numFmtId="1" fontId="22947" fillId="8" borderId="1" xfId="0" applyNumberFormat="1" applyFont="1" applyFill="1" applyBorder="1" applyAlignment="1">
      <alignment horizontal="center" vertical="center"/>
    </xf>
    <xf numFmtId="165" fontId="22948" fillId="8" borderId="1" xfId="0" applyNumberFormat="1" applyFont="1" applyFill="1" applyBorder="1" applyAlignment="1">
      <alignment horizontal="center" vertical="center"/>
    </xf>
    <xf numFmtId="1" fontId="22949" fillId="8" borderId="1" xfId="0" applyNumberFormat="1" applyFont="1" applyFill="1" applyBorder="1" applyAlignment="1">
      <alignment horizontal="center" vertical="center"/>
    </xf>
    <xf numFmtId="165" fontId="22950" fillId="8" borderId="1" xfId="0" applyNumberFormat="1" applyFont="1" applyFill="1" applyBorder="1" applyAlignment="1">
      <alignment horizontal="center" vertical="center"/>
    </xf>
    <xf numFmtId="1" fontId="22951" fillId="8" borderId="1" xfId="0" applyNumberFormat="1" applyFont="1" applyFill="1" applyBorder="1" applyAlignment="1">
      <alignment horizontal="center" vertical="center"/>
    </xf>
    <xf numFmtId="165" fontId="22952" fillId="8" borderId="1" xfId="0" applyNumberFormat="1" applyFont="1" applyFill="1" applyBorder="1" applyAlignment="1">
      <alignment horizontal="center" vertical="center"/>
    </xf>
    <xf numFmtId="1" fontId="22953" fillId="8" borderId="1" xfId="0" applyNumberFormat="1" applyFont="1" applyFill="1" applyBorder="1" applyAlignment="1">
      <alignment horizontal="center" vertical="center"/>
    </xf>
    <xf numFmtId="165" fontId="22954" fillId="8" borderId="1" xfId="0" applyNumberFormat="1" applyFont="1" applyFill="1" applyBorder="1" applyAlignment="1">
      <alignment horizontal="center" vertical="center"/>
    </xf>
    <xf numFmtId="165" fontId="22955" fillId="8" borderId="1" xfId="0" applyNumberFormat="1" applyFont="1" applyFill="1" applyBorder="1" applyAlignment="1">
      <alignment horizontal="center" vertical="center"/>
    </xf>
    <xf numFmtId="1" fontId="22956" fillId="8" borderId="1" xfId="0" applyNumberFormat="1" applyFont="1" applyFill="1" applyBorder="1" applyAlignment="1">
      <alignment horizontal="center" vertical="center"/>
    </xf>
    <xf numFmtId="1" fontId="22957" fillId="8" borderId="1" xfId="0" applyNumberFormat="1" applyFont="1" applyFill="1" applyBorder="1" applyAlignment="1">
      <alignment horizontal="center" vertical="center"/>
    </xf>
    <xf numFmtId="1" fontId="22958" fillId="8" borderId="1" xfId="0" applyNumberFormat="1" applyFont="1" applyFill="1" applyBorder="1" applyAlignment="1">
      <alignment horizontal="center" vertical="center"/>
    </xf>
    <xf numFmtId="165" fontId="22959" fillId="8" borderId="1" xfId="0" applyNumberFormat="1" applyFont="1" applyFill="1" applyBorder="1" applyAlignment="1">
      <alignment horizontal="center" vertical="center"/>
    </xf>
    <xf numFmtId="164" fontId="22960" fillId="8" borderId="1" xfId="0" applyNumberFormat="1" applyFont="1" applyFill="1" applyBorder="1" applyAlignment="1">
      <alignment horizontal="center" vertical="center"/>
    </xf>
    <xf numFmtId="164" fontId="22961" fillId="8" borderId="1" xfId="0" applyNumberFormat="1" applyFont="1" applyFill="1" applyBorder="1" applyAlignment="1">
      <alignment horizontal="center" vertical="center"/>
    </xf>
    <xf numFmtId="1" fontId="22962" fillId="8" borderId="1" xfId="0" applyNumberFormat="1" applyFont="1" applyFill="1" applyBorder="1" applyAlignment="1">
      <alignment horizontal="center" vertical="center"/>
    </xf>
    <xf numFmtId="1" fontId="22963" fillId="8" borderId="1" xfId="0" applyNumberFormat="1" applyFont="1" applyFill="1" applyBorder="1" applyAlignment="1">
      <alignment horizontal="center" vertical="center"/>
    </xf>
    <xf numFmtId="1" fontId="22964" fillId="8" borderId="1" xfId="0" applyNumberFormat="1" applyFont="1" applyFill="1" applyBorder="1" applyAlignment="1">
      <alignment horizontal="center" vertical="center"/>
    </xf>
    <xf numFmtId="165" fontId="22965" fillId="8" borderId="1" xfId="0" applyNumberFormat="1" applyFont="1" applyFill="1" applyBorder="1" applyAlignment="1">
      <alignment horizontal="center" vertical="center"/>
    </xf>
    <xf numFmtId="1" fontId="22966" fillId="8" borderId="1" xfId="0" applyNumberFormat="1" applyFont="1" applyFill="1" applyBorder="1" applyAlignment="1">
      <alignment horizontal="center" vertical="center"/>
    </xf>
    <xf numFmtId="165" fontId="22967" fillId="8" borderId="1" xfId="0" applyNumberFormat="1" applyFont="1" applyFill="1" applyBorder="1" applyAlignment="1">
      <alignment horizontal="center" vertical="center"/>
    </xf>
    <xf numFmtId="1" fontId="22968" fillId="8" borderId="1" xfId="0" applyNumberFormat="1" applyFont="1" applyFill="1" applyBorder="1" applyAlignment="1">
      <alignment horizontal="center" vertical="center"/>
    </xf>
    <xf numFmtId="1" fontId="22969" fillId="8" borderId="1" xfId="0" applyNumberFormat="1" applyFont="1" applyFill="1" applyBorder="1" applyAlignment="1">
      <alignment horizontal="center" vertical="center"/>
    </xf>
    <xf numFmtId="1" fontId="22970" fillId="8" borderId="1" xfId="0" applyNumberFormat="1" applyFont="1" applyFill="1" applyBorder="1" applyAlignment="1">
      <alignment horizontal="center" vertical="center"/>
    </xf>
    <xf numFmtId="1" fontId="22971" fillId="8" borderId="1" xfId="0" applyNumberFormat="1" applyFont="1" applyFill="1" applyBorder="1" applyAlignment="1">
      <alignment horizontal="center" vertical="center"/>
    </xf>
    <xf numFmtId="165" fontId="22972" fillId="8" borderId="1" xfId="0" applyNumberFormat="1" applyFont="1" applyFill="1" applyBorder="1" applyAlignment="1">
      <alignment horizontal="center" vertical="center"/>
    </xf>
    <xf numFmtId="1" fontId="22973" fillId="8" borderId="1" xfId="0" applyNumberFormat="1" applyFont="1" applyFill="1" applyBorder="1" applyAlignment="1">
      <alignment horizontal="center" vertical="center"/>
    </xf>
    <xf numFmtId="165" fontId="22974" fillId="8" borderId="1" xfId="0" applyNumberFormat="1" applyFont="1" applyFill="1" applyBorder="1" applyAlignment="1">
      <alignment horizontal="center" vertical="center"/>
    </xf>
    <xf numFmtId="1" fontId="22975" fillId="8" borderId="1" xfId="0" applyNumberFormat="1" applyFont="1" applyFill="1" applyBorder="1" applyAlignment="1">
      <alignment horizontal="center" vertical="center"/>
    </xf>
    <xf numFmtId="165" fontId="22976" fillId="8" borderId="1" xfId="0" applyNumberFormat="1" applyFont="1" applyFill="1" applyBorder="1" applyAlignment="1">
      <alignment horizontal="center" vertical="center"/>
    </xf>
    <xf numFmtId="2" fontId="22977" fillId="8" borderId="1" xfId="0" applyNumberFormat="1" applyFont="1" applyFill="1" applyBorder="1" applyAlignment="1">
      <alignment horizontal="center" vertical="center"/>
    </xf>
    <xf numFmtId="2" fontId="22978" fillId="8" borderId="1" xfId="0" applyNumberFormat="1" applyFont="1" applyFill="1" applyBorder="1" applyAlignment="1">
      <alignment horizontal="center" vertical="center"/>
    </xf>
    <xf numFmtId="2" fontId="22979" fillId="8" borderId="1" xfId="0" applyNumberFormat="1" applyFont="1" applyFill="1" applyBorder="1" applyAlignment="1">
      <alignment horizontal="center" vertical="center"/>
    </xf>
    <xf numFmtId="2" fontId="22980" fillId="8" borderId="1" xfId="0" applyNumberFormat="1" applyFont="1" applyFill="1" applyBorder="1" applyAlignment="1">
      <alignment horizontal="center" vertical="center"/>
    </xf>
    <xf numFmtId="2" fontId="22981" fillId="8" borderId="1" xfId="0" applyNumberFormat="1" applyFont="1" applyFill="1" applyBorder="1" applyAlignment="1">
      <alignment horizontal="center" vertical="center"/>
    </xf>
    <xf numFmtId="2" fontId="22982" fillId="8" borderId="1" xfId="0" applyNumberFormat="1" applyFont="1" applyFill="1" applyBorder="1" applyAlignment="1">
      <alignment horizontal="center" vertical="center"/>
    </xf>
    <xf numFmtId="2" fontId="22983" fillId="8" borderId="1" xfId="0" applyNumberFormat="1" applyFont="1" applyFill="1" applyBorder="1" applyAlignment="1">
      <alignment horizontal="center" vertical="center"/>
    </xf>
    <xf numFmtId="2" fontId="22984" fillId="8" borderId="1" xfId="0" applyNumberFormat="1" applyFont="1" applyFill="1" applyBorder="1" applyAlignment="1">
      <alignment horizontal="center" vertical="center"/>
    </xf>
    <xf numFmtId="2" fontId="22985" fillId="8" borderId="1" xfId="0" applyNumberFormat="1" applyFont="1" applyFill="1" applyBorder="1" applyAlignment="1">
      <alignment horizontal="center" vertical="center"/>
    </xf>
    <xf numFmtId="2" fontId="22986" fillId="8" borderId="1" xfId="0" applyNumberFormat="1" applyFont="1" applyFill="1" applyBorder="1" applyAlignment="1">
      <alignment horizontal="center" vertical="center"/>
    </xf>
    <xf numFmtId="2" fontId="22987" fillId="8" borderId="1" xfId="0" applyNumberFormat="1" applyFont="1" applyFill="1" applyBorder="1" applyAlignment="1">
      <alignment horizontal="center" vertical="center"/>
    </xf>
    <xf numFmtId="2" fontId="22988" fillId="8" borderId="1" xfId="0" applyNumberFormat="1" applyFont="1" applyFill="1" applyBorder="1" applyAlignment="1">
      <alignment horizontal="center" vertical="center"/>
    </xf>
    <xf numFmtId="2" fontId="22989" fillId="8" borderId="1" xfId="0" applyNumberFormat="1" applyFont="1" applyFill="1" applyBorder="1" applyAlignment="1">
      <alignment horizontal="center" vertical="center"/>
    </xf>
    <xf numFmtId="2" fontId="22990" fillId="8" borderId="1" xfId="0" applyNumberFormat="1" applyFont="1" applyFill="1" applyBorder="1" applyAlignment="1">
      <alignment horizontal="center" vertical="center"/>
    </xf>
    <xf numFmtId="2" fontId="22991" fillId="8" borderId="1" xfId="0" applyNumberFormat="1" applyFont="1" applyFill="1" applyBorder="1" applyAlignment="1">
      <alignment horizontal="center" vertical="center"/>
    </xf>
    <xf numFmtId="2" fontId="22992" fillId="8" borderId="1" xfId="0" applyNumberFormat="1" applyFont="1" applyFill="1" applyBorder="1" applyAlignment="1">
      <alignment horizontal="center" vertical="center"/>
    </xf>
    <xf numFmtId="2" fontId="22993" fillId="8" borderId="1" xfId="0" applyNumberFormat="1" applyFont="1" applyFill="1" applyBorder="1" applyAlignment="1">
      <alignment horizontal="center" vertical="center"/>
    </xf>
    <xf numFmtId="2" fontId="22994" fillId="8" borderId="1" xfId="0" applyNumberFormat="1" applyFont="1" applyFill="1" applyBorder="1" applyAlignment="1">
      <alignment horizontal="center" vertical="center"/>
    </xf>
    <xf numFmtId="2" fontId="22995" fillId="8" borderId="1" xfId="0" applyNumberFormat="1" applyFont="1" applyFill="1" applyBorder="1" applyAlignment="1">
      <alignment horizontal="center" vertical="center"/>
    </xf>
    <xf numFmtId="2" fontId="22996" fillId="8" borderId="1" xfId="0" applyNumberFormat="1" applyFont="1" applyFill="1" applyBorder="1" applyAlignment="1">
      <alignment horizontal="center" vertical="center"/>
    </xf>
    <xf numFmtId="2" fontId="22997" fillId="8" borderId="1" xfId="0" applyNumberFormat="1" applyFont="1" applyFill="1" applyBorder="1" applyAlignment="1">
      <alignment horizontal="center" vertical="center"/>
    </xf>
    <xf numFmtId="2" fontId="22998" fillId="8" borderId="1" xfId="0" applyNumberFormat="1" applyFont="1" applyFill="1" applyBorder="1" applyAlignment="1">
      <alignment horizontal="center" vertical="center"/>
    </xf>
    <xf numFmtId="2" fontId="22999" fillId="8" borderId="1" xfId="0" applyNumberFormat="1" applyFont="1" applyFill="1" applyBorder="1" applyAlignment="1">
      <alignment horizontal="center" vertical="center"/>
    </xf>
    <xf numFmtId="2" fontId="23000" fillId="8" borderId="1" xfId="0" applyNumberFormat="1" applyFont="1" applyFill="1" applyBorder="1" applyAlignment="1">
      <alignment horizontal="center" vertical="center"/>
    </xf>
    <xf numFmtId="2" fontId="23001" fillId="8" borderId="1" xfId="0" applyNumberFormat="1" applyFont="1" applyFill="1" applyBorder="1" applyAlignment="1">
      <alignment horizontal="center" vertical="center"/>
    </xf>
    <xf numFmtId="2" fontId="23002" fillId="8" borderId="1" xfId="0" applyNumberFormat="1" applyFont="1" applyFill="1" applyBorder="1" applyAlignment="1">
      <alignment horizontal="center" vertical="center"/>
    </xf>
    <xf numFmtId="2" fontId="23003" fillId="8" borderId="1" xfId="0" applyNumberFormat="1" applyFont="1" applyFill="1" applyBorder="1" applyAlignment="1">
      <alignment horizontal="center" vertical="center"/>
    </xf>
    <xf numFmtId="2" fontId="23004" fillId="8" borderId="1" xfId="0" applyNumberFormat="1" applyFont="1" applyFill="1" applyBorder="1" applyAlignment="1">
      <alignment horizontal="center" vertical="center"/>
    </xf>
    <xf numFmtId="2" fontId="23005" fillId="8" borderId="1" xfId="0" applyNumberFormat="1" applyFont="1" applyFill="1" applyBorder="1" applyAlignment="1">
      <alignment horizontal="center" vertical="center"/>
    </xf>
    <xf numFmtId="2" fontId="23006" fillId="8" borderId="1" xfId="0" applyNumberFormat="1" applyFont="1" applyFill="1" applyBorder="1" applyAlignment="1">
      <alignment horizontal="center" vertical="center"/>
    </xf>
    <xf numFmtId="2" fontId="23007" fillId="8" borderId="1" xfId="0" applyNumberFormat="1" applyFont="1" applyFill="1" applyBorder="1" applyAlignment="1">
      <alignment horizontal="center" vertical="center"/>
    </xf>
    <xf numFmtId="2" fontId="23008" fillId="8" borderId="1" xfId="0" applyNumberFormat="1" applyFont="1" applyFill="1" applyBorder="1" applyAlignment="1">
      <alignment horizontal="center" vertical="center"/>
    </xf>
    <xf numFmtId="2" fontId="23009" fillId="8" borderId="1" xfId="0" applyNumberFormat="1" applyFont="1" applyFill="1" applyBorder="1" applyAlignment="1">
      <alignment horizontal="center" vertical="center"/>
    </xf>
    <xf numFmtId="2" fontId="23010" fillId="8" borderId="1" xfId="0" applyNumberFormat="1" applyFont="1" applyFill="1" applyBorder="1" applyAlignment="1">
      <alignment horizontal="center" vertical="center"/>
    </xf>
    <xf numFmtId="0" fontId="23011" fillId="7" borderId="1" xfId="0" applyNumberFormat="1" applyFont="1" applyFill="1" applyBorder="1" applyAlignment="1">
      <alignment horizontal="left" vertical="center"/>
    </xf>
    <xf numFmtId="0" fontId="23012" fillId="8" borderId="1" xfId="0" applyNumberFormat="1" applyFont="1" applyFill="1" applyBorder="1" applyAlignment="1">
      <alignment horizontal="center" vertical="center"/>
    </xf>
    <xf numFmtId="164" fontId="23013" fillId="8" borderId="1" xfId="0" applyNumberFormat="1" applyFont="1" applyFill="1" applyBorder="1" applyAlignment="1">
      <alignment horizontal="center" vertical="center"/>
    </xf>
    <xf numFmtId="1" fontId="23014" fillId="8" borderId="1" xfId="0" applyNumberFormat="1" applyFont="1" applyFill="1" applyBorder="1" applyAlignment="1">
      <alignment horizontal="center" vertical="center"/>
    </xf>
    <xf numFmtId="1" fontId="23015" fillId="8" borderId="1" xfId="0" applyNumberFormat="1" applyFont="1" applyFill="1" applyBorder="1" applyAlignment="1">
      <alignment horizontal="center" vertical="center"/>
    </xf>
    <xf numFmtId="1" fontId="23016" fillId="8" borderId="1" xfId="0" applyNumberFormat="1" applyFont="1" applyFill="1" applyBorder="1" applyAlignment="1">
      <alignment horizontal="center" vertical="center"/>
    </xf>
    <xf numFmtId="1" fontId="23017" fillId="8" borderId="1" xfId="0" applyNumberFormat="1" applyFont="1" applyFill="1" applyBorder="1" applyAlignment="1">
      <alignment horizontal="center" vertical="center"/>
    </xf>
    <xf numFmtId="1" fontId="23018" fillId="8" borderId="1" xfId="0" applyNumberFormat="1" applyFont="1" applyFill="1" applyBorder="1" applyAlignment="1">
      <alignment horizontal="center" vertical="center"/>
    </xf>
    <xf numFmtId="1" fontId="23019" fillId="8" borderId="1" xfId="0" applyNumberFormat="1" applyFont="1" applyFill="1" applyBorder="1" applyAlignment="1">
      <alignment horizontal="center" vertical="center"/>
    </xf>
    <xf numFmtId="1" fontId="23020" fillId="8" borderId="1" xfId="0" applyNumberFormat="1" applyFont="1" applyFill="1" applyBorder="1" applyAlignment="1">
      <alignment horizontal="center" vertical="center"/>
    </xf>
    <xf numFmtId="0" fontId="23021" fillId="8" borderId="1" xfId="0" applyNumberFormat="1" applyFont="1" applyFill="1" applyBorder="1" applyAlignment="1">
      <alignment horizontal="center" vertical="center"/>
    </xf>
    <xf numFmtId="0" fontId="23022" fillId="8" borderId="1" xfId="0" applyNumberFormat="1" applyFont="1" applyFill="1" applyBorder="1" applyAlignment="1">
      <alignment horizontal="center" vertical="center"/>
    </xf>
    <xf numFmtId="1" fontId="23023" fillId="8" borderId="1" xfId="0" applyNumberFormat="1" applyFont="1" applyFill="1" applyBorder="1" applyAlignment="1">
      <alignment horizontal="center" vertical="center"/>
    </xf>
    <xf numFmtId="1" fontId="23024" fillId="8" borderId="1" xfId="0" applyNumberFormat="1" applyFont="1" applyFill="1" applyBorder="1" applyAlignment="1">
      <alignment horizontal="center" vertical="center"/>
    </xf>
    <xf numFmtId="1" fontId="23025" fillId="8" borderId="1" xfId="0" applyNumberFormat="1" applyFont="1" applyFill="1" applyBorder="1" applyAlignment="1">
      <alignment horizontal="center" vertical="center"/>
    </xf>
    <xf numFmtId="165" fontId="23026" fillId="8" borderId="1" xfId="0" applyNumberFormat="1" applyFont="1" applyFill="1" applyBorder="1" applyAlignment="1">
      <alignment horizontal="center" vertical="center"/>
    </xf>
    <xf numFmtId="1" fontId="23027" fillId="8" borderId="1" xfId="0" applyNumberFormat="1" applyFont="1" applyFill="1" applyBorder="1" applyAlignment="1">
      <alignment horizontal="center" vertical="center"/>
    </xf>
    <xf numFmtId="165" fontId="23028" fillId="8" borderId="1" xfId="0" applyNumberFormat="1" applyFont="1" applyFill="1" applyBorder="1" applyAlignment="1">
      <alignment horizontal="center" vertical="center"/>
    </xf>
    <xf numFmtId="1" fontId="23029" fillId="8" borderId="1" xfId="0" applyNumberFormat="1" applyFont="1" applyFill="1" applyBorder="1" applyAlignment="1">
      <alignment horizontal="center" vertical="center"/>
    </xf>
    <xf numFmtId="165" fontId="23030" fillId="8" borderId="1" xfId="0" applyNumberFormat="1" applyFont="1" applyFill="1" applyBorder="1" applyAlignment="1">
      <alignment horizontal="center" vertical="center"/>
    </xf>
    <xf numFmtId="1" fontId="23031" fillId="8" borderId="1" xfId="0" applyNumberFormat="1" applyFont="1" applyFill="1" applyBorder="1" applyAlignment="1">
      <alignment horizontal="center" vertical="center"/>
    </xf>
    <xf numFmtId="165" fontId="23032" fillId="8" borderId="1" xfId="0" applyNumberFormat="1" applyFont="1" applyFill="1" applyBorder="1" applyAlignment="1">
      <alignment horizontal="center" vertical="center"/>
    </xf>
    <xf numFmtId="165" fontId="23033" fillId="8" borderId="1" xfId="0" applyNumberFormat="1" applyFont="1" applyFill="1" applyBorder="1" applyAlignment="1">
      <alignment horizontal="center" vertical="center"/>
    </xf>
    <xf numFmtId="1" fontId="23034" fillId="8" borderId="1" xfId="0" applyNumberFormat="1" applyFont="1" applyFill="1" applyBorder="1" applyAlignment="1">
      <alignment horizontal="center" vertical="center"/>
    </xf>
    <xf numFmtId="1" fontId="23035" fillId="8" borderId="1" xfId="0" applyNumberFormat="1" applyFont="1" applyFill="1" applyBorder="1" applyAlignment="1">
      <alignment horizontal="center" vertical="center"/>
    </xf>
    <xf numFmtId="1" fontId="23036" fillId="8" borderId="1" xfId="0" applyNumberFormat="1" applyFont="1" applyFill="1" applyBorder="1" applyAlignment="1">
      <alignment horizontal="center" vertical="center"/>
    </xf>
    <xf numFmtId="165" fontId="23037" fillId="8" borderId="1" xfId="0" applyNumberFormat="1" applyFont="1" applyFill="1" applyBorder="1" applyAlignment="1">
      <alignment horizontal="center" vertical="center"/>
    </xf>
    <xf numFmtId="164" fontId="23038" fillId="8" borderId="1" xfId="0" applyNumberFormat="1" applyFont="1" applyFill="1" applyBorder="1" applyAlignment="1">
      <alignment horizontal="center" vertical="center"/>
    </xf>
    <xf numFmtId="164" fontId="23039" fillId="8" borderId="1" xfId="0" applyNumberFormat="1" applyFont="1" applyFill="1" applyBorder="1" applyAlignment="1">
      <alignment horizontal="center" vertical="center"/>
    </xf>
    <xf numFmtId="1" fontId="23040" fillId="8" borderId="1" xfId="0" applyNumberFormat="1" applyFont="1" applyFill="1" applyBorder="1" applyAlignment="1">
      <alignment horizontal="center" vertical="center"/>
    </xf>
    <xf numFmtId="1" fontId="23041" fillId="8" borderId="1" xfId="0" applyNumberFormat="1" applyFont="1" applyFill="1" applyBorder="1" applyAlignment="1">
      <alignment horizontal="center" vertical="center"/>
    </xf>
    <xf numFmtId="1" fontId="23042" fillId="8" borderId="1" xfId="0" applyNumberFormat="1" applyFont="1" applyFill="1" applyBorder="1" applyAlignment="1">
      <alignment horizontal="center" vertical="center"/>
    </xf>
    <xf numFmtId="165" fontId="23043" fillId="8" borderId="1" xfId="0" applyNumberFormat="1" applyFont="1" applyFill="1" applyBorder="1" applyAlignment="1">
      <alignment horizontal="center" vertical="center"/>
    </xf>
    <xf numFmtId="1" fontId="23044" fillId="8" borderId="1" xfId="0" applyNumberFormat="1" applyFont="1" applyFill="1" applyBorder="1" applyAlignment="1">
      <alignment horizontal="center" vertical="center"/>
    </xf>
    <xf numFmtId="165" fontId="23045" fillId="8" borderId="1" xfId="0" applyNumberFormat="1" applyFont="1" applyFill="1" applyBorder="1" applyAlignment="1">
      <alignment horizontal="center" vertical="center"/>
    </xf>
    <xf numFmtId="1" fontId="23046" fillId="8" borderId="1" xfId="0" applyNumberFormat="1" applyFont="1" applyFill="1" applyBorder="1" applyAlignment="1">
      <alignment horizontal="center" vertical="center"/>
    </xf>
    <xf numFmtId="1" fontId="23047" fillId="8" borderId="1" xfId="0" applyNumberFormat="1" applyFont="1" applyFill="1" applyBorder="1" applyAlignment="1">
      <alignment horizontal="center" vertical="center"/>
    </xf>
    <xf numFmtId="1" fontId="23048" fillId="8" borderId="1" xfId="0" applyNumberFormat="1" applyFont="1" applyFill="1" applyBorder="1" applyAlignment="1">
      <alignment horizontal="center" vertical="center"/>
    </xf>
    <xf numFmtId="1" fontId="23049" fillId="8" borderId="1" xfId="0" applyNumberFormat="1" applyFont="1" applyFill="1" applyBorder="1" applyAlignment="1">
      <alignment horizontal="center" vertical="center"/>
    </xf>
    <xf numFmtId="165" fontId="23050" fillId="8" borderId="1" xfId="0" applyNumberFormat="1" applyFont="1" applyFill="1" applyBorder="1" applyAlignment="1">
      <alignment horizontal="center" vertical="center"/>
    </xf>
    <xf numFmtId="1" fontId="23051" fillId="8" borderId="1" xfId="0" applyNumberFormat="1" applyFont="1" applyFill="1" applyBorder="1" applyAlignment="1">
      <alignment horizontal="center" vertical="center"/>
    </xf>
    <xf numFmtId="165" fontId="23052" fillId="8" borderId="1" xfId="0" applyNumberFormat="1" applyFont="1" applyFill="1" applyBorder="1" applyAlignment="1">
      <alignment horizontal="center" vertical="center"/>
    </xf>
    <xf numFmtId="1" fontId="23053" fillId="8" borderId="1" xfId="0" applyNumberFormat="1" applyFont="1" applyFill="1" applyBorder="1" applyAlignment="1">
      <alignment horizontal="center" vertical="center"/>
    </xf>
    <xf numFmtId="165" fontId="23054" fillId="8" borderId="1" xfId="0" applyNumberFormat="1" applyFont="1" applyFill="1" applyBorder="1" applyAlignment="1">
      <alignment horizontal="center" vertical="center"/>
    </xf>
    <xf numFmtId="2" fontId="23055" fillId="8" borderId="1" xfId="0" applyNumberFormat="1" applyFont="1" applyFill="1" applyBorder="1" applyAlignment="1">
      <alignment horizontal="center" vertical="center"/>
    </xf>
    <xf numFmtId="2" fontId="23056" fillId="8" borderId="1" xfId="0" applyNumberFormat="1" applyFont="1" applyFill="1" applyBorder="1" applyAlignment="1">
      <alignment horizontal="center" vertical="center"/>
    </xf>
    <xf numFmtId="2" fontId="23057" fillId="8" borderId="1" xfId="0" applyNumberFormat="1" applyFont="1" applyFill="1" applyBorder="1" applyAlignment="1">
      <alignment horizontal="center" vertical="center"/>
    </xf>
    <xf numFmtId="2" fontId="23058" fillId="8" borderId="1" xfId="0" applyNumberFormat="1" applyFont="1" applyFill="1" applyBorder="1" applyAlignment="1">
      <alignment horizontal="center" vertical="center"/>
    </xf>
    <xf numFmtId="2" fontId="23059" fillId="8" borderId="1" xfId="0" applyNumberFormat="1" applyFont="1" applyFill="1" applyBorder="1" applyAlignment="1">
      <alignment horizontal="center" vertical="center"/>
    </xf>
    <xf numFmtId="2" fontId="23060" fillId="8" borderId="1" xfId="0" applyNumberFormat="1" applyFont="1" applyFill="1" applyBorder="1" applyAlignment="1">
      <alignment horizontal="center" vertical="center"/>
    </xf>
    <xf numFmtId="2" fontId="23061" fillId="8" borderId="1" xfId="0" applyNumberFormat="1" applyFont="1" applyFill="1" applyBorder="1" applyAlignment="1">
      <alignment horizontal="center" vertical="center"/>
    </xf>
    <xf numFmtId="2" fontId="23062" fillId="8" borderId="1" xfId="0" applyNumberFormat="1" applyFont="1" applyFill="1" applyBorder="1" applyAlignment="1">
      <alignment horizontal="center" vertical="center"/>
    </xf>
    <xf numFmtId="2" fontId="23063" fillId="8" borderId="1" xfId="0" applyNumberFormat="1" applyFont="1" applyFill="1" applyBorder="1" applyAlignment="1">
      <alignment horizontal="center" vertical="center"/>
    </xf>
    <xf numFmtId="2" fontId="23064" fillId="8" borderId="1" xfId="0" applyNumberFormat="1" applyFont="1" applyFill="1" applyBorder="1" applyAlignment="1">
      <alignment horizontal="center" vertical="center"/>
    </xf>
    <xf numFmtId="2" fontId="23065" fillId="8" borderId="1" xfId="0" applyNumberFormat="1" applyFont="1" applyFill="1" applyBorder="1" applyAlignment="1">
      <alignment horizontal="center" vertical="center"/>
    </xf>
    <xf numFmtId="2" fontId="23066" fillId="8" borderId="1" xfId="0" applyNumberFormat="1" applyFont="1" applyFill="1" applyBorder="1" applyAlignment="1">
      <alignment horizontal="center" vertical="center"/>
    </xf>
    <xf numFmtId="2" fontId="23067" fillId="8" borderId="1" xfId="0" applyNumberFormat="1" applyFont="1" applyFill="1" applyBorder="1" applyAlignment="1">
      <alignment horizontal="center" vertical="center"/>
    </xf>
    <xf numFmtId="2" fontId="23068" fillId="8" borderId="1" xfId="0" applyNumberFormat="1" applyFont="1" applyFill="1" applyBorder="1" applyAlignment="1">
      <alignment horizontal="center" vertical="center"/>
    </xf>
    <xf numFmtId="2" fontId="23069" fillId="8" borderId="1" xfId="0" applyNumberFormat="1" applyFont="1" applyFill="1" applyBorder="1" applyAlignment="1">
      <alignment horizontal="center" vertical="center"/>
    </xf>
    <xf numFmtId="2" fontId="23070" fillId="8" borderId="1" xfId="0" applyNumberFormat="1" applyFont="1" applyFill="1" applyBorder="1" applyAlignment="1">
      <alignment horizontal="center" vertical="center"/>
    </xf>
    <xf numFmtId="2" fontId="23071" fillId="8" borderId="1" xfId="0" applyNumberFormat="1" applyFont="1" applyFill="1" applyBorder="1" applyAlignment="1">
      <alignment horizontal="center" vertical="center"/>
    </xf>
    <xf numFmtId="2" fontId="23072" fillId="8" borderId="1" xfId="0" applyNumberFormat="1" applyFont="1" applyFill="1" applyBorder="1" applyAlignment="1">
      <alignment horizontal="center" vertical="center"/>
    </xf>
    <xf numFmtId="2" fontId="23073" fillId="8" borderId="1" xfId="0" applyNumberFormat="1" applyFont="1" applyFill="1" applyBorder="1" applyAlignment="1">
      <alignment horizontal="center" vertical="center"/>
    </xf>
    <xf numFmtId="2" fontId="23074" fillId="8" borderId="1" xfId="0" applyNumberFormat="1" applyFont="1" applyFill="1" applyBorder="1" applyAlignment="1">
      <alignment horizontal="center" vertical="center"/>
    </xf>
    <xf numFmtId="2" fontId="23075" fillId="8" borderId="1" xfId="0" applyNumberFormat="1" applyFont="1" applyFill="1" applyBorder="1" applyAlignment="1">
      <alignment horizontal="center" vertical="center"/>
    </xf>
    <xf numFmtId="2" fontId="23076" fillId="8" borderId="1" xfId="0" applyNumberFormat="1" applyFont="1" applyFill="1" applyBorder="1" applyAlignment="1">
      <alignment horizontal="center" vertical="center"/>
    </xf>
    <xf numFmtId="2" fontId="23077" fillId="8" borderId="1" xfId="0" applyNumberFormat="1" applyFont="1" applyFill="1" applyBorder="1" applyAlignment="1">
      <alignment horizontal="center" vertical="center"/>
    </xf>
    <xf numFmtId="2" fontId="23078" fillId="8" borderId="1" xfId="0" applyNumberFormat="1" applyFont="1" applyFill="1" applyBorder="1" applyAlignment="1">
      <alignment horizontal="center" vertical="center"/>
    </xf>
    <xf numFmtId="2" fontId="23079" fillId="8" borderId="1" xfId="0" applyNumberFormat="1" applyFont="1" applyFill="1" applyBorder="1" applyAlignment="1">
      <alignment horizontal="center" vertical="center"/>
    </xf>
    <xf numFmtId="2" fontId="23080" fillId="8" borderId="1" xfId="0" applyNumberFormat="1" applyFont="1" applyFill="1" applyBorder="1" applyAlignment="1">
      <alignment horizontal="center" vertical="center"/>
    </xf>
    <xf numFmtId="2" fontId="23081" fillId="8" borderId="1" xfId="0" applyNumberFormat="1" applyFont="1" applyFill="1" applyBorder="1" applyAlignment="1">
      <alignment horizontal="center" vertical="center"/>
    </xf>
    <xf numFmtId="2" fontId="23082" fillId="8" borderId="1" xfId="0" applyNumberFormat="1" applyFont="1" applyFill="1" applyBorder="1" applyAlignment="1">
      <alignment horizontal="center" vertical="center"/>
    </xf>
    <xf numFmtId="2" fontId="23083" fillId="8" borderId="1" xfId="0" applyNumberFormat="1" applyFont="1" applyFill="1" applyBorder="1" applyAlignment="1">
      <alignment horizontal="center" vertical="center"/>
    </xf>
    <xf numFmtId="2" fontId="23084" fillId="8" borderId="1" xfId="0" applyNumberFormat="1" applyFont="1" applyFill="1" applyBorder="1" applyAlignment="1">
      <alignment horizontal="center" vertical="center"/>
    </xf>
    <xf numFmtId="2" fontId="23085" fillId="8" borderId="1" xfId="0" applyNumberFormat="1" applyFont="1" applyFill="1" applyBorder="1" applyAlignment="1">
      <alignment horizontal="center" vertical="center"/>
    </xf>
    <xf numFmtId="2" fontId="23086" fillId="8" borderId="1" xfId="0" applyNumberFormat="1" applyFont="1" applyFill="1" applyBorder="1" applyAlignment="1">
      <alignment horizontal="center" vertical="center"/>
    </xf>
    <xf numFmtId="2" fontId="23087" fillId="8" borderId="1" xfId="0" applyNumberFormat="1" applyFont="1" applyFill="1" applyBorder="1" applyAlignment="1">
      <alignment horizontal="center" vertical="center"/>
    </xf>
    <xf numFmtId="2" fontId="23088" fillId="8" borderId="1" xfId="0" applyNumberFormat="1" applyFont="1" applyFill="1" applyBorder="1" applyAlignment="1">
      <alignment horizontal="center" vertical="center"/>
    </xf>
    <xf numFmtId="0" fontId="23089" fillId="7" borderId="1" xfId="0" applyNumberFormat="1" applyFont="1" applyFill="1" applyBorder="1" applyAlignment="1">
      <alignment horizontal="left" vertical="center"/>
    </xf>
    <xf numFmtId="0" fontId="23090" fillId="8" borderId="1" xfId="0" applyNumberFormat="1" applyFont="1" applyFill="1" applyBorder="1" applyAlignment="1">
      <alignment horizontal="center" vertical="center"/>
    </xf>
    <xf numFmtId="164" fontId="23091" fillId="8" borderId="1" xfId="0" applyNumberFormat="1" applyFont="1" applyFill="1" applyBorder="1" applyAlignment="1">
      <alignment horizontal="center" vertical="center"/>
    </xf>
    <xf numFmtId="1" fontId="23092" fillId="8" borderId="1" xfId="0" applyNumberFormat="1" applyFont="1" applyFill="1" applyBorder="1" applyAlignment="1">
      <alignment horizontal="center" vertical="center"/>
    </xf>
    <xf numFmtId="1" fontId="23093" fillId="8" borderId="1" xfId="0" applyNumberFormat="1" applyFont="1" applyFill="1" applyBorder="1" applyAlignment="1">
      <alignment horizontal="center" vertical="center"/>
    </xf>
    <xf numFmtId="1" fontId="23094" fillId="8" borderId="1" xfId="0" applyNumberFormat="1" applyFont="1" applyFill="1" applyBorder="1" applyAlignment="1">
      <alignment horizontal="center" vertical="center"/>
    </xf>
    <xf numFmtId="1" fontId="23095" fillId="8" borderId="1" xfId="0" applyNumberFormat="1" applyFont="1" applyFill="1" applyBorder="1" applyAlignment="1">
      <alignment horizontal="center" vertical="center"/>
    </xf>
    <xf numFmtId="1" fontId="23096" fillId="8" borderId="1" xfId="0" applyNumberFormat="1" applyFont="1" applyFill="1" applyBorder="1" applyAlignment="1">
      <alignment horizontal="center" vertical="center"/>
    </xf>
    <xf numFmtId="1" fontId="23097" fillId="8" borderId="1" xfId="0" applyNumberFormat="1" applyFont="1" applyFill="1" applyBorder="1" applyAlignment="1">
      <alignment horizontal="center" vertical="center"/>
    </xf>
    <xf numFmtId="1" fontId="23098" fillId="8" borderId="1" xfId="0" applyNumberFormat="1" applyFont="1" applyFill="1" applyBorder="1" applyAlignment="1">
      <alignment horizontal="center" vertical="center"/>
    </xf>
    <xf numFmtId="0" fontId="23099" fillId="8" borderId="1" xfId="0" applyNumberFormat="1" applyFont="1" applyFill="1" applyBorder="1" applyAlignment="1">
      <alignment horizontal="center" vertical="center"/>
    </xf>
    <xf numFmtId="0" fontId="23100" fillId="8" borderId="1" xfId="0" applyNumberFormat="1" applyFont="1" applyFill="1" applyBorder="1" applyAlignment="1">
      <alignment horizontal="center" vertical="center"/>
    </xf>
    <xf numFmtId="1" fontId="23101" fillId="8" borderId="1" xfId="0" applyNumberFormat="1" applyFont="1" applyFill="1" applyBorder="1" applyAlignment="1">
      <alignment horizontal="center" vertical="center"/>
    </xf>
    <xf numFmtId="1" fontId="23102" fillId="8" borderId="1" xfId="0" applyNumberFormat="1" applyFont="1" applyFill="1" applyBorder="1" applyAlignment="1">
      <alignment horizontal="center" vertical="center"/>
    </xf>
    <xf numFmtId="1" fontId="23103" fillId="8" borderId="1" xfId="0" applyNumberFormat="1" applyFont="1" applyFill="1" applyBorder="1" applyAlignment="1">
      <alignment horizontal="center" vertical="center"/>
    </xf>
    <xf numFmtId="165" fontId="23104" fillId="8" borderId="1" xfId="0" applyNumberFormat="1" applyFont="1" applyFill="1" applyBorder="1" applyAlignment="1">
      <alignment horizontal="center" vertical="center"/>
    </xf>
    <xf numFmtId="1" fontId="23105" fillId="8" borderId="1" xfId="0" applyNumberFormat="1" applyFont="1" applyFill="1" applyBorder="1" applyAlignment="1">
      <alignment horizontal="center" vertical="center"/>
    </xf>
    <xf numFmtId="165" fontId="23106" fillId="8" borderId="1" xfId="0" applyNumberFormat="1" applyFont="1" applyFill="1" applyBorder="1" applyAlignment="1">
      <alignment horizontal="center" vertical="center"/>
    </xf>
    <xf numFmtId="1" fontId="23107" fillId="8" borderId="1" xfId="0" applyNumberFormat="1" applyFont="1" applyFill="1" applyBorder="1" applyAlignment="1">
      <alignment horizontal="center" vertical="center"/>
    </xf>
    <xf numFmtId="165" fontId="23108" fillId="8" borderId="1" xfId="0" applyNumberFormat="1" applyFont="1" applyFill="1" applyBorder="1" applyAlignment="1">
      <alignment horizontal="center" vertical="center"/>
    </xf>
    <xf numFmtId="1" fontId="23109" fillId="8" borderId="1" xfId="0" applyNumberFormat="1" applyFont="1" applyFill="1" applyBorder="1" applyAlignment="1">
      <alignment horizontal="center" vertical="center"/>
    </xf>
    <xf numFmtId="165" fontId="23110" fillId="8" borderId="1" xfId="0" applyNumberFormat="1" applyFont="1" applyFill="1" applyBorder="1" applyAlignment="1">
      <alignment horizontal="center" vertical="center"/>
    </xf>
    <xf numFmtId="165" fontId="23111" fillId="8" borderId="1" xfId="0" applyNumberFormat="1" applyFont="1" applyFill="1" applyBorder="1" applyAlignment="1">
      <alignment horizontal="center" vertical="center"/>
    </xf>
    <xf numFmtId="1" fontId="23112" fillId="8" borderId="1" xfId="0" applyNumberFormat="1" applyFont="1" applyFill="1" applyBorder="1" applyAlignment="1">
      <alignment horizontal="center" vertical="center"/>
    </xf>
    <xf numFmtId="1" fontId="23113" fillId="8" borderId="1" xfId="0" applyNumberFormat="1" applyFont="1" applyFill="1" applyBorder="1" applyAlignment="1">
      <alignment horizontal="center" vertical="center"/>
    </xf>
    <xf numFmtId="1" fontId="23114" fillId="8" borderId="1" xfId="0" applyNumberFormat="1" applyFont="1" applyFill="1" applyBorder="1" applyAlignment="1">
      <alignment horizontal="center" vertical="center"/>
    </xf>
    <xf numFmtId="165" fontId="23115" fillId="8" borderId="1" xfId="0" applyNumberFormat="1" applyFont="1" applyFill="1" applyBorder="1" applyAlignment="1">
      <alignment horizontal="center" vertical="center"/>
    </xf>
    <xf numFmtId="164" fontId="23116" fillId="8" borderId="1" xfId="0" applyNumberFormat="1" applyFont="1" applyFill="1" applyBorder="1" applyAlignment="1">
      <alignment horizontal="center" vertical="center"/>
    </xf>
    <xf numFmtId="164" fontId="23117" fillId="8" borderId="1" xfId="0" applyNumberFormat="1" applyFont="1" applyFill="1" applyBorder="1" applyAlignment="1">
      <alignment horizontal="center" vertical="center"/>
    </xf>
    <xf numFmtId="1" fontId="23118" fillId="8" borderId="1" xfId="0" applyNumberFormat="1" applyFont="1" applyFill="1" applyBorder="1" applyAlignment="1">
      <alignment horizontal="center" vertical="center"/>
    </xf>
    <xf numFmtId="1" fontId="23119" fillId="8" borderId="1" xfId="0" applyNumberFormat="1" applyFont="1" applyFill="1" applyBorder="1" applyAlignment="1">
      <alignment horizontal="center" vertical="center"/>
    </xf>
    <xf numFmtId="1" fontId="23120" fillId="8" borderId="1" xfId="0" applyNumberFormat="1" applyFont="1" applyFill="1" applyBorder="1" applyAlignment="1">
      <alignment horizontal="center" vertical="center"/>
    </xf>
    <xf numFmtId="165" fontId="23121" fillId="8" borderId="1" xfId="0" applyNumberFormat="1" applyFont="1" applyFill="1" applyBorder="1" applyAlignment="1">
      <alignment horizontal="center" vertical="center"/>
    </xf>
    <xf numFmtId="1" fontId="23122" fillId="8" borderId="1" xfId="0" applyNumberFormat="1" applyFont="1" applyFill="1" applyBorder="1" applyAlignment="1">
      <alignment horizontal="center" vertical="center"/>
    </xf>
    <xf numFmtId="165" fontId="23123" fillId="8" borderId="1" xfId="0" applyNumberFormat="1" applyFont="1" applyFill="1" applyBorder="1" applyAlignment="1">
      <alignment horizontal="center" vertical="center"/>
    </xf>
    <xf numFmtId="1" fontId="23124" fillId="8" borderId="1" xfId="0" applyNumberFormat="1" applyFont="1" applyFill="1" applyBorder="1" applyAlignment="1">
      <alignment horizontal="center" vertical="center"/>
    </xf>
    <xf numFmtId="1" fontId="23125" fillId="8" borderId="1" xfId="0" applyNumberFormat="1" applyFont="1" applyFill="1" applyBorder="1" applyAlignment="1">
      <alignment horizontal="center" vertical="center"/>
    </xf>
    <xf numFmtId="1" fontId="23126" fillId="8" borderId="1" xfId="0" applyNumberFormat="1" applyFont="1" applyFill="1" applyBorder="1" applyAlignment="1">
      <alignment horizontal="center" vertical="center"/>
    </xf>
    <xf numFmtId="1" fontId="23127" fillId="8" borderId="1" xfId="0" applyNumberFormat="1" applyFont="1" applyFill="1" applyBorder="1" applyAlignment="1">
      <alignment horizontal="center" vertical="center"/>
    </xf>
    <xf numFmtId="165" fontId="23128" fillId="8" borderId="1" xfId="0" applyNumberFormat="1" applyFont="1" applyFill="1" applyBorder="1" applyAlignment="1">
      <alignment horizontal="center" vertical="center"/>
    </xf>
    <xf numFmtId="1" fontId="23129" fillId="8" borderId="1" xfId="0" applyNumberFormat="1" applyFont="1" applyFill="1" applyBorder="1" applyAlignment="1">
      <alignment horizontal="center" vertical="center"/>
    </xf>
    <xf numFmtId="165" fontId="23130" fillId="8" borderId="1" xfId="0" applyNumberFormat="1" applyFont="1" applyFill="1" applyBorder="1" applyAlignment="1">
      <alignment horizontal="center" vertical="center"/>
    </xf>
    <xf numFmtId="1" fontId="23131" fillId="8" borderId="1" xfId="0" applyNumberFormat="1" applyFont="1" applyFill="1" applyBorder="1" applyAlignment="1">
      <alignment horizontal="center" vertical="center"/>
    </xf>
    <xf numFmtId="165" fontId="23132" fillId="8" borderId="1" xfId="0" applyNumberFormat="1" applyFont="1" applyFill="1" applyBorder="1" applyAlignment="1">
      <alignment horizontal="center" vertical="center"/>
    </xf>
    <xf numFmtId="2" fontId="23133" fillId="8" borderId="1" xfId="0" applyNumberFormat="1" applyFont="1" applyFill="1" applyBorder="1" applyAlignment="1">
      <alignment horizontal="center" vertical="center"/>
    </xf>
    <xf numFmtId="2" fontId="23134" fillId="8" borderId="1" xfId="0" applyNumberFormat="1" applyFont="1" applyFill="1" applyBorder="1" applyAlignment="1">
      <alignment horizontal="center" vertical="center"/>
    </xf>
    <xf numFmtId="2" fontId="23135" fillId="8" borderId="1" xfId="0" applyNumberFormat="1" applyFont="1" applyFill="1" applyBorder="1" applyAlignment="1">
      <alignment horizontal="center" vertical="center"/>
    </xf>
    <xf numFmtId="2" fontId="23136" fillId="8" borderId="1" xfId="0" applyNumberFormat="1" applyFont="1" applyFill="1" applyBorder="1" applyAlignment="1">
      <alignment horizontal="center" vertical="center"/>
    </xf>
    <xf numFmtId="2" fontId="23137" fillId="8" borderId="1" xfId="0" applyNumberFormat="1" applyFont="1" applyFill="1" applyBorder="1" applyAlignment="1">
      <alignment horizontal="center" vertical="center"/>
    </xf>
    <xf numFmtId="2" fontId="23138" fillId="8" borderId="1" xfId="0" applyNumberFormat="1" applyFont="1" applyFill="1" applyBorder="1" applyAlignment="1">
      <alignment horizontal="center" vertical="center"/>
    </xf>
    <xf numFmtId="2" fontId="23139" fillId="8" borderId="1" xfId="0" applyNumberFormat="1" applyFont="1" applyFill="1" applyBorder="1" applyAlignment="1">
      <alignment horizontal="center" vertical="center"/>
    </xf>
    <xf numFmtId="2" fontId="23140" fillId="8" borderId="1" xfId="0" applyNumberFormat="1" applyFont="1" applyFill="1" applyBorder="1" applyAlignment="1">
      <alignment horizontal="center" vertical="center"/>
    </xf>
    <xf numFmtId="2" fontId="23141" fillId="8" borderId="1" xfId="0" applyNumberFormat="1" applyFont="1" applyFill="1" applyBorder="1" applyAlignment="1">
      <alignment horizontal="center" vertical="center"/>
    </xf>
    <xf numFmtId="2" fontId="23142" fillId="8" borderId="1" xfId="0" applyNumberFormat="1" applyFont="1" applyFill="1" applyBorder="1" applyAlignment="1">
      <alignment horizontal="center" vertical="center"/>
    </xf>
    <xf numFmtId="2" fontId="23143" fillId="8" borderId="1" xfId="0" applyNumberFormat="1" applyFont="1" applyFill="1" applyBorder="1" applyAlignment="1">
      <alignment horizontal="center" vertical="center"/>
    </xf>
    <xf numFmtId="2" fontId="23144" fillId="8" borderId="1" xfId="0" applyNumberFormat="1" applyFont="1" applyFill="1" applyBorder="1" applyAlignment="1">
      <alignment horizontal="center" vertical="center"/>
    </xf>
    <xf numFmtId="2" fontId="23145" fillId="8" borderId="1" xfId="0" applyNumberFormat="1" applyFont="1" applyFill="1" applyBorder="1" applyAlignment="1">
      <alignment horizontal="center" vertical="center"/>
    </xf>
    <xf numFmtId="2" fontId="23146" fillId="8" borderId="1" xfId="0" applyNumberFormat="1" applyFont="1" applyFill="1" applyBorder="1" applyAlignment="1">
      <alignment horizontal="center" vertical="center"/>
    </xf>
    <xf numFmtId="2" fontId="23147" fillId="8" borderId="1" xfId="0" applyNumberFormat="1" applyFont="1" applyFill="1" applyBorder="1" applyAlignment="1">
      <alignment horizontal="center" vertical="center"/>
    </xf>
    <xf numFmtId="2" fontId="23148" fillId="8" borderId="1" xfId="0" applyNumberFormat="1" applyFont="1" applyFill="1" applyBorder="1" applyAlignment="1">
      <alignment horizontal="center" vertical="center"/>
    </xf>
    <xf numFmtId="2" fontId="23149" fillId="8" borderId="1" xfId="0" applyNumberFormat="1" applyFont="1" applyFill="1" applyBorder="1" applyAlignment="1">
      <alignment horizontal="center" vertical="center"/>
    </xf>
    <xf numFmtId="2" fontId="23150" fillId="8" borderId="1" xfId="0" applyNumberFormat="1" applyFont="1" applyFill="1" applyBorder="1" applyAlignment="1">
      <alignment horizontal="center" vertical="center"/>
    </xf>
    <xf numFmtId="2" fontId="23151" fillId="8" borderId="1" xfId="0" applyNumberFormat="1" applyFont="1" applyFill="1" applyBorder="1" applyAlignment="1">
      <alignment horizontal="center" vertical="center"/>
    </xf>
    <xf numFmtId="2" fontId="23152" fillId="8" borderId="1" xfId="0" applyNumberFormat="1" applyFont="1" applyFill="1" applyBorder="1" applyAlignment="1">
      <alignment horizontal="center" vertical="center"/>
    </xf>
    <xf numFmtId="2" fontId="23153" fillId="8" borderId="1" xfId="0" applyNumberFormat="1" applyFont="1" applyFill="1" applyBorder="1" applyAlignment="1">
      <alignment horizontal="center" vertical="center"/>
    </xf>
    <xf numFmtId="2" fontId="23154" fillId="8" borderId="1" xfId="0" applyNumberFormat="1" applyFont="1" applyFill="1" applyBorder="1" applyAlignment="1">
      <alignment horizontal="center" vertical="center"/>
    </xf>
    <xf numFmtId="2" fontId="23155" fillId="8" borderId="1" xfId="0" applyNumberFormat="1" applyFont="1" applyFill="1" applyBorder="1" applyAlignment="1">
      <alignment horizontal="center" vertical="center"/>
    </xf>
    <xf numFmtId="2" fontId="23156" fillId="8" borderId="1" xfId="0" applyNumberFormat="1" applyFont="1" applyFill="1" applyBorder="1" applyAlignment="1">
      <alignment horizontal="center" vertical="center"/>
    </xf>
    <xf numFmtId="2" fontId="23157" fillId="8" borderId="1" xfId="0" applyNumberFormat="1" applyFont="1" applyFill="1" applyBorder="1" applyAlignment="1">
      <alignment horizontal="center" vertical="center"/>
    </xf>
    <xf numFmtId="2" fontId="23158" fillId="8" borderId="1" xfId="0" applyNumberFormat="1" applyFont="1" applyFill="1" applyBorder="1" applyAlignment="1">
      <alignment horizontal="center" vertical="center"/>
    </xf>
    <xf numFmtId="2" fontId="23159" fillId="8" borderId="1" xfId="0" applyNumberFormat="1" applyFont="1" applyFill="1" applyBorder="1" applyAlignment="1">
      <alignment horizontal="center" vertical="center"/>
    </xf>
    <xf numFmtId="2" fontId="23160" fillId="8" borderId="1" xfId="0" applyNumberFormat="1" applyFont="1" applyFill="1" applyBorder="1" applyAlignment="1">
      <alignment horizontal="center" vertical="center"/>
    </xf>
    <xf numFmtId="2" fontId="23161" fillId="8" borderId="1" xfId="0" applyNumberFormat="1" applyFont="1" applyFill="1" applyBorder="1" applyAlignment="1">
      <alignment horizontal="center" vertical="center"/>
    </xf>
    <xf numFmtId="2" fontId="23162" fillId="8" borderId="1" xfId="0" applyNumberFormat="1" applyFont="1" applyFill="1" applyBorder="1" applyAlignment="1">
      <alignment horizontal="center" vertical="center"/>
    </xf>
    <xf numFmtId="2" fontId="23163" fillId="8" borderId="1" xfId="0" applyNumberFormat="1" applyFont="1" applyFill="1" applyBorder="1" applyAlignment="1">
      <alignment horizontal="center" vertical="center"/>
    </xf>
    <xf numFmtId="2" fontId="23164" fillId="8" borderId="1" xfId="0" applyNumberFormat="1" applyFont="1" applyFill="1" applyBorder="1" applyAlignment="1">
      <alignment horizontal="center" vertical="center"/>
    </xf>
    <xf numFmtId="2" fontId="23165" fillId="8" borderId="1" xfId="0" applyNumberFormat="1" applyFont="1" applyFill="1" applyBorder="1" applyAlignment="1">
      <alignment horizontal="center" vertical="center"/>
    </xf>
    <xf numFmtId="2" fontId="23166" fillId="8" borderId="1" xfId="0" applyNumberFormat="1" applyFont="1" applyFill="1" applyBorder="1" applyAlignment="1">
      <alignment horizontal="center" vertical="center"/>
    </xf>
    <xf numFmtId="0" fontId="23167" fillId="7" borderId="1" xfId="0" applyNumberFormat="1" applyFont="1" applyFill="1" applyBorder="1" applyAlignment="1">
      <alignment horizontal="left" vertical="center"/>
    </xf>
    <xf numFmtId="0" fontId="23168" fillId="8" borderId="1" xfId="0" applyNumberFormat="1" applyFont="1" applyFill="1" applyBorder="1" applyAlignment="1">
      <alignment horizontal="center" vertical="center"/>
    </xf>
    <xf numFmtId="164" fontId="23169" fillId="8" borderId="1" xfId="0" applyNumberFormat="1" applyFont="1" applyFill="1" applyBorder="1" applyAlignment="1">
      <alignment horizontal="center" vertical="center"/>
    </xf>
    <xf numFmtId="1" fontId="23170" fillId="8" borderId="1" xfId="0" applyNumberFormat="1" applyFont="1" applyFill="1" applyBorder="1" applyAlignment="1">
      <alignment horizontal="center" vertical="center"/>
    </xf>
    <xf numFmtId="1" fontId="23171" fillId="8" borderId="1" xfId="0" applyNumberFormat="1" applyFont="1" applyFill="1" applyBorder="1" applyAlignment="1">
      <alignment horizontal="center" vertical="center"/>
    </xf>
    <xf numFmtId="1" fontId="23172" fillId="8" borderId="1" xfId="0" applyNumberFormat="1" applyFont="1" applyFill="1" applyBorder="1" applyAlignment="1">
      <alignment horizontal="center" vertical="center"/>
    </xf>
    <xf numFmtId="1" fontId="23173" fillId="8" borderId="1" xfId="0" applyNumberFormat="1" applyFont="1" applyFill="1" applyBorder="1" applyAlignment="1">
      <alignment horizontal="center" vertical="center"/>
    </xf>
    <xf numFmtId="1" fontId="23174" fillId="8" borderId="1" xfId="0" applyNumberFormat="1" applyFont="1" applyFill="1" applyBorder="1" applyAlignment="1">
      <alignment horizontal="center" vertical="center"/>
    </xf>
    <xf numFmtId="1" fontId="23175" fillId="8" borderId="1" xfId="0" applyNumberFormat="1" applyFont="1" applyFill="1" applyBorder="1" applyAlignment="1">
      <alignment horizontal="center" vertical="center"/>
    </xf>
    <xf numFmtId="1" fontId="23176" fillId="8" borderId="1" xfId="0" applyNumberFormat="1" applyFont="1" applyFill="1" applyBorder="1" applyAlignment="1">
      <alignment horizontal="center" vertical="center"/>
    </xf>
    <xf numFmtId="0" fontId="23177" fillId="8" borderId="1" xfId="0" applyNumberFormat="1" applyFont="1" applyFill="1" applyBorder="1" applyAlignment="1">
      <alignment horizontal="center" vertical="center"/>
    </xf>
    <xf numFmtId="0" fontId="23178" fillId="8" borderId="1" xfId="0" applyNumberFormat="1" applyFont="1" applyFill="1" applyBorder="1" applyAlignment="1">
      <alignment horizontal="center" vertical="center"/>
    </xf>
    <xf numFmtId="1" fontId="23179" fillId="8" borderId="1" xfId="0" applyNumberFormat="1" applyFont="1" applyFill="1" applyBorder="1" applyAlignment="1">
      <alignment horizontal="center" vertical="center"/>
    </xf>
    <xf numFmtId="1" fontId="23180" fillId="8" borderId="1" xfId="0" applyNumberFormat="1" applyFont="1" applyFill="1" applyBorder="1" applyAlignment="1">
      <alignment horizontal="center" vertical="center"/>
    </xf>
    <xf numFmtId="1" fontId="23181" fillId="8" borderId="1" xfId="0" applyNumberFormat="1" applyFont="1" applyFill="1" applyBorder="1" applyAlignment="1">
      <alignment horizontal="center" vertical="center"/>
    </xf>
    <xf numFmtId="165" fontId="23182" fillId="8" borderId="1" xfId="0" applyNumberFormat="1" applyFont="1" applyFill="1" applyBorder="1" applyAlignment="1">
      <alignment horizontal="center" vertical="center"/>
    </xf>
    <xf numFmtId="1" fontId="23183" fillId="8" borderId="1" xfId="0" applyNumberFormat="1" applyFont="1" applyFill="1" applyBorder="1" applyAlignment="1">
      <alignment horizontal="center" vertical="center"/>
    </xf>
    <xf numFmtId="165" fontId="23184" fillId="8" borderId="1" xfId="0" applyNumberFormat="1" applyFont="1" applyFill="1" applyBorder="1" applyAlignment="1">
      <alignment horizontal="center" vertical="center"/>
    </xf>
    <xf numFmtId="1" fontId="23185" fillId="8" borderId="1" xfId="0" applyNumberFormat="1" applyFont="1" applyFill="1" applyBorder="1" applyAlignment="1">
      <alignment horizontal="center" vertical="center"/>
    </xf>
    <xf numFmtId="165" fontId="23186" fillId="8" borderId="1" xfId="0" applyNumberFormat="1" applyFont="1" applyFill="1" applyBorder="1" applyAlignment="1">
      <alignment horizontal="center" vertical="center"/>
    </xf>
    <xf numFmtId="1" fontId="23187" fillId="8" borderId="1" xfId="0" applyNumberFormat="1" applyFont="1" applyFill="1" applyBorder="1" applyAlignment="1">
      <alignment horizontal="center" vertical="center"/>
    </xf>
    <xf numFmtId="165" fontId="23188" fillId="8" borderId="1" xfId="0" applyNumberFormat="1" applyFont="1" applyFill="1" applyBorder="1" applyAlignment="1">
      <alignment horizontal="center" vertical="center"/>
    </xf>
    <xf numFmtId="165" fontId="23189" fillId="8" borderId="1" xfId="0" applyNumberFormat="1" applyFont="1" applyFill="1" applyBorder="1" applyAlignment="1">
      <alignment horizontal="center" vertical="center"/>
    </xf>
    <xf numFmtId="1" fontId="23190" fillId="8" borderId="1" xfId="0" applyNumberFormat="1" applyFont="1" applyFill="1" applyBorder="1" applyAlignment="1">
      <alignment horizontal="center" vertical="center"/>
    </xf>
    <xf numFmtId="1" fontId="23191" fillId="8" borderId="1" xfId="0" applyNumberFormat="1" applyFont="1" applyFill="1" applyBorder="1" applyAlignment="1">
      <alignment horizontal="center" vertical="center"/>
    </xf>
    <xf numFmtId="1" fontId="23192" fillId="8" borderId="1" xfId="0" applyNumberFormat="1" applyFont="1" applyFill="1" applyBorder="1" applyAlignment="1">
      <alignment horizontal="center" vertical="center"/>
    </xf>
    <xf numFmtId="165" fontId="23193" fillId="8" borderId="1" xfId="0" applyNumberFormat="1" applyFont="1" applyFill="1" applyBorder="1" applyAlignment="1">
      <alignment horizontal="center" vertical="center"/>
    </xf>
    <xf numFmtId="164" fontId="23194" fillId="8" borderId="1" xfId="0" applyNumberFormat="1" applyFont="1" applyFill="1" applyBorder="1" applyAlignment="1">
      <alignment horizontal="center" vertical="center"/>
    </xf>
    <xf numFmtId="164" fontId="23195" fillId="8" borderId="1" xfId="0" applyNumberFormat="1" applyFont="1" applyFill="1" applyBorder="1" applyAlignment="1">
      <alignment horizontal="center" vertical="center"/>
    </xf>
    <xf numFmtId="1" fontId="23196" fillId="8" borderId="1" xfId="0" applyNumberFormat="1" applyFont="1" applyFill="1" applyBorder="1" applyAlignment="1">
      <alignment horizontal="center" vertical="center"/>
    </xf>
    <xf numFmtId="1" fontId="23197" fillId="8" borderId="1" xfId="0" applyNumberFormat="1" applyFont="1" applyFill="1" applyBorder="1" applyAlignment="1">
      <alignment horizontal="center" vertical="center"/>
    </xf>
    <xf numFmtId="1" fontId="23198" fillId="8" borderId="1" xfId="0" applyNumberFormat="1" applyFont="1" applyFill="1" applyBorder="1" applyAlignment="1">
      <alignment horizontal="center" vertical="center"/>
    </xf>
    <xf numFmtId="165" fontId="23199" fillId="8" borderId="1" xfId="0" applyNumberFormat="1" applyFont="1" applyFill="1" applyBorder="1" applyAlignment="1">
      <alignment horizontal="center" vertical="center"/>
    </xf>
    <xf numFmtId="1" fontId="23200" fillId="8" borderId="1" xfId="0" applyNumberFormat="1" applyFont="1" applyFill="1" applyBorder="1" applyAlignment="1">
      <alignment horizontal="center" vertical="center"/>
    </xf>
    <xf numFmtId="165" fontId="23201" fillId="8" borderId="1" xfId="0" applyNumberFormat="1" applyFont="1" applyFill="1" applyBorder="1" applyAlignment="1">
      <alignment horizontal="center" vertical="center"/>
    </xf>
    <xf numFmtId="1" fontId="23202" fillId="8" borderId="1" xfId="0" applyNumberFormat="1" applyFont="1" applyFill="1" applyBorder="1" applyAlignment="1">
      <alignment horizontal="center" vertical="center"/>
    </xf>
    <xf numFmtId="1" fontId="23203" fillId="8" borderId="1" xfId="0" applyNumberFormat="1" applyFont="1" applyFill="1" applyBorder="1" applyAlignment="1">
      <alignment horizontal="center" vertical="center"/>
    </xf>
    <xf numFmtId="1" fontId="23204" fillId="8" borderId="1" xfId="0" applyNumberFormat="1" applyFont="1" applyFill="1" applyBorder="1" applyAlignment="1">
      <alignment horizontal="center" vertical="center"/>
    </xf>
    <xf numFmtId="1" fontId="23205" fillId="8" borderId="1" xfId="0" applyNumberFormat="1" applyFont="1" applyFill="1" applyBorder="1" applyAlignment="1">
      <alignment horizontal="center" vertical="center"/>
    </xf>
    <xf numFmtId="165" fontId="23206" fillId="8" borderId="1" xfId="0" applyNumberFormat="1" applyFont="1" applyFill="1" applyBorder="1" applyAlignment="1">
      <alignment horizontal="center" vertical="center"/>
    </xf>
    <xf numFmtId="1" fontId="23207" fillId="8" borderId="1" xfId="0" applyNumberFormat="1" applyFont="1" applyFill="1" applyBorder="1" applyAlignment="1">
      <alignment horizontal="center" vertical="center"/>
    </xf>
    <xf numFmtId="165" fontId="23208" fillId="8" borderId="1" xfId="0" applyNumberFormat="1" applyFont="1" applyFill="1" applyBorder="1" applyAlignment="1">
      <alignment horizontal="center" vertical="center"/>
    </xf>
    <xf numFmtId="1" fontId="23209" fillId="8" borderId="1" xfId="0" applyNumberFormat="1" applyFont="1" applyFill="1" applyBorder="1" applyAlignment="1">
      <alignment horizontal="center" vertical="center"/>
    </xf>
    <xf numFmtId="165" fontId="23210" fillId="8" borderId="1" xfId="0" applyNumberFormat="1" applyFont="1" applyFill="1" applyBorder="1" applyAlignment="1">
      <alignment horizontal="center" vertical="center"/>
    </xf>
    <xf numFmtId="2" fontId="23211" fillId="8" borderId="1" xfId="0" applyNumberFormat="1" applyFont="1" applyFill="1" applyBorder="1" applyAlignment="1">
      <alignment horizontal="center" vertical="center"/>
    </xf>
    <xf numFmtId="2" fontId="23212" fillId="8" borderId="1" xfId="0" applyNumberFormat="1" applyFont="1" applyFill="1" applyBorder="1" applyAlignment="1">
      <alignment horizontal="center" vertical="center"/>
    </xf>
    <xf numFmtId="2" fontId="23213" fillId="8" borderId="1" xfId="0" applyNumberFormat="1" applyFont="1" applyFill="1" applyBorder="1" applyAlignment="1">
      <alignment horizontal="center" vertical="center"/>
    </xf>
    <xf numFmtId="2" fontId="23214" fillId="8" borderId="1" xfId="0" applyNumberFormat="1" applyFont="1" applyFill="1" applyBorder="1" applyAlignment="1">
      <alignment horizontal="center" vertical="center"/>
    </xf>
    <xf numFmtId="2" fontId="23215" fillId="8" borderId="1" xfId="0" applyNumberFormat="1" applyFont="1" applyFill="1" applyBorder="1" applyAlignment="1">
      <alignment horizontal="center" vertical="center"/>
    </xf>
    <xf numFmtId="2" fontId="23216" fillId="8" borderId="1" xfId="0" applyNumberFormat="1" applyFont="1" applyFill="1" applyBorder="1" applyAlignment="1">
      <alignment horizontal="center" vertical="center"/>
    </xf>
    <xf numFmtId="2" fontId="23217" fillId="8" borderId="1" xfId="0" applyNumberFormat="1" applyFont="1" applyFill="1" applyBorder="1" applyAlignment="1">
      <alignment horizontal="center" vertical="center"/>
    </xf>
    <xf numFmtId="2" fontId="23218" fillId="8" borderId="1" xfId="0" applyNumberFormat="1" applyFont="1" applyFill="1" applyBorder="1" applyAlignment="1">
      <alignment horizontal="center" vertical="center"/>
    </xf>
    <xf numFmtId="2" fontId="23219" fillId="8" borderId="1" xfId="0" applyNumberFormat="1" applyFont="1" applyFill="1" applyBorder="1" applyAlignment="1">
      <alignment horizontal="center" vertical="center"/>
    </xf>
    <xf numFmtId="2" fontId="23220" fillId="8" borderId="1" xfId="0" applyNumberFormat="1" applyFont="1" applyFill="1" applyBorder="1" applyAlignment="1">
      <alignment horizontal="center" vertical="center"/>
    </xf>
    <xf numFmtId="2" fontId="23221" fillId="8" borderId="1" xfId="0" applyNumberFormat="1" applyFont="1" applyFill="1" applyBorder="1" applyAlignment="1">
      <alignment horizontal="center" vertical="center"/>
    </xf>
    <xf numFmtId="2" fontId="23222" fillId="8" borderId="1" xfId="0" applyNumberFormat="1" applyFont="1" applyFill="1" applyBorder="1" applyAlignment="1">
      <alignment horizontal="center" vertical="center"/>
    </xf>
    <xf numFmtId="2" fontId="23223" fillId="8" borderId="1" xfId="0" applyNumberFormat="1" applyFont="1" applyFill="1" applyBorder="1" applyAlignment="1">
      <alignment horizontal="center" vertical="center"/>
    </xf>
    <xf numFmtId="2" fontId="23224" fillId="8" borderId="1" xfId="0" applyNumberFormat="1" applyFont="1" applyFill="1" applyBorder="1" applyAlignment="1">
      <alignment horizontal="center" vertical="center"/>
    </xf>
    <xf numFmtId="2" fontId="23225" fillId="8" borderId="1" xfId="0" applyNumberFormat="1" applyFont="1" applyFill="1" applyBorder="1" applyAlignment="1">
      <alignment horizontal="center" vertical="center"/>
    </xf>
    <xf numFmtId="2" fontId="23226" fillId="8" borderId="1" xfId="0" applyNumberFormat="1" applyFont="1" applyFill="1" applyBorder="1" applyAlignment="1">
      <alignment horizontal="center" vertical="center"/>
    </xf>
    <xf numFmtId="2" fontId="23227" fillId="8" borderId="1" xfId="0" applyNumberFormat="1" applyFont="1" applyFill="1" applyBorder="1" applyAlignment="1">
      <alignment horizontal="center" vertical="center"/>
    </xf>
    <xf numFmtId="2" fontId="23228" fillId="8" borderId="1" xfId="0" applyNumberFormat="1" applyFont="1" applyFill="1" applyBorder="1" applyAlignment="1">
      <alignment horizontal="center" vertical="center"/>
    </xf>
    <xf numFmtId="2" fontId="23229" fillId="8" borderId="1" xfId="0" applyNumberFormat="1" applyFont="1" applyFill="1" applyBorder="1" applyAlignment="1">
      <alignment horizontal="center" vertical="center"/>
    </xf>
    <xf numFmtId="2" fontId="23230" fillId="8" borderId="1" xfId="0" applyNumberFormat="1" applyFont="1" applyFill="1" applyBorder="1" applyAlignment="1">
      <alignment horizontal="center" vertical="center"/>
    </xf>
    <xf numFmtId="2" fontId="23231" fillId="8" borderId="1" xfId="0" applyNumberFormat="1" applyFont="1" applyFill="1" applyBorder="1" applyAlignment="1">
      <alignment horizontal="center" vertical="center"/>
    </xf>
    <xf numFmtId="2" fontId="23232" fillId="8" borderId="1" xfId="0" applyNumberFormat="1" applyFont="1" applyFill="1" applyBorder="1" applyAlignment="1">
      <alignment horizontal="center" vertical="center"/>
    </xf>
    <xf numFmtId="2" fontId="23233" fillId="8" borderId="1" xfId="0" applyNumberFormat="1" applyFont="1" applyFill="1" applyBorder="1" applyAlignment="1">
      <alignment horizontal="center" vertical="center"/>
    </xf>
    <xf numFmtId="2" fontId="23234" fillId="8" borderId="1" xfId="0" applyNumberFormat="1" applyFont="1" applyFill="1" applyBorder="1" applyAlignment="1">
      <alignment horizontal="center" vertical="center"/>
    </xf>
    <xf numFmtId="2" fontId="23235" fillId="8" borderId="1" xfId="0" applyNumberFormat="1" applyFont="1" applyFill="1" applyBorder="1" applyAlignment="1">
      <alignment horizontal="center" vertical="center"/>
    </xf>
    <xf numFmtId="2" fontId="23236" fillId="8" borderId="1" xfId="0" applyNumberFormat="1" applyFont="1" applyFill="1" applyBorder="1" applyAlignment="1">
      <alignment horizontal="center" vertical="center"/>
    </xf>
    <xf numFmtId="2" fontId="23237" fillId="8" borderId="1" xfId="0" applyNumberFormat="1" applyFont="1" applyFill="1" applyBorder="1" applyAlignment="1">
      <alignment horizontal="center" vertical="center"/>
    </xf>
    <xf numFmtId="2" fontId="23238" fillId="8" borderId="1" xfId="0" applyNumberFormat="1" applyFont="1" applyFill="1" applyBorder="1" applyAlignment="1">
      <alignment horizontal="center" vertical="center"/>
    </xf>
    <xf numFmtId="2" fontId="23239" fillId="8" borderId="1" xfId="0" applyNumberFormat="1" applyFont="1" applyFill="1" applyBorder="1" applyAlignment="1">
      <alignment horizontal="center" vertical="center"/>
    </xf>
    <xf numFmtId="2" fontId="23240" fillId="8" borderId="1" xfId="0" applyNumberFormat="1" applyFont="1" applyFill="1" applyBorder="1" applyAlignment="1">
      <alignment horizontal="center" vertical="center"/>
    </xf>
    <xf numFmtId="2" fontId="23241" fillId="8" borderId="1" xfId="0" applyNumberFormat="1" applyFont="1" applyFill="1" applyBorder="1" applyAlignment="1">
      <alignment horizontal="center" vertical="center"/>
    </xf>
    <xf numFmtId="2" fontId="23242" fillId="8" borderId="1" xfId="0" applyNumberFormat="1" applyFont="1" applyFill="1" applyBorder="1" applyAlignment="1">
      <alignment horizontal="center" vertical="center"/>
    </xf>
    <xf numFmtId="2" fontId="23243" fillId="8" borderId="1" xfId="0" applyNumberFormat="1" applyFont="1" applyFill="1" applyBorder="1" applyAlignment="1">
      <alignment horizontal="center" vertical="center"/>
    </xf>
    <xf numFmtId="2" fontId="23244" fillId="8" borderId="1" xfId="0" applyNumberFormat="1" applyFont="1" applyFill="1" applyBorder="1" applyAlignment="1">
      <alignment horizontal="center" vertical="center"/>
    </xf>
    <xf numFmtId="0" fontId="23245" fillId="7" borderId="1" xfId="0" applyNumberFormat="1" applyFont="1" applyFill="1" applyBorder="1" applyAlignment="1">
      <alignment horizontal="left" vertical="center"/>
    </xf>
    <xf numFmtId="0" fontId="23246" fillId="8" borderId="1" xfId="0" applyNumberFormat="1" applyFont="1" applyFill="1" applyBorder="1" applyAlignment="1">
      <alignment horizontal="center" vertical="center"/>
    </xf>
    <xf numFmtId="164" fontId="23247" fillId="8" borderId="1" xfId="0" applyNumberFormat="1" applyFont="1" applyFill="1" applyBorder="1" applyAlignment="1">
      <alignment horizontal="center" vertical="center"/>
    </xf>
    <xf numFmtId="1" fontId="23248" fillId="8" borderId="1" xfId="0" applyNumberFormat="1" applyFont="1" applyFill="1" applyBorder="1" applyAlignment="1">
      <alignment horizontal="center" vertical="center"/>
    </xf>
    <xf numFmtId="1" fontId="23249" fillId="8" borderId="1" xfId="0" applyNumberFormat="1" applyFont="1" applyFill="1" applyBorder="1" applyAlignment="1">
      <alignment horizontal="center" vertical="center"/>
    </xf>
    <xf numFmtId="1" fontId="23250" fillId="8" borderId="1" xfId="0" applyNumberFormat="1" applyFont="1" applyFill="1" applyBorder="1" applyAlignment="1">
      <alignment horizontal="center" vertical="center"/>
    </xf>
    <xf numFmtId="1" fontId="23251" fillId="8" borderId="1" xfId="0" applyNumberFormat="1" applyFont="1" applyFill="1" applyBorder="1" applyAlignment="1">
      <alignment horizontal="center" vertical="center"/>
    </xf>
    <xf numFmtId="1" fontId="23252" fillId="8" borderId="1" xfId="0" applyNumberFormat="1" applyFont="1" applyFill="1" applyBorder="1" applyAlignment="1">
      <alignment horizontal="center" vertical="center"/>
    </xf>
    <xf numFmtId="1" fontId="23253" fillId="8" borderId="1" xfId="0" applyNumberFormat="1" applyFont="1" applyFill="1" applyBorder="1" applyAlignment="1">
      <alignment horizontal="center" vertical="center"/>
    </xf>
    <xf numFmtId="1" fontId="23254" fillId="8" borderId="1" xfId="0" applyNumberFormat="1" applyFont="1" applyFill="1" applyBorder="1" applyAlignment="1">
      <alignment horizontal="center" vertical="center"/>
    </xf>
    <xf numFmtId="0" fontId="23255" fillId="8" borderId="1" xfId="0" applyNumberFormat="1" applyFont="1" applyFill="1" applyBorder="1" applyAlignment="1">
      <alignment horizontal="center" vertical="center"/>
    </xf>
    <xf numFmtId="0" fontId="23256" fillId="8" borderId="1" xfId="0" applyNumberFormat="1" applyFont="1" applyFill="1" applyBorder="1" applyAlignment="1">
      <alignment horizontal="center" vertical="center"/>
    </xf>
    <xf numFmtId="1" fontId="23257" fillId="8" borderId="1" xfId="0" applyNumberFormat="1" applyFont="1" applyFill="1" applyBorder="1" applyAlignment="1">
      <alignment horizontal="center" vertical="center"/>
    </xf>
    <xf numFmtId="1" fontId="23258" fillId="8" borderId="1" xfId="0" applyNumberFormat="1" applyFont="1" applyFill="1" applyBorder="1" applyAlignment="1">
      <alignment horizontal="center" vertical="center"/>
    </xf>
    <xf numFmtId="1" fontId="23259" fillId="8" borderId="1" xfId="0" applyNumberFormat="1" applyFont="1" applyFill="1" applyBorder="1" applyAlignment="1">
      <alignment horizontal="center" vertical="center"/>
    </xf>
    <xf numFmtId="165" fontId="23260" fillId="8" borderId="1" xfId="0" applyNumberFormat="1" applyFont="1" applyFill="1" applyBorder="1" applyAlignment="1">
      <alignment horizontal="center" vertical="center"/>
    </xf>
    <xf numFmtId="1" fontId="23261" fillId="8" borderId="1" xfId="0" applyNumberFormat="1" applyFont="1" applyFill="1" applyBorder="1" applyAlignment="1">
      <alignment horizontal="center" vertical="center"/>
    </xf>
    <xf numFmtId="165" fontId="23262" fillId="8" borderId="1" xfId="0" applyNumberFormat="1" applyFont="1" applyFill="1" applyBorder="1" applyAlignment="1">
      <alignment horizontal="center" vertical="center"/>
    </xf>
    <xf numFmtId="1" fontId="23263" fillId="8" borderId="1" xfId="0" applyNumberFormat="1" applyFont="1" applyFill="1" applyBorder="1" applyAlignment="1">
      <alignment horizontal="center" vertical="center"/>
    </xf>
    <xf numFmtId="165" fontId="23264" fillId="8" borderId="1" xfId="0" applyNumberFormat="1" applyFont="1" applyFill="1" applyBorder="1" applyAlignment="1">
      <alignment horizontal="center" vertical="center"/>
    </xf>
    <xf numFmtId="1" fontId="23265" fillId="8" borderId="1" xfId="0" applyNumberFormat="1" applyFont="1" applyFill="1" applyBorder="1" applyAlignment="1">
      <alignment horizontal="center" vertical="center"/>
    </xf>
    <xf numFmtId="165" fontId="23266" fillId="8" borderId="1" xfId="0" applyNumberFormat="1" applyFont="1" applyFill="1" applyBorder="1" applyAlignment="1">
      <alignment horizontal="center" vertical="center"/>
    </xf>
    <xf numFmtId="165" fontId="23267" fillId="8" borderId="1" xfId="0" applyNumberFormat="1" applyFont="1" applyFill="1" applyBorder="1" applyAlignment="1">
      <alignment horizontal="center" vertical="center"/>
    </xf>
    <xf numFmtId="1" fontId="23268" fillId="8" borderId="1" xfId="0" applyNumberFormat="1" applyFont="1" applyFill="1" applyBorder="1" applyAlignment="1">
      <alignment horizontal="center" vertical="center"/>
    </xf>
    <xf numFmtId="1" fontId="23269" fillId="8" borderId="1" xfId="0" applyNumberFormat="1" applyFont="1" applyFill="1" applyBorder="1" applyAlignment="1">
      <alignment horizontal="center" vertical="center"/>
    </xf>
    <xf numFmtId="1" fontId="23270" fillId="8" borderId="1" xfId="0" applyNumberFormat="1" applyFont="1" applyFill="1" applyBorder="1" applyAlignment="1">
      <alignment horizontal="center" vertical="center"/>
    </xf>
    <xf numFmtId="165" fontId="23271" fillId="8" borderId="1" xfId="0" applyNumberFormat="1" applyFont="1" applyFill="1" applyBorder="1" applyAlignment="1">
      <alignment horizontal="center" vertical="center"/>
    </xf>
    <xf numFmtId="164" fontId="23272" fillId="8" borderId="1" xfId="0" applyNumberFormat="1" applyFont="1" applyFill="1" applyBorder="1" applyAlignment="1">
      <alignment horizontal="center" vertical="center"/>
    </xf>
    <xf numFmtId="164" fontId="23273" fillId="8" borderId="1" xfId="0" applyNumberFormat="1" applyFont="1" applyFill="1" applyBorder="1" applyAlignment="1">
      <alignment horizontal="center" vertical="center"/>
    </xf>
    <xf numFmtId="1" fontId="23274" fillId="8" borderId="1" xfId="0" applyNumberFormat="1" applyFont="1" applyFill="1" applyBorder="1" applyAlignment="1">
      <alignment horizontal="center" vertical="center"/>
    </xf>
    <xf numFmtId="1" fontId="23275" fillId="8" borderId="1" xfId="0" applyNumberFormat="1" applyFont="1" applyFill="1" applyBorder="1" applyAlignment="1">
      <alignment horizontal="center" vertical="center"/>
    </xf>
    <xf numFmtId="1" fontId="23276" fillId="8" borderId="1" xfId="0" applyNumberFormat="1" applyFont="1" applyFill="1" applyBorder="1" applyAlignment="1">
      <alignment horizontal="center" vertical="center"/>
    </xf>
    <xf numFmtId="165" fontId="23277" fillId="8" borderId="1" xfId="0" applyNumberFormat="1" applyFont="1" applyFill="1" applyBorder="1" applyAlignment="1">
      <alignment horizontal="center" vertical="center"/>
    </xf>
    <xf numFmtId="1" fontId="23278" fillId="8" borderId="1" xfId="0" applyNumberFormat="1" applyFont="1" applyFill="1" applyBorder="1" applyAlignment="1">
      <alignment horizontal="center" vertical="center"/>
    </xf>
    <xf numFmtId="165" fontId="23279" fillId="8" borderId="1" xfId="0" applyNumberFormat="1" applyFont="1" applyFill="1" applyBorder="1" applyAlignment="1">
      <alignment horizontal="center" vertical="center"/>
    </xf>
    <xf numFmtId="1" fontId="23280" fillId="8" borderId="1" xfId="0" applyNumberFormat="1" applyFont="1" applyFill="1" applyBorder="1" applyAlignment="1">
      <alignment horizontal="center" vertical="center"/>
    </xf>
    <xf numFmtId="1" fontId="23281" fillId="8" borderId="1" xfId="0" applyNumberFormat="1" applyFont="1" applyFill="1" applyBorder="1" applyAlignment="1">
      <alignment horizontal="center" vertical="center"/>
    </xf>
    <xf numFmtId="1" fontId="23282" fillId="8" borderId="1" xfId="0" applyNumberFormat="1" applyFont="1" applyFill="1" applyBorder="1" applyAlignment="1">
      <alignment horizontal="center" vertical="center"/>
    </xf>
    <xf numFmtId="1" fontId="23283" fillId="8" borderId="1" xfId="0" applyNumberFormat="1" applyFont="1" applyFill="1" applyBorder="1" applyAlignment="1">
      <alignment horizontal="center" vertical="center"/>
    </xf>
    <xf numFmtId="165" fontId="23284" fillId="8" borderId="1" xfId="0" applyNumberFormat="1" applyFont="1" applyFill="1" applyBorder="1" applyAlignment="1">
      <alignment horizontal="center" vertical="center"/>
    </xf>
    <xf numFmtId="1" fontId="23285" fillId="8" borderId="1" xfId="0" applyNumberFormat="1" applyFont="1" applyFill="1" applyBorder="1" applyAlignment="1">
      <alignment horizontal="center" vertical="center"/>
    </xf>
    <xf numFmtId="165" fontId="23286" fillId="8" borderId="1" xfId="0" applyNumberFormat="1" applyFont="1" applyFill="1" applyBorder="1" applyAlignment="1">
      <alignment horizontal="center" vertical="center"/>
    </xf>
    <xf numFmtId="1" fontId="23287" fillId="8" borderId="1" xfId="0" applyNumberFormat="1" applyFont="1" applyFill="1" applyBorder="1" applyAlignment="1">
      <alignment horizontal="center" vertical="center"/>
    </xf>
    <xf numFmtId="165" fontId="23288" fillId="8" borderId="1" xfId="0" applyNumberFormat="1" applyFont="1" applyFill="1" applyBorder="1" applyAlignment="1">
      <alignment horizontal="center" vertical="center"/>
    </xf>
    <xf numFmtId="2" fontId="23289" fillId="8" borderId="1" xfId="0" applyNumberFormat="1" applyFont="1" applyFill="1" applyBorder="1" applyAlignment="1">
      <alignment horizontal="center" vertical="center"/>
    </xf>
    <xf numFmtId="2" fontId="23290" fillId="8" borderId="1" xfId="0" applyNumberFormat="1" applyFont="1" applyFill="1" applyBorder="1" applyAlignment="1">
      <alignment horizontal="center" vertical="center"/>
    </xf>
    <xf numFmtId="2" fontId="23291" fillId="8" borderId="1" xfId="0" applyNumberFormat="1" applyFont="1" applyFill="1" applyBorder="1" applyAlignment="1">
      <alignment horizontal="center" vertical="center"/>
    </xf>
    <xf numFmtId="2" fontId="23292" fillId="8" borderId="1" xfId="0" applyNumberFormat="1" applyFont="1" applyFill="1" applyBorder="1" applyAlignment="1">
      <alignment horizontal="center" vertical="center"/>
    </xf>
    <xf numFmtId="2" fontId="23293" fillId="8" borderId="1" xfId="0" applyNumberFormat="1" applyFont="1" applyFill="1" applyBorder="1" applyAlignment="1">
      <alignment horizontal="center" vertical="center"/>
    </xf>
    <xf numFmtId="2" fontId="23294" fillId="8" borderId="1" xfId="0" applyNumberFormat="1" applyFont="1" applyFill="1" applyBorder="1" applyAlignment="1">
      <alignment horizontal="center" vertical="center"/>
    </xf>
    <xf numFmtId="2" fontId="23295" fillId="8" borderId="1" xfId="0" applyNumberFormat="1" applyFont="1" applyFill="1" applyBorder="1" applyAlignment="1">
      <alignment horizontal="center" vertical="center"/>
    </xf>
    <xf numFmtId="2" fontId="23296" fillId="8" borderId="1" xfId="0" applyNumberFormat="1" applyFont="1" applyFill="1" applyBorder="1" applyAlignment="1">
      <alignment horizontal="center" vertical="center"/>
    </xf>
    <xf numFmtId="2" fontId="23297" fillId="8" borderId="1" xfId="0" applyNumberFormat="1" applyFont="1" applyFill="1" applyBorder="1" applyAlignment="1">
      <alignment horizontal="center" vertical="center"/>
    </xf>
    <xf numFmtId="2" fontId="23298" fillId="8" borderId="1" xfId="0" applyNumberFormat="1" applyFont="1" applyFill="1" applyBorder="1" applyAlignment="1">
      <alignment horizontal="center" vertical="center"/>
    </xf>
    <xf numFmtId="2" fontId="23299" fillId="8" borderId="1" xfId="0" applyNumberFormat="1" applyFont="1" applyFill="1" applyBorder="1" applyAlignment="1">
      <alignment horizontal="center" vertical="center"/>
    </xf>
    <xf numFmtId="2" fontId="23300" fillId="8" borderId="1" xfId="0" applyNumberFormat="1" applyFont="1" applyFill="1" applyBorder="1" applyAlignment="1">
      <alignment horizontal="center" vertical="center"/>
    </xf>
    <xf numFmtId="2" fontId="23301" fillId="8" borderId="1" xfId="0" applyNumberFormat="1" applyFont="1" applyFill="1" applyBorder="1" applyAlignment="1">
      <alignment horizontal="center" vertical="center"/>
    </xf>
    <xf numFmtId="2" fontId="23302" fillId="8" borderId="1" xfId="0" applyNumberFormat="1" applyFont="1" applyFill="1" applyBorder="1" applyAlignment="1">
      <alignment horizontal="center" vertical="center"/>
    </xf>
    <xf numFmtId="2" fontId="23303" fillId="8" borderId="1" xfId="0" applyNumberFormat="1" applyFont="1" applyFill="1" applyBorder="1" applyAlignment="1">
      <alignment horizontal="center" vertical="center"/>
    </xf>
    <xf numFmtId="2" fontId="23304" fillId="8" borderId="1" xfId="0" applyNumberFormat="1" applyFont="1" applyFill="1" applyBorder="1" applyAlignment="1">
      <alignment horizontal="center" vertical="center"/>
    </xf>
    <xf numFmtId="2" fontId="23305" fillId="8" borderId="1" xfId="0" applyNumberFormat="1" applyFont="1" applyFill="1" applyBorder="1" applyAlignment="1">
      <alignment horizontal="center" vertical="center"/>
    </xf>
    <xf numFmtId="2" fontId="23306" fillId="8" borderId="1" xfId="0" applyNumberFormat="1" applyFont="1" applyFill="1" applyBorder="1" applyAlignment="1">
      <alignment horizontal="center" vertical="center"/>
    </xf>
    <xf numFmtId="2" fontId="23307" fillId="8" borderId="1" xfId="0" applyNumberFormat="1" applyFont="1" applyFill="1" applyBorder="1" applyAlignment="1">
      <alignment horizontal="center" vertical="center"/>
    </xf>
    <xf numFmtId="2" fontId="23308" fillId="8" borderId="1" xfId="0" applyNumberFormat="1" applyFont="1" applyFill="1" applyBorder="1" applyAlignment="1">
      <alignment horizontal="center" vertical="center"/>
    </xf>
    <xf numFmtId="2" fontId="23309" fillId="8" borderId="1" xfId="0" applyNumberFormat="1" applyFont="1" applyFill="1" applyBorder="1" applyAlignment="1">
      <alignment horizontal="center" vertical="center"/>
    </xf>
    <xf numFmtId="2" fontId="23310" fillId="8" borderId="1" xfId="0" applyNumberFormat="1" applyFont="1" applyFill="1" applyBorder="1" applyAlignment="1">
      <alignment horizontal="center" vertical="center"/>
    </xf>
    <xf numFmtId="2" fontId="23311" fillId="8" borderId="1" xfId="0" applyNumberFormat="1" applyFont="1" applyFill="1" applyBorder="1" applyAlignment="1">
      <alignment horizontal="center" vertical="center"/>
    </xf>
    <xf numFmtId="2" fontId="23312" fillId="8" borderId="1" xfId="0" applyNumberFormat="1" applyFont="1" applyFill="1" applyBorder="1" applyAlignment="1">
      <alignment horizontal="center" vertical="center"/>
    </xf>
    <xf numFmtId="2" fontId="23313" fillId="8" borderId="1" xfId="0" applyNumberFormat="1" applyFont="1" applyFill="1" applyBorder="1" applyAlignment="1">
      <alignment horizontal="center" vertical="center"/>
    </xf>
    <xf numFmtId="2" fontId="23314" fillId="8" borderId="1" xfId="0" applyNumberFormat="1" applyFont="1" applyFill="1" applyBorder="1" applyAlignment="1">
      <alignment horizontal="center" vertical="center"/>
    </xf>
    <xf numFmtId="2" fontId="23315" fillId="8" borderId="1" xfId="0" applyNumberFormat="1" applyFont="1" applyFill="1" applyBorder="1" applyAlignment="1">
      <alignment horizontal="center" vertical="center"/>
    </xf>
    <xf numFmtId="2" fontId="23316" fillId="8" borderId="1" xfId="0" applyNumberFormat="1" applyFont="1" applyFill="1" applyBorder="1" applyAlignment="1">
      <alignment horizontal="center" vertical="center"/>
    </xf>
    <xf numFmtId="2" fontId="23317" fillId="8" borderId="1" xfId="0" applyNumberFormat="1" applyFont="1" applyFill="1" applyBorder="1" applyAlignment="1">
      <alignment horizontal="center" vertical="center"/>
    </xf>
    <xf numFmtId="2" fontId="23318" fillId="8" borderId="1" xfId="0" applyNumberFormat="1" applyFont="1" applyFill="1" applyBorder="1" applyAlignment="1">
      <alignment horizontal="center" vertical="center"/>
    </xf>
    <xf numFmtId="2" fontId="23319" fillId="8" borderId="1" xfId="0" applyNumberFormat="1" applyFont="1" applyFill="1" applyBorder="1" applyAlignment="1">
      <alignment horizontal="center" vertical="center"/>
    </xf>
    <xf numFmtId="2" fontId="23320" fillId="8" borderId="1" xfId="0" applyNumberFormat="1" applyFont="1" applyFill="1" applyBorder="1" applyAlignment="1">
      <alignment horizontal="center" vertical="center"/>
    </xf>
    <xf numFmtId="2" fontId="23321" fillId="8" borderId="1" xfId="0" applyNumberFormat="1" applyFont="1" applyFill="1" applyBorder="1" applyAlignment="1">
      <alignment horizontal="center" vertical="center"/>
    </xf>
    <xf numFmtId="2" fontId="23322" fillId="8" borderId="1" xfId="0" applyNumberFormat="1" applyFont="1" applyFill="1" applyBorder="1" applyAlignment="1">
      <alignment horizontal="center" vertical="center"/>
    </xf>
    <xf numFmtId="0" fontId="23323" fillId="7" borderId="1" xfId="0" applyNumberFormat="1" applyFont="1" applyFill="1" applyBorder="1" applyAlignment="1">
      <alignment horizontal="left" vertical="center"/>
    </xf>
    <xf numFmtId="0" fontId="23324" fillId="8" borderId="1" xfId="0" applyNumberFormat="1" applyFont="1" applyFill="1" applyBorder="1" applyAlignment="1">
      <alignment horizontal="center" vertical="center"/>
    </xf>
    <xf numFmtId="164" fontId="23325" fillId="8" borderId="1" xfId="0" applyNumberFormat="1" applyFont="1" applyFill="1" applyBorder="1" applyAlignment="1">
      <alignment horizontal="center" vertical="center"/>
    </xf>
    <xf numFmtId="1" fontId="23326" fillId="8" borderId="1" xfId="0" applyNumberFormat="1" applyFont="1" applyFill="1" applyBorder="1" applyAlignment="1">
      <alignment horizontal="center" vertical="center"/>
    </xf>
    <xf numFmtId="1" fontId="23327" fillId="8" borderId="1" xfId="0" applyNumberFormat="1" applyFont="1" applyFill="1" applyBorder="1" applyAlignment="1">
      <alignment horizontal="center" vertical="center"/>
    </xf>
    <xf numFmtId="1" fontId="23328" fillId="8" borderId="1" xfId="0" applyNumberFormat="1" applyFont="1" applyFill="1" applyBorder="1" applyAlignment="1">
      <alignment horizontal="center" vertical="center"/>
    </xf>
    <xf numFmtId="1" fontId="23329" fillId="8" borderId="1" xfId="0" applyNumberFormat="1" applyFont="1" applyFill="1" applyBorder="1" applyAlignment="1">
      <alignment horizontal="center" vertical="center"/>
    </xf>
    <xf numFmtId="1" fontId="23330" fillId="8" borderId="1" xfId="0" applyNumberFormat="1" applyFont="1" applyFill="1" applyBorder="1" applyAlignment="1">
      <alignment horizontal="center" vertical="center"/>
    </xf>
    <xf numFmtId="1" fontId="23331" fillId="8" borderId="1" xfId="0" applyNumberFormat="1" applyFont="1" applyFill="1" applyBorder="1" applyAlignment="1">
      <alignment horizontal="center" vertical="center"/>
    </xf>
    <xf numFmtId="1" fontId="23332" fillId="8" borderId="1" xfId="0" applyNumberFormat="1" applyFont="1" applyFill="1" applyBorder="1" applyAlignment="1">
      <alignment horizontal="center" vertical="center"/>
    </xf>
    <xf numFmtId="0" fontId="23333" fillId="8" borderId="1" xfId="0" applyNumberFormat="1" applyFont="1" applyFill="1" applyBorder="1" applyAlignment="1">
      <alignment horizontal="center" vertical="center"/>
    </xf>
    <xf numFmtId="0" fontId="23334" fillId="8" borderId="1" xfId="0" applyNumberFormat="1" applyFont="1" applyFill="1" applyBorder="1" applyAlignment="1">
      <alignment horizontal="center" vertical="center"/>
    </xf>
    <xf numFmtId="1" fontId="23335" fillId="8" borderId="1" xfId="0" applyNumberFormat="1" applyFont="1" applyFill="1" applyBorder="1" applyAlignment="1">
      <alignment horizontal="center" vertical="center"/>
    </xf>
    <xf numFmtId="1" fontId="23336" fillId="8" borderId="1" xfId="0" applyNumberFormat="1" applyFont="1" applyFill="1" applyBorder="1" applyAlignment="1">
      <alignment horizontal="center" vertical="center"/>
    </xf>
    <xf numFmtId="1" fontId="23337" fillId="8" borderId="1" xfId="0" applyNumberFormat="1" applyFont="1" applyFill="1" applyBorder="1" applyAlignment="1">
      <alignment horizontal="center" vertical="center"/>
    </xf>
    <xf numFmtId="165" fontId="23338" fillId="8" borderId="1" xfId="0" applyNumberFormat="1" applyFont="1" applyFill="1" applyBorder="1" applyAlignment="1">
      <alignment horizontal="center" vertical="center"/>
    </xf>
    <xf numFmtId="1" fontId="23339" fillId="8" borderId="1" xfId="0" applyNumberFormat="1" applyFont="1" applyFill="1" applyBorder="1" applyAlignment="1">
      <alignment horizontal="center" vertical="center"/>
    </xf>
    <xf numFmtId="165" fontId="23340" fillId="8" borderId="1" xfId="0" applyNumberFormat="1" applyFont="1" applyFill="1" applyBorder="1" applyAlignment="1">
      <alignment horizontal="center" vertical="center"/>
    </xf>
    <xf numFmtId="1" fontId="23341" fillId="8" borderId="1" xfId="0" applyNumberFormat="1" applyFont="1" applyFill="1" applyBorder="1" applyAlignment="1">
      <alignment horizontal="center" vertical="center"/>
    </xf>
    <xf numFmtId="165" fontId="23342" fillId="8" borderId="1" xfId="0" applyNumberFormat="1" applyFont="1" applyFill="1" applyBorder="1" applyAlignment="1">
      <alignment horizontal="center" vertical="center"/>
    </xf>
    <xf numFmtId="1" fontId="23343" fillId="8" borderId="1" xfId="0" applyNumberFormat="1" applyFont="1" applyFill="1" applyBorder="1" applyAlignment="1">
      <alignment horizontal="center" vertical="center"/>
    </xf>
    <xf numFmtId="165" fontId="23344" fillId="8" borderId="1" xfId="0" applyNumberFormat="1" applyFont="1" applyFill="1" applyBorder="1" applyAlignment="1">
      <alignment horizontal="center" vertical="center"/>
    </xf>
    <xf numFmtId="165" fontId="23345" fillId="8" borderId="1" xfId="0" applyNumberFormat="1" applyFont="1" applyFill="1" applyBorder="1" applyAlignment="1">
      <alignment horizontal="center" vertical="center"/>
    </xf>
    <xf numFmtId="1" fontId="23346" fillId="8" borderId="1" xfId="0" applyNumberFormat="1" applyFont="1" applyFill="1" applyBorder="1" applyAlignment="1">
      <alignment horizontal="center" vertical="center"/>
    </xf>
    <xf numFmtId="1" fontId="23347" fillId="8" borderId="1" xfId="0" applyNumberFormat="1" applyFont="1" applyFill="1" applyBorder="1" applyAlignment="1">
      <alignment horizontal="center" vertical="center"/>
    </xf>
    <xf numFmtId="1" fontId="23348" fillId="8" borderId="1" xfId="0" applyNumberFormat="1" applyFont="1" applyFill="1" applyBorder="1" applyAlignment="1">
      <alignment horizontal="center" vertical="center"/>
    </xf>
    <xf numFmtId="165" fontId="23349" fillId="8" borderId="1" xfId="0" applyNumberFormat="1" applyFont="1" applyFill="1" applyBorder="1" applyAlignment="1">
      <alignment horizontal="center" vertical="center"/>
    </xf>
    <xf numFmtId="164" fontId="23350" fillId="8" borderId="1" xfId="0" applyNumberFormat="1" applyFont="1" applyFill="1" applyBorder="1" applyAlignment="1">
      <alignment horizontal="center" vertical="center"/>
    </xf>
    <xf numFmtId="164" fontId="23351" fillId="8" borderId="1" xfId="0" applyNumberFormat="1" applyFont="1" applyFill="1" applyBorder="1" applyAlignment="1">
      <alignment horizontal="center" vertical="center"/>
    </xf>
    <xf numFmtId="1" fontId="23352" fillId="8" borderId="1" xfId="0" applyNumberFormat="1" applyFont="1" applyFill="1" applyBorder="1" applyAlignment="1">
      <alignment horizontal="center" vertical="center"/>
    </xf>
    <xf numFmtId="1" fontId="23353" fillId="8" borderId="1" xfId="0" applyNumberFormat="1" applyFont="1" applyFill="1" applyBorder="1" applyAlignment="1">
      <alignment horizontal="center" vertical="center"/>
    </xf>
    <xf numFmtId="1" fontId="23354" fillId="8" borderId="1" xfId="0" applyNumberFormat="1" applyFont="1" applyFill="1" applyBorder="1" applyAlignment="1">
      <alignment horizontal="center" vertical="center"/>
    </xf>
    <xf numFmtId="165" fontId="23355" fillId="8" borderId="1" xfId="0" applyNumberFormat="1" applyFont="1" applyFill="1" applyBorder="1" applyAlignment="1">
      <alignment horizontal="center" vertical="center"/>
    </xf>
    <xf numFmtId="1" fontId="23356" fillId="8" borderId="1" xfId="0" applyNumberFormat="1" applyFont="1" applyFill="1" applyBorder="1" applyAlignment="1">
      <alignment horizontal="center" vertical="center"/>
    </xf>
    <xf numFmtId="165" fontId="23357" fillId="8" borderId="1" xfId="0" applyNumberFormat="1" applyFont="1" applyFill="1" applyBorder="1" applyAlignment="1">
      <alignment horizontal="center" vertical="center"/>
    </xf>
    <xf numFmtId="1" fontId="23358" fillId="8" borderId="1" xfId="0" applyNumberFormat="1" applyFont="1" applyFill="1" applyBorder="1" applyAlignment="1">
      <alignment horizontal="center" vertical="center"/>
    </xf>
    <xf numFmtId="1" fontId="23359" fillId="8" borderId="1" xfId="0" applyNumberFormat="1" applyFont="1" applyFill="1" applyBorder="1" applyAlignment="1">
      <alignment horizontal="center" vertical="center"/>
    </xf>
    <xf numFmtId="1" fontId="23360" fillId="8" borderId="1" xfId="0" applyNumberFormat="1" applyFont="1" applyFill="1" applyBorder="1" applyAlignment="1">
      <alignment horizontal="center" vertical="center"/>
    </xf>
    <xf numFmtId="1" fontId="23361" fillId="8" borderId="1" xfId="0" applyNumberFormat="1" applyFont="1" applyFill="1" applyBorder="1" applyAlignment="1">
      <alignment horizontal="center" vertical="center"/>
    </xf>
    <xf numFmtId="165" fontId="23362" fillId="8" borderId="1" xfId="0" applyNumberFormat="1" applyFont="1" applyFill="1" applyBorder="1" applyAlignment="1">
      <alignment horizontal="center" vertical="center"/>
    </xf>
    <xf numFmtId="1" fontId="23363" fillId="8" borderId="1" xfId="0" applyNumberFormat="1" applyFont="1" applyFill="1" applyBorder="1" applyAlignment="1">
      <alignment horizontal="center" vertical="center"/>
    </xf>
    <xf numFmtId="165" fontId="23364" fillId="8" borderId="1" xfId="0" applyNumberFormat="1" applyFont="1" applyFill="1" applyBorder="1" applyAlignment="1">
      <alignment horizontal="center" vertical="center"/>
    </xf>
    <xf numFmtId="1" fontId="23365" fillId="8" borderId="1" xfId="0" applyNumberFormat="1" applyFont="1" applyFill="1" applyBorder="1" applyAlignment="1">
      <alignment horizontal="center" vertical="center"/>
    </xf>
    <xf numFmtId="165" fontId="23366" fillId="8" borderId="1" xfId="0" applyNumberFormat="1" applyFont="1" applyFill="1" applyBorder="1" applyAlignment="1">
      <alignment horizontal="center" vertical="center"/>
    </xf>
    <xf numFmtId="2" fontId="23367" fillId="8" borderId="1" xfId="0" applyNumberFormat="1" applyFont="1" applyFill="1" applyBorder="1" applyAlignment="1">
      <alignment horizontal="center" vertical="center"/>
    </xf>
    <xf numFmtId="2" fontId="23368" fillId="8" borderId="1" xfId="0" applyNumberFormat="1" applyFont="1" applyFill="1" applyBorder="1" applyAlignment="1">
      <alignment horizontal="center" vertical="center"/>
    </xf>
    <xf numFmtId="2" fontId="23369" fillId="8" borderId="1" xfId="0" applyNumberFormat="1" applyFont="1" applyFill="1" applyBorder="1" applyAlignment="1">
      <alignment horizontal="center" vertical="center"/>
    </xf>
    <xf numFmtId="2" fontId="23370" fillId="8" borderId="1" xfId="0" applyNumberFormat="1" applyFont="1" applyFill="1" applyBorder="1" applyAlignment="1">
      <alignment horizontal="center" vertical="center"/>
    </xf>
    <xf numFmtId="2" fontId="23371" fillId="8" borderId="1" xfId="0" applyNumberFormat="1" applyFont="1" applyFill="1" applyBorder="1" applyAlignment="1">
      <alignment horizontal="center" vertical="center"/>
    </xf>
    <xf numFmtId="2" fontId="23372" fillId="8" borderId="1" xfId="0" applyNumberFormat="1" applyFont="1" applyFill="1" applyBorder="1" applyAlignment="1">
      <alignment horizontal="center" vertical="center"/>
    </xf>
    <xf numFmtId="2" fontId="23373" fillId="8" borderId="1" xfId="0" applyNumberFormat="1" applyFont="1" applyFill="1" applyBorder="1" applyAlignment="1">
      <alignment horizontal="center" vertical="center"/>
    </xf>
    <xf numFmtId="2" fontId="23374" fillId="8" borderId="1" xfId="0" applyNumberFormat="1" applyFont="1" applyFill="1" applyBorder="1" applyAlignment="1">
      <alignment horizontal="center" vertical="center"/>
    </xf>
    <xf numFmtId="2" fontId="23375" fillId="8" borderId="1" xfId="0" applyNumberFormat="1" applyFont="1" applyFill="1" applyBorder="1" applyAlignment="1">
      <alignment horizontal="center" vertical="center"/>
    </xf>
    <xf numFmtId="2" fontId="23376" fillId="8" borderId="1" xfId="0" applyNumberFormat="1" applyFont="1" applyFill="1" applyBorder="1" applyAlignment="1">
      <alignment horizontal="center" vertical="center"/>
    </xf>
    <xf numFmtId="2" fontId="23377" fillId="8" borderId="1" xfId="0" applyNumberFormat="1" applyFont="1" applyFill="1" applyBorder="1" applyAlignment="1">
      <alignment horizontal="center" vertical="center"/>
    </xf>
    <xf numFmtId="2" fontId="23378" fillId="8" borderId="1" xfId="0" applyNumberFormat="1" applyFont="1" applyFill="1" applyBorder="1" applyAlignment="1">
      <alignment horizontal="center" vertical="center"/>
    </xf>
    <xf numFmtId="2" fontId="23379" fillId="8" borderId="1" xfId="0" applyNumberFormat="1" applyFont="1" applyFill="1" applyBorder="1" applyAlignment="1">
      <alignment horizontal="center" vertical="center"/>
    </xf>
    <xf numFmtId="2" fontId="23380" fillId="8" borderId="1" xfId="0" applyNumberFormat="1" applyFont="1" applyFill="1" applyBorder="1" applyAlignment="1">
      <alignment horizontal="center" vertical="center"/>
    </xf>
    <xf numFmtId="2" fontId="23381" fillId="8" borderId="1" xfId="0" applyNumberFormat="1" applyFont="1" applyFill="1" applyBorder="1" applyAlignment="1">
      <alignment horizontal="center" vertical="center"/>
    </xf>
    <xf numFmtId="2" fontId="23382" fillId="8" borderId="1" xfId="0" applyNumberFormat="1" applyFont="1" applyFill="1" applyBorder="1" applyAlignment="1">
      <alignment horizontal="center" vertical="center"/>
    </xf>
    <xf numFmtId="2" fontId="23383" fillId="8" borderId="1" xfId="0" applyNumberFormat="1" applyFont="1" applyFill="1" applyBorder="1" applyAlignment="1">
      <alignment horizontal="center" vertical="center"/>
    </xf>
    <xf numFmtId="2" fontId="23384" fillId="8" borderId="1" xfId="0" applyNumberFormat="1" applyFont="1" applyFill="1" applyBorder="1" applyAlignment="1">
      <alignment horizontal="center" vertical="center"/>
    </xf>
    <xf numFmtId="2" fontId="23385" fillId="8" borderId="1" xfId="0" applyNumberFormat="1" applyFont="1" applyFill="1" applyBorder="1" applyAlignment="1">
      <alignment horizontal="center" vertical="center"/>
    </xf>
    <xf numFmtId="2" fontId="23386" fillId="8" borderId="1" xfId="0" applyNumberFormat="1" applyFont="1" applyFill="1" applyBorder="1" applyAlignment="1">
      <alignment horizontal="center" vertical="center"/>
    </xf>
    <xf numFmtId="2" fontId="23387" fillId="8" borderId="1" xfId="0" applyNumberFormat="1" applyFont="1" applyFill="1" applyBorder="1" applyAlignment="1">
      <alignment horizontal="center" vertical="center"/>
    </xf>
    <xf numFmtId="2" fontId="23388" fillId="8" borderId="1" xfId="0" applyNumberFormat="1" applyFont="1" applyFill="1" applyBorder="1" applyAlignment="1">
      <alignment horizontal="center" vertical="center"/>
    </xf>
    <xf numFmtId="2" fontId="23389" fillId="8" borderId="1" xfId="0" applyNumberFormat="1" applyFont="1" applyFill="1" applyBorder="1" applyAlignment="1">
      <alignment horizontal="center" vertical="center"/>
    </xf>
    <xf numFmtId="2" fontId="23390" fillId="8" borderId="1" xfId="0" applyNumberFormat="1" applyFont="1" applyFill="1" applyBorder="1" applyAlignment="1">
      <alignment horizontal="center" vertical="center"/>
    </xf>
    <xf numFmtId="2" fontId="23391" fillId="8" borderId="1" xfId="0" applyNumberFormat="1" applyFont="1" applyFill="1" applyBorder="1" applyAlignment="1">
      <alignment horizontal="center" vertical="center"/>
    </xf>
    <xf numFmtId="2" fontId="23392" fillId="8" borderId="1" xfId="0" applyNumberFormat="1" applyFont="1" applyFill="1" applyBorder="1" applyAlignment="1">
      <alignment horizontal="center" vertical="center"/>
    </xf>
    <xf numFmtId="2" fontId="23393" fillId="8" borderId="1" xfId="0" applyNumberFormat="1" applyFont="1" applyFill="1" applyBorder="1" applyAlignment="1">
      <alignment horizontal="center" vertical="center"/>
    </xf>
    <xf numFmtId="2" fontId="23394" fillId="8" borderId="1" xfId="0" applyNumberFormat="1" applyFont="1" applyFill="1" applyBorder="1" applyAlignment="1">
      <alignment horizontal="center" vertical="center"/>
    </xf>
    <xf numFmtId="2" fontId="23395" fillId="8" borderId="1" xfId="0" applyNumberFormat="1" applyFont="1" applyFill="1" applyBorder="1" applyAlignment="1">
      <alignment horizontal="center" vertical="center"/>
    </xf>
    <xf numFmtId="2" fontId="23396" fillId="8" borderId="1" xfId="0" applyNumberFormat="1" applyFont="1" applyFill="1" applyBorder="1" applyAlignment="1">
      <alignment horizontal="center" vertical="center"/>
    </xf>
    <xf numFmtId="2" fontId="23397" fillId="8" borderId="1" xfId="0" applyNumberFormat="1" applyFont="1" applyFill="1" applyBorder="1" applyAlignment="1">
      <alignment horizontal="center" vertical="center"/>
    </xf>
    <xf numFmtId="2" fontId="23398" fillId="8" borderId="1" xfId="0" applyNumberFormat="1" applyFont="1" applyFill="1" applyBorder="1" applyAlignment="1">
      <alignment horizontal="center" vertical="center"/>
    </xf>
    <xf numFmtId="2" fontId="23399" fillId="8" borderId="1" xfId="0" applyNumberFormat="1" applyFont="1" applyFill="1" applyBorder="1" applyAlignment="1">
      <alignment horizontal="center" vertical="center"/>
    </xf>
    <xf numFmtId="2" fontId="23400" fillId="8" borderId="1" xfId="0" applyNumberFormat="1" applyFont="1" applyFill="1" applyBorder="1" applyAlignment="1">
      <alignment horizontal="center" vertical="center"/>
    </xf>
    <xf numFmtId="0" fontId="23401" fillId="7" borderId="1" xfId="0" applyNumberFormat="1" applyFont="1" applyFill="1" applyBorder="1" applyAlignment="1">
      <alignment horizontal="left" vertical="center"/>
    </xf>
    <xf numFmtId="0" fontId="23402" fillId="8" borderId="1" xfId="0" applyNumberFormat="1" applyFont="1" applyFill="1" applyBorder="1" applyAlignment="1">
      <alignment horizontal="center" vertical="center"/>
    </xf>
    <xf numFmtId="164" fontId="23403" fillId="8" borderId="1" xfId="0" applyNumberFormat="1" applyFont="1" applyFill="1" applyBorder="1" applyAlignment="1">
      <alignment horizontal="center" vertical="center"/>
    </xf>
    <xf numFmtId="1" fontId="23404" fillId="8" borderId="1" xfId="0" applyNumberFormat="1" applyFont="1" applyFill="1" applyBorder="1" applyAlignment="1">
      <alignment horizontal="center" vertical="center"/>
    </xf>
    <xf numFmtId="1" fontId="23405" fillId="8" borderId="1" xfId="0" applyNumberFormat="1" applyFont="1" applyFill="1" applyBorder="1" applyAlignment="1">
      <alignment horizontal="center" vertical="center"/>
    </xf>
    <xf numFmtId="1" fontId="23406" fillId="8" borderId="1" xfId="0" applyNumberFormat="1" applyFont="1" applyFill="1" applyBorder="1" applyAlignment="1">
      <alignment horizontal="center" vertical="center"/>
    </xf>
    <xf numFmtId="1" fontId="23407" fillId="8" borderId="1" xfId="0" applyNumberFormat="1" applyFont="1" applyFill="1" applyBorder="1" applyAlignment="1">
      <alignment horizontal="center" vertical="center"/>
    </xf>
    <xf numFmtId="1" fontId="23408" fillId="8" borderId="1" xfId="0" applyNumberFormat="1" applyFont="1" applyFill="1" applyBorder="1" applyAlignment="1">
      <alignment horizontal="center" vertical="center"/>
    </xf>
    <xf numFmtId="1" fontId="23409" fillId="8" borderId="1" xfId="0" applyNumberFormat="1" applyFont="1" applyFill="1" applyBorder="1" applyAlignment="1">
      <alignment horizontal="center" vertical="center"/>
    </xf>
    <xf numFmtId="1" fontId="23410" fillId="8" borderId="1" xfId="0" applyNumberFormat="1" applyFont="1" applyFill="1" applyBorder="1" applyAlignment="1">
      <alignment horizontal="center" vertical="center"/>
    </xf>
    <xf numFmtId="0" fontId="23411" fillId="8" borderId="1" xfId="0" applyNumberFormat="1" applyFont="1" applyFill="1" applyBorder="1" applyAlignment="1">
      <alignment horizontal="center" vertical="center"/>
    </xf>
    <xf numFmtId="0" fontId="23412" fillId="8" borderId="1" xfId="0" applyNumberFormat="1" applyFont="1" applyFill="1" applyBorder="1" applyAlignment="1">
      <alignment horizontal="center" vertical="center"/>
    </xf>
    <xf numFmtId="1" fontId="23413" fillId="8" borderId="1" xfId="0" applyNumberFormat="1" applyFont="1" applyFill="1" applyBorder="1" applyAlignment="1">
      <alignment horizontal="center" vertical="center"/>
    </xf>
    <xf numFmtId="1" fontId="23414" fillId="8" borderId="1" xfId="0" applyNumberFormat="1" applyFont="1" applyFill="1" applyBorder="1" applyAlignment="1">
      <alignment horizontal="center" vertical="center"/>
    </xf>
    <xf numFmtId="1" fontId="23415" fillId="8" borderId="1" xfId="0" applyNumberFormat="1" applyFont="1" applyFill="1" applyBorder="1" applyAlignment="1">
      <alignment horizontal="center" vertical="center"/>
    </xf>
    <xf numFmtId="165" fontId="23416" fillId="8" borderId="1" xfId="0" applyNumberFormat="1" applyFont="1" applyFill="1" applyBorder="1" applyAlignment="1">
      <alignment horizontal="center" vertical="center"/>
    </xf>
    <xf numFmtId="1" fontId="23417" fillId="8" borderId="1" xfId="0" applyNumberFormat="1" applyFont="1" applyFill="1" applyBorder="1" applyAlignment="1">
      <alignment horizontal="center" vertical="center"/>
    </xf>
    <xf numFmtId="165" fontId="23418" fillId="8" borderId="1" xfId="0" applyNumberFormat="1" applyFont="1" applyFill="1" applyBorder="1" applyAlignment="1">
      <alignment horizontal="center" vertical="center"/>
    </xf>
    <xf numFmtId="1" fontId="23419" fillId="8" borderId="1" xfId="0" applyNumberFormat="1" applyFont="1" applyFill="1" applyBorder="1" applyAlignment="1">
      <alignment horizontal="center" vertical="center"/>
    </xf>
    <xf numFmtId="165" fontId="23420" fillId="8" borderId="1" xfId="0" applyNumberFormat="1" applyFont="1" applyFill="1" applyBorder="1" applyAlignment="1">
      <alignment horizontal="center" vertical="center"/>
    </xf>
    <xf numFmtId="1" fontId="23421" fillId="8" borderId="1" xfId="0" applyNumberFormat="1" applyFont="1" applyFill="1" applyBorder="1" applyAlignment="1">
      <alignment horizontal="center" vertical="center"/>
    </xf>
    <xf numFmtId="165" fontId="23422" fillId="8" borderId="1" xfId="0" applyNumberFormat="1" applyFont="1" applyFill="1" applyBorder="1" applyAlignment="1">
      <alignment horizontal="center" vertical="center"/>
    </xf>
    <xf numFmtId="165" fontId="23423" fillId="8" borderId="1" xfId="0" applyNumberFormat="1" applyFont="1" applyFill="1" applyBorder="1" applyAlignment="1">
      <alignment horizontal="center" vertical="center"/>
    </xf>
    <xf numFmtId="1" fontId="23424" fillId="8" borderId="1" xfId="0" applyNumberFormat="1" applyFont="1" applyFill="1" applyBorder="1" applyAlignment="1">
      <alignment horizontal="center" vertical="center"/>
    </xf>
    <xf numFmtId="1" fontId="23425" fillId="8" borderId="1" xfId="0" applyNumberFormat="1" applyFont="1" applyFill="1" applyBorder="1" applyAlignment="1">
      <alignment horizontal="center" vertical="center"/>
    </xf>
    <xf numFmtId="1" fontId="23426" fillId="8" borderId="1" xfId="0" applyNumberFormat="1" applyFont="1" applyFill="1" applyBorder="1" applyAlignment="1">
      <alignment horizontal="center" vertical="center"/>
    </xf>
    <xf numFmtId="165" fontId="23427" fillId="8" borderId="1" xfId="0" applyNumberFormat="1" applyFont="1" applyFill="1" applyBorder="1" applyAlignment="1">
      <alignment horizontal="center" vertical="center"/>
    </xf>
    <xf numFmtId="164" fontId="23428" fillId="8" borderId="1" xfId="0" applyNumberFormat="1" applyFont="1" applyFill="1" applyBorder="1" applyAlignment="1">
      <alignment horizontal="center" vertical="center"/>
    </xf>
    <xf numFmtId="164" fontId="23429" fillId="8" borderId="1" xfId="0" applyNumberFormat="1" applyFont="1" applyFill="1" applyBorder="1" applyAlignment="1">
      <alignment horizontal="center" vertical="center"/>
    </xf>
    <xf numFmtId="1" fontId="23430" fillId="8" borderId="1" xfId="0" applyNumberFormat="1" applyFont="1" applyFill="1" applyBorder="1" applyAlignment="1">
      <alignment horizontal="center" vertical="center"/>
    </xf>
    <xf numFmtId="1" fontId="23431" fillId="8" borderId="1" xfId="0" applyNumberFormat="1" applyFont="1" applyFill="1" applyBorder="1" applyAlignment="1">
      <alignment horizontal="center" vertical="center"/>
    </xf>
    <xf numFmtId="1" fontId="23432" fillId="8" borderId="1" xfId="0" applyNumberFormat="1" applyFont="1" applyFill="1" applyBorder="1" applyAlignment="1">
      <alignment horizontal="center" vertical="center"/>
    </xf>
    <xf numFmtId="165" fontId="23433" fillId="8" borderId="1" xfId="0" applyNumberFormat="1" applyFont="1" applyFill="1" applyBorder="1" applyAlignment="1">
      <alignment horizontal="center" vertical="center"/>
    </xf>
    <xf numFmtId="1" fontId="23434" fillId="8" borderId="1" xfId="0" applyNumberFormat="1" applyFont="1" applyFill="1" applyBorder="1" applyAlignment="1">
      <alignment horizontal="center" vertical="center"/>
    </xf>
    <xf numFmtId="165" fontId="23435" fillId="8" borderId="1" xfId="0" applyNumberFormat="1" applyFont="1" applyFill="1" applyBorder="1" applyAlignment="1">
      <alignment horizontal="center" vertical="center"/>
    </xf>
    <xf numFmtId="1" fontId="23436" fillId="8" borderId="1" xfId="0" applyNumberFormat="1" applyFont="1" applyFill="1" applyBorder="1" applyAlignment="1">
      <alignment horizontal="center" vertical="center"/>
    </xf>
    <xf numFmtId="1" fontId="23437" fillId="8" borderId="1" xfId="0" applyNumberFormat="1" applyFont="1" applyFill="1" applyBorder="1" applyAlignment="1">
      <alignment horizontal="center" vertical="center"/>
    </xf>
    <xf numFmtId="1" fontId="23438" fillId="8" borderId="1" xfId="0" applyNumberFormat="1" applyFont="1" applyFill="1" applyBorder="1" applyAlignment="1">
      <alignment horizontal="center" vertical="center"/>
    </xf>
    <xf numFmtId="1" fontId="23439" fillId="8" borderId="1" xfId="0" applyNumberFormat="1" applyFont="1" applyFill="1" applyBorder="1" applyAlignment="1">
      <alignment horizontal="center" vertical="center"/>
    </xf>
    <xf numFmtId="165" fontId="23440" fillId="8" borderId="1" xfId="0" applyNumberFormat="1" applyFont="1" applyFill="1" applyBorder="1" applyAlignment="1">
      <alignment horizontal="center" vertical="center"/>
    </xf>
    <xf numFmtId="1" fontId="23441" fillId="8" borderId="1" xfId="0" applyNumberFormat="1" applyFont="1" applyFill="1" applyBorder="1" applyAlignment="1">
      <alignment horizontal="center" vertical="center"/>
    </xf>
    <xf numFmtId="165" fontId="23442" fillId="8" borderId="1" xfId="0" applyNumberFormat="1" applyFont="1" applyFill="1" applyBorder="1" applyAlignment="1">
      <alignment horizontal="center" vertical="center"/>
    </xf>
    <xf numFmtId="1" fontId="23443" fillId="8" borderId="1" xfId="0" applyNumberFormat="1" applyFont="1" applyFill="1" applyBorder="1" applyAlignment="1">
      <alignment horizontal="center" vertical="center"/>
    </xf>
    <xf numFmtId="165" fontId="23444" fillId="8" borderId="1" xfId="0" applyNumberFormat="1" applyFont="1" applyFill="1" applyBorder="1" applyAlignment="1">
      <alignment horizontal="center" vertical="center"/>
    </xf>
    <xf numFmtId="2" fontId="23445" fillId="8" borderId="1" xfId="0" applyNumberFormat="1" applyFont="1" applyFill="1" applyBorder="1" applyAlignment="1">
      <alignment horizontal="center" vertical="center"/>
    </xf>
    <xf numFmtId="2" fontId="23446" fillId="8" borderId="1" xfId="0" applyNumberFormat="1" applyFont="1" applyFill="1" applyBorder="1" applyAlignment="1">
      <alignment horizontal="center" vertical="center"/>
    </xf>
    <xf numFmtId="2" fontId="23447" fillId="8" borderId="1" xfId="0" applyNumberFormat="1" applyFont="1" applyFill="1" applyBorder="1" applyAlignment="1">
      <alignment horizontal="center" vertical="center"/>
    </xf>
    <xf numFmtId="2" fontId="23448" fillId="8" borderId="1" xfId="0" applyNumberFormat="1" applyFont="1" applyFill="1" applyBorder="1" applyAlignment="1">
      <alignment horizontal="center" vertical="center"/>
    </xf>
    <xf numFmtId="2" fontId="23449" fillId="8" borderId="1" xfId="0" applyNumberFormat="1" applyFont="1" applyFill="1" applyBorder="1" applyAlignment="1">
      <alignment horizontal="center" vertical="center"/>
    </xf>
    <xf numFmtId="2" fontId="23450" fillId="8" borderId="1" xfId="0" applyNumberFormat="1" applyFont="1" applyFill="1" applyBorder="1" applyAlignment="1">
      <alignment horizontal="center" vertical="center"/>
    </xf>
    <xf numFmtId="2" fontId="23451" fillId="8" borderId="1" xfId="0" applyNumberFormat="1" applyFont="1" applyFill="1" applyBorder="1" applyAlignment="1">
      <alignment horizontal="center" vertical="center"/>
    </xf>
    <xf numFmtId="2" fontId="23452" fillId="8" borderId="1" xfId="0" applyNumberFormat="1" applyFont="1" applyFill="1" applyBorder="1" applyAlignment="1">
      <alignment horizontal="center" vertical="center"/>
    </xf>
    <xf numFmtId="2" fontId="23453" fillId="8" borderId="1" xfId="0" applyNumberFormat="1" applyFont="1" applyFill="1" applyBorder="1" applyAlignment="1">
      <alignment horizontal="center" vertical="center"/>
    </xf>
    <xf numFmtId="2" fontId="23454" fillId="8" borderId="1" xfId="0" applyNumberFormat="1" applyFont="1" applyFill="1" applyBorder="1" applyAlignment="1">
      <alignment horizontal="center" vertical="center"/>
    </xf>
    <xf numFmtId="2" fontId="23455" fillId="8" borderId="1" xfId="0" applyNumberFormat="1" applyFont="1" applyFill="1" applyBorder="1" applyAlignment="1">
      <alignment horizontal="center" vertical="center"/>
    </xf>
    <xf numFmtId="2" fontId="23456" fillId="8" borderId="1" xfId="0" applyNumberFormat="1" applyFont="1" applyFill="1" applyBorder="1" applyAlignment="1">
      <alignment horizontal="center" vertical="center"/>
    </xf>
    <xf numFmtId="2" fontId="23457" fillId="8" borderId="1" xfId="0" applyNumberFormat="1" applyFont="1" applyFill="1" applyBorder="1" applyAlignment="1">
      <alignment horizontal="center" vertical="center"/>
    </xf>
    <xf numFmtId="2" fontId="23458" fillId="8" borderId="1" xfId="0" applyNumberFormat="1" applyFont="1" applyFill="1" applyBorder="1" applyAlignment="1">
      <alignment horizontal="center" vertical="center"/>
    </xf>
    <xf numFmtId="2" fontId="23459" fillId="8" borderId="1" xfId="0" applyNumberFormat="1" applyFont="1" applyFill="1" applyBorder="1" applyAlignment="1">
      <alignment horizontal="center" vertical="center"/>
    </xf>
    <xf numFmtId="2" fontId="23460" fillId="8" borderId="1" xfId="0" applyNumberFormat="1" applyFont="1" applyFill="1" applyBorder="1" applyAlignment="1">
      <alignment horizontal="center" vertical="center"/>
    </xf>
    <xf numFmtId="2" fontId="23461" fillId="8" borderId="1" xfId="0" applyNumberFormat="1" applyFont="1" applyFill="1" applyBorder="1" applyAlignment="1">
      <alignment horizontal="center" vertical="center"/>
    </xf>
    <xf numFmtId="2" fontId="23462" fillId="8" borderId="1" xfId="0" applyNumberFormat="1" applyFont="1" applyFill="1" applyBorder="1" applyAlignment="1">
      <alignment horizontal="center" vertical="center"/>
    </xf>
    <xf numFmtId="2" fontId="23463" fillId="8" borderId="1" xfId="0" applyNumberFormat="1" applyFont="1" applyFill="1" applyBorder="1" applyAlignment="1">
      <alignment horizontal="center" vertical="center"/>
    </xf>
    <xf numFmtId="2" fontId="23464" fillId="8" borderId="1" xfId="0" applyNumberFormat="1" applyFont="1" applyFill="1" applyBorder="1" applyAlignment="1">
      <alignment horizontal="center" vertical="center"/>
    </xf>
    <xf numFmtId="2" fontId="23465" fillId="8" borderId="1" xfId="0" applyNumberFormat="1" applyFont="1" applyFill="1" applyBorder="1" applyAlignment="1">
      <alignment horizontal="center" vertical="center"/>
    </xf>
    <xf numFmtId="2" fontId="23466" fillId="8" borderId="1" xfId="0" applyNumberFormat="1" applyFont="1" applyFill="1" applyBorder="1" applyAlignment="1">
      <alignment horizontal="center" vertical="center"/>
    </xf>
    <xf numFmtId="2" fontId="23467" fillId="8" borderId="1" xfId="0" applyNumberFormat="1" applyFont="1" applyFill="1" applyBorder="1" applyAlignment="1">
      <alignment horizontal="center" vertical="center"/>
    </xf>
    <xf numFmtId="2" fontId="23468" fillId="8" borderId="1" xfId="0" applyNumberFormat="1" applyFont="1" applyFill="1" applyBorder="1" applyAlignment="1">
      <alignment horizontal="center" vertical="center"/>
    </xf>
    <xf numFmtId="2" fontId="23469" fillId="8" borderId="1" xfId="0" applyNumberFormat="1" applyFont="1" applyFill="1" applyBorder="1" applyAlignment="1">
      <alignment horizontal="center" vertical="center"/>
    </xf>
    <xf numFmtId="2" fontId="23470" fillId="8" borderId="1" xfId="0" applyNumberFormat="1" applyFont="1" applyFill="1" applyBorder="1" applyAlignment="1">
      <alignment horizontal="center" vertical="center"/>
    </xf>
    <xf numFmtId="2" fontId="23471" fillId="8" borderId="1" xfId="0" applyNumberFormat="1" applyFont="1" applyFill="1" applyBorder="1" applyAlignment="1">
      <alignment horizontal="center" vertical="center"/>
    </xf>
    <xf numFmtId="2" fontId="23472" fillId="8" borderId="1" xfId="0" applyNumberFormat="1" applyFont="1" applyFill="1" applyBorder="1" applyAlignment="1">
      <alignment horizontal="center" vertical="center"/>
    </xf>
    <xf numFmtId="2" fontId="23473" fillId="8" borderId="1" xfId="0" applyNumberFormat="1" applyFont="1" applyFill="1" applyBorder="1" applyAlignment="1">
      <alignment horizontal="center" vertical="center"/>
    </xf>
    <xf numFmtId="2" fontId="23474" fillId="8" borderId="1" xfId="0" applyNumberFormat="1" applyFont="1" applyFill="1" applyBorder="1" applyAlignment="1">
      <alignment horizontal="center" vertical="center"/>
    </xf>
    <xf numFmtId="2" fontId="23475" fillId="8" borderId="1" xfId="0" applyNumberFormat="1" applyFont="1" applyFill="1" applyBorder="1" applyAlignment="1">
      <alignment horizontal="center" vertical="center"/>
    </xf>
    <xf numFmtId="2" fontId="23476" fillId="8" borderId="1" xfId="0" applyNumberFormat="1" applyFont="1" applyFill="1" applyBorder="1" applyAlignment="1">
      <alignment horizontal="center" vertical="center"/>
    </xf>
    <xf numFmtId="2" fontId="23477" fillId="8" borderId="1" xfId="0" applyNumberFormat="1" applyFont="1" applyFill="1" applyBorder="1" applyAlignment="1">
      <alignment horizontal="center" vertical="center"/>
    </xf>
    <xf numFmtId="2" fontId="23478" fillId="8" borderId="1" xfId="0" applyNumberFormat="1" applyFont="1" applyFill="1" applyBorder="1" applyAlignment="1">
      <alignment horizontal="center" vertical="center"/>
    </xf>
    <xf numFmtId="0" fontId="23479" fillId="7" borderId="1" xfId="0" applyNumberFormat="1" applyFont="1" applyFill="1" applyBorder="1" applyAlignment="1">
      <alignment horizontal="left" vertical="center"/>
    </xf>
    <xf numFmtId="0" fontId="23480" fillId="8" borderId="1" xfId="0" applyNumberFormat="1" applyFont="1" applyFill="1" applyBorder="1" applyAlignment="1">
      <alignment horizontal="center" vertical="center"/>
    </xf>
    <xf numFmtId="164" fontId="23481" fillId="8" borderId="1" xfId="0" applyNumberFormat="1" applyFont="1" applyFill="1" applyBorder="1" applyAlignment="1">
      <alignment horizontal="center" vertical="center"/>
    </xf>
    <xf numFmtId="1" fontId="23482" fillId="8" borderId="1" xfId="0" applyNumberFormat="1" applyFont="1" applyFill="1" applyBorder="1" applyAlignment="1">
      <alignment horizontal="center" vertical="center"/>
    </xf>
    <xf numFmtId="1" fontId="23483" fillId="8" borderId="1" xfId="0" applyNumberFormat="1" applyFont="1" applyFill="1" applyBorder="1" applyAlignment="1">
      <alignment horizontal="center" vertical="center"/>
    </xf>
    <xf numFmtId="1" fontId="23484" fillId="8" borderId="1" xfId="0" applyNumberFormat="1" applyFont="1" applyFill="1" applyBorder="1" applyAlignment="1">
      <alignment horizontal="center" vertical="center"/>
    </xf>
    <xf numFmtId="1" fontId="23485" fillId="8" borderId="1" xfId="0" applyNumberFormat="1" applyFont="1" applyFill="1" applyBorder="1" applyAlignment="1">
      <alignment horizontal="center" vertical="center"/>
    </xf>
    <xf numFmtId="1" fontId="23486" fillId="8" borderId="1" xfId="0" applyNumberFormat="1" applyFont="1" applyFill="1" applyBorder="1" applyAlignment="1">
      <alignment horizontal="center" vertical="center"/>
    </xf>
    <xf numFmtId="1" fontId="23487" fillId="8" borderId="1" xfId="0" applyNumberFormat="1" applyFont="1" applyFill="1" applyBorder="1" applyAlignment="1">
      <alignment horizontal="center" vertical="center"/>
    </xf>
    <xf numFmtId="1" fontId="23488" fillId="8" borderId="1" xfId="0" applyNumberFormat="1" applyFont="1" applyFill="1" applyBorder="1" applyAlignment="1">
      <alignment horizontal="center" vertical="center"/>
    </xf>
    <xf numFmtId="0" fontId="23489" fillId="8" borderId="1" xfId="0" applyNumberFormat="1" applyFont="1" applyFill="1" applyBorder="1" applyAlignment="1">
      <alignment horizontal="center" vertical="center"/>
    </xf>
    <xf numFmtId="0" fontId="23490" fillId="8" borderId="1" xfId="0" applyNumberFormat="1" applyFont="1" applyFill="1" applyBorder="1" applyAlignment="1">
      <alignment horizontal="center" vertical="center"/>
    </xf>
    <xf numFmtId="1" fontId="23491" fillId="8" borderId="1" xfId="0" applyNumberFormat="1" applyFont="1" applyFill="1" applyBorder="1" applyAlignment="1">
      <alignment horizontal="center" vertical="center"/>
    </xf>
    <xf numFmtId="1" fontId="23492" fillId="8" borderId="1" xfId="0" applyNumberFormat="1" applyFont="1" applyFill="1" applyBorder="1" applyAlignment="1">
      <alignment horizontal="center" vertical="center"/>
    </xf>
    <xf numFmtId="1" fontId="23493" fillId="8" borderId="1" xfId="0" applyNumberFormat="1" applyFont="1" applyFill="1" applyBorder="1" applyAlignment="1">
      <alignment horizontal="center" vertical="center"/>
    </xf>
    <xf numFmtId="165" fontId="23494" fillId="8" borderId="1" xfId="0" applyNumberFormat="1" applyFont="1" applyFill="1" applyBorder="1" applyAlignment="1">
      <alignment horizontal="center" vertical="center"/>
    </xf>
    <xf numFmtId="1" fontId="23495" fillId="8" borderId="1" xfId="0" applyNumberFormat="1" applyFont="1" applyFill="1" applyBorder="1" applyAlignment="1">
      <alignment horizontal="center" vertical="center"/>
    </xf>
    <xf numFmtId="165" fontId="23496" fillId="8" borderId="1" xfId="0" applyNumberFormat="1" applyFont="1" applyFill="1" applyBorder="1" applyAlignment="1">
      <alignment horizontal="center" vertical="center"/>
    </xf>
    <xf numFmtId="1" fontId="23497" fillId="8" borderId="1" xfId="0" applyNumberFormat="1" applyFont="1" applyFill="1" applyBorder="1" applyAlignment="1">
      <alignment horizontal="center" vertical="center"/>
    </xf>
    <xf numFmtId="165" fontId="23498" fillId="8" borderId="1" xfId="0" applyNumberFormat="1" applyFont="1" applyFill="1" applyBorder="1" applyAlignment="1">
      <alignment horizontal="center" vertical="center"/>
    </xf>
    <xf numFmtId="1" fontId="23499" fillId="8" borderId="1" xfId="0" applyNumberFormat="1" applyFont="1" applyFill="1" applyBorder="1" applyAlignment="1">
      <alignment horizontal="center" vertical="center"/>
    </xf>
    <xf numFmtId="165" fontId="23500" fillId="8" borderId="1" xfId="0" applyNumberFormat="1" applyFont="1" applyFill="1" applyBorder="1" applyAlignment="1">
      <alignment horizontal="center" vertical="center"/>
    </xf>
    <xf numFmtId="165" fontId="23501" fillId="8" borderId="1" xfId="0" applyNumberFormat="1" applyFont="1" applyFill="1" applyBorder="1" applyAlignment="1">
      <alignment horizontal="center" vertical="center"/>
    </xf>
    <xf numFmtId="1" fontId="23502" fillId="8" borderId="1" xfId="0" applyNumberFormat="1" applyFont="1" applyFill="1" applyBorder="1" applyAlignment="1">
      <alignment horizontal="center" vertical="center"/>
    </xf>
    <xf numFmtId="1" fontId="23503" fillId="8" borderId="1" xfId="0" applyNumberFormat="1" applyFont="1" applyFill="1" applyBorder="1" applyAlignment="1">
      <alignment horizontal="center" vertical="center"/>
    </xf>
    <xf numFmtId="1" fontId="23504" fillId="8" borderId="1" xfId="0" applyNumberFormat="1" applyFont="1" applyFill="1" applyBorder="1" applyAlignment="1">
      <alignment horizontal="center" vertical="center"/>
    </xf>
    <xf numFmtId="165" fontId="23505" fillId="8" borderId="1" xfId="0" applyNumberFormat="1" applyFont="1" applyFill="1" applyBorder="1" applyAlignment="1">
      <alignment horizontal="center" vertical="center"/>
    </xf>
    <xf numFmtId="164" fontId="23506" fillId="8" borderId="1" xfId="0" applyNumberFormat="1" applyFont="1" applyFill="1" applyBorder="1" applyAlignment="1">
      <alignment horizontal="center" vertical="center"/>
    </xf>
    <xf numFmtId="164" fontId="23507" fillId="8" borderId="1" xfId="0" applyNumberFormat="1" applyFont="1" applyFill="1" applyBorder="1" applyAlignment="1">
      <alignment horizontal="center" vertical="center"/>
    </xf>
    <xf numFmtId="1" fontId="23508" fillId="8" borderId="1" xfId="0" applyNumberFormat="1" applyFont="1" applyFill="1" applyBorder="1" applyAlignment="1">
      <alignment horizontal="center" vertical="center"/>
    </xf>
    <xf numFmtId="1" fontId="23509" fillId="8" borderId="1" xfId="0" applyNumberFormat="1" applyFont="1" applyFill="1" applyBorder="1" applyAlignment="1">
      <alignment horizontal="center" vertical="center"/>
    </xf>
    <xf numFmtId="1" fontId="23510" fillId="8" borderId="1" xfId="0" applyNumberFormat="1" applyFont="1" applyFill="1" applyBorder="1" applyAlignment="1">
      <alignment horizontal="center" vertical="center"/>
    </xf>
    <xf numFmtId="165" fontId="23511" fillId="8" borderId="1" xfId="0" applyNumberFormat="1" applyFont="1" applyFill="1" applyBorder="1" applyAlignment="1">
      <alignment horizontal="center" vertical="center"/>
    </xf>
    <xf numFmtId="1" fontId="23512" fillId="8" borderId="1" xfId="0" applyNumberFormat="1" applyFont="1" applyFill="1" applyBorder="1" applyAlignment="1">
      <alignment horizontal="center" vertical="center"/>
    </xf>
    <xf numFmtId="165" fontId="23513" fillId="8" borderId="1" xfId="0" applyNumberFormat="1" applyFont="1" applyFill="1" applyBorder="1" applyAlignment="1">
      <alignment horizontal="center" vertical="center"/>
    </xf>
    <xf numFmtId="1" fontId="23514" fillId="8" borderId="1" xfId="0" applyNumberFormat="1" applyFont="1" applyFill="1" applyBorder="1" applyAlignment="1">
      <alignment horizontal="center" vertical="center"/>
    </xf>
    <xf numFmtId="1" fontId="23515" fillId="8" borderId="1" xfId="0" applyNumberFormat="1" applyFont="1" applyFill="1" applyBorder="1" applyAlignment="1">
      <alignment horizontal="center" vertical="center"/>
    </xf>
    <xf numFmtId="1" fontId="23516" fillId="8" borderId="1" xfId="0" applyNumberFormat="1" applyFont="1" applyFill="1" applyBorder="1" applyAlignment="1">
      <alignment horizontal="center" vertical="center"/>
    </xf>
    <xf numFmtId="1" fontId="23517" fillId="8" borderId="1" xfId="0" applyNumberFormat="1" applyFont="1" applyFill="1" applyBorder="1" applyAlignment="1">
      <alignment horizontal="center" vertical="center"/>
    </xf>
    <xf numFmtId="165" fontId="23518" fillId="8" borderId="1" xfId="0" applyNumberFormat="1" applyFont="1" applyFill="1" applyBorder="1" applyAlignment="1">
      <alignment horizontal="center" vertical="center"/>
    </xf>
    <xf numFmtId="1" fontId="23519" fillId="8" borderId="1" xfId="0" applyNumberFormat="1" applyFont="1" applyFill="1" applyBorder="1" applyAlignment="1">
      <alignment horizontal="center" vertical="center"/>
    </xf>
    <xf numFmtId="165" fontId="23520" fillId="8" borderId="1" xfId="0" applyNumberFormat="1" applyFont="1" applyFill="1" applyBorder="1" applyAlignment="1">
      <alignment horizontal="center" vertical="center"/>
    </xf>
    <xf numFmtId="1" fontId="23521" fillId="8" borderId="1" xfId="0" applyNumberFormat="1" applyFont="1" applyFill="1" applyBorder="1" applyAlignment="1">
      <alignment horizontal="center" vertical="center"/>
    </xf>
    <xf numFmtId="165" fontId="23522" fillId="8" borderId="1" xfId="0" applyNumberFormat="1" applyFont="1" applyFill="1" applyBorder="1" applyAlignment="1">
      <alignment horizontal="center" vertical="center"/>
    </xf>
    <xf numFmtId="2" fontId="23523" fillId="8" borderId="1" xfId="0" applyNumberFormat="1" applyFont="1" applyFill="1" applyBorder="1" applyAlignment="1">
      <alignment horizontal="center" vertical="center"/>
    </xf>
    <xf numFmtId="2" fontId="23524" fillId="8" borderId="1" xfId="0" applyNumberFormat="1" applyFont="1" applyFill="1" applyBorder="1" applyAlignment="1">
      <alignment horizontal="center" vertical="center"/>
    </xf>
    <xf numFmtId="2" fontId="23525" fillId="8" borderId="1" xfId="0" applyNumberFormat="1" applyFont="1" applyFill="1" applyBorder="1" applyAlignment="1">
      <alignment horizontal="center" vertical="center"/>
    </xf>
    <xf numFmtId="2" fontId="23526" fillId="8" borderId="1" xfId="0" applyNumberFormat="1" applyFont="1" applyFill="1" applyBorder="1" applyAlignment="1">
      <alignment horizontal="center" vertical="center"/>
    </xf>
    <xf numFmtId="2" fontId="23527" fillId="8" borderId="1" xfId="0" applyNumberFormat="1" applyFont="1" applyFill="1" applyBorder="1" applyAlignment="1">
      <alignment horizontal="center" vertical="center"/>
    </xf>
    <xf numFmtId="2" fontId="23528" fillId="8" borderId="1" xfId="0" applyNumberFormat="1" applyFont="1" applyFill="1" applyBorder="1" applyAlignment="1">
      <alignment horizontal="center" vertical="center"/>
    </xf>
    <xf numFmtId="2" fontId="23529" fillId="8" borderId="1" xfId="0" applyNumberFormat="1" applyFont="1" applyFill="1" applyBorder="1" applyAlignment="1">
      <alignment horizontal="center" vertical="center"/>
    </xf>
    <xf numFmtId="2" fontId="23530" fillId="8" borderId="1" xfId="0" applyNumberFormat="1" applyFont="1" applyFill="1" applyBorder="1" applyAlignment="1">
      <alignment horizontal="center" vertical="center"/>
    </xf>
    <xf numFmtId="2" fontId="23531" fillId="8" borderId="1" xfId="0" applyNumberFormat="1" applyFont="1" applyFill="1" applyBorder="1" applyAlignment="1">
      <alignment horizontal="center" vertical="center"/>
    </xf>
    <xf numFmtId="2" fontId="23532" fillId="8" borderId="1" xfId="0" applyNumberFormat="1" applyFont="1" applyFill="1" applyBorder="1" applyAlignment="1">
      <alignment horizontal="center" vertical="center"/>
    </xf>
    <xf numFmtId="2" fontId="23533" fillId="8" borderId="1" xfId="0" applyNumberFormat="1" applyFont="1" applyFill="1" applyBorder="1" applyAlignment="1">
      <alignment horizontal="center" vertical="center"/>
    </xf>
    <xf numFmtId="2" fontId="23534" fillId="8" borderId="1" xfId="0" applyNumberFormat="1" applyFont="1" applyFill="1" applyBorder="1" applyAlignment="1">
      <alignment horizontal="center" vertical="center"/>
    </xf>
    <xf numFmtId="2" fontId="23535" fillId="8" borderId="1" xfId="0" applyNumberFormat="1" applyFont="1" applyFill="1" applyBorder="1" applyAlignment="1">
      <alignment horizontal="center" vertical="center"/>
    </xf>
    <xf numFmtId="2" fontId="23536" fillId="8" borderId="1" xfId="0" applyNumberFormat="1" applyFont="1" applyFill="1" applyBorder="1" applyAlignment="1">
      <alignment horizontal="center" vertical="center"/>
    </xf>
    <xf numFmtId="2" fontId="23537" fillId="8" borderId="1" xfId="0" applyNumberFormat="1" applyFont="1" applyFill="1" applyBorder="1" applyAlignment="1">
      <alignment horizontal="center" vertical="center"/>
    </xf>
    <xf numFmtId="2" fontId="23538" fillId="8" borderId="1" xfId="0" applyNumberFormat="1" applyFont="1" applyFill="1" applyBorder="1" applyAlignment="1">
      <alignment horizontal="center" vertical="center"/>
    </xf>
    <xf numFmtId="2" fontId="23539" fillId="8" borderId="1" xfId="0" applyNumberFormat="1" applyFont="1" applyFill="1" applyBorder="1" applyAlignment="1">
      <alignment horizontal="center" vertical="center"/>
    </xf>
    <xf numFmtId="2" fontId="23540" fillId="8" borderId="1" xfId="0" applyNumberFormat="1" applyFont="1" applyFill="1" applyBorder="1" applyAlignment="1">
      <alignment horizontal="center" vertical="center"/>
    </xf>
    <xf numFmtId="2" fontId="23541" fillId="8" borderId="1" xfId="0" applyNumberFormat="1" applyFont="1" applyFill="1" applyBorder="1" applyAlignment="1">
      <alignment horizontal="center" vertical="center"/>
    </xf>
    <xf numFmtId="2" fontId="23542" fillId="8" borderId="1" xfId="0" applyNumberFormat="1" applyFont="1" applyFill="1" applyBorder="1" applyAlignment="1">
      <alignment horizontal="center" vertical="center"/>
    </xf>
    <xf numFmtId="2" fontId="23543" fillId="8" borderId="1" xfId="0" applyNumberFormat="1" applyFont="1" applyFill="1" applyBorder="1" applyAlignment="1">
      <alignment horizontal="center" vertical="center"/>
    </xf>
    <xf numFmtId="2" fontId="23544" fillId="8" borderId="1" xfId="0" applyNumberFormat="1" applyFont="1" applyFill="1" applyBorder="1" applyAlignment="1">
      <alignment horizontal="center" vertical="center"/>
    </xf>
    <xf numFmtId="2" fontId="23545" fillId="8" borderId="1" xfId="0" applyNumberFormat="1" applyFont="1" applyFill="1" applyBorder="1" applyAlignment="1">
      <alignment horizontal="center" vertical="center"/>
    </xf>
    <xf numFmtId="2" fontId="23546" fillId="8" borderId="1" xfId="0" applyNumberFormat="1" applyFont="1" applyFill="1" applyBorder="1" applyAlignment="1">
      <alignment horizontal="center" vertical="center"/>
    </xf>
    <xf numFmtId="2" fontId="23547" fillId="8" borderId="1" xfId="0" applyNumberFormat="1" applyFont="1" applyFill="1" applyBorder="1" applyAlignment="1">
      <alignment horizontal="center" vertical="center"/>
    </xf>
    <xf numFmtId="2" fontId="23548" fillId="8" borderId="1" xfId="0" applyNumberFormat="1" applyFont="1" applyFill="1" applyBorder="1" applyAlignment="1">
      <alignment horizontal="center" vertical="center"/>
    </xf>
    <xf numFmtId="2" fontId="23549" fillId="8" borderId="1" xfId="0" applyNumberFormat="1" applyFont="1" applyFill="1" applyBorder="1" applyAlignment="1">
      <alignment horizontal="center" vertical="center"/>
    </xf>
    <xf numFmtId="2" fontId="23550" fillId="8" borderId="1" xfId="0" applyNumberFormat="1" applyFont="1" applyFill="1" applyBorder="1" applyAlignment="1">
      <alignment horizontal="center" vertical="center"/>
    </xf>
    <xf numFmtId="2" fontId="23551" fillId="8" borderId="1" xfId="0" applyNumberFormat="1" applyFont="1" applyFill="1" applyBorder="1" applyAlignment="1">
      <alignment horizontal="center" vertical="center"/>
    </xf>
    <xf numFmtId="2" fontId="23552" fillId="8" borderId="1" xfId="0" applyNumberFormat="1" applyFont="1" applyFill="1" applyBorder="1" applyAlignment="1">
      <alignment horizontal="center" vertical="center"/>
    </xf>
    <xf numFmtId="2" fontId="23553" fillId="8" borderId="1" xfId="0" applyNumberFormat="1" applyFont="1" applyFill="1" applyBorder="1" applyAlignment="1">
      <alignment horizontal="center" vertical="center"/>
    </xf>
    <xf numFmtId="2" fontId="23554" fillId="8" borderId="1" xfId="0" applyNumberFormat="1" applyFont="1" applyFill="1" applyBorder="1" applyAlignment="1">
      <alignment horizontal="center" vertical="center"/>
    </xf>
    <xf numFmtId="2" fontId="23555" fillId="8" borderId="1" xfId="0" applyNumberFormat="1" applyFont="1" applyFill="1" applyBorder="1" applyAlignment="1">
      <alignment horizontal="center" vertical="center"/>
    </xf>
    <xf numFmtId="2" fontId="23556" fillId="8" borderId="1" xfId="0" applyNumberFormat="1" applyFont="1" applyFill="1" applyBorder="1" applyAlignment="1">
      <alignment horizontal="center" vertical="center"/>
    </xf>
    <xf numFmtId="0" fontId="23557" fillId="7" borderId="1" xfId="0" applyNumberFormat="1" applyFont="1" applyFill="1" applyBorder="1" applyAlignment="1">
      <alignment horizontal="left" vertical="center"/>
    </xf>
    <xf numFmtId="0" fontId="23558" fillId="8" borderId="1" xfId="0" applyNumberFormat="1" applyFont="1" applyFill="1" applyBorder="1" applyAlignment="1">
      <alignment horizontal="center" vertical="center"/>
    </xf>
    <xf numFmtId="164" fontId="23559" fillId="8" borderId="1" xfId="0" applyNumberFormat="1" applyFont="1" applyFill="1" applyBorder="1" applyAlignment="1">
      <alignment horizontal="center" vertical="center"/>
    </xf>
    <xf numFmtId="1" fontId="23560" fillId="8" borderId="1" xfId="0" applyNumberFormat="1" applyFont="1" applyFill="1" applyBorder="1" applyAlignment="1">
      <alignment horizontal="center" vertical="center"/>
    </xf>
    <xf numFmtId="1" fontId="23561" fillId="8" borderId="1" xfId="0" applyNumberFormat="1" applyFont="1" applyFill="1" applyBorder="1" applyAlignment="1">
      <alignment horizontal="center" vertical="center"/>
    </xf>
    <xf numFmtId="1" fontId="23562" fillId="8" borderId="1" xfId="0" applyNumberFormat="1" applyFont="1" applyFill="1" applyBorder="1" applyAlignment="1">
      <alignment horizontal="center" vertical="center"/>
    </xf>
    <xf numFmtId="1" fontId="23563" fillId="8" borderId="1" xfId="0" applyNumberFormat="1" applyFont="1" applyFill="1" applyBorder="1" applyAlignment="1">
      <alignment horizontal="center" vertical="center"/>
    </xf>
    <xf numFmtId="1" fontId="23564" fillId="8" borderId="1" xfId="0" applyNumberFormat="1" applyFont="1" applyFill="1" applyBorder="1" applyAlignment="1">
      <alignment horizontal="center" vertical="center"/>
    </xf>
    <xf numFmtId="1" fontId="23565" fillId="8" borderId="1" xfId="0" applyNumberFormat="1" applyFont="1" applyFill="1" applyBorder="1" applyAlignment="1">
      <alignment horizontal="center" vertical="center"/>
    </xf>
    <xf numFmtId="1" fontId="23566" fillId="8" borderId="1" xfId="0" applyNumberFormat="1" applyFont="1" applyFill="1" applyBorder="1" applyAlignment="1">
      <alignment horizontal="center" vertical="center"/>
    </xf>
    <xf numFmtId="0" fontId="23567" fillId="8" borderId="1" xfId="0" applyNumberFormat="1" applyFont="1" applyFill="1" applyBorder="1" applyAlignment="1">
      <alignment horizontal="center" vertical="center"/>
    </xf>
    <xf numFmtId="0" fontId="23568" fillId="8" borderId="1" xfId="0" applyNumberFormat="1" applyFont="1" applyFill="1" applyBorder="1" applyAlignment="1">
      <alignment horizontal="center" vertical="center"/>
    </xf>
    <xf numFmtId="1" fontId="23569" fillId="8" borderId="1" xfId="0" applyNumberFormat="1" applyFont="1" applyFill="1" applyBorder="1" applyAlignment="1">
      <alignment horizontal="center" vertical="center"/>
    </xf>
    <xf numFmtId="1" fontId="23570" fillId="8" borderId="1" xfId="0" applyNumberFormat="1" applyFont="1" applyFill="1" applyBorder="1" applyAlignment="1">
      <alignment horizontal="center" vertical="center"/>
    </xf>
    <xf numFmtId="1" fontId="23571" fillId="8" borderId="1" xfId="0" applyNumberFormat="1" applyFont="1" applyFill="1" applyBorder="1" applyAlignment="1">
      <alignment horizontal="center" vertical="center"/>
    </xf>
    <xf numFmtId="165" fontId="23572" fillId="8" borderId="1" xfId="0" applyNumberFormat="1" applyFont="1" applyFill="1" applyBorder="1" applyAlignment="1">
      <alignment horizontal="center" vertical="center"/>
    </xf>
    <xf numFmtId="1" fontId="23573" fillId="8" borderId="1" xfId="0" applyNumberFormat="1" applyFont="1" applyFill="1" applyBorder="1" applyAlignment="1">
      <alignment horizontal="center" vertical="center"/>
    </xf>
    <xf numFmtId="165" fontId="23574" fillId="8" borderId="1" xfId="0" applyNumberFormat="1" applyFont="1" applyFill="1" applyBorder="1" applyAlignment="1">
      <alignment horizontal="center" vertical="center"/>
    </xf>
    <xf numFmtId="1" fontId="23575" fillId="8" borderId="1" xfId="0" applyNumberFormat="1" applyFont="1" applyFill="1" applyBorder="1" applyAlignment="1">
      <alignment horizontal="center" vertical="center"/>
    </xf>
    <xf numFmtId="165" fontId="23576" fillId="8" borderId="1" xfId="0" applyNumberFormat="1" applyFont="1" applyFill="1" applyBorder="1" applyAlignment="1">
      <alignment horizontal="center" vertical="center"/>
    </xf>
    <xf numFmtId="1" fontId="23577" fillId="8" borderId="1" xfId="0" applyNumberFormat="1" applyFont="1" applyFill="1" applyBorder="1" applyAlignment="1">
      <alignment horizontal="center" vertical="center"/>
    </xf>
    <xf numFmtId="165" fontId="23578" fillId="8" borderId="1" xfId="0" applyNumberFormat="1" applyFont="1" applyFill="1" applyBorder="1" applyAlignment="1">
      <alignment horizontal="center" vertical="center"/>
    </xf>
    <xf numFmtId="165" fontId="23579" fillId="8" borderId="1" xfId="0" applyNumberFormat="1" applyFont="1" applyFill="1" applyBorder="1" applyAlignment="1">
      <alignment horizontal="center" vertical="center"/>
    </xf>
    <xf numFmtId="1" fontId="23580" fillId="8" borderId="1" xfId="0" applyNumberFormat="1" applyFont="1" applyFill="1" applyBorder="1" applyAlignment="1">
      <alignment horizontal="center" vertical="center"/>
    </xf>
    <xf numFmtId="1" fontId="23581" fillId="8" borderId="1" xfId="0" applyNumberFormat="1" applyFont="1" applyFill="1" applyBorder="1" applyAlignment="1">
      <alignment horizontal="center" vertical="center"/>
    </xf>
    <xf numFmtId="1" fontId="23582" fillId="8" borderId="1" xfId="0" applyNumberFormat="1" applyFont="1" applyFill="1" applyBorder="1" applyAlignment="1">
      <alignment horizontal="center" vertical="center"/>
    </xf>
    <xf numFmtId="165" fontId="23583" fillId="8" borderId="1" xfId="0" applyNumberFormat="1" applyFont="1" applyFill="1" applyBorder="1" applyAlignment="1">
      <alignment horizontal="center" vertical="center"/>
    </xf>
    <xf numFmtId="164" fontId="23584" fillId="8" borderId="1" xfId="0" applyNumberFormat="1" applyFont="1" applyFill="1" applyBorder="1" applyAlignment="1">
      <alignment horizontal="center" vertical="center"/>
    </xf>
    <xf numFmtId="164" fontId="23585" fillId="8" borderId="1" xfId="0" applyNumberFormat="1" applyFont="1" applyFill="1" applyBorder="1" applyAlignment="1">
      <alignment horizontal="center" vertical="center"/>
    </xf>
    <xf numFmtId="1" fontId="23586" fillId="8" borderId="1" xfId="0" applyNumberFormat="1" applyFont="1" applyFill="1" applyBorder="1" applyAlignment="1">
      <alignment horizontal="center" vertical="center"/>
    </xf>
    <xf numFmtId="1" fontId="23587" fillId="8" borderId="1" xfId="0" applyNumberFormat="1" applyFont="1" applyFill="1" applyBorder="1" applyAlignment="1">
      <alignment horizontal="center" vertical="center"/>
    </xf>
    <xf numFmtId="1" fontId="23588" fillId="8" borderId="1" xfId="0" applyNumberFormat="1" applyFont="1" applyFill="1" applyBorder="1" applyAlignment="1">
      <alignment horizontal="center" vertical="center"/>
    </xf>
    <xf numFmtId="165" fontId="23589" fillId="8" borderId="1" xfId="0" applyNumberFormat="1" applyFont="1" applyFill="1" applyBorder="1" applyAlignment="1">
      <alignment horizontal="center" vertical="center"/>
    </xf>
    <xf numFmtId="1" fontId="23590" fillId="8" borderId="1" xfId="0" applyNumberFormat="1" applyFont="1" applyFill="1" applyBorder="1" applyAlignment="1">
      <alignment horizontal="center" vertical="center"/>
    </xf>
    <xf numFmtId="165" fontId="23591" fillId="8" borderId="1" xfId="0" applyNumberFormat="1" applyFont="1" applyFill="1" applyBorder="1" applyAlignment="1">
      <alignment horizontal="center" vertical="center"/>
    </xf>
    <xf numFmtId="1" fontId="23592" fillId="8" borderId="1" xfId="0" applyNumberFormat="1" applyFont="1" applyFill="1" applyBorder="1" applyAlignment="1">
      <alignment horizontal="center" vertical="center"/>
    </xf>
    <xf numFmtId="1" fontId="23593" fillId="8" borderId="1" xfId="0" applyNumberFormat="1" applyFont="1" applyFill="1" applyBorder="1" applyAlignment="1">
      <alignment horizontal="center" vertical="center"/>
    </xf>
    <xf numFmtId="1" fontId="23594" fillId="8" borderId="1" xfId="0" applyNumberFormat="1" applyFont="1" applyFill="1" applyBorder="1" applyAlignment="1">
      <alignment horizontal="center" vertical="center"/>
    </xf>
    <xf numFmtId="1" fontId="23595" fillId="8" borderId="1" xfId="0" applyNumberFormat="1" applyFont="1" applyFill="1" applyBorder="1" applyAlignment="1">
      <alignment horizontal="center" vertical="center"/>
    </xf>
    <xf numFmtId="165" fontId="23596" fillId="8" borderId="1" xfId="0" applyNumberFormat="1" applyFont="1" applyFill="1" applyBorder="1" applyAlignment="1">
      <alignment horizontal="center" vertical="center"/>
    </xf>
    <xf numFmtId="1" fontId="23597" fillId="8" borderId="1" xfId="0" applyNumberFormat="1" applyFont="1" applyFill="1" applyBorder="1" applyAlignment="1">
      <alignment horizontal="center" vertical="center"/>
    </xf>
    <xf numFmtId="165" fontId="23598" fillId="8" borderId="1" xfId="0" applyNumberFormat="1" applyFont="1" applyFill="1" applyBorder="1" applyAlignment="1">
      <alignment horizontal="center" vertical="center"/>
    </xf>
    <xf numFmtId="1" fontId="23599" fillId="8" borderId="1" xfId="0" applyNumberFormat="1" applyFont="1" applyFill="1" applyBorder="1" applyAlignment="1">
      <alignment horizontal="center" vertical="center"/>
    </xf>
    <xf numFmtId="165" fontId="23600" fillId="8" borderId="1" xfId="0" applyNumberFormat="1" applyFont="1" applyFill="1" applyBorder="1" applyAlignment="1">
      <alignment horizontal="center" vertical="center"/>
    </xf>
    <xf numFmtId="2" fontId="23601" fillId="8" borderId="1" xfId="0" applyNumberFormat="1" applyFont="1" applyFill="1" applyBorder="1" applyAlignment="1">
      <alignment horizontal="center" vertical="center"/>
    </xf>
    <xf numFmtId="2" fontId="23602" fillId="8" borderId="1" xfId="0" applyNumberFormat="1" applyFont="1" applyFill="1" applyBorder="1" applyAlignment="1">
      <alignment horizontal="center" vertical="center"/>
    </xf>
    <xf numFmtId="2" fontId="23603" fillId="8" borderId="1" xfId="0" applyNumberFormat="1" applyFont="1" applyFill="1" applyBorder="1" applyAlignment="1">
      <alignment horizontal="center" vertical="center"/>
    </xf>
    <xf numFmtId="2" fontId="23604" fillId="8" borderId="1" xfId="0" applyNumberFormat="1" applyFont="1" applyFill="1" applyBorder="1" applyAlignment="1">
      <alignment horizontal="center" vertical="center"/>
    </xf>
    <xf numFmtId="2" fontId="23605" fillId="8" borderId="1" xfId="0" applyNumberFormat="1" applyFont="1" applyFill="1" applyBorder="1" applyAlignment="1">
      <alignment horizontal="center" vertical="center"/>
    </xf>
    <xf numFmtId="2" fontId="23606" fillId="8" borderId="1" xfId="0" applyNumberFormat="1" applyFont="1" applyFill="1" applyBorder="1" applyAlignment="1">
      <alignment horizontal="center" vertical="center"/>
    </xf>
    <xf numFmtId="2" fontId="23607" fillId="8" borderId="1" xfId="0" applyNumberFormat="1" applyFont="1" applyFill="1" applyBorder="1" applyAlignment="1">
      <alignment horizontal="center" vertical="center"/>
    </xf>
    <xf numFmtId="2" fontId="23608" fillId="8" borderId="1" xfId="0" applyNumberFormat="1" applyFont="1" applyFill="1" applyBorder="1" applyAlignment="1">
      <alignment horizontal="center" vertical="center"/>
    </xf>
    <xf numFmtId="2" fontId="23609" fillId="8" borderId="1" xfId="0" applyNumberFormat="1" applyFont="1" applyFill="1" applyBorder="1" applyAlignment="1">
      <alignment horizontal="center" vertical="center"/>
    </xf>
    <xf numFmtId="2" fontId="23610" fillId="8" borderId="1" xfId="0" applyNumberFormat="1" applyFont="1" applyFill="1" applyBorder="1" applyAlignment="1">
      <alignment horizontal="center" vertical="center"/>
    </xf>
    <xf numFmtId="2" fontId="23611" fillId="8" borderId="1" xfId="0" applyNumberFormat="1" applyFont="1" applyFill="1" applyBorder="1" applyAlignment="1">
      <alignment horizontal="center" vertical="center"/>
    </xf>
    <xf numFmtId="2" fontId="23612" fillId="8" borderId="1" xfId="0" applyNumberFormat="1" applyFont="1" applyFill="1" applyBorder="1" applyAlignment="1">
      <alignment horizontal="center" vertical="center"/>
    </xf>
    <xf numFmtId="2" fontId="23613" fillId="8" borderId="1" xfId="0" applyNumberFormat="1" applyFont="1" applyFill="1" applyBorder="1" applyAlignment="1">
      <alignment horizontal="center" vertical="center"/>
    </xf>
    <xf numFmtId="2" fontId="23614" fillId="8" borderId="1" xfId="0" applyNumberFormat="1" applyFont="1" applyFill="1" applyBorder="1" applyAlignment="1">
      <alignment horizontal="center" vertical="center"/>
    </xf>
    <xf numFmtId="2" fontId="23615" fillId="8" borderId="1" xfId="0" applyNumberFormat="1" applyFont="1" applyFill="1" applyBorder="1" applyAlignment="1">
      <alignment horizontal="center" vertical="center"/>
    </xf>
    <xf numFmtId="2" fontId="23616" fillId="8" borderId="1" xfId="0" applyNumberFormat="1" applyFont="1" applyFill="1" applyBorder="1" applyAlignment="1">
      <alignment horizontal="center" vertical="center"/>
    </xf>
    <xf numFmtId="2" fontId="23617" fillId="8" borderId="1" xfId="0" applyNumberFormat="1" applyFont="1" applyFill="1" applyBorder="1" applyAlignment="1">
      <alignment horizontal="center" vertical="center"/>
    </xf>
    <xf numFmtId="2" fontId="23618" fillId="8" borderId="1" xfId="0" applyNumberFormat="1" applyFont="1" applyFill="1" applyBorder="1" applyAlignment="1">
      <alignment horizontal="center" vertical="center"/>
    </xf>
    <xf numFmtId="2" fontId="23619" fillId="8" borderId="1" xfId="0" applyNumberFormat="1" applyFont="1" applyFill="1" applyBorder="1" applyAlignment="1">
      <alignment horizontal="center" vertical="center"/>
    </xf>
    <xf numFmtId="2" fontId="23620" fillId="8" borderId="1" xfId="0" applyNumberFormat="1" applyFont="1" applyFill="1" applyBorder="1" applyAlignment="1">
      <alignment horizontal="center" vertical="center"/>
    </xf>
    <xf numFmtId="2" fontId="23621" fillId="8" borderId="1" xfId="0" applyNumberFormat="1" applyFont="1" applyFill="1" applyBorder="1" applyAlignment="1">
      <alignment horizontal="center" vertical="center"/>
    </xf>
    <xf numFmtId="2" fontId="23622" fillId="8" borderId="1" xfId="0" applyNumberFormat="1" applyFont="1" applyFill="1" applyBorder="1" applyAlignment="1">
      <alignment horizontal="center" vertical="center"/>
    </xf>
    <xf numFmtId="2" fontId="23623" fillId="8" borderId="1" xfId="0" applyNumberFormat="1" applyFont="1" applyFill="1" applyBorder="1" applyAlignment="1">
      <alignment horizontal="center" vertical="center"/>
    </xf>
    <xf numFmtId="2" fontId="23624" fillId="8" borderId="1" xfId="0" applyNumberFormat="1" applyFont="1" applyFill="1" applyBorder="1" applyAlignment="1">
      <alignment horizontal="center" vertical="center"/>
    </xf>
    <xf numFmtId="2" fontId="23625" fillId="8" borderId="1" xfId="0" applyNumberFormat="1" applyFont="1" applyFill="1" applyBorder="1" applyAlignment="1">
      <alignment horizontal="center" vertical="center"/>
    </xf>
    <xf numFmtId="2" fontId="23626" fillId="8" borderId="1" xfId="0" applyNumberFormat="1" applyFont="1" applyFill="1" applyBorder="1" applyAlignment="1">
      <alignment horizontal="center" vertical="center"/>
    </xf>
    <xf numFmtId="2" fontId="23627" fillId="8" borderId="1" xfId="0" applyNumberFormat="1" applyFont="1" applyFill="1" applyBorder="1" applyAlignment="1">
      <alignment horizontal="center" vertical="center"/>
    </xf>
    <xf numFmtId="2" fontId="23628" fillId="8" borderId="1" xfId="0" applyNumberFormat="1" applyFont="1" applyFill="1" applyBorder="1" applyAlignment="1">
      <alignment horizontal="center" vertical="center"/>
    </xf>
    <xf numFmtId="2" fontId="23629" fillId="8" borderId="1" xfId="0" applyNumberFormat="1" applyFont="1" applyFill="1" applyBorder="1" applyAlignment="1">
      <alignment horizontal="center" vertical="center"/>
    </xf>
    <xf numFmtId="2" fontId="23630" fillId="8" borderId="1" xfId="0" applyNumberFormat="1" applyFont="1" applyFill="1" applyBorder="1" applyAlignment="1">
      <alignment horizontal="center" vertical="center"/>
    </xf>
    <xf numFmtId="2" fontId="23631" fillId="8" borderId="1" xfId="0" applyNumberFormat="1" applyFont="1" applyFill="1" applyBorder="1" applyAlignment="1">
      <alignment horizontal="center" vertical="center"/>
    </xf>
    <xf numFmtId="2" fontId="23632" fillId="8" borderId="1" xfId="0" applyNumberFormat="1" applyFont="1" applyFill="1" applyBorder="1" applyAlignment="1">
      <alignment horizontal="center" vertical="center"/>
    </xf>
    <xf numFmtId="2" fontId="23633" fillId="8" borderId="1" xfId="0" applyNumberFormat="1" applyFont="1" applyFill="1" applyBorder="1" applyAlignment="1">
      <alignment horizontal="center" vertical="center"/>
    </xf>
    <xf numFmtId="2" fontId="23634" fillId="8" borderId="1" xfId="0" applyNumberFormat="1" applyFont="1" applyFill="1" applyBorder="1" applyAlignment="1">
      <alignment horizontal="center" vertical="center"/>
    </xf>
    <xf numFmtId="0" fontId="23635" fillId="7" borderId="1" xfId="0" applyNumberFormat="1" applyFont="1" applyFill="1" applyBorder="1" applyAlignment="1">
      <alignment horizontal="left" vertical="center"/>
    </xf>
    <xf numFmtId="0" fontId="23636" fillId="8" borderId="1" xfId="0" applyNumberFormat="1" applyFont="1" applyFill="1" applyBorder="1" applyAlignment="1">
      <alignment horizontal="center" vertical="center"/>
    </xf>
    <xf numFmtId="164" fontId="23637" fillId="8" borderId="1" xfId="0" applyNumberFormat="1" applyFont="1" applyFill="1" applyBorder="1" applyAlignment="1">
      <alignment horizontal="center" vertical="center"/>
    </xf>
    <xf numFmtId="1" fontId="23638" fillId="8" borderId="1" xfId="0" applyNumberFormat="1" applyFont="1" applyFill="1" applyBorder="1" applyAlignment="1">
      <alignment horizontal="center" vertical="center"/>
    </xf>
    <xf numFmtId="1" fontId="23639" fillId="8" borderId="1" xfId="0" applyNumberFormat="1" applyFont="1" applyFill="1" applyBorder="1" applyAlignment="1">
      <alignment horizontal="center" vertical="center"/>
    </xf>
    <xf numFmtId="1" fontId="23640" fillId="8" borderId="1" xfId="0" applyNumberFormat="1" applyFont="1" applyFill="1" applyBorder="1" applyAlignment="1">
      <alignment horizontal="center" vertical="center"/>
    </xf>
    <xf numFmtId="1" fontId="23641" fillId="8" borderId="1" xfId="0" applyNumberFormat="1" applyFont="1" applyFill="1" applyBorder="1" applyAlignment="1">
      <alignment horizontal="center" vertical="center"/>
    </xf>
    <xf numFmtId="1" fontId="23642" fillId="8" borderId="1" xfId="0" applyNumberFormat="1" applyFont="1" applyFill="1" applyBorder="1" applyAlignment="1">
      <alignment horizontal="center" vertical="center"/>
    </xf>
    <xf numFmtId="1" fontId="23643" fillId="8" borderId="1" xfId="0" applyNumberFormat="1" applyFont="1" applyFill="1" applyBorder="1" applyAlignment="1">
      <alignment horizontal="center" vertical="center"/>
    </xf>
    <xf numFmtId="1" fontId="23644" fillId="8" borderId="1" xfId="0" applyNumberFormat="1" applyFont="1" applyFill="1" applyBorder="1" applyAlignment="1">
      <alignment horizontal="center" vertical="center"/>
    </xf>
    <xf numFmtId="0" fontId="23645" fillId="8" borderId="1" xfId="0" applyNumberFormat="1" applyFont="1" applyFill="1" applyBorder="1" applyAlignment="1">
      <alignment horizontal="center" vertical="center"/>
    </xf>
    <xf numFmtId="0" fontId="23646" fillId="8" borderId="1" xfId="0" applyNumberFormat="1" applyFont="1" applyFill="1" applyBorder="1" applyAlignment="1">
      <alignment horizontal="center" vertical="center"/>
    </xf>
    <xf numFmtId="1" fontId="23647" fillId="8" borderId="1" xfId="0" applyNumberFormat="1" applyFont="1" applyFill="1" applyBorder="1" applyAlignment="1">
      <alignment horizontal="center" vertical="center"/>
    </xf>
    <xf numFmtId="1" fontId="23648" fillId="8" borderId="1" xfId="0" applyNumberFormat="1" applyFont="1" applyFill="1" applyBorder="1" applyAlignment="1">
      <alignment horizontal="center" vertical="center"/>
    </xf>
    <xf numFmtId="1" fontId="23649" fillId="8" borderId="1" xfId="0" applyNumberFormat="1" applyFont="1" applyFill="1" applyBorder="1" applyAlignment="1">
      <alignment horizontal="center" vertical="center"/>
    </xf>
    <xf numFmtId="165" fontId="23650" fillId="8" borderId="1" xfId="0" applyNumberFormat="1" applyFont="1" applyFill="1" applyBorder="1" applyAlignment="1">
      <alignment horizontal="center" vertical="center"/>
    </xf>
    <xf numFmtId="1" fontId="23651" fillId="8" borderId="1" xfId="0" applyNumberFormat="1" applyFont="1" applyFill="1" applyBorder="1" applyAlignment="1">
      <alignment horizontal="center" vertical="center"/>
    </xf>
    <xf numFmtId="165" fontId="23652" fillId="8" borderId="1" xfId="0" applyNumberFormat="1" applyFont="1" applyFill="1" applyBorder="1" applyAlignment="1">
      <alignment horizontal="center" vertical="center"/>
    </xf>
    <xf numFmtId="1" fontId="23653" fillId="8" borderId="1" xfId="0" applyNumberFormat="1" applyFont="1" applyFill="1" applyBorder="1" applyAlignment="1">
      <alignment horizontal="center" vertical="center"/>
    </xf>
    <xf numFmtId="165" fontId="23654" fillId="8" borderId="1" xfId="0" applyNumberFormat="1" applyFont="1" applyFill="1" applyBorder="1" applyAlignment="1">
      <alignment horizontal="center" vertical="center"/>
    </xf>
    <xf numFmtId="1" fontId="23655" fillId="8" borderId="1" xfId="0" applyNumberFormat="1" applyFont="1" applyFill="1" applyBorder="1" applyAlignment="1">
      <alignment horizontal="center" vertical="center"/>
    </xf>
    <xf numFmtId="165" fontId="23656" fillId="8" borderId="1" xfId="0" applyNumberFormat="1" applyFont="1" applyFill="1" applyBorder="1" applyAlignment="1">
      <alignment horizontal="center" vertical="center"/>
    </xf>
    <xf numFmtId="165" fontId="23657" fillId="8" borderId="1" xfId="0" applyNumberFormat="1" applyFont="1" applyFill="1" applyBorder="1" applyAlignment="1">
      <alignment horizontal="center" vertical="center"/>
    </xf>
    <xf numFmtId="1" fontId="23658" fillId="8" borderId="1" xfId="0" applyNumberFormat="1" applyFont="1" applyFill="1" applyBorder="1" applyAlignment="1">
      <alignment horizontal="center" vertical="center"/>
    </xf>
    <xf numFmtId="1" fontId="23659" fillId="8" borderId="1" xfId="0" applyNumberFormat="1" applyFont="1" applyFill="1" applyBorder="1" applyAlignment="1">
      <alignment horizontal="center" vertical="center"/>
    </xf>
    <xf numFmtId="1" fontId="23660" fillId="8" borderId="1" xfId="0" applyNumberFormat="1" applyFont="1" applyFill="1" applyBorder="1" applyAlignment="1">
      <alignment horizontal="center" vertical="center"/>
    </xf>
    <xf numFmtId="165" fontId="23661" fillId="8" borderId="1" xfId="0" applyNumberFormat="1" applyFont="1" applyFill="1" applyBorder="1" applyAlignment="1">
      <alignment horizontal="center" vertical="center"/>
    </xf>
    <xf numFmtId="164" fontId="23662" fillId="8" borderId="1" xfId="0" applyNumberFormat="1" applyFont="1" applyFill="1" applyBorder="1" applyAlignment="1">
      <alignment horizontal="center" vertical="center"/>
    </xf>
    <xf numFmtId="164" fontId="23663" fillId="8" borderId="1" xfId="0" applyNumberFormat="1" applyFont="1" applyFill="1" applyBorder="1" applyAlignment="1">
      <alignment horizontal="center" vertical="center"/>
    </xf>
    <xf numFmtId="1" fontId="23664" fillId="8" borderId="1" xfId="0" applyNumberFormat="1" applyFont="1" applyFill="1" applyBorder="1" applyAlignment="1">
      <alignment horizontal="center" vertical="center"/>
    </xf>
    <xf numFmtId="1" fontId="23665" fillId="8" borderId="1" xfId="0" applyNumberFormat="1" applyFont="1" applyFill="1" applyBorder="1" applyAlignment="1">
      <alignment horizontal="center" vertical="center"/>
    </xf>
    <xf numFmtId="1" fontId="23666" fillId="8" borderId="1" xfId="0" applyNumberFormat="1" applyFont="1" applyFill="1" applyBorder="1" applyAlignment="1">
      <alignment horizontal="center" vertical="center"/>
    </xf>
    <xf numFmtId="165" fontId="23667" fillId="8" borderId="1" xfId="0" applyNumberFormat="1" applyFont="1" applyFill="1" applyBorder="1" applyAlignment="1">
      <alignment horizontal="center" vertical="center"/>
    </xf>
    <xf numFmtId="1" fontId="23668" fillId="8" borderId="1" xfId="0" applyNumberFormat="1" applyFont="1" applyFill="1" applyBorder="1" applyAlignment="1">
      <alignment horizontal="center" vertical="center"/>
    </xf>
    <xf numFmtId="165" fontId="23669" fillId="8" borderId="1" xfId="0" applyNumberFormat="1" applyFont="1" applyFill="1" applyBorder="1" applyAlignment="1">
      <alignment horizontal="center" vertical="center"/>
    </xf>
    <xf numFmtId="1" fontId="23670" fillId="8" borderId="1" xfId="0" applyNumberFormat="1" applyFont="1" applyFill="1" applyBorder="1" applyAlignment="1">
      <alignment horizontal="center" vertical="center"/>
    </xf>
    <xf numFmtId="1" fontId="23671" fillId="8" borderId="1" xfId="0" applyNumberFormat="1" applyFont="1" applyFill="1" applyBorder="1" applyAlignment="1">
      <alignment horizontal="center" vertical="center"/>
    </xf>
    <xf numFmtId="1" fontId="23672" fillId="8" borderId="1" xfId="0" applyNumberFormat="1" applyFont="1" applyFill="1" applyBorder="1" applyAlignment="1">
      <alignment horizontal="center" vertical="center"/>
    </xf>
    <xf numFmtId="1" fontId="23673" fillId="8" borderId="1" xfId="0" applyNumberFormat="1" applyFont="1" applyFill="1" applyBorder="1" applyAlignment="1">
      <alignment horizontal="center" vertical="center"/>
    </xf>
    <xf numFmtId="165" fontId="23674" fillId="8" borderId="1" xfId="0" applyNumberFormat="1" applyFont="1" applyFill="1" applyBorder="1" applyAlignment="1">
      <alignment horizontal="center" vertical="center"/>
    </xf>
    <xf numFmtId="1" fontId="23675" fillId="8" borderId="1" xfId="0" applyNumberFormat="1" applyFont="1" applyFill="1" applyBorder="1" applyAlignment="1">
      <alignment horizontal="center" vertical="center"/>
    </xf>
    <xf numFmtId="165" fontId="23676" fillId="8" borderId="1" xfId="0" applyNumberFormat="1" applyFont="1" applyFill="1" applyBorder="1" applyAlignment="1">
      <alignment horizontal="center" vertical="center"/>
    </xf>
    <xf numFmtId="1" fontId="23677" fillId="8" borderId="1" xfId="0" applyNumberFormat="1" applyFont="1" applyFill="1" applyBorder="1" applyAlignment="1">
      <alignment horizontal="center" vertical="center"/>
    </xf>
    <xf numFmtId="165" fontId="23678" fillId="8" borderId="1" xfId="0" applyNumberFormat="1" applyFont="1" applyFill="1" applyBorder="1" applyAlignment="1">
      <alignment horizontal="center" vertical="center"/>
    </xf>
    <xf numFmtId="2" fontId="23679" fillId="8" borderId="1" xfId="0" applyNumberFormat="1" applyFont="1" applyFill="1" applyBorder="1" applyAlignment="1">
      <alignment horizontal="center" vertical="center"/>
    </xf>
    <xf numFmtId="2" fontId="23680" fillId="8" borderId="1" xfId="0" applyNumberFormat="1" applyFont="1" applyFill="1" applyBorder="1" applyAlignment="1">
      <alignment horizontal="center" vertical="center"/>
    </xf>
    <xf numFmtId="2" fontId="23681" fillId="8" borderId="1" xfId="0" applyNumberFormat="1" applyFont="1" applyFill="1" applyBorder="1" applyAlignment="1">
      <alignment horizontal="center" vertical="center"/>
    </xf>
    <xf numFmtId="2" fontId="23682" fillId="8" borderId="1" xfId="0" applyNumberFormat="1" applyFont="1" applyFill="1" applyBorder="1" applyAlignment="1">
      <alignment horizontal="center" vertical="center"/>
    </xf>
    <xf numFmtId="2" fontId="23683" fillId="8" borderId="1" xfId="0" applyNumberFormat="1" applyFont="1" applyFill="1" applyBorder="1" applyAlignment="1">
      <alignment horizontal="center" vertical="center"/>
    </xf>
    <xf numFmtId="2" fontId="23684" fillId="8" borderId="1" xfId="0" applyNumberFormat="1" applyFont="1" applyFill="1" applyBorder="1" applyAlignment="1">
      <alignment horizontal="center" vertical="center"/>
    </xf>
    <xf numFmtId="2" fontId="23685" fillId="8" borderId="1" xfId="0" applyNumberFormat="1" applyFont="1" applyFill="1" applyBorder="1" applyAlignment="1">
      <alignment horizontal="center" vertical="center"/>
    </xf>
    <xf numFmtId="2" fontId="23686" fillId="8" borderId="1" xfId="0" applyNumberFormat="1" applyFont="1" applyFill="1" applyBorder="1" applyAlignment="1">
      <alignment horizontal="center" vertical="center"/>
    </xf>
    <xf numFmtId="2" fontId="23687" fillId="8" borderId="1" xfId="0" applyNumberFormat="1" applyFont="1" applyFill="1" applyBorder="1" applyAlignment="1">
      <alignment horizontal="center" vertical="center"/>
    </xf>
    <xf numFmtId="2" fontId="23688" fillId="8" borderId="1" xfId="0" applyNumberFormat="1" applyFont="1" applyFill="1" applyBorder="1" applyAlignment="1">
      <alignment horizontal="center" vertical="center"/>
    </xf>
    <xf numFmtId="2" fontId="23689" fillId="8" borderId="1" xfId="0" applyNumberFormat="1" applyFont="1" applyFill="1" applyBorder="1" applyAlignment="1">
      <alignment horizontal="center" vertical="center"/>
    </xf>
    <xf numFmtId="2" fontId="23690" fillId="8" borderId="1" xfId="0" applyNumberFormat="1" applyFont="1" applyFill="1" applyBorder="1" applyAlignment="1">
      <alignment horizontal="center" vertical="center"/>
    </xf>
    <xf numFmtId="2" fontId="23691" fillId="8" borderId="1" xfId="0" applyNumberFormat="1" applyFont="1" applyFill="1" applyBorder="1" applyAlignment="1">
      <alignment horizontal="center" vertical="center"/>
    </xf>
    <xf numFmtId="2" fontId="23692" fillId="8" borderId="1" xfId="0" applyNumberFormat="1" applyFont="1" applyFill="1" applyBorder="1" applyAlignment="1">
      <alignment horizontal="center" vertical="center"/>
    </xf>
    <xf numFmtId="2" fontId="23693" fillId="8" borderId="1" xfId="0" applyNumberFormat="1" applyFont="1" applyFill="1" applyBorder="1" applyAlignment="1">
      <alignment horizontal="center" vertical="center"/>
    </xf>
    <xf numFmtId="2" fontId="23694" fillId="8" borderId="1" xfId="0" applyNumberFormat="1" applyFont="1" applyFill="1" applyBorder="1" applyAlignment="1">
      <alignment horizontal="center" vertical="center"/>
    </xf>
    <xf numFmtId="2" fontId="23695" fillId="8" borderId="1" xfId="0" applyNumberFormat="1" applyFont="1" applyFill="1" applyBorder="1" applyAlignment="1">
      <alignment horizontal="center" vertical="center"/>
    </xf>
    <xf numFmtId="2" fontId="23696" fillId="8" borderId="1" xfId="0" applyNumberFormat="1" applyFont="1" applyFill="1" applyBorder="1" applyAlignment="1">
      <alignment horizontal="center" vertical="center"/>
    </xf>
    <xf numFmtId="2" fontId="23697" fillId="8" borderId="1" xfId="0" applyNumberFormat="1" applyFont="1" applyFill="1" applyBorder="1" applyAlignment="1">
      <alignment horizontal="center" vertical="center"/>
    </xf>
    <xf numFmtId="2" fontId="23698" fillId="8" borderId="1" xfId="0" applyNumberFormat="1" applyFont="1" applyFill="1" applyBorder="1" applyAlignment="1">
      <alignment horizontal="center" vertical="center"/>
    </xf>
    <xf numFmtId="2" fontId="23699" fillId="8" borderId="1" xfId="0" applyNumberFormat="1" applyFont="1" applyFill="1" applyBorder="1" applyAlignment="1">
      <alignment horizontal="center" vertical="center"/>
    </xf>
    <xf numFmtId="2" fontId="23700" fillId="8" borderId="1" xfId="0" applyNumberFormat="1" applyFont="1" applyFill="1" applyBorder="1" applyAlignment="1">
      <alignment horizontal="center" vertical="center"/>
    </xf>
    <xf numFmtId="2" fontId="23701" fillId="8" borderId="1" xfId="0" applyNumberFormat="1" applyFont="1" applyFill="1" applyBorder="1" applyAlignment="1">
      <alignment horizontal="center" vertical="center"/>
    </xf>
    <xf numFmtId="2" fontId="23702" fillId="8" borderId="1" xfId="0" applyNumberFormat="1" applyFont="1" applyFill="1" applyBorder="1" applyAlignment="1">
      <alignment horizontal="center" vertical="center"/>
    </xf>
    <xf numFmtId="2" fontId="23703" fillId="8" borderId="1" xfId="0" applyNumberFormat="1" applyFont="1" applyFill="1" applyBorder="1" applyAlignment="1">
      <alignment horizontal="center" vertical="center"/>
    </xf>
    <xf numFmtId="2" fontId="23704" fillId="8" borderId="1" xfId="0" applyNumberFormat="1" applyFont="1" applyFill="1" applyBorder="1" applyAlignment="1">
      <alignment horizontal="center" vertical="center"/>
    </xf>
    <xf numFmtId="2" fontId="23705" fillId="8" borderId="1" xfId="0" applyNumberFormat="1" applyFont="1" applyFill="1" applyBorder="1" applyAlignment="1">
      <alignment horizontal="center" vertical="center"/>
    </xf>
    <xf numFmtId="2" fontId="23706" fillId="8" borderId="1" xfId="0" applyNumberFormat="1" applyFont="1" applyFill="1" applyBorder="1" applyAlignment="1">
      <alignment horizontal="center" vertical="center"/>
    </xf>
    <xf numFmtId="2" fontId="23707" fillId="8" borderId="1" xfId="0" applyNumberFormat="1" applyFont="1" applyFill="1" applyBorder="1" applyAlignment="1">
      <alignment horizontal="center" vertical="center"/>
    </xf>
    <xf numFmtId="2" fontId="23708" fillId="8" borderId="1" xfId="0" applyNumberFormat="1" applyFont="1" applyFill="1" applyBorder="1" applyAlignment="1">
      <alignment horizontal="center" vertical="center"/>
    </xf>
    <xf numFmtId="2" fontId="23709" fillId="8" borderId="1" xfId="0" applyNumberFormat="1" applyFont="1" applyFill="1" applyBorder="1" applyAlignment="1">
      <alignment horizontal="center" vertical="center"/>
    </xf>
    <xf numFmtId="2" fontId="23710" fillId="8" borderId="1" xfId="0" applyNumberFormat="1" applyFont="1" applyFill="1" applyBorder="1" applyAlignment="1">
      <alignment horizontal="center" vertical="center"/>
    </xf>
    <xf numFmtId="2" fontId="23711" fillId="8" borderId="1" xfId="0" applyNumberFormat="1" applyFont="1" applyFill="1" applyBorder="1" applyAlignment="1">
      <alignment horizontal="center" vertical="center"/>
    </xf>
    <xf numFmtId="2" fontId="23712" fillId="8" borderId="1" xfId="0" applyNumberFormat="1" applyFont="1" applyFill="1" applyBorder="1" applyAlignment="1">
      <alignment horizontal="center" vertical="center"/>
    </xf>
    <xf numFmtId="0" fontId="23713" fillId="7" borderId="1" xfId="0" applyNumberFormat="1" applyFont="1" applyFill="1" applyBorder="1" applyAlignment="1">
      <alignment horizontal="left" vertical="center"/>
    </xf>
    <xf numFmtId="0" fontId="23714" fillId="8" borderId="1" xfId="0" applyNumberFormat="1" applyFont="1" applyFill="1" applyBorder="1" applyAlignment="1">
      <alignment horizontal="center" vertical="center"/>
    </xf>
    <xf numFmtId="164" fontId="23715" fillId="8" borderId="1" xfId="0" applyNumberFormat="1" applyFont="1" applyFill="1" applyBorder="1" applyAlignment="1">
      <alignment horizontal="center" vertical="center"/>
    </xf>
    <xf numFmtId="1" fontId="23716" fillId="8" borderId="1" xfId="0" applyNumberFormat="1" applyFont="1" applyFill="1" applyBorder="1" applyAlignment="1">
      <alignment horizontal="center" vertical="center"/>
    </xf>
    <xf numFmtId="1" fontId="23717" fillId="8" borderId="1" xfId="0" applyNumberFormat="1" applyFont="1" applyFill="1" applyBorder="1" applyAlignment="1">
      <alignment horizontal="center" vertical="center"/>
    </xf>
    <xf numFmtId="1" fontId="23718" fillId="8" borderId="1" xfId="0" applyNumberFormat="1" applyFont="1" applyFill="1" applyBorder="1" applyAlignment="1">
      <alignment horizontal="center" vertical="center"/>
    </xf>
    <xf numFmtId="1" fontId="23719" fillId="8" borderId="1" xfId="0" applyNumberFormat="1" applyFont="1" applyFill="1" applyBorder="1" applyAlignment="1">
      <alignment horizontal="center" vertical="center"/>
    </xf>
    <xf numFmtId="1" fontId="23720" fillId="8" borderId="1" xfId="0" applyNumberFormat="1" applyFont="1" applyFill="1" applyBorder="1" applyAlignment="1">
      <alignment horizontal="center" vertical="center"/>
    </xf>
    <xf numFmtId="1" fontId="23721" fillId="8" borderId="1" xfId="0" applyNumberFormat="1" applyFont="1" applyFill="1" applyBorder="1" applyAlignment="1">
      <alignment horizontal="center" vertical="center"/>
    </xf>
    <xf numFmtId="1" fontId="23722" fillId="8" borderId="1" xfId="0" applyNumberFormat="1" applyFont="1" applyFill="1" applyBorder="1" applyAlignment="1">
      <alignment horizontal="center" vertical="center"/>
    </xf>
    <xf numFmtId="0" fontId="23723" fillId="8" borderId="1" xfId="0" applyNumberFormat="1" applyFont="1" applyFill="1" applyBorder="1" applyAlignment="1">
      <alignment horizontal="center" vertical="center"/>
    </xf>
    <xf numFmtId="0" fontId="23724" fillId="8" borderId="1" xfId="0" applyNumberFormat="1" applyFont="1" applyFill="1" applyBorder="1" applyAlignment="1">
      <alignment horizontal="center" vertical="center"/>
    </xf>
    <xf numFmtId="1" fontId="23725" fillId="8" borderId="1" xfId="0" applyNumberFormat="1" applyFont="1" applyFill="1" applyBorder="1" applyAlignment="1">
      <alignment horizontal="center" vertical="center"/>
    </xf>
    <xf numFmtId="1" fontId="23726" fillId="8" borderId="1" xfId="0" applyNumberFormat="1" applyFont="1" applyFill="1" applyBorder="1" applyAlignment="1">
      <alignment horizontal="center" vertical="center"/>
    </xf>
    <xf numFmtId="1" fontId="23727" fillId="8" borderId="1" xfId="0" applyNumberFormat="1" applyFont="1" applyFill="1" applyBorder="1" applyAlignment="1">
      <alignment horizontal="center" vertical="center"/>
    </xf>
    <xf numFmtId="165" fontId="23728" fillId="8" borderId="1" xfId="0" applyNumberFormat="1" applyFont="1" applyFill="1" applyBorder="1" applyAlignment="1">
      <alignment horizontal="center" vertical="center"/>
    </xf>
    <xf numFmtId="1" fontId="23729" fillId="8" borderId="1" xfId="0" applyNumberFormat="1" applyFont="1" applyFill="1" applyBorder="1" applyAlignment="1">
      <alignment horizontal="center" vertical="center"/>
    </xf>
    <xf numFmtId="165" fontId="23730" fillId="8" borderId="1" xfId="0" applyNumberFormat="1" applyFont="1" applyFill="1" applyBorder="1" applyAlignment="1">
      <alignment horizontal="center" vertical="center"/>
    </xf>
    <xf numFmtId="1" fontId="23731" fillId="8" borderId="1" xfId="0" applyNumberFormat="1" applyFont="1" applyFill="1" applyBorder="1" applyAlignment="1">
      <alignment horizontal="center" vertical="center"/>
    </xf>
    <xf numFmtId="165" fontId="23732" fillId="8" borderId="1" xfId="0" applyNumberFormat="1" applyFont="1" applyFill="1" applyBorder="1" applyAlignment="1">
      <alignment horizontal="center" vertical="center"/>
    </xf>
    <xf numFmtId="1" fontId="23733" fillId="8" borderId="1" xfId="0" applyNumberFormat="1" applyFont="1" applyFill="1" applyBorder="1" applyAlignment="1">
      <alignment horizontal="center" vertical="center"/>
    </xf>
    <xf numFmtId="165" fontId="23734" fillId="8" borderId="1" xfId="0" applyNumberFormat="1" applyFont="1" applyFill="1" applyBorder="1" applyAlignment="1">
      <alignment horizontal="center" vertical="center"/>
    </xf>
    <xf numFmtId="165" fontId="23735" fillId="8" borderId="1" xfId="0" applyNumberFormat="1" applyFont="1" applyFill="1" applyBorder="1" applyAlignment="1">
      <alignment horizontal="center" vertical="center"/>
    </xf>
    <xf numFmtId="1" fontId="23736" fillId="8" borderId="1" xfId="0" applyNumberFormat="1" applyFont="1" applyFill="1" applyBorder="1" applyAlignment="1">
      <alignment horizontal="center" vertical="center"/>
    </xf>
    <xf numFmtId="1" fontId="23737" fillId="8" borderId="1" xfId="0" applyNumberFormat="1" applyFont="1" applyFill="1" applyBorder="1" applyAlignment="1">
      <alignment horizontal="center" vertical="center"/>
    </xf>
    <xf numFmtId="1" fontId="23738" fillId="8" borderId="1" xfId="0" applyNumberFormat="1" applyFont="1" applyFill="1" applyBorder="1" applyAlignment="1">
      <alignment horizontal="center" vertical="center"/>
    </xf>
    <xf numFmtId="165" fontId="23739" fillId="8" borderId="1" xfId="0" applyNumberFormat="1" applyFont="1" applyFill="1" applyBorder="1" applyAlignment="1">
      <alignment horizontal="center" vertical="center"/>
    </xf>
    <xf numFmtId="164" fontId="23740" fillId="8" borderId="1" xfId="0" applyNumberFormat="1" applyFont="1" applyFill="1" applyBorder="1" applyAlignment="1">
      <alignment horizontal="center" vertical="center"/>
    </xf>
    <xf numFmtId="164" fontId="23741" fillId="8" borderId="1" xfId="0" applyNumberFormat="1" applyFont="1" applyFill="1" applyBorder="1" applyAlignment="1">
      <alignment horizontal="center" vertical="center"/>
    </xf>
    <xf numFmtId="1" fontId="23742" fillId="8" borderId="1" xfId="0" applyNumberFormat="1" applyFont="1" applyFill="1" applyBorder="1" applyAlignment="1">
      <alignment horizontal="center" vertical="center"/>
    </xf>
    <xf numFmtId="1" fontId="23743" fillId="8" borderId="1" xfId="0" applyNumberFormat="1" applyFont="1" applyFill="1" applyBorder="1" applyAlignment="1">
      <alignment horizontal="center" vertical="center"/>
    </xf>
    <xf numFmtId="1" fontId="23744" fillId="8" borderId="1" xfId="0" applyNumberFormat="1" applyFont="1" applyFill="1" applyBorder="1" applyAlignment="1">
      <alignment horizontal="center" vertical="center"/>
    </xf>
    <xf numFmtId="165" fontId="23745" fillId="8" borderId="1" xfId="0" applyNumberFormat="1" applyFont="1" applyFill="1" applyBorder="1" applyAlignment="1">
      <alignment horizontal="center" vertical="center"/>
    </xf>
    <xf numFmtId="1" fontId="23746" fillId="8" borderId="1" xfId="0" applyNumberFormat="1" applyFont="1" applyFill="1" applyBorder="1" applyAlignment="1">
      <alignment horizontal="center" vertical="center"/>
    </xf>
    <xf numFmtId="165" fontId="23747" fillId="8" borderId="1" xfId="0" applyNumberFormat="1" applyFont="1" applyFill="1" applyBorder="1" applyAlignment="1">
      <alignment horizontal="center" vertical="center"/>
    </xf>
    <xf numFmtId="1" fontId="23748" fillId="8" borderId="1" xfId="0" applyNumberFormat="1" applyFont="1" applyFill="1" applyBorder="1" applyAlignment="1">
      <alignment horizontal="center" vertical="center"/>
    </xf>
    <xf numFmtId="1" fontId="23749" fillId="8" borderId="1" xfId="0" applyNumberFormat="1" applyFont="1" applyFill="1" applyBorder="1" applyAlignment="1">
      <alignment horizontal="center" vertical="center"/>
    </xf>
    <xf numFmtId="1" fontId="23750" fillId="8" borderId="1" xfId="0" applyNumberFormat="1" applyFont="1" applyFill="1" applyBorder="1" applyAlignment="1">
      <alignment horizontal="center" vertical="center"/>
    </xf>
    <xf numFmtId="1" fontId="23751" fillId="8" borderId="1" xfId="0" applyNumberFormat="1" applyFont="1" applyFill="1" applyBorder="1" applyAlignment="1">
      <alignment horizontal="center" vertical="center"/>
    </xf>
    <xf numFmtId="165" fontId="23752" fillId="8" borderId="1" xfId="0" applyNumberFormat="1" applyFont="1" applyFill="1" applyBorder="1" applyAlignment="1">
      <alignment horizontal="center" vertical="center"/>
    </xf>
    <xf numFmtId="1" fontId="23753" fillId="8" borderId="1" xfId="0" applyNumberFormat="1" applyFont="1" applyFill="1" applyBorder="1" applyAlignment="1">
      <alignment horizontal="center" vertical="center"/>
    </xf>
    <xf numFmtId="165" fontId="23754" fillId="8" borderId="1" xfId="0" applyNumberFormat="1" applyFont="1" applyFill="1" applyBorder="1" applyAlignment="1">
      <alignment horizontal="center" vertical="center"/>
    </xf>
    <xf numFmtId="1" fontId="23755" fillId="8" borderId="1" xfId="0" applyNumberFormat="1" applyFont="1" applyFill="1" applyBorder="1" applyAlignment="1">
      <alignment horizontal="center" vertical="center"/>
    </xf>
    <xf numFmtId="165" fontId="23756" fillId="8" borderId="1" xfId="0" applyNumberFormat="1" applyFont="1" applyFill="1" applyBorder="1" applyAlignment="1">
      <alignment horizontal="center" vertical="center"/>
    </xf>
    <xf numFmtId="2" fontId="23757" fillId="8" borderId="1" xfId="0" applyNumberFormat="1" applyFont="1" applyFill="1" applyBorder="1" applyAlignment="1">
      <alignment horizontal="center" vertical="center"/>
    </xf>
    <xf numFmtId="2" fontId="23758" fillId="8" borderId="1" xfId="0" applyNumberFormat="1" applyFont="1" applyFill="1" applyBorder="1" applyAlignment="1">
      <alignment horizontal="center" vertical="center"/>
    </xf>
    <xf numFmtId="2" fontId="23759" fillId="8" borderId="1" xfId="0" applyNumberFormat="1" applyFont="1" applyFill="1" applyBorder="1" applyAlignment="1">
      <alignment horizontal="center" vertical="center"/>
    </xf>
    <xf numFmtId="2" fontId="23760" fillId="8" borderId="1" xfId="0" applyNumberFormat="1" applyFont="1" applyFill="1" applyBorder="1" applyAlignment="1">
      <alignment horizontal="center" vertical="center"/>
    </xf>
    <xf numFmtId="2" fontId="23761" fillId="8" borderId="1" xfId="0" applyNumberFormat="1" applyFont="1" applyFill="1" applyBorder="1" applyAlignment="1">
      <alignment horizontal="center" vertical="center"/>
    </xf>
    <xf numFmtId="2" fontId="23762" fillId="8" borderId="1" xfId="0" applyNumberFormat="1" applyFont="1" applyFill="1" applyBorder="1" applyAlignment="1">
      <alignment horizontal="center" vertical="center"/>
    </xf>
    <xf numFmtId="2" fontId="23763" fillId="8" borderId="1" xfId="0" applyNumberFormat="1" applyFont="1" applyFill="1" applyBorder="1" applyAlignment="1">
      <alignment horizontal="center" vertical="center"/>
    </xf>
    <xf numFmtId="2" fontId="23764" fillId="8" borderId="1" xfId="0" applyNumberFormat="1" applyFont="1" applyFill="1" applyBorder="1" applyAlignment="1">
      <alignment horizontal="center" vertical="center"/>
    </xf>
    <xf numFmtId="2" fontId="23765" fillId="8" borderId="1" xfId="0" applyNumberFormat="1" applyFont="1" applyFill="1" applyBorder="1" applyAlignment="1">
      <alignment horizontal="center" vertical="center"/>
    </xf>
    <xf numFmtId="2" fontId="23766" fillId="8" borderId="1" xfId="0" applyNumberFormat="1" applyFont="1" applyFill="1" applyBorder="1" applyAlignment="1">
      <alignment horizontal="center" vertical="center"/>
    </xf>
    <xf numFmtId="2" fontId="23767" fillId="8" borderId="1" xfId="0" applyNumberFormat="1" applyFont="1" applyFill="1" applyBorder="1" applyAlignment="1">
      <alignment horizontal="center" vertical="center"/>
    </xf>
    <xf numFmtId="2" fontId="23768" fillId="8" borderId="1" xfId="0" applyNumberFormat="1" applyFont="1" applyFill="1" applyBorder="1" applyAlignment="1">
      <alignment horizontal="center" vertical="center"/>
    </xf>
    <xf numFmtId="2" fontId="23769" fillId="8" borderId="1" xfId="0" applyNumberFormat="1" applyFont="1" applyFill="1" applyBorder="1" applyAlignment="1">
      <alignment horizontal="center" vertical="center"/>
    </xf>
    <xf numFmtId="2" fontId="23770" fillId="8" borderId="1" xfId="0" applyNumberFormat="1" applyFont="1" applyFill="1" applyBorder="1" applyAlignment="1">
      <alignment horizontal="center" vertical="center"/>
    </xf>
    <xf numFmtId="2" fontId="23771" fillId="8" borderId="1" xfId="0" applyNumberFormat="1" applyFont="1" applyFill="1" applyBorder="1" applyAlignment="1">
      <alignment horizontal="center" vertical="center"/>
    </xf>
    <xf numFmtId="2" fontId="23772" fillId="8" borderId="1" xfId="0" applyNumberFormat="1" applyFont="1" applyFill="1" applyBorder="1" applyAlignment="1">
      <alignment horizontal="center" vertical="center"/>
    </xf>
    <xf numFmtId="2" fontId="23773" fillId="8" borderId="1" xfId="0" applyNumberFormat="1" applyFont="1" applyFill="1" applyBorder="1" applyAlignment="1">
      <alignment horizontal="center" vertical="center"/>
    </xf>
    <xf numFmtId="2" fontId="23774" fillId="8" borderId="1" xfId="0" applyNumberFormat="1" applyFont="1" applyFill="1" applyBorder="1" applyAlignment="1">
      <alignment horizontal="center" vertical="center"/>
    </xf>
    <xf numFmtId="2" fontId="23775" fillId="8" borderId="1" xfId="0" applyNumberFormat="1" applyFont="1" applyFill="1" applyBorder="1" applyAlignment="1">
      <alignment horizontal="center" vertical="center"/>
    </xf>
    <xf numFmtId="2" fontId="23776" fillId="8" borderId="1" xfId="0" applyNumberFormat="1" applyFont="1" applyFill="1" applyBorder="1" applyAlignment="1">
      <alignment horizontal="center" vertical="center"/>
    </xf>
    <xf numFmtId="2" fontId="23777" fillId="8" borderId="1" xfId="0" applyNumberFormat="1" applyFont="1" applyFill="1" applyBorder="1" applyAlignment="1">
      <alignment horizontal="center" vertical="center"/>
    </xf>
    <xf numFmtId="2" fontId="23778" fillId="8" borderId="1" xfId="0" applyNumberFormat="1" applyFont="1" applyFill="1" applyBorder="1" applyAlignment="1">
      <alignment horizontal="center" vertical="center"/>
    </xf>
    <xf numFmtId="2" fontId="23779" fillId="8" borderId="1" xfId="0" applyNumberFormat="1" applyFont="1" applyFill="1" applyBorder="1" applyAlignment="1">
      <alignment horizontal="center" vertical="center"/>
    </xf>
    <xf numFmtId="2" fontId="23780" fillId="8" borderId="1" xfId="0" applyNumberFormat="1" applyFont="1" applyFill="1" applyBorder="1" applyAlignment="1">
      <alignment horizontal="center" vertical="center"/>
    </xf>
    <xf numFmtId="2" fontId="23781" fillId="8" borderId="1" xfId="0" applyNumberFormat="1" applyFont="1" applyFill="1" applyBorder="1" applyAlignment="1">
      <alignment horizontal="center" vertical="center"/>
    </xf>
    <xf numFmtId="2" fontId="23782" fillId="8" borderId="1" xfId="0" applyNumberFormat="1" applyFont="1" applyFill="1" applyBorder="1" applyAlignment="1">
      <alignment horizontal="center" vertical="center"/>
    </xf>
    <xf numFmtId="2" fontId="23783" fillId="8" borderId="1" xfId="0" applyNumberFormat="1" applyFont="1" applyFill="1" applyBorder="1" applyAlignment="1">
      <alignment horizontal="center" vertical="center"/>
    </xf>
    <xf numFmtId="2" fontId="23784" fillId="8" borderId="1" xfId="0" applyNumberFormat="1" applyFont="1" applyFill="1" applyBorder="1" applyAlignment="1">
      <alignment horizontal="center" vertical="center"/>
    </xf>
    <xf numFmtId="2" fontId="23785" fillId="8" borderId="1" xfId="0" applyNumberFormat="1" applyFont="1" applyFill="1" applyBorder="1" applyAlignment="1">
      <alignment horizontal="center" vertical="center"/>
    </xf>
    <xf numFmtId="2" fontId="23786" fillId="8" borderId="1" xfId="0" applyNumberFormat="1" applyFont="1" applyFill="1" applyBorder="1" applyAlignment="1">
      <alignment horizontal="center" vertical="center"/>
    </xf>
    <xf numFmtId="2" fontId="23787" fillId="8" borderId="1" xfId="0" applyNumberFormat="1" applyFont="1" applyFill="1" applyBorder="1" applyAlignment="1">
      <alignment horizontal="center" vertical="center"/>
    </xf>
    <xf numFmtId="2" fontId="23788" fillId="8" borderId="1" xfId="0" applyNumberFormat="1" applyFont="1" applyFill="1" applyBorder="1" applyAlignment="1">
      <alignment horizontal="center" vertical="center"/>
    </xf>
    <xf numFmtId="2" fontId="23789" fillId="8" borderId="1" xfId="0" applyNumberFormat="1" applyFont="1" applyFill="1" applyBorder="1" applyAlignment="1">
      <alignment horizontal="center" vertical="center"/>
    </xf>
    <xf numFmtId="2" fontId="23790" fillId="8" borderId="1" xfId="0" applyNumberFormat="1" applyFont="1" applyFill="1" applyBorder="1" applyAlignment="1">
      <alignment horizontal="center" vertical="center"/>
    </xf>
    <xf numFmtId="0" fontId="23791" fillId="7" borderId="1" xfId="0" applyNumberFormat="1" applyFont="1" applyFill="1" applyBorder="1" applyAlignment="1">
      <alignment horizontal="left" vertical="center"/>
    </xf>
    <xf numFmtId="0" fontId="23792" fillId="8" borderId="1" xfId="0" applyNumberFormat="1" applyFont="1" applyFill="1" applyBorder="1" applyAlignment="1">
      <alignment horizontal="center" vertical="center"/>
    </xf>
    <xf numFmtId="164" fontId="23793" fillId="8" borderId="1" xfId="0" applyNumberFormat="1" applyFont="1" applyFill="1" applyBorder="1" applyAlignment="1">
      <alignment horizontal="center" vertical="center"/>
    </xf>
    <xf numFmtId="1" fontId="23794" fillId="8" borderId="1" xfId="0" applyNumberFormat="1" applyFont="1" applyFill="1" applyBorder="1" applyAlignment="1">
      <alignment horizontal="center" vertical="center"/>
    </xf>
    <xf numFmtId="1" fontId="23795" fillId="8" borderId="1" xfId="0" applyNumberFormat="1" applyFont="1" applyFill="1" applyBorder="1" applyAlignment="1">
      <alignment horizontal="center" vertical="center"/>
    </xf>
    <xf numFmtId="1" fontId="23796" fillId="8" borderId="1" xfId="0" applyNumberFormat="1" applyFont="1" applyFill="1" applyBorder="1" applyAlignment="1">
      <alignment horizontal="center" vertical="center"/>
    </xf>
    <xf numFmtId="1" fontId="23797" fillId="8" borderId="1" xfId="0" applyNumberFormat="1" applyFont="1" applyFill="1" applyBorder="1" applyAlignment="1">
      <alignment horizontal="center" vertical="center"/>
    </xf>
    <xf numFmtId="1" fontId="23798" fillId="8" borderId="1" xfId="0" applyNumberFormat="1" applyFont="1" applyFill="1" applyBorder="1" applyAlignment="1">
      <alignment horizontal="center" vertical="center"/>
    </xf>
    <xf numFmtId="1" fontId="23799" fillId="8" borderId="1" xfId="0" applyNumberFormat="1" applyFont="1" applyFill="1" applyBorder="1" applyAlignment="1">
      <alignment horizontal="center" vertical="center"/>
    </xf>
    <xf numFmtId="1" fontId="23800" fillId="8" borderId="1" xfId="0" applyNumberFormat="1" applyFont="1" applyFill="1" applyBorder="1" applyAlignment="1">
      <alignment horizontal="center" vertical="center"/>
    </xf>
    <xf numFmtId="0" fontId="23801" fillId="8" borderId="1" xfId="0" applyNumberFormat="1" applyFont="1" applyFill="1" applyBorder="1" applyAlignment="1">
      <alignment horizontal="center" vertical="center"/>
    </xf>
    <xf numFmtId="0" fontId="23802" fillId="8" borderId="1" xfId="0" applyNumberFormat="1" applyFont="1" applyFill="1" applyBorder="1" applyAlignment="1">
      <alignment horizontal="center" vertical="center"/>
    </xf>
    <xf numFmtId="1" fontId="23803" fillId="8" borderId="1" xfId="0" applyNumberFormat="1" applyFont="1" applyFill="1" applyBorder="1" applyAlignment="1">
      <alignment horizontal="center" vertical="center"/>
    </xf>
    <xf numFmtId="1" fontId="23804" fillId="8" borderId="1" xfId="0" applyNumberFormat="1" applyFont="1" applyFill="1" applyBorder="1" applyAlignment="1">
      <alignment horizontal="center" vertical="center"/>
    </xf>
    <xf numFmtId="1" fontId="23805" fillId="8" borderId="1" xfId="0" applyNumberFormat="1" applyFont="1" applyFill="1" applyBorder="1" applyAlignment="1">
      <alignment horizontal="center" vertical="center"/>
    </xf>
    <xf numFmtId="165" fontId="23806" fillId="8" borderId="1" xfId="0" applyNumberFormat="1" applyFont="1" applyFill="1" applyBorder="1" applyAlignment="1">
      <alignment horizontal="center" vertical="center"/>
    </xf>
    <xf numFmtId="1" fontId="23807" fillId="8" borderId="1" xfId="0" applyNumberFormat="1" applyFont="1" applyFill="1" applyBorder="1" applyAlignment="1">
      <alignment horizontal="center" vertical="center"/>
    </xf>
    <xf numFmtId="165" fontId="23808" fillId="8" borderId="1" xfId="0" applyNumberFormat="1" applyFont="1" applyFill="1" applyBorder="1" applyAlignment="1">
      <alignment horizontal="center" vertical="center"/>
    </xf>
    <xf numFmtId="1" fontId="23809" fillId="8" borderId="1" xfId="0" applyNumberFormat="1" applyFont="1" applyFill="1" applyBorder="1" applyAlignment="1">
      <alignment horizontal="center" vertical="center"/>
    </xf>
    <xf numFmtId="165" fontId="23810" fillId="8" borderId="1" xfId="0" applyNumberFormat="1" applyFont="1" applyFill="1" applyBorder="1" applyAlignment="1">
      <alignment horizontal="center" vertical="center"/>
    </xf>
    <xf numFmtId="1" fontId="23811" fillId="8" borderId="1" xfId="0" applyNumberFormat="1" applyFont="1" applyFill="1" applyBorder="1" applyAlignment="1">
      <alignment horizontal="center" vertical="center"/>
    </xf>
    <xf numFmtId="165" fontId="23812" fillId="8" borderId="1" xfId="0" applyNumberFormat="1" applyFont="1" applyFill="1" applyBorder="1" applyAlignment="1">
      <alignment horizontal="center" vertical="center"/>
    </xf>
    <xf numFmtId="165" fontId="23813" fillId="8" borderId="1" xfId="0" applyNumberFormat="1" applyFont="1" applyFill="1" applyBorder="1" applyAlignment="1">
      <alignment horizontal="center" vertical="center"/>
    </xf>
    <xf numFmtId="1" fontId="23814" fillId="8" borderId="1" xfId="0" applyNumberFormat="1" applyFont="1" applyFill="1" applyBorder="1" applyAlignment="1">
      <alignment horizontal="center" vertical="center"/>
    </xf>
    <xf numFmtId="1" fontId="23815" fillId="8" borderId="1" xfId="0" applyNumberFormat="1" applyFont="1" applyFill="1" applyBorder="1" applyAlignment="1">
      <alignment horizontal="center" vertical="center"/>
    </xf>
    <xf numFmtId="1" fontId="23816" fillId="8" borderId="1" xfId="0" applyNumberFormat="1" applyFont="1" applyFill="1" applyBorder="1" applyAlignment="1">
      <alignment horizontal="center" vertical="center"/>
    </xf>
    <xf numFmtId="165" fontId="23817" fillId="8" borderId="1" xfId="0" applyNumberFormat="1" applyFont="1" applyFill="1" applyBorder="1" applyAlignment="1">
      <alignment horizontal="center" vertical="center"/>
    </xf>
    <xf numFmtId="164" fontId="23818" fillId="8" borderId="1" xfId="0" applyNumberFormat="1" applyFont="1" applyFill="1" applyBorder="1" applyAlignment="1">
      <alignment horizontal="center" vertical="center"/>
    </xf>
    <xf numFmtId="164" fontId="23819" fillId="8" borderId="1" xfId="0" applyNumberFormat="1" applyFont="1" applyFill="1" applyBorder="1" applyAlignment="1">
      <alignment horizontal="center" vertical="center"/>
    </xf>
    <xf numFmtId="1" fontId="23820" fillId="8" borderId="1" xfId="0" applyNumberFormat="1" applyFont="1" applyFill="1" applyBorder="1" applyAlignment="1">
      <alignment horizontal="center" vertical="center"/>
    </xf>
    <xf numFmtId="1" fontId="23821" fillId="8" borderId="1" xfId="0" applyNumberFormat="1" applyFont="1" applyFill="1" applyBorder="1" applyAlignment="1">
      <alignment horizontal="center" vertical="center"/>
    </xf>
    <xf numFmtId="1" fontId="23822" fillId="8" borderId="1" xfId="0" applyNumberFormat="1" applyFont="1" applyFill="1" applyBorder="1" applyAlignment="1">
      <alignment horizontal="center" vertical="center"/>
    </xf>
    <xf numFmtId="165" fontId="23823" fillId="8" borderId="1" xfId="0" applyNumberFormat="1" applyFont="1" applyFill="1" applyBorder="1" applyAlignment="1">
      <alignment horizontal="center" vertical="center"/>
    </xf>
    <xf numFmtId="1" fontId="23824" fillId="8" borderId="1" xfId="0" applyNumberFormat="1" applyFont="1" applyFill="1" applyBorder="1" applyAlignment="1">
      <alignment horizontal="center" vertical="center"/>
    </xf>
    <xf numFmtId="165" fontId="23825" fillId="8" borderId="1" xfId="0" applyNumberFormat="1" applyFont="1" applyFill="1" applyBorder="1" applyAlignment="1">
      <alignment horizontal="center" vertical="center"/>
    </xf>
    <xf numFmtId="1" fontId="23826" fillId="8" borderId="1" xfId="0" applyNumberFormat="1" applyFont="1" applyFill="1" applyBorder="1" applyAlignment="1">
      <alignment horizontal="center" vertical="center"/>
    </xf>
    <xf numFmtId="1" fontId="23827" fillId="8" borderId="1" xfId="0" applyNumberFormat="1" applyFont="1" applyFill="1" applyBorder="1" applyAlignment="1">
      <alignment horizontal="center" vertical="center"/>
    </xf>
    <xf numFmtId="1" fontId="23828" fillId="8" borderId="1" xfId="0" applyNumberFormat="1" applyFont="1" applyFill="1" applyBorder="1" applyAlignment="1">
      <alignment horizontal="center" vertical="center"/>
    </xf>
    <xf numFmtId="1" fontId="23829" fillId="8" borderId="1" xfId="0" applyNumberFormat="1" applyFont="1" applyFill="1" applyBorder="1" applyAlignment="1">
      <alignment horizontal="center" vertical="center"/>
    </xf>
    <xf numFmtId="165" fontId="23830" fillId="8" borderId="1" xfId="0" applyNumberFormat="1" applyFont="1" applyFill="1" applyBorder="1" applyAlignment="1">
      <alignment horizontal="center" vertical="center"/>
    </xf>
    <xf numFmtId="1" fontId="23831" fillId="8" borderId="1" xfId="0" applyNumberFormat="1" applyFont="1" applyFill="1" applyBorder="1" applyAlignment="1">
      <alignment horizontal="center" vertical="center"/>
    </xf>
    <xf numFmtId="165" fontId="23832" fillId="8" borderId="1" xfId="0" applyNumberFormat="1" applyFont="1" applyFill="1" applyBorder="1" applyAlignment="1">
      <alignment horizontal="center" vertical="center"/>
    </xf>
    <xf numFmtId="1" fontId="23833" fillId="8" borderId="1" xfId="0" applyNumberFormat="1" applyFont="1" applyFill="1" applyBorder="1" applyAlignment="1">
      <alignment horizontal="center" vertical="center"/>
    </xf>
    <xf numFmtId="165" fontId="23834" fillId="8" borderId="1" xfId="0" applyNumberFormat="1" applyFont="1" applyFill="1" applyBorder="1" applyAlignment="1">
      <alignment horizontal="center" vertical="center"/>
    </xf>
    <xf numFmtId="2" fontId="23835" fillId="8" borderId="1" xfId="0" applyNumberFormat="1" applyFont="1" applyFill="1" applyBorder="1" applyAlignment="1">
      <alignment horizontal="center" vertical="center"/>
    </xf>
    <xf numFmtId="2" fontId="23836" fillId="8" borderId="1" xfId="0" applyNumberFormat="1" applyFont="1" applyFill="1" applyBorder="1" applyAlignment="1">
      <alignment horizontal="center" vertical="center"/>
    </xf>
    <xf numFmtId="2" fontId="23837" fillId="8" borderId="1" xfId="0" applyNumberFormat="1" applyFont="1" applyFill="1" applyBorder="1" applyAlignment="1">
      <alignment horizontal="center" vertical="center"/>
    </xf>
    <xf numFmtId="2" fontId="23838" fillId="8" borderId="1" xfId="0" applyNumberFormat="1" applyFont="1" applyFill="1" applyBorder="1" applyAlignment="1">
      <alignment horizontal="center" vertical="center"/>
    </xf>
    <xf numFmtId="2" fontId="23839" fillId="8" borderId="1" xfId="0" applyNumberFormat="1" applyFont="1" applyFill="1" applyBorder="1" applyAlignment="1">
      <alignment horizontal="center" vertical="center"/>
    </xf>
    <xf numFmtId="2" fontId="23840" fillId="8" borderId="1" xfId="0" applyNumberFormat="1" applyFont="1" applyFill="1" applyBorder="1" applyAlignment="1">
      <alignment horizontal="center" vertical="center"/>
    </xf>
    <xf numFmtId="2" fontId="23841" fillId="8" borderId="1" xfId="0" applyNumberFormat="1" applyFont="1" applyFill="1" applyBorder="1" applyAlignment="1">
      <alignment horizontal="center" vertical="center"/>
    </xf>
    <xf numFmtId="2" fontId="23842" fillId="8" borderId="1" xfId="0" applyNumberFormat="1" applyFont="1" applyFill="1" applyBorder="1" applyAlignment="1">
      <alignment horizontal="center" vertical="center"/>
    </xf>
    <xf numFmtId="2" fontId="23843" fillId="8" borderId="1" xfId="0" applyNumberFormat="1" applyFont="1" applyFill="1" applyBorder="1" applyAlignment="1">
      <alignment horizontal="center" vertical="center"/>
    </xf>
    <xf numFmtId="2" fontId="23844" fillId="8" borderId="1" xfId="0" applyNumberFormat="1" applyFont="1" applyFill="1" applyBorder="1" applyAlignment="1">
      <alignment horizontal="center" vertical="center"/>
    </xf>
    <xf numFmtId="2" fontId="23845" fillId="8" borderId="1" xfId="0" applyNumberFormat="1" applyFont="1" applyFill="1" applyBorder="1" applyAlignment="1">
      <alignment horizontal="center" vertical="center"/>
    </xf>
    <xf numFmtId="2" fontId="23846" fillId="8" borderId="1" xfId="0" applyNumberFormat="1" applyFont="1" applyFill="1" applyBorder="1" applyAlignment="1">
      <alignment horizontal="center" vertical="center"/>
    </xf>
    <xf numFmtId="2" fontId="23847" fillId="8" borderId="1" xfId="0" applyNumberFormat="1" applyFont="1" applyFill="1" applyBorder="1" applyAlignment="1">
      <alignment horizontal="center" vertical="center"/>
    </xf>
    <xf numFmtId="2" fontId="23848" fillId="8" borderId="1" xfId="0" applyNumberFormat="1" applyFont="1" applyFill="1" applyBorder="1" applyAlignment="1">
      <alignment horizontal="center" vertical="center"/>
    </xf>
    <xf numFmtId="2" fontId="23849" fillId="8" borderId="1" xfId="0" applyNumberFormat="1" applyFont="1" applyFill="1" applyBorder="1" applyAlignment="1">
      <alignment horizontal="center" vertical="center"/>
    </xf>
    <xf numFmtId="2" fontId="23850" fillId="8" borderId="1" xfId="0" applyNumberFormat="1" applyFont="1" applyFill="1" applyBorder="1" applyAlignment="1">
      <alignment horizontal="center" vertical="center"/>
    </xf>
    <xf numFmtId="2" fontId="23851" fillId="8" borderId="1" xfId="0" applyNumberFormat="1" applyFont="1" applyFill="1" applyBorder="1" applyAlignment="1">
      <alignment horizontal="center" vertical="center"/>
    </xf>
    <xf numFmtId="2" fontId="23852" fillId="8" borderId="1" xfId="0" applyNumberFormat="1" applyFont="1" applyFill="1" applyBorder="1" applyAlignment="1">
      <alignment horizontal="center" vertical="center"/>
    </xf>
    <xf numFmtId="2" fontId="23853" fillId="8" borderId="1" xfId="0" applyNumberFormat="1" applyFont="1" applyFill="1" applyBorder="1" applyAlignment="1">
      <alignment horizontal="center" vertical="center"/>
    </xf>
    <xf numFmtId="2" fontId="23854" fillId="8" borderId="1" xfId="0" applyNumberFormat="1" applyFont="1" applyFill="1" applyBorder="1" applyAlignment="1">
      <alignment horizontal="center" vertical="center"/>
    </xf>
    <xf numFmtId="2" fontId="23855" fillId="8" borderId="1" xfId="0" applyNumberFormat="1" applyFont="1" applyFill="1" applyBorder="1" applyAlignment="1">
      <alignment horizontal="center" vertical="center"/>
    </xf>
    <xf numFmtId="2" fontId="23856" fillId="8" borderId="1" xfId="0" applyNumberFormat="1" applyFont="1" applyFill="1" applyBorder="1" applyAlignment="1">
      <alignment horizontal="center" vertical="center"/>
    </xf>
    <xf numFmtId="2" fontId="23857" fillId="8" borderId="1" xfId="0" applyNumberFormat="1" applyFont="1" applyFill="1" applyBorder="1" applyAlignment="1">
      <alignment horizontal="center" vertical="center"/>
    </xf>
    <xf numFmtId="2" fontId="23858" fillId="8" borderId="1" xfId="0" applyNumberFormat="1" applyFont="1" applyFill="1" applyBorder="1" applyAlignment="1">
      <alignment horizontal="center" vertical="center"/>
    </xf>
    <xf numFmtId="2" fontId="23859" fillId="8" borderId="1" xfId="0" applyNumberFormat="1" applyFont="1" applyFill="1" applyBorder="1" applyAlignment="1">
      <alignment horizontal="center" vertical="center"/>
    </xf>
    <xf numFmtId="2" fontId="23860" fillId="8" borderId="1" xfId="0" applyNumberFormat="1" applyFont="1" applyFill="1" applyBorder="1" applyAlignment="1">
      <alignment horizontal="center" vertical="center"/>
    </xf>
    <xf numFmtId="2" fontId="23861" fillId="8" borderId="1" xfId="0" applyNumberFormat="1" applyFont="1" applyFill="1" applyBorder="1" applyAlignment="1">
      <alignment horizontal="center" vertical="center"/>
    </xf>
    <xf numFmtId="2" fontId="23862" fillId="8" borderId="1" xfId="0" applyNumberFormat="1" applyFont="1" applyFill="1" applyBorder="1" applyAlignment="1">
      <alignment horizontal="center" vertical="center"/>
    </xf>
    <xf numFmtId="2" fontId="23863" fillId="8" borderId="1" xfId="0" applyNumberFormat="1" applyFont="1" applyFill="1" applyBorder="1" applyAlignment="1">
      <alignment horizontal="center" vertical="center"/>
    </xf>
    <xf numFmtId="2" fontId="23864" fillId="8" borderId="1" xfId="0" applyNumberFormat="1" applyFont="1" applyFill="1" applyBorder="1" applyAlignment="1">
      <alignment horizontal="center" vertical="center"/>
    </xf>
    <xf numFmtId="2" fontId="23865" fillId="8" borderId="1" xfId="0" applyNumberFormat="1" applyFont="1" applyFill="1" applyBorder="1" applyAlignment="1">
      <alignment horizontal="center" vertical="center"/>
    </xf>
    <xf numFmtId="2" fontId="23866" fillId="8" borderId="1" xfId="0" applyNumberFormat="1" applyFont="1" applyFill="1" applyBorder="1" applyAlignment="1">
      <alignment horizontal="center" vertical="center"/>
    </xf>
    <xf numFmtId="2" fontId="23867" fillId="8" borderId="1" xfId="0" applyNumberFormat="1" applyFont="1" applyFill="1" applyBorder="1" applyAlignment="1">
      <alignment horizontal="center" vertical="center"/>
    </xf>
    <xf numFmtId="2" fontId="23868" fillId="8" borderId="1" xfId="0" applyNumberFormat="1" applyFont="1" applyFill="1" applyBorder="1" applyAlignment="1">
      <alignment horizontal="center" vertical="center"/>
    </xf>
    <xf numFmtId="0" fontId="23869" fillId="7" borderId="1" xfId="0" applyNumberFormat="1" applyFont="1" applyFill="1" applyBorder="1" applyAlignment="1">
      <alignment horizontal="left" vertical="center"/>
    </xf>
    <xf numFmtId="0" fontId="23870" fillId="8" borderId="1" xfId="0" applyNumberFormat="1" applyFont="1" applyFill="1" applyBorder="1" applyAlignment="1">
      <alignment horizontal="center" vertical="center"/>
    </xf>
    <xf numFmtId="164" fontId="23871" fillId="8" borderId="1" xfId="0" applyNumberFormat="1" applyFont="1" applyFill="1" applyBorder="1" applyAlignment="1">
      <alignment horizontal="center" vertical="center"/>
    </xf>
    <xf numFmtId="1" fontId="23872" fillId="8" borderId="1" xfId="0" applyNumberFormat="1" applyFont="1" applyFill="1" applyBorder="1" applyAlignment="1">
      <alignment horizontal="center" vertical="center"/>
    </xf>
    <xf numFmtId="1" fontId="23873" fillId="8" borderId="1" xfId="0" applyNumberFormat="1" applyFont="1" applyFill="1" applyBorder="1" applyAlignment="1">
      <alignment horizontal="center" vertical="center"/>
    </xf>
    <xf numFmtId="1" fontId="23874" fillId="8" borderId="1" xfId="0" applyNumberFormat="1" applyFont="1" applyFill="1" applyBorder="1" applyAlignment="1">
      <alignment horizontal="center" vertical="center"/>
    </xf>
    <xf numFmtId="1" fontId="23875" fillId="8" borderId="1" xfId="0" applyNumberFormat="1" applyFont="1" applyFill="1" applyBorder="1" applyAlignment="1">
      <alignment horizontal="center" vertical="center"/>
    </xf>
    <xf numFmtId="1" fontId="23876" fillId="8" borderId="1" xfId="0" applyNumberFormat="1" applyFont="1" applyFill="1" applyBorder="1" applyAlignment="1">
      <alignment horizontal="center" vertical="center"/>
    </xf>
    <xf numFmtId="1" fontId="23877" fillId="8" borderId="1" xfId="0" applyNumberFormat="1" applyFont="1" applyFill="1" applyBorder="1" applyAlignment="1">
      <alignment horizontal="center" vertical="center"/>
    </xf>
    <xf numFmtId="1" fontId="23878" fillId="8" borderId="1" xfId="0" applyNumberFormat="1" applyFont="1" applyFill="1" applyBorder="1" applyAlignment="1">
      <alignment horizontal="center" vertical="center"/>
    </xf>
    <xf numFmtId="0" fontId="23879" fillId="8" borderId="1" xfId="0" applyNumberFormat="1" applyFont="1" applyFill="1" applyBorder="1" applyAlignment="1">
      <alignment horizontal="center" vertical="center"/>
    </xf>
    <xf numFmtId="0" fontId="23880" fillId="8" borderId="1" xfId="0" applyNumberFormat="1" applyFont="1" applyFill="1" applyBorder="1" applyAlignment="1">
      <alignment horizontal="center" vertical="center"/>
    </xf>
    <xf numFmtId="1" fontId="23881" fillId="8" borderId="1" xfId="0" applyNumberFormat="1" applyFont="1" applyFill="1" applyBorder="1" applyAlignment="1">
      <alignment horizontal="center" vertical="center"/>
    </xf>
    <xf numFmtId="1" fontId="23882" fillId="8" borderId="1" xfId="0" applyNumberFormat="1" applyFont="1" applyFill="1" applyBorder="1" applyAlignment="1">
      <alignment horizontal="center" vertical="center"/>
    </xf>
    <xf numFmtId="1" fontId="23883" fillId="8" borderId="1" xfId="0" applyNumberFormat="1" applyFont="1" applyFill="1" applyBorder="1" applyAlignment="1">
      <alignment horizontal="center" vertical="center"/>
    </xf>
    <xf numFmtId="165" fontId="23884" fillId="8" borderId="1" xfId="0" applyNumberFormat="1" applyFont="1" applyFill="1" applyBorder="1" applyAlignment="1">
      <alignment horizontal="center" vertical="center"/>
    </xf>
    <xf numFmtId="1" fontId="23885" fillId="8" borderId="1" xfId="0" applyNumberFormat="1" applyFont="1" applyFill="1" applyBorder="1" applyAlignment="1">
      <alignment horizontal="center" vertical="center"/>
    </xf>
    <xf numFmtId="165" fontId="23886" fillId="8" borderId="1" xfId="0" applyNumberFormat="1" applyFont="1" applyFill="1" applyBorder="1" applyAlignment="1">
      <alignment horizontal="center" vertical="center"/>
    </xf>
    <xf numFmtId="1" fontId="23887" fillId="8" borderId="1" xfId="0" applyNumberFormat="1" applyFont="1" applyFill="1" applyBorder="1" applyAlignment="1">
      <alignment horizontal="center" vertical="center"/>
    </xf>
    <xf numFmtId="165" fontId="23888" fillId="8" borderId="1" xfId="0" applyNumberFormat="1" applyFont="1" applyFill="1" applyBorder="1" applyAlignment="1">
      <alignment horizontal="center" vertical="center"/>
    </xf>
    <xf numFmtId="1" fontId="23889" fillId="8" borderId="1" xfId="0" applyNumberFormat="1" applyFont="1" applyFill="1" applyBorder="1" applyAlignment="1">
      <alignment horizontal="center" vertical="center"/>
    </xf>
    <xf numFmtId="165" fontId="23890" fillId="8" borderId="1" xfId="0" applyNumberFormat="1" applyFont="1" applyFill="1" applyBorder="1" applyAlignment="1">
      <alignment horizontal="center" vertical="center"/>
    </xf>
    <xf numFmtId="165" fontId="23891" fillId="8" borderId="1" xfId="0" applyNumberFormat="1" applyFont="1" applyFill="1" applyBorder="1" applyAlignment="1">
      <alignment horizontal="center" vertical="center"/>
    </xf>
    <xf numFmtId="1" fontId="23892" fillId="8" borderId="1" xfId="0" applyNumberFormat="1" applyFont="1" applyFill="1" applyBorder="1" applyAlignment="1">
      <alignment horizontal="center" vertical="center"/>
    </xf>
    <xf numFmtId="1" fontId="23893" fillId="8" borderId="1" xfId="0" applyNumberFormat="1" applyFont="1" applyFill="1" applyBorder="1" applyAlignment="1">
      <alignment horizontal="center" vertical="center"/>
    </xf>
    <xf numFmtId="1" fontId="23894" fillId="8" borderId="1" xfId="0" applyNumberFormat="1" applyFont="1" applyFill="1" applyBorder="1" applyAlignment="1">
      <alignment horizontal="center" vertical="center"/>
    </xf>
    <xf numFmtId="165" fontId="23895" fillId="8" borderId="1" xfId="0" applyNumberFormat="1" applyFont="1" applyFill="1" applyBorder="1" applyAlignment="1">
      <alignment horizontal="center" vertical="center"/>
    </xf>
    <xf numFmtId="164" fontId="23896" fillId="8" borderId="1" xfId="0" applyNumberFormat="1" applyFont="1" applyFill="1" applyBorder="1" applyAlignment="1">
      <alignment horizontal="center" vertical="center"/>
    </xf>
    <xf numFmtId="164" fontId="23897" fillId="8" borderId="1" xfId="0" applyNumberFormat="1" applyFont="1" applyFill="1" applyBorder="1" applyAlignment="1">
      <alignment horizontal="center" vertical="center"/>
    </xf>
    <xf numFmtId="1" fontId="23898" fillId="8" borderId="1" xfId="0" applyNumberFormat="1" applyFont="1" applyFill="1" applyBorder="1" applyAlignment="1">
      <alignment horizontal="center" vertical="center"/>
    </xf>
    <xf numFmtId="1" fontId="23899" fillId="8" borderId="1" xfId="0" applyNumberFormat="1" applyFont="1" applyFill="1" applyBorder="1" applyAlignment="1">
      <alignment horizontal="center" vertical="center"/>
    </xf>
    <xf numFmtId="1" fontId="23900" fillId="8" borderId="1" xfId="0" applyNumberFormat="1" applyFont="1" applyFill="1" applyBorder="1" applyAlignment="1">
      <alignment horizontal="center" vertical="center"/>
    </xf>
    <xf numFmtId="165" fontId="23901" fillId="8" borderId="1" xfId="0" applyNumberFormat="1" applyFont="1" applyFill="1" applyBorder="1" applyAlignment="1">
      <alignment horizontal="center" vertical="center"/>
    </xf>
    <xf numFmtId="1" fontId="23902" fillId="8" borderId="1" xfId="0" applyNumberFormat="1" applyFont="1" applyFill="1" applyBorder="1" applyAlignment="1">
      <alignment horizontal="center" vertical="center"/>
    </xf>
    <xf numFmtId="165" fontId="23903" fillId="8" borderId="1" xfId="0" applyNumberFormat="1" applyFont="1" applyFill="1" applyBorder="1" applyAlignment="1">
      <alignment horizontal="center" vertical="center"/>
    </xf>
    <xf numFmtId="1" fontId="23904" fillId="8" borderId="1" xfId="0" applyNumberFormat="1" applyFont="1" applyFill="1" applyBorder="1" applyAlignment="1">
      <alignment horizontal="center" vertical="center"/>
    </xf>
    <xf numFmtId="1" fontId="23905" fillId="8" borderId="1" xfId="0" applyNumberFormat="1" applyFont="1" applyFill="1" applyBorder="1" applyAlignment="1">
      <alignment horizontal="center" vertical="center"/>
    </xf>
    <xf numFmtId="1" fontId="23906" fillId="8" borderId="1" xfId="0" applyNumberFormat="1" applyFont="1" applyFill="1" applyBorder="1" applyAlignment="1">
      <alignment horizontal="center" vertical="center"/>
    </xf>
    <xf numFmtId="1" fontId="23907" fillId="8" borderId="1" xfId="0" applyNumberFormat="1" applyFont="1" applyFill="1" applyBorder="1" applyAlignment="1">
      <alignment horizontal="center" vertical="center"/>
    </xf>
    <xf numFmtId="165" fontId="23908" fillId="8" borderId="1" xfId="0" applyNumberFormat="1" applyFont="1" applyFill="1" applyBorder="1" applyAlignment="1">
      <alignment horizontal="center" vertical="center"/>
    </xf>
    <xf numFmtId="1" fontId="23909" fillId="8" borderId="1" xfId="0" applyNumberFormat="1" applyFont="1" applyFill="1" applyBorder="1" applyAlignment="1">
      <alignment horizontal="center" vertical="center"/>
    </xf>
    <xf numFmtId="165" fontId="23910" fillId="8" borderId="1" xfId="0" applyNumberFormat="1" applyFont="1" applyFill="1" applyBorder="1" applyAlignment="1">
      <alignment horizontal="center" vertical="center"/>
    </xf>
    <xf numFmtId="1" fontId="23911" fillId="8" borderId="1" xfId="0" applyNumberFormat="1" applyFont="1" applyFill="1" applyBorder="1" applyAlignment="1">
      <alignment horizontal="center" vertical="center"/>
    </xf>
    <xf numFmtId="165" fontId="23912" fillId="8" borderId="1" xfId="0" applyNumberFormat="1" applyFont="1" applyFill="1" applyBorder="1" applyAlignment="1">
      <alignment horizontal="center" vertical="center"/>
    </xf>
    <xf numFmtId="2" fontId="23913" fillId="8" borderId="1" xfId="0" applyNumberFormat="1" applyFont="1" applyFill="1" applyBorder="1" applyAlignment="1">
      <alignment horizontal="center" vertical="center"/>
    </xf>
    <xf numFmtId="2" fontId="23914" fillId="8" borderId="1" xfId="0" applyNumberFormat="1" applyFont="1" applyFill="1" applyBorder="1" applyAlignment="1">
      <alignment horizontal="center" vertical="center"/>
    </xf>
    <xf numFmtId="2" fontId="23915" fillId="8" borderId="1" xfId="0" applyNumberFormat="1" applyFont="1" applyFill="1" applyBorder="1" applyAlignment="1">
      <alignment horizontal="center" vertical="center"/>
    </xf>
    <xf numFmtId="2" fontId="23916" fillId="8" borderId="1" xfId="0" applyNumberFormat="1" applyFont="1" applyFill="1" applyBorder="1" applyAlignment="1">
      <alignment horizontal="center" vertical="center"/>
    </xf>
    <xf numFmtId="2" fontId="23917" fillId="8" borderId="1" xfId="0" applyNumberFormat="1" applyFont="1" applyFill="1" applyBorder="1" applyAlignment="1">
      <alignment horizontal="center" vertical="center"/>
    </xf>
    <xf numFmtId="2" fontId="23918" fillId="8" borderId="1" xfId="0" applyNumberFormat="1" applyFont="1" applyFill="1" applyBorder="1" applyAlignment="1">
      <alignment horizontal="center" vertical="center"/>
    </xf>
    <xf numFmtId="2" fontId="23919" fillId="8" borderId="1" xfId="0" applyNumberFormat="1" applyFont="1" applyFill="1" applyBorder="1" applyAlignment="1">
      <alignment horizontal="center" vertical="center"/>
    </xf>
    <xf numFmtId="2" fontId="23920" fillId="8" borderId="1" xfId="0" applyNumberFormat="1" applyFont="1" applyFill="1" applyBorder="1" applyAlignment="1">
      <alignment horizontal="center" vertical="center"/>
    </xf>
    <xf numFmtId="2" fontId="23921" fillId="8" borderId="1" xfId="0" applyNumberFormat="1" applyFont="1" applyFill="1" applyBorder="1" applyAlignment="1">
      <alignment horizontal="center" vertical="center"/>
    </xf>
    <xf numFmtId="2" fontId="23922" fillId="8" borderId="1" xfId="0" applyNumberFormat="1" applyFont="1" applyFill="1" applyBorder="1" applyAlignment="1">
      <alignment horizontal="center" vertical="center"/>
    </xf>
    <xf numFmtId="2" fontId="23923" fillId="8" borderId="1" xfId="0" applyNumberFormat="1" applyFont="1" applyFill="1" applyBorder="1" applyAlignment="1">
      <alignment horizontal="center" vertical="center"/>
    </xf>
    <xf numFmtId="2" fontId="23924" fillId="8" borderId="1" xfId="0" applyNumberFormat="1" applyFont="1" applyFill="1" applyBorder="1" applyAlignment="1">
      <alignment horizontal="center" vertical="center"/>
    </xf>
    <xf numFmtId="2" fontId="23925" fillId="8" borderId="1" xfId="0" applyNumberFormat="1" applyFont="1" applyFill="1" applyBorder="1" applyAlignment="1">
      <alignment horizontal="center" vertical="center"/>
    </xf>
    <xf numFmtId="2" fontId="23926" fillId="8" borderId="1" xfId="0" applyNumberFormat="1" applyFont="1" applyFill="1" applyBorder="1" applyAlignment="1">
      <alignment horizontal="center" vertical="center"/>
    </xf>
    <xf numFmtId="2" fontId="23927" fillId="8" borderId="1" xfId="0" applyNumberFormat="1" applyFont="1" applyFill="1" applyBorder="1" applyAlignment="1">
      <alignment horizontal="center" vertical="center"/>
    </xf>
    <xf numFmtId="2" fontId="23928" fillId="8" borderId="1" xfId="0" applyNumberFormat="1" applyFont="1" applyFill="1" applyBorder="1" applyAlignment="1">
      <alignment horizontal="center" vertical="center"/>
    </xf>
    <xf numFmtId="2" fontId="23929" fillId="8" borderId="1" xfId="0" applyNumberFormat="1" applyFont="1" applyFill="1" applyBorder="1" applyAlignment="1">
      <alignment horizontal="center" vertical="center"/>
    </xf>
    <xf numFmtId="2" fontId="23930" fillId="8" borderId="1" xfId="0" applyNumberFormat="1" applyFont="1" applyFill="1" applyBorder="1" applyAlignment="1">
      <alignment horizontal="center" vertical="center"/>
    </xf>
    <xf numFmtId="2" fontId="23931" fillId="8" borderId="1" xfId="0" applyNumberFormat="1" applyFont="1" applyFill="1" applyBorder="1" applyAlignment="1">
      <alignment horizontal="center" vertical="center"/>
    </xf>
    <xf numFmtId="2" fontId="23932" fillId="8" borderId="1" xfId="0" applyNumberFormat="1" applyFont="1" applyFill="1" applyBorder="1" applyAlignment="1">
      <alignment horizontal="center" vertical="center"/>
    </xf>
    <xf numFmtId="2" fontId="23933" fillId="8" borderId="1" xfId="0" applyNumberFormat="1" applyFont="1" applyFill="1" applyBorder="1" applyAlignment="1">
      <alignment horizontal="center" vertical="center"/>
    </xf>
    <xf numFmtId="2" fontId="23934" fillId="8" borderId="1" xfId="0" applyNumberFormat="1" applyFont="1" applyFill="1" applyBorder="1" applyAlignment="1">
      <alignment horizontal="center" vertical="center"/>
    </xf>
    <xf numFmtId="2" fontId="23935" fillId="8" borderId="1" xfId="0" applyNumberFormat="1" applyFont="1" applyFill="1" applyBorder="1" applyAlignment="1">
      <alignment horizontal="center" vertical="center"/>
    </xf>
    <xf numFmtId="2" fontId="23936" fillId="8" borderId="1" xfId="0" applyNumberFormat="1" applyFont="1" applyFill="1" applyBorder="1" applyAlignment="1">
      <alignment horizontal="center" vertical="center"/>
    </xf>
    <xf numFmtId="2" fontId="23937" fillId="8" borderId="1" xfId="0" applyNumberFormat="1" applyFont="1" applyFill="1" applyBorder="1" applyAlignment="1">
      <alignment horizontal="center" vertical="center"/>
    </xf>
    <xf numFmtId="2" fontId="23938" fillId="8" borderId="1" xfId="0" applyNumberFormat="1" applyFont="1" applyFill="1" applyBorder="1" applyAlignment="1">
      <alignment horizontal="center" vertical="center"/>
    </xf>
    <xf numFmtId="2" fontId="23939" fillId="8" borderId="1" xfId="0" applyNumberFormat="1" applyFont="1" applyFill="1" applyBorder="1" applyAlignment="1">
      <alignment horizontal="center" vertical="center"/>
    </xf>
    <xf numFmtId="2" fontId="23940" fillId="8" borderId="1" xfId="0" applyNumberFormat="1" applyFont="1" applyFill="1" applyBorder="1" applyAlignment="1">
      <alignment horizontal="center" vertical="center"/>
    </xf>
    <xf numFmtId="2" fontId="23941" fillId="8" borderId="1" xfId="0" applyNumberFormat="1" applyFont="1" applyFill="1" applyBorder="1" applyAlignment="1">
      <alignment horizontal="center" vertical="center"/>
    </xf>
    <xf numFmtId="2" fontId="23942" fillId="8" borderId="1" xfId="0" applyNumberFormat="1" applyFont="1" applyFill="1" applyBorder="1" applyAlignment="1">
      <alignment horizontal="center" vertical="center"/>
    </xf>
    <xf numFmtId="2" fontId="23943" fillId="8" borderId="1" xfId="0" applyNumberFormat="1" applyFont="1" applyFill="1" applyBorder="1" applyAlignment="1">
      <alignment horizontal="center" vertical="center"/>
    </xf>
    <xf numFmtId="2" fontId="23944" fillId="8" borderId="1" xfId="0" applyNumberFormat="1" applyFont="1" applyFill="1" applyBorder="1" applyAlignment="1">
      <alignment horizontal="center" vertical="center"/>
    </xf>
    <xf numFmtId="2" fontId="23945" fillId="8" borderId="1" xfId="0" applyNumberFormat="1" applyFont="1" applyFill="1" applyBorder="1" applyAlignment="1">
      <alignment horizontal="center" vertical="center"/>
    </xf>
    <xf numFmtId="2" fontId="23946" fillId="8" borderId="1" xfId="0" applyNumberFormat="1" applyFont="1" applyFill="1" applyBorder="1" applyAlignment="1">
      <alignment horizontal="center" vertical="center"/>
    </xf>
    <xf numFmtId="0" fontId="23947" fillId="7" borderId="1" xfId="0" applyNumberFormat="1" applyFont="1" applyFill="1" applyBorder="1" applyAlignment="1">
      <alignment horizontal="left" vertical="center"/>
    </xf>
    <xf numFmtId="0" fontId="23948" fillId="8" borderId="1" xfId="0" applyNumberFormat="1" applyFont="1" applyFill="1" applyBorder="1" applyAlignment="1">
      <alignment horizontal="center" vertical="center"/>
    </xf>
    <xf numFmtId="164" fontId="23949" fillId="8" borderId="1" xfId="0" applyNumberFormat="1" applyFont="1" applyFill="1" applyBorder="1" applyAlignment="1">
      <alignment horizontal="center" vertical="center"/>
    </xf>
    <xf numFmtId="1" fontId="23950" fillId="8" borderId="1" xfId="0" applyNumberFormat="1" applyFont="1" applyFill="1" applyBorder="1" applyAlignment="1">
      <alignment horizontal="center" vertical="center"/>
    </xf>
    <xf numFmtId="1" fontId="23951" fillId="8" borderId="1" xfId="0" applyNumberFormat="1" applyFont="1" applyFill="1" applyBorder="1" applyAlignment="1">
      <alignment horizontal="center" vertical="center"/>
    </xf>
    <xf numFmtId="1" fontId="23952" fillId="8" borderId="1" xfId="0" applyNumberFormat="1" applyFont="1" applyFill="1" applyBorder="1" applyAlignment="1">
      <alignment horizontal="center" vertical="center"/>
    </xf>
    <xf numFmtId="1" fontId="23953" fillId="8" borderId="1" xfId="0" applyNumberFormat="1" applyFont="1" applyFill="1" applyBorder="1" applyAlignment="1">
      <alignment horizontal="center" vertical="center"/>
    </xf>
    <xf numFmtId="1" fontId="23954" fillId="8" borderId="1" xfId="0" applyNumberFormat="1" applyFont="1" applyFill="1" applyBorder="1" applyAlignment="1">
      <alignment horizontal="center" vertical="center"/>
    </xf>
    <xf numFmtId="1" fontId="23955" fillId="8" borderId="1" xfId="0" applyNumberFormat="1" applyFont="1" applyFill="1" applyBorder="1" applyAlignment="1">
      <alignment horizontal="center" vertical="center"/>
    </xf>
    <xf numFmtId="1" fontId="23956" fillId="8" borderId="1" xfId="0" applyNumberFormat="1" applyFont="1" applyFill="1" applyBorder="1" applyAlignment="1">
      <alignment horizontal="center" vertical="center"/>
    </xf>
    <xf numFmtId="0" fontId="23957" fillId="8" borderId="1" xfId="0" applyNumberFormat="1" applyFont="1" applyFill="1" applyBorder="1" applyAlignment="1">
      <alignment horizontal="center" vertical="center"/>
    </xf>
    <xf numFmtId="0" fontId="23958" fillId="8" borderId="1" xfId="0" applyNumberFormat="1" applyFont="1" applyFill="1" applyBorder="1" applyAlignment="1">
      <alignment horizontal="center" vertical="center"/>
    </xf>
    <xf numFmtId="1" fontId="23959" fillId="8" borderId="1" xfId="0" applyNumberFormat="1" applyFont="1" applyFill="1" applyBorder="1" applyAlignment="1">
      <alignment horizontal="center" vertical="center"/>
    </xf>
    <xf numFmtId="1" fontId="23960" fillId="8" borderId="1" xfId="0" applyNumberFormat="1" applyFont="1" applyFill="1" applyBorder="1" applyAlignment="1">
      <alignment horizontal="center" vertical="center"/>
    </xf>
    <xf numFmtId="1" fontId="23961" fillId="8" borderId="1" xfId="0" applyNumberFormat="1" applyFont="1" applyFill="1" applyBorder="1" applyAlignment="1">
      <alignment horizontal="center" vertical="center"/>
    </xf>
    <xf numFmtId="165" fontId="23962" fillId="8" borderId="1" xfId="0" applyNumberFormat="1" applyFont="1" applyFill="1" applyBorder="1" applyAlignment="1">
      <alignment horizontal="center" vertical="center"/>
    </xf>
    <xf numFmtId="1" fontId="23963" fillId="8" borderId="1" xfId="0" applyNumberFormat="1" applyFont="1" applyFill="1" applyBorder="1" applyAlignment="1">
      <alignment horizontal="center" vertical="center"/>
    </xf>
    <xf numFmtId="165" fontId="23964" fillId="8" borderId="1" xfId="0" applyNumberFormat="1" applyFont="1" applyFill="1" applyBorder="1" applyAlignment="1">
      <alignment horizontal="center" vertical="center"/>
    </xf>
    <xf numFmtId="1" fontId="23965" fillId="8" borderId="1" xfId="0" applyNumberFormat="1" applyFont="1" applyFill="1" applyBorder="1" applyAlignment="1">
      <alignment horizontal="center" vertical="center"/>
    </xf>
    <xf numFmtId="165" fontId="23966" fillId="8" borderId="1" xfId="0" applyNumberFormat="1" applyFont="1" applyFill="1" applyBorder="1" applyAlignment="1">
      <alignment horizontal="center" vertical="center"/>
    </xf>
    <xf numFmtId="1" fontId="23967" fillId="8" borderId="1" xfId="0" applyNumberFormat="1" applyFont="1" applyFill="1" applyBorder="1" applyAlignment="1">
      <alignment horizontal="center" vertical="center"/>
    </xf>
    <xf numFmtId="165" fontId="23968" fillId="8" borderId="1" xfId="0" applyNumberFormat="1" applyFont="1" applyFill="1" applyBorder="1" applyAlignment="1">
      <alignment horizontal="center" vertical="center"/>
    </xf>
    <xf numFmtId="165" fontId="23969" fillId="8" borderId="1" xfId="0" applyNumberFormat="1" applyFont="1" applyFill="1" applyBorder="1" applyAlignment="1">
      <alignment horizontal="center" vertical="center"/>
    </xf>
    <xf numFmtId="1" fontId="23970" fillId="8" borderId="1" xfId="0" applyNumberFormat="1" applyFont="1" applyFill="1" applyBorder="1" applyAlignment="1">
      <alignment horizontal="center" vertical="center"/>
    </xf>
    <xf numFmtId="1" fontId="23971" fillId="8" borderId="1" xfId="0" applyNumberFormat="1" applyFont="1" applyFill="1" applyBorder="1" applyAlignment="1">
      <alignment horizontal="center" vertical="center"/>
    </xf>
    <xf numFmtId="1" fontId="23972" fillId="8" borderId="1" xfId="0" applyNumberFormat="1" applyFont="1" applyFill="1" applyBorder="1" applyAlignment="1">
      <alignment horizontal="center" vertical="center"/>
    </xf>
    <xf numFmtId="165" fontId="23973" fillId="8" borderId="1" xfId="0" applyNumberFormat="1" applyFont="1" applyFill="1" applyBorder="1" applyAlignment="1">
      <alignment horizontal="center" vertical="center"/>
    </xf>
    <xf numFmtId="164" fontId="23974" fillId="8" borderId="1" xfId="0" applyNumberFormat="1" applyFont="1" applyFill="1" applyBorder="1" applyAlignment="1">
      <alignment horizontal="center" vertical="center"/>
    </xf>
    <xf numFmtId="164" fontId="23975" fillId="8" borderId="1" xfId="0" applyNumberFormat="1" applyFont="1" applyFill="1" applyBorder="1" applyAlignment="1">
      <alignment horizontal="center" vertical="center"/>
    </xf>
    <xf numFmtId="1" fontId="23976" fillId="8" borderId="1" xfId="0" applyNumberFormat="1" applyFont="1" applyFill="1" applyBorder="1" applyAlignment="1">
      <alignment horizontal="center" vertical="center"/>
    </xf>
    <xf numFmtId="1" fontId="23977" fillId="8" borderId="1" xfId="0" applyNumberFormat="1" applyFont="1" applyFill="1" applyBorder="1" applyAlignment="1">
      <alignment horizontal="center" vertical="center"/>
    </xf>
    <xf numFmtId="1" fontId="23978" fillId="8" borderId="1" xfId="0" applyNumberFormat="1" applyFont="1" applyFill="1" applyBorder="1" applyAlignment="1">
      <alignment horizontal="center" vertical="center"/>
    </xf>
    <xf numFmtId="165" fontId="23979" fillId="8" borderId="1" xfId="0" applyNumberFormat="1" applyFont="1" applyFill="1" applyBorder="1" applyAlignment="1">
      <alignment horizontal="center" vertical="center"/>
    </xf>
    <xf numFmtId="1" fontId="23980" fillId="8" borderId="1" xfId="0" applyNumberFormat="1" applyFont="1" applyFill="1" applyBorder="1" applyAlignment="1">
      <alignment horizontal="center" vertical="center"/>
    </xf>
    <xf numFmtId="165" fontId="23981" fillId="8" borderId="1" xfId="0" applyNumberFormat="1" applyFont="1" applyFill="1" applyBorder="1" applyAlignment="1">
      <alignment horizontal="center" vertical="center"/>
    </xf>
    <xf numFmtId="1" fontId="23982" fillId="8" borderId="1" xfId="0" applyNumberFormat="1" applyFont="1" applyFill="1" applyBorder="1" applyAlignment="1">
      <alignment horizontal="center" vertical="center"/>
    </xf>
    <xf numFmtId="1" fontId="23983" fillId="8" borderId="1" xfId="0" applyNumberFormat="1" applyFont="1" applyFill="1" applyBorder="1" applyAlignment="1">
      <alignment horizontal="center" vertical="center"/>
    </xf>
    <xf numFmtId="1" fontId="23984" fillId="8" borderId="1" xfId="0" applyNumberFormat="1" applyFont="1" applyFill="1" applyBorder="1" applyAlignment="1">
      <alignment horizontal="center" vertical="center"/>
    </xf>
    <xf numFmtId="1" fontId="23985" fillId="8" borderId="1" xfId="0" applyNumberFormat="1" applyFont="1" applyFill="1" applyBorder="1" applyAlignment="1">
      <alignment horizontal="center" vertical="center"/>
    </xf>
    <xf numFmtId="165" fontId="23986" fillId="8" borderId="1" xfId="0" applyNumberFormat="1" applyFont="1" applyFill="1" applyBorder="1" applyAlignment="1">
      <alignment horizontal="center" vertical="center"/>
    </xf>
    <xf numFmtId="1" fontId="23987" fillId="8" borderId="1" xfId="0" applyNumberFormat="1" applyFont="1" applyFill="1" applyBorder="1" applyAlignment="1">
      <alignment horizontal="center" vertical="center"/>
    </xf>
    <xf numFmtId="165" fontId="23988" fillId="8" borderId="1" xfId="0" applyNumberFormat="1" applyFont="1" applyFill="1" applyBorder="1" applyAlignment="1">
      <alignment horizontal="center" vertical="center"/>
    </xf>
    <xf numFmtId="1" fontId="23989" fillId="8" borderId="1" xfId="0" applyNumberFormat="1" applyFont="1" applyFill="1" applyBorder="1" applyAlignment="1">
      <alignment horizontal="center" vertical="center"/>
    </xf>
    <xf numFmtId="165" fontId="23990" fillId="8" borderId="1" xfId="0" applyNumberFormat="1" applyFont="1" applyFill="1" applyBorder="1" applyAlignment="1">
      <alignment horizontal="center" vertical="center"/>
    </xf>
    <xf numFmtId="2" fontId="23991" fillId="8" borderId="1" xfId="0" applyNumberFormat="1" applyFont="1" applyFill="1" applyBorder="1" applyAlignment="1">
      <alignment horizontal="center" vertical="center"/>
    </xf>
    <xf numFmtId="2" fontId="23992" fillId="8" borderId="1" xfId="0" applyNumberFormat="1" applyFont="1" applyFill="1" applyBorder="1" applyAlignment="1">
      <alignment horizontal="center" vertical="center"/>
    </xf>
    <xf numFmtId="2" fontId="23993" fillId="8" borderId="1" xfId="0" applyNumberFormat="1" applyFont="1" applyFill="1" applyBorder="1" applyAlignment="1">
      <alignment horizontal="center" vertical="center"/>
    </xf>
    <xf numFmtId="2" fontId="23994" fillId="8" borderId="1" xfId="0" applyNumberFormat="1" applyFont="1" applyFill="1" applyBorder="1" applyAlignment="1">
      <alignment horizontal="center" vertical="center"/>
    </xf>
    <xf numFmtId="2" fontId="23995" fillId="8" borderId="1" xfId="0" applyNumberFormat="1" applyFont="1" applyFill="1" applyBorder="1" applyAlignment="1">
      <alignment horizontal="center" vertical="center"/>
    </xf>
    <xf numFmtId="2" fontId="23996" fillId="8" borderId="1" xfId="0" applyNumberFormat="1" applyFont="1" applyFill="1" applyBorder="1" applyAlignment="1">
      <alignment horizontal="center" vertical="center"/>
    </xf>
    <xf numFmtId="2" fontId="23997" fillId="8" borderId="1" xfId="0" applyNumberFormat="1" applyFont="1" applyFill="1" applyBorder="1" applyAlignment="1">
      <alignment horizontal="center" vertical="center"/>
    </xf>
    <xf numFmtId="2" fontId="23998" fillId="8" borderId="1" xfId="0" applyNumberFormat="1" applyFont="1" applyFill="1" applyBorder="1" applyAlignment="1">
      <alignment horizontal="center" vertical="center"/>
    </xf>
    <xf numFmtId="2" fontId="23999" fillId="8" borderId="1" xfId="0" applyNumberFormat="1" applyFont="1" applyFill="1" applyBorder="1" applyAlignment="1">
      <alignment horizontal="center" vertical="center"/>
    </xf>
    <xf numFmtId="2" fontId="24000" fillId="8" borderId="1" xfId="0" applyNumberFormat="1" applyFont="1" applyFill="1" applyBorder="1" applyAlignment="1">
      <alignment horizontal="center" vertical="center"/>
    </xf>
    <xf numFmtId="2" fontId="24001" fillId="8" borderId="1" xfId="0" applyNumberFormat="1" applyFont="1" applyFill="1" applyBorder="1" applyAlignment="1">
      <alignment horizontal="center" vertical="center"/>
    </xf>
    <xf numFmtId="2" fontId="24002" fillId="8" borderId="1" xfId="0" applyNumberFormat="1" applyFont="1" applyFill="1" applyBorder="1" applyAlignment="1">
      <alignment horizontal="center" vertical="center"/>
    </xf>
    <xf numFmtId="2" fontId="24003" fillId="8" borderId="1" xfId="0" applyNumberFormat="1" applyFont="1" applyFill="1" applyBorder="1" applyAlignment="1">
      <alignment horizontal="center" vertical="center"/>
    </xf>
    <xf numFmtId="2" fontId="24004" fillId="8" borderId="1" xfId="0" applyNumberFormat="1" applyFont="1" applyFill="1" applyBorder="1" applyAlignment="1">
      <alignment horizontal="center" vertical="center"/>
    </xf>
    <xf numFmtId="2" fontId="24005" fillId="8" borderId="1" xfId="0" applyNumberFormat="1" applyFont="1" applyFill="1" applyBorder="1" applyAlignment="1">
      <alignment horizontal="center" vertical="center"/>
    </xf>
    <xf numFmtId="2" fontId="24006" fillId="8" borderId="1" xfId="0" applyNumberFormat="1" applyFont="1" applyFill="1" applyBorder="1" applyAlignment="1">
      <alignment horizontal="center" vertical="center"/>
    </xf>
    <xf numFmtId="2" fontId="24007" fillId="8" borderId="1" xfId="0" applyNumberFormat="1" applyFont="1" applyFill="1" applyBorder="1" applyAlignment="1">
      <alignment horizontal="center" vertical="center"/>
    </xf>
    <xf numFmtId="2" fontId="24008" fillId="8" borderId="1" xfId="0" applyNumberFormat="1" applyFont="1" applyFill="1" applyBorder="1" applyAlignment="1">
      <alignment horizontal="center" vertical="center"/>
    </xf>
    <xf numFmtId="2" fontId="24009" fillId="8" borderId="1" xfId="0" applyNumberFormat="1" applyFont="1" applyFill="1" applyBorder="1" applyAlignment="1">
      <alignment horizontal="center" vertical="center"/>
    </xf>
    <xf numFmtId="2" fontId="24010" fillId="8" borderId="1" xfId="0" applyNumberFormat="1" applyFont="1" applyFill="1" applyBorder="1" applyAlignment="1">
      <alignment horizontal="center" vertical="center"/>
    </xf>
    <xf numFmtId="2" fontId="24011" fillId="8" borderId="1" xfId="0" applyNumberFormat="1" applyFont="1" applyFill="1" applyBorder="1" applyAlignment="1">
      <alignment horizontal="center" vertical="center"/>
    </xf>
    <xf numFmtId="2" fontId="24012" fillId="8" borderId="1" xfId="0" applyNumberFormat="1" applyFont="1" applyFill="1" applyBorder="1" applyAlignment="1">
      <alignment horizontal="center" vertical="center"/>
    </xf>
    <xf numFmtId="2" fontId="24013" fillId="8" borderId="1" xfId="0" applyNumberFormat="1" applyFont="1" applyFill="1" applyBorder="1" applyAlignment="1">
      <alignment horizontal="center" vertical="center"/>
    </xf>
    <xf numFmtId="2" fontId="24014" fillId="8" borderId="1" xfId="0" applyNumberFormat="1" applyFont="1" applyFill="1" applyBorder="1" applyAlignment="1">
      <alignment horizontal="center" vertical="center"/>
    </xf>
    <xf numFmtId="2" fontId="24015" fillId="8" borderId="1" xfId="0" applyNumberFormat="1" applyFont="1" applyFill="1" applyBorder="1" applyAlignment="1">
      <alignment horizontal="center" vertical="center"/>
    </xf>
    <xf numFmtId="2" fontId="24016" fillId="8" borderId="1" xfId="0" applyNumberFormat="1" applyFont="1" applyFill="1" applyBorder="1" applyAlignment="1">
      <alignment horizontal="center" vertical="center"/>
    </xf>
    <xf numFmtId="2" fontId="24017" fillId="8" borderId="1" xfId="0" applyNumberFormat="1" applyFont="1" applyFill="1" applyBorder="1" applyAlignment="1">
      <alignment horizontal="center" vertical="center"/>
    </xf>
    <xf numFmtId="2" fontId="24018" fillId="8" borderId="1" xfId="0" applyNumberFormat="1" applyFont="1" applyFill="1" applyBorder="1" applyAlignment="1">
      <alignment horizontal="center" vertical="center"/>
    </xf>
    <xf numFmtId="2" fontId="24019" fillId="8" borderId="1" xfId="0" applyNumberFormat="1" applyFont="1" applyFill="1" applyBorder="1" applyAlignment="1">
      <alignment horizontal="center" vertical="center"/>
    </xf>
    <xf numFmtId="2" fontId="24020" fillId="8" borderId="1" xfId="0" applyNumberFormat="1" applyFont="1" applyFill="1" applyBorder="1" applyAlignment="1">
      <alignment horizontal="center" vertical="center"/>
    </xf>
    <xf numFmtId="2" fontId="24021" fillId="8" borderId="1" xfId="0" applyNumberFormat="1" applyFont="1" applyFill="1" applyBorder="1" applyAlignment="1">
      <alignment horizontal="center" vertical="center"/>
    </xf>
    <xf numFmtId="2" fontId="24022" fillId="8" borderId="1" xfId="0" applyNumberFormat="1" applyFont="1" applyFill="1" applyBorder="1" applyAlignment="1">
      <alignment horizontal="center" vertical="center"/>
    </xf>
    <xf numFmtId="2" fontId="24023" fillId="8" borderId="1" xfId="0" applyNumberFormat="1" applyFont="1" applyFill="1" applyBorder="1" applyAlignment="1">
      <alignment horizontal="center" vertical="center"/>
    </xf>
    <xf numFmtId="2" fontId="24024" fillId="8" borderId="1" xfId="0" applyNumberFormat="1" applyFont="1" applyFill="1" applyBorder="1" applyAlignment="1">
      <alignment horizontal="center" vertical="center"/>
    </xf>
    <xf numFmtId="0" fontId="24025" fillId="7" borderId="1" xfId="0" applyNumberFormat="1" applyFont="1" applyFill="1" applyBorder="1" applyAlignment="1">
      <alignment horizontal="left" vertical="center"/>
    </xf>
    <xf numFmtId="0" fontId="24026" fillId="8" borderId="1" xfId="0" applyNumberFormat="1" applyFont="1" applyFill="1" applyBorder="1" applyAlignment="1">
      <alignment horizontal="center" vertical="center"/>
    </xf>
    <xf numFmtId="164" fontId="24027" fillId="8" borderId="1" xfId="0" applyNumberFormat="1" applyFont="1" applyFill="1" applyBorder="1" applyAlignment="1">
      <alignment horizontal="center" vertical="center"/>
    </xf>
    <xf numFmtId="1" fontId="24028" fillId="8" borderId="1" xfId="0" applyNumberFormat="1" applyFont="1" applyFill="1" applyBorder="1" applyAlignment="1">
      <alignment horizontal="center" vertical="center"/>
    </xf>
    <xf numFmtId="1" fontId="24029" fillId="8" borderId="1" xfId="0" applyNumberFormat="1" applyFont="1" applyFill="1" applyBorder="1" applyAlignment="1">
      <alignment horizontal="center" vertical="center"/>
    </xf>
    <xf numFmtId="1" fontId="24030" fillId="8" borderId="1" xfId="0" applyNumberFormat="1" applyFont="1" applyFill="1" applyBorder="1" applyAlignment="1">
      <alignment horizontal="center" vertical="center"/>
    </xf>
    <xf numFmtId="1" fontId="24031" fillId="8" borderId="1" xfId="0" applyNumberFormat="1" applyFont="1" applyFill="1" applyBorder="1" applyAlignment="1">
      <alignment horizontal="center" vertical="center"/>
    </xf>
    <xf numFmtId="1" fontId="24032" fillId="8" borderId="1" xfId="0" applyNumberFormat="1" applyFont="1" applyFill="1" applyBorder="1" applyAlignment="1">
      <alignment horizontal="center" vertical="center"/>
    </xf>
    <xf numFmtId="1" fontId="24033" fillId="8" borderId="1" xfId="0" applyNumberFormat="1" applyFont="1" applyFill="1" applyBorder="1" applyAlignment="1">
      <alignment horizontal="center" vertical="center"/>
    </xf>
    <xf numFmtId="1" fontId="24034" fillId="8" borderId="1" xfId="0" applyNumberFormat="1" applyFont="1" applyFill="1" applyBorder="1" applyAlignment="1">
      <alignment horizontal="center" vertical="center"/>
    </xf>
    <xf numFmtId="0" fontId="24035" fillId="8" borderId="1" xfId="0" applyNumberFormat="1" applyFont="1" applyFill="1" applyBorder="1" applyAlignment="1">
      <alignment horizontal="center" vertical="center"/>
    </xf>
    <xf numFmtId="0" fontId="24036" fillId="8" borderId="1" xfId="0" applyNumberFormat="1" applyFont="1" applyFill="1" applyBorder="1" applyAlignment="1">
      <alignment horizontal="center" vertical="center"/>
    </xf>
    <xf numFmtId="1" fontId="24037" fillId="8" borderId="1" xfId="0" applyNumberFormat="1" applyFont="1" applyFill="1" applyBorder="1" applyAlignment="1">
      <alignment horizontal="center" vertical="center"/>
    </xf>
    <xf numFmtId="1" fontId="24038" fillId="8" borderId="1" xfId="0" applyNumberFormat="1" applyFont="1" applyFill="1" applyBorder="1" applyAlignment="1">
      <alignment horizontal="center" vertical="center"/>
    </xf>
    <xf numFmtId="1" fontId="24039" fillId="8" borderId="1" xfId="0" applyNumberFormat="1" applyFont="1" applyFill="1" applyBorder="1" applyAlignment="1">
      <alignment horizontal="center" vertical="center"/>
    </xf>
    <xf numFmtId="165" fontId="24040" fillId="8" borderId="1" xfId="0" applyNumberFormat="1" applyFont="1" applyFill="1" applyBorder="1" applyAlignment="1">
      <alignment horizontal="center" vertical="center"/>
    </xf>
    <xf numFmtId="1" fontId="24041" fillId="8" borderId="1" xfId="0" applyNumberFormat="1" applyFont="1" applyFill="1" applyBorder="1" applyAlignment="1">
      <alignment horizontal="center" vertical="center"/>
    </xf>
    <xf numFmtId="165" fontId="24042" fillId="8" borderId="1" xfId="0" applyNumberFormat="1" applyFont="1" applyFill="1" applyBorder="1" applyAlignment="1">
      <alignment horizontal="center" vertical="center"/>
    </xf>
    <xf numFmtId="1" fontId="24043" fillId="8" borderId="1" xfId="0" applyNumberFormat="1" applyFont="1" applyFill="1" applyBorder="1" applyAlignment="1">
      <alignment horizontal="center" vertical="center"/>
    </xf>
    <xf numFmtId="165" fontId="24044" fillId="8" borderId="1" xfId="0" applyNumberFormat="1" applyFont="1" applyFill="1" applyBorder="1" applyAlignment="1">
      <alignment horizontal="center" vertical="center"/>
    </xf>
    <xf numFmtId="1" fontId="24045" fillId="8" borderId="1" xfId="0" applyNumberFormat="1" applyFont="1" applyFill="1" applyBorder="1" applyAlignment="1">
      <alignment horizontal="center" vertical="center"/>
    </xf>
    <xf numFmtId="165" fontId="24046" fillId="8" borderId="1" xfId="0" applyNumberFormat="1" applyFont="1" applyFill="1" applyBorder="1" applyAlignment="1">
      <alignment horizontal="center" vertical="center"/>
    </xf>
    <xf numFmtId="165" fontId="24047" fillId="8" borderId="1" xfId="0" applyNumberFormat="1" applyFont="1" applyFill="1" applyBorder="1" applyAlignment="1">
      <alignment horizontal="center" vertical="center"/>
    </xf>
    <xf numFmtId="1" fontId="24048" fillId="8" borderId="1" xfId="0" applyNumberFormat="1" applyFont="1" applyFill="1" applyBorder="1" applyAlignment="1">
      <alignment horizontal="center" vertical="center"/>
    </xf>
    <xf numFmtId="1" fontId="24049" fillId="8" borderId="1" xfId="0" applyNumberFormat="1" applyFont="1" applyFill="1" applyBorder="1" applyAlignment="1">
      <alignment horizontal="center" vertical="center"/>
    </xf>
    <xf numFmtId="1" fontId="24050" fillId="8" borderId="1" xfId="0" applyNumberFormat="1" applyFont="1" applyFill="1" applyBorder="1" applyAlignment="1">
      <alignment horizontal="center" vertical="center"/>
    </xf>
    <xf numFmtId="165" fontId="24051" fillId="8" borderId="1" xfId="0" applyNumberFormat="1" applyFont="1" applyFill="1" applyBorder="1" applyAlignment="1">
      <alignment horizontal="center" vertical="center"/>
    </xf>
    <xf numFmtId="164" fontId="24052" fillId="8" borderId="1" xfId="0" applyNumberFormat="1" applyFont="1" applyFill="1" applyBorder="1" applyAlignment="1">
      <alignment horizontal="center" vertical="center"/>
    </xf>
    <xf numFmtId="164" fontId="24053" fillId="8" borderId="1" xfId="0" applyNumberFormat="1" applyFont="1" applyFill="1" applyBorder="1" applyAlignment="1">
      <alignment horizontal="center" vertical="center"/>
    </xf>
    <xf numFmtId="1" fontId="24054" fillId="8" borderId="1" xfId="0" applyNumberFormat="1" applyFont="1" applyFill="1" applyBorder="1" applyAlignment="1">
      <alignment horizontal="center" vertical="center"/>
    </xf>
    <xf numFmtId="1" fontId="24055" fillId="8" borderId="1" xfId="0" applyNumberFormat="1" applyFont="1" applyFill="1" applyBorder="1" applyAlignment="1">
      <alignment horizontal="center" vertical="center"/>
    </xf>
    <xf numFmtId="1" fontId="24056" fillId="8" borderId="1" xfId="0" applyNumberFormat="1" applyFont="1" applyFill="1" applyBorder="1" applyAlignment="1">
      <alignment horizontal="center" vertical="center"/>
    </xf>
    <xf numFmtId="165" fontId="24057" fillId="8" borderId="1" xfId="0" applyNumberFormat="1" applyFont="1" applyFill="1" applyBorder="1" applyAlignment="1">
      <alignment horizontal="center" vertical="center"/>
    </xf>
    <xf numFmtId="1" fontId="24058" fillId="8" borderId="1" xfId="0" applyNumberFormat="1" applyFont="1" applyFill="1" applyBorder="1" applyAlignment="1">
      <alignment horizontal="center" vertical="center"/>
    </xf>
    <xf numFmtId="165" fontId="24059" fillId="8" borderId="1" xfId="0" applyNumberFormat="1" applyFont="1" applyFill="1" applyBorder="1" applyAlignment="1">
      <alignment horizontal="center" vertical="center"/>
    </xf>
    <xf numFmtId="1" fontId="24060" fillId="8" borderId="1" xfId="0" applyNumberFormat="1" applyFont="1" applyFill="1" applyBorder="1" applyAlignment="1">
      <alignment horizontal="center" vertical="center"/>
    </xf>
    <xf numFmtId="1" fontId="24061" fillId="8" borderId="1" xfId="0" applyNumberFormat="1" applyFont="1" applyFill="1" applyBorder="1" applyAlignment="1">
      <alignment horizontal="center" vertical="center"/>
    </xf>
    <xf numFmtId="1" fontId="24062" fillId="8" borderId="1" xfId="0" applyNumberFormat="1" applyFont="1" applyFill="1" applyBorder="1" applyAlignment="1">
      <alignment horizontal="center" vertical="center"/>
    </xf>
    <xf numFmtId="1" fontId="24063" fillId="8" borderId="1" xfId="0" applyNumberFormat="1" applyFont="1" applyFill="1" applyBorder="1" applyAlignment="1">
      <alignment horizontal="center" vertical="center"/>
    </xf>
    <xf numFmtId="165" fontId="24064" fillId="8" borderId="1" xfId="0" applyNumberFormat="1" applyFont="1" applyFill="1" applyBorder="1" applyAlignment="1">
      <alignment horizontal="center" vertical="center"/>
    </xf>
    <xf numFmtId="1" fontId="24065" fillId="8" borderId="1" xfId="0" applyNumberFormat="1" applyFont="1" applyFill="1" applyBorder="1" applyAlignment="1">
      <alignment horizontal="center" vertical="center"/>
    </xf>
    <xf numFmtId="165" fontId="24066" fillId="8" borderId="1" xfId="0" applyNumberFormat="1" applyFont="1" applyFill="1" applyBorder="1" applyAlignment="1">
      <alignment horizontal="center" vertical="center"/>
    </xf>
    <xf numFmtId="1" fontId="24067" fillId="8" borderId="1" xfId="0" applyNumberFormat="1" applyFont="1" applyFill="1" applyBorder="1" applyAlignment="1">
      <alignment horizontal="center" vertical="center"/>
    </xf>
    <xf numFmtId="165" fontId="24068" fillId="8" borderId="1" xfId="0" applyNumberFormat="1" applyFont="1" applyFill="1" applyBorder="1" applyAlignment="1">
      <alignment horizontal="center" vertical="center"/>
    </xf>
    <xf numFmtId="2" fontId="24069" fillId="8" borderId="1" xfId="0" applyNumberFormat="1" applyFont="1" applyFill="1" applyBorder="1" applyAlignment="1">
      <alignment horizontal="center" vertical="center"/>
    </xf>
    <xf numFmtId="2" fontId="24070" fillId="8" borderId="1" xfId="0" applyNumberFormat="1" applyFont="1" applyFill="1" applyBorder="1" applyAlignment="1">
      <alignment horizontal="center" vertical="center"/>
    </xf>
    <xf numFmtId="2" fontId="24071" fillId="8" borderId="1" xfId="0" applyNumberFormat="1" applyFont="1" applyFill="1" applyBorder="1" applyAlignment="1">
      <alignment horizontal="center" vertical="center"/>
    </xf>
    <xf numFmtId="2" fontId="24072" fillId="8" borderId="1" xfId="0" applyNumberFormat="1" applyFont="1" applyFill="1" applyBorder="1" applyAlignment="1">
      <alignment horizontal="center" vertical="center"/>
    </xf>
    <xf numFmtId="2" fontId="24073" fillId="8" borderId="1" xfId="0" applyNumberFormat="1" applyFont="1" applyFill="1" applyBorder="1" applyAlignment="1">
      <alignment horizontal="center" vertical="center"/>
    </xf>
    <xf numFmtId="2" fontId="24074" fillId="8" borderId="1" xfId="0" applyNumberFormat="1" applyFont="1" applyFill="1" applyBorder="1" applyAlignment="1">
      <alignment horizontal="center" vertical="center"/>
    </xf>
    <xf numFmtId="2" fontId="24075" fillId="8" borderId="1" xfId="0" applyNumberFormat="1" applyFont="1" applyFill="1" applyBorder="1" applyAlignment="1">
      <alignment horizontal="center" vertical="center"/>
    </xf>
    <xf numFmtId="2" fontId="24076" fillId="8" borderId="1" xfId="0" applyNumberFormat="1" applyFont="1" applyFill="1" applyBorder="1" applyAlignment="1">
      <alignment horizontal="center" vertical="center"/>
    </xf>
    <xf numFmtId="2" fontId="24077" fillId="8" borderId="1" xfId="0" applyNumberFormat="1" applyFont="1" applyFill="1" applyBorder="1" applyAlignment="1">
      <alignment horizontal="center" vertical="center"/>
    </xf>
    <xf numFmtId="2" fontId="24078" fillId="8" borderId="1" xfId="0" applyNumberFormat="1" applyFont="1" applyFill="1" applyBorder="1" applyAlignment="1">
      <alignment horizontal="center" vertical="center"/>
    </xf>
    <xf numFmtId="2" fontId="24079" fillId="8" borderId="1" xfId="0" applyNumberFormat="1" applyFont="1" applyFill="1" applyBorder="1" applyAlignment="1">
      <alignment horizontal="center" vertical="center"/>
    </xf>
    <xf numFmtId="2" fontId="24080" fillId="8" borderId="1" xfId="0" applyNumberFormat="1" applyFont="1" applyFill="1" applyBorder="1" applyAlignment="1">
      <alignment horizontal="center" vertical="center"/>
    </xf>
    <xf numFmtId="2" fontId="24081" fillId="8" borderId="1" xfId="0" applyNumberFormat="1" applyFont="1" applyFill="1" applyBorder="1" applyAlignment="1">
      <alignment horizontal="center" vertical="center"/>
    </xf>
    <xf numFmtId="2" fontId="24082" fillId="8" borderId="1" xfId="0" applyNumberFormat="1" applyFont="1" applyFill="1" applyBorder="1" applyAlignment="1">
      <alignment horizontal="center" vertical="center"/>
    </xf>
    <xf numFmtId="2" fontId="24083" fillId="8" borderId="1" xfId="0" applyNumberFormat="1" applyFont="1" applyFill="1" applyBorder="1" applyAlignment="1">
      <alignment horizontal="center" vertical="center"/>
    </xf>
    <xf numFmtId="2" fontId="24084" fillId="8" borderId="1" xfId="0" applyNumberFormat="1" applyFont="1" applyFill="1" applyBorder="1" applyAlignment="1">
      <alignment horizontal="center" vertical="center"/>
    </xf>
    <xf numFmtId="2" fontId="24085" fillId="8" borderId="1" xfId="0" applyNumberFormat="1" applyFont="1" applyFill="1" applyBorder="1" applyAlignment="1">
      <alignment horizontal="center" vertical="center"/>
    </xf>
    <xf numFmtId="2" fontId="24086" fillId="8" borderId="1" xfId="0" applyNumberFormat="1" applyFont="1" applyFill="1" applyBorder="1" applyAlignment="1">
      <alignment horizontal="center" vertical="center"/>
    </xf>
    <xf numFmtId="2" fontId="24087" fillId="8" borderId="1" xfId="0" applyNumberFormat="1" applyFont="1" applyFill="1" applyBorder="1" applyAlignment="1">
      <alignment horizontal="center" vertical="center"/>
    </xf>
    <xf numFmtId="2" fontId="24088" fillId="8" borderId="1" xfId="0" applyNumberFormat="1" applyFont="1" applyFill="1" applyBorder="1" applyAlignment="1">
      <alignment horizontal="center" vertical="center"/>
    </xf>
    <xf numFmtId="2" fontId="24089" fillId="8" borderId="1" xfId="0" applyNumberFormat="1" applyFont="1" applyFill="1" applyBorder="1" applyAlignment="1">
      <alignment horizontal="center" vertical="center"/>
    </xf>
    <xf numFmtId="2" fontId="24090" fillId="8" borderId="1" xfId="0" applyNumberFormat="1" applyFont="1" applyFill="1" applyBorder="1" applyAlignment="1">
      <alignment horizontal="center" vertical="center"/>
    </xf>
    <xf numFmtId="2" fontId="24091" fillId="8" borderId="1" xfId="0" applyNumberFormat="1" applyFont="1" applyFill="1" applyBorder="1" applyAlignment="1">
      <alignment horizontal="center" vertical="center"/>
    </xf>
    <xf numFmtId="2" fontId="24092" fillId="8" borderId="1" xfId="0" applyNumberFormat="1" applyFont="1" applyFill="1" applyBorder="1" applyAlignment="1">
      <alignment horizontal="center" vertical="center"/>
    </xf>
    <xf numFmtId="2" fontId="24093" fillId="8" borderId="1" xfId="0" applyNumberFormat="1" applyFont="1" applyFill="1" applyBorder="1" applyAlignment="1">
      <alignment horizontal="center" vertical="center"/>
    </xf>
    <xf numFmtId="2" fontId="24094" fillId="8" borderId="1" xfId="0" applyNumberFormat="1" applyFont="1" applyFill="1" applyBorder="1" applyAlignment="1">
      <alignment horizontal="center" vertical="center"/>
    </xf>
    <xf numFmtId="2" fontId="24095" fillId="8" borderId="1" xfId="0" applyNumberFormat="1" applyFont="1" applyFill="1" applyBorder="1" applyAlignment="1">
      <alignment horizontal="center" vertical="center"/>
    </xf>
    <xf numFmtId="2" fontId="24096" fillId="8" borderId="1" xfId="0" applyNumberFormat="1" applyFont="1" applyFill="1" applyBorder="1" applyAlignment="1">
      <alignment horizontal="center" vertical="center"/>
    </xf>
    <xf numFmtId="2" fontId="24097" fillId="8" borderId="1" xfId="0" applyNumberFormat="1" applyFont="1" applyFill="1" applyBorder="1" applyAlignment="1">
      <alignment horizontal="center" vertical="center"/>
    </xf>
    <xf numFmtId="2" fontId="24098" fillId="8" borderId="1" xfId="0" applyNumberFormat="1" applyFont="1" applyFill="1" applyBorder="1" applyAlignment="1">
      <alignment horizontal="center" vertical="center"/>
    </xf>
    <xf numFmtId="2" fontId="24099" fillId="8" borderId="1" xfId="0" applyNumberFormat="1" applyFont="1" applyFill="1" applyBorder="1" applyAlignment="1">
      <alignment horizontal="center" vertical="center"/>
    </xf>
    <xf numFmtId="2" fontId="24100" fillId="8" borderId="1" xfId="0" applyNumberFormat="1" applyFont="1" applyFill="1" applyBorder="1" applyAlignment="1">
      <alignment horizontal="center" vertical="center"/>
    </xf>
    <xf numFmtId="2" fontId="24101" fillId="8" borderId="1" xfId="0" applyNumberFormat="1" applyFont="1" applyFill="1" applyBorder="1" applyAlignment="1">
      <alignment horizontal="center" vertical="center"/>
    </xf>
    <xf numFmtId="2" fontId="24102" fillId="8" borderId="1" xfId="0" applyNumberFormat="1" applyFont="1" applyFill="1" applyBorder="1" applyAlignment="1">
      <alignment horizontal="center" vertical="center"/>
    </xf>
    <xf numFmtId="0" fontId="24103" fillId="7" borderId="1" xfId="0" applyNumberFormat="1" applyFont="1" applyFill="1" applyBorder="1" applyAlignment="1">
      <alignment horizontal="left" vertical="center"/>
    </xf>
    <xf numFmtId="0" fontId="24104" fillId="8" borderId="1" xfId="0" applyNumberFormat="1" applyFont="1" applyFill="1" applyBorder="1" applyAlignment="1">
      <alignment horizontal="center" vertical="center"/>
    </xf>
    <xf numFmtId="164" fontId="24105" fillId="8" borderId="1" xfId="0" applyNumberFormat="1" applyFont="1" applyFill="1" applyBorder="1" applyAlignment="1">
      <alignment horizontal="center" vertical="center"/>
    </xf>
    <xf numFmtId="1" fontId="24106" fillId="8" borderId="1" xfId="0" applyNumberFormat="1" applyFont="1" applyFill="1" applyBorder="1" applyAlignment="1">
      <alignment horizontal="center" vertical="center"/>
    </xf>
    <xf numFmtId="1" fontId="24107" fillId="8" borderId="1" xfId="0" applyNumberFormat="1" applyFont="1" applyFill="1" applyBorder="1" applyAlignment="1">
      <alignment horizontal="center" vertical="center"/>
    </xf>
    <xf numFmtId="1" fontId="24108" fillId="8" borderId="1" xfId="0" applyNumberFormat="1" applyFont="1" applyFill="1" applyBorder="1" applyAlignment="1">
      <alignment horizontal="center" vertical="center"/>
    </xf>
    <xf numFmtId="1" fontId="24109" fillId="8" borderId="1" xfId="0" applyNumberFormat="1" applyFont="1" applyFill="1" applyBorder="1" applyAlignment="1">
      <alignment horizontal="center" vertical="center"/>
    </xf>
    <xf numFmtId="1" fontId="24110" fillId="8" borderId="1" xfId="0" applyNumberFormat="1" applyFont="1" applyFill="1" applyBorder="1" applyAlignment="1">
      <alignment horizontal="center" vertical="center"/>
    </xf>
    <xf numFmtId="1" fontId="24111" fillId="8" borderId="1" xfId="0" applyNumberFormat="1" applyFont="1" applyFill="1" applyBorder="1" applyAlignment="1">
      <alignment horizontal="center" vertical="center"/>
    </xf>
    <xf numFmtId="1" fontId="24112" fillId="8" borderId="1" xfId="0" applyNumberFormat="1" applyFont="1" applyFill="1" applyBorder="1" applyAlignment="1">
      <alignment horizontal="center" vertical="center"/>
    </xf>
    <xf numFmtId="0" fontId="24113" fillId="8" borderId="1" xfId="0" applyNumberFormat="1" applyFont="1" applyFill="1" applyBorder="1" applyAlignment="1">
      <alignment horizontal="center" vertical="center"/>
    </xf>
    <xf numFmtId="0" fontId="24114" fillId="8" borderId="1" xfId="0" applyNumberFormat="1" applyFont="1" applyFill="1" applyBorder="1" applyAlignment="1">
      <alignment horizontal="center" vertical="center"/>
    </xf>
    <xf numFmtId="1" fontId="24115" fillId="8" borderId="1" xfId="0" applyNumberFormat="1" applyFont="1" applyFill="1" applyBorder="1" applyAlignment="1">
      <alignment horizontal="center" vertical="center"/>
    </xf>
    <xf numFmtId="1" fontId="24116" fillId="8" borderId="1" xfId="0" applyNumberFormat="1" applyFont="1" applyFill="1" applyBorder="1" applyAlignment="1">
      <alignment horizontal="center" vertical="center"/>
    </xf>
    <xf numFmtId="1" fontId="24117" fillId="8" borderId="1" xfId="0" applyNumberFormat="1" applyFont="1" applyFill="1" applyBorder="1" applyAlignment="1">
      <alignment horizontal="center" vertical="center"/>
    </xf>
    <xf numFmtId="165" fontId="24118" fillId="8" borderId="1" xfId="0" applyNumberFormat="1" applyFont="1" applyFill="1" applyBorder="1" applyAlignment="1">
      <alignment horizontal="center" vertical="center"/>
    </xf>
    <xf numFmtId="1" fontId="24119" fillId="8" borderId="1" xfId="0" applyNumberFormat="1" applyFont="1" applyFill="1" applyBorder="1" applyAlignment="1">
      <alignment horizontal="center" vertical="center"/>
    </xf>
    <xf numFmtId="165" fontId="24120" fillId="8" borderId="1" xfId="0" applyNumberFormat="1" applyFont="1" applyFill="1" applyBorder="1" applyAlignment="1">
      <alignment horizontal="center" vertical="center"/>
    </xf>
    <xf numFmtId="1" fontId="24121" fillId="8" borderId="1" xfId="0" applyNumberFormat="1" applyFont="1" applyFill="1" applyBorder="1" applyAlignment="1">
      <alignment horizontal="center" vertical="center"/>
    </xf>
    <xf numFmtId="165" fontId="24122" fillId="8" borderId="1" xfId="0" applyNumberFormat="1" applyFont="1" applyFill="1" applyBorder="1" applyAlignment="1">
      <alignment horizontal="center" vertical="center"/>
    </xf>
    <xf numFmtId="1" fontId="24123" fillId="8" borderId="1" xfId="0" applyNumberFormat="1" applyFont="1" applyFill="1" applyBorder="1" applyAlignment="1">
      <alignment horizontal="center" vertical="center"/>
    </xf>
    <xf numFmtId="165" fontId="24124" fillId="8" borderId="1" xfId="0" applyNumberFormat="1" applyFont="1" applyFill="1" applyBorder="1" applyAlignment="1">
      <alignment horizontal="center" vertical="center"/>
    </xf>
    <xf numFmtId="165" fontId="24125" fillId="8" borderId="1" xfId="0" applyNumberFormat="1" applyFont="1" applyFill="1" applyBorder="1" applyAlignment="1">
      <alignment horizontal="center" vertical="center"/>
    </xf>
    <xf numFmtId="1" fontId="24126" fillId="8" borderId="1" xfId="0" applyNumberFormat="1" applyFont="1" applyFill="1" applyBorder="1" applyAlignment="1">
      <alignment horizontal="center" vertical="center"/>
    </xf>
    <xf numFmtId="1" fontId="24127" fillId="8" borderId="1" xfId="0" applyNumberFormat="1" applyFont="1" applyFill="1" applyBorder="1" applyAlignment="1">
      <alignment horizontal="center" vertical="center"/>
    </xf>
    <xf numFmtId="1" fontId="24128" fillId="8" borderId="1" xfId="0" applyNumberFormat="1" applyFont="1" applyFill="1" applyBorder="1" applyAlignment="1">
      <alignment horizontal="center" vertical="center"/>
    </xf>
    <xf numFmtId="165" fontId="24129" fillId="8" borderId="1" xfId="0" applyNumberFormat="1" applyFont="1" applyFill="1" applyBorder="1" applyAlignment="1">
      <alignment horizontal="center" vertical="center"/>
    </xf>
    <xf numFmtId="164" fontId="24130" fillId="8" borderId="1" xfId="0" applyNumberFormat="1" applyFont="1" applyFill="1" applyBorder="1" applyAlignment="1">
      <alignment horizontal="center" vertical="center"/>
    </xf>
    <xf numFmtId="164" fontId="24131" fillId="8" borderId="1" xfId="0" applyNumberFormat="1" applyFont="1" applyFill="1" applyBorder="1" applyAlignment="1">
      <alignment horizontal="center" vertical="center"/>
    </xf>
    <xf numFmtId="1" fontId="24132" fillId="8" borderId="1" xfId="0" applyNumberFormat="1" applyFont="1" applyFill="1" applyBorder="1" applyAlignment="1">
      <alignment horizontal="center" vertical="center"/>
    </xf>
    <xf numFmtId="1" fontId="24133" fillId="8" borderId="1" xfId="0" applyNumberFormat="1" applyFont="1" applyFill="1" applyBorder="1" applyAlignment="1">
      <alignment horizontal="center" vertical="center"/>
    </xf>
    <xf numFmtId="1" fontId="24134" fillId="8" borderId="1" xfId="0" applyNumberFormat="1" applyFont="1" applyFill="1" applyBorder="1" applyAlignment="1">
      <alignment horizontal="center" vertical="center"/>
    </xf>
    <xf numFmtId="165" fontId="24135" fillId="8" borderId="1" xfId="0" applyNumberFormat="1" applyFont="1" applyFill="1" applyBorder="1" applyAlignment="1">
      <alignment horizontal="center" vertical="center"/>
    </xf>
    <xf numFmtId="1" fontId="24136" fillId="8" borderId="1" xfId="0" applyNumberFormat="1" applyFont="1" applyFill="1" applyBorder="1" applyAlignment="1">
      <alignment horizontal="center" vertical="center"/>
    </xf>
    <xf numFmtId="165" fontId="24137" fillId="8" borderId="1" xfId="0" applyNumberFormat="1" applyFont="1" applyFill="1" applyBorder="1" applyAlignment="1">
      <alignment horizontal="center" vertical="center"/>
    </xf>
    <xf numFmtId="1" fontId="24138" fillId="8" borderId="1" xfId="0" applyNumberFormat="1" applyFont="1" applyFill="1" applyBorder="1" applyAlignment="1">
      <alignment horizontal="center" vertical="center"/>
    </xf>
    <xf numFmtId="1" fontId="24139" fillId="8" borderId="1" xfId="0" applyNumberFormat="1" applyFont="1" applyFill="1" applyBorder="1" applyAlignment="1">
      <alignment horizontal="center" vertical="center"/>
    </xf>
    <xf numFmtId="1" fontId="24140" fillId="8" borderId="1" xfId="0" applyNumberFormat="1" applyFont="1" applyFill="1" applyBorder="1" applyAlignment="1">
      <alignment horizontal="center" vertical="center"/>
    </xf>
    <xf numFmtId="1" fontId="24141" fillId="8" borderId="1" xfId="0" applyNumberFormat="1" applyFont="1" applyFill="1" applyBorder="1" applyAlignment="1">
      <alignment horizontal="center" vertical="center"/>
    </xf>
    <xf numFmtId="165" fontId="24142" fillId="8" borderId="1" xfId="0" applyNumberFormat="1" applyFont="1" applyFill="1" applyBorder="1" applyAlignment="1">
      <alignment horizontal="center" vertical="center"/>
    </xf>
    <xf numFmtId="1" fontId="24143" fillId="8" borderId="1" xfId="0" applyNumberFormat="1" applyFont="1" applyFill="1" applyBorder="1" applyAlignment="1">
      <alignment horizontal="center" vertical="center"/>
    </xf>
    <xf numFmtId="165" fontId="24144" fillId="8" borderId="1" xfId="0" applyNumberFormat="1" applyFont="1" applyFill="1" applyBorder="1" applyAlignment="1">
      <alignment horizontal="center" vertical="center"/>
    </xf>
    <xf numFmtId="1" fontId="24145" fillId="8" borderId="1" xfId="0" applyNumberFormat="1" applyFont="1" applyFill="1" applyBorder="1" applyAlignment="1">
      <alignment horizontal="center" vertical="center"/>
    </xf>
    <xf numFmtId="165" fontId="24146" fillId="8" borderId="1" xfId="0" applyNumberFormat="1" applyFont="1" applyFill="1" applyBorder="1" applyAlignment="1">
      <alignment horizontal="center" vertical="center"/>
    </xf>
    <xf numFmtId="2" fontId="24147" fillId="8" borderId="1" xfId="0" applyNumberFormat="1" applyFont="1" applyFill="1" applyBorder="1" applyAlignment="1">
      <alignment horizontal="center" vertical="center"/>
    </xf>
    <xf numFmtId="2" fontId="24148" fillId="8" borderId="1" xfId="0" applyNumberFormat="1" applyFont="1" applyFill="1" applyBorder="1" applyAlignment="1">
      <alignment horizontal="center" vertical="center"/>
    </xf>
    <xf numFmtId="2" fontId="24149" fillId="8" borderId="1" xfId="0" applyNumberFormat="1" applyFont="1" applyFill="1" applyBorder="1" applyAlignment="1">
      <alignment horizontal="center" vertical="center"/>
    </xf>
    <xf numFmtId="2" fontId="24150" fillId="8" borderId="1" xfId="0" applyNumberFormat="1" applyFont="1" applyFill="1" applyBorder="1" applyAlignment="1">
      <alignment horizontal="center" vertical="center"/>
    </xf>
    <xf numFmtId="2" fontId="24151" fillId="8" borderId="1" xfId="0" applyNumberFormat="1" applyFont="1" applyFill="1" applyBorder="1" applyAlignment="1">
      <alignment horizontal="center" vertical="center"/>
    </xf>
    <xf numFmtId="2" fontId="24152" fillId="8" borderId="1" xfId="0" applyNumberFormat="1" applyFont="1" applyFill="1" applyBorder="1" applyAlignment="1">
      <alignment horizontal="center" vertical="center"/>
    </xf>
    <xf numFmtId="2" fontId="24153" fillId="8" borderId="1" xfId="0" applyNumberFormat="1" applyFont="1" applyFill="1" applyBorder="1" applyAlignment="1">
      <alignment horizontal="center" vertical="center"/>
    </xf>
    <xf numFmtId="2" fontId="24154" fillId="8" borderId="1" xfId="0" applyNumberFormat="1" applyFont="1" applyFill="1" applyBorder="1" applyAlignment="1">
      <alignment horizontal="center" vertical="center"/>
    </xf>
    <xf numFmtId="2" fontId="24155" fillId="8" borderId="1" xfId="0" applyNumberFormat="1" applyFont="1" applyFill="1" applyBorder="1" applyAlignment="1">
      <alignment horizontal="center" vertical="center"/>
    </xf>
    <xf numFmtId="2" fontId="24156" fillId="8" borderId="1" xfId="0" applyNumberFormat="1" applyFont="1" applyFill="1" applyBorder="1" applyAlignment="1">
      <alignment horizontal="center" vertical="center"/>
    </xf>
    <xf numFmtId="2" fontId="24157" fillId="8" borderId="1" xfId="0" applyNumberFormat="1" applyFont="1" applyFill="1" applyBorder="1" applyAlignment="1">
      <alignment horizontal="center" vertical="center"/>
    </xf>
    <xf numFmtId="2" fontId="24158" fillId="8" borderId="1" xfId="0" applyNumberFormat="1" applyFont="1" applyFill="1" applyBorder="1" applyAlignment="1">
      <alignment horizontal="center" vertical="center"/>
    </xf>
    <xf numFmtId="2" fontId="24159" fillId="8" borderId="1" xfId="0" applyNumberFormat="1" applyFont="1" applyFill="1" applyBorder="1" applyAlignment="1">
      <alignment horizontal="center" vertical="center"/>
    </xf>
    <xf numFmtId="2" fontId="24160" fillId="8" borderId="1" xfId="0" applyNumberFormat="1" applyFont="1" applyFill="1" applyBorder="1" applyAlignment="1">
      <alignment horizontal="center" vertical="center"/>
    </xf>
    <xf numFmtId="2" fontId="24161" fillId="8" borderId="1" xfId="0" applyNumberFormat="1" applyFont="1" applyFill="1" applyBorder="1" applyAlignment="1">
      <alignment horizontal="center" vertical="center"/>
    </xf>
    <xf numFmtId="2" fontId="24162" fillId="8" borderId="1" xfId="0" applyNumberFormat="1" applyFont="1" applyFill="1" applyBorder="1" applyAlignment="1">
      <alignment horizontal="center" vertical="center"/>
    </xf>
    <xf numFmtId="2" fontId="24163" fillId="8" borderId="1" xfId="0" applyNumberFormat="1" applyFont="1" applyFill="1" applyBorder="1" applyAlignment="1">
      <alignment horizontal="center" vertical="center"/>
    </xf>
    <xf numFmtId="2" fontId="24164" fillId="8" borderId="1" xfId="0" applyNumberFormat="1" applyFont="1" applyFill="1" applyBorder="1" applyAlignment="1">
      <alignment horizontal="center" vertical="center"/>
    </xf>
    <xf numFmtId="2" fontId="24165" fillId="8" borderId="1" xfId="0" applyNumberFormat="1" applyFont="1" applyFill="1" applyBorder="1" applyAlignment="1">
      <alignment horizontal="center" vertical="center"/>
    </xf>
    <xf numFmtId="2" fontId="24166" fillId="8" borderId="1" xfId="0" applyNumberFormat="1" applyFont="1" applyFill="1" applyBorder="1" applyAlignment="1">
      <alignment horizontal="center" vertical="center"/>
    </xf>
    <xf numFmtId="2" fontId="24167" fillId="8" borderId="1" xfId="0" applyNumberFormat="1" applyFont="1" applyFill="1" applyBorder="1" applyAlignment="1">
      <alignment horizontal="center" vertical="center"/>
    </xf>
    <xf numFmtId="2" fontId="24168" fillId="8" borderId="1" xfId="0" applyNumberFormat="1" applyFont="1" applyFill="1" applyBorder="1" applyAlignment="1">
      <alignment horizontal="center" vertical="center"/>
    </xf>
    <xf numFmtId="2" fontId="24169" fillId="8" borderId="1" xfId="0" applyNumberFormat="1" applyFont="1" applyFill="1" applyBorder="1" applyAlignment="1">
      <alignment horizontal="center" vertical="center"/>
    </xf>
    <xf numFmtId="2" fontId="24170" fillId="8" borderId="1" xfId="0" applyNumberFormat="1" applyFont="1" applyFill="1" applyBorder="1" applyAlignment="1">
      <alignment horizontal="center" vertical="center"/>
    </xf>
    <xf numFmtId="2" fontId="24171" fillId="8" borderId="1" xfId="0" applyNumberFormat="1" applyFont="1" applyFill="1" applyBorder="1" applyAlignment="1">
      <alignment horizontal="center" vertical="center"/>
    </xf>
    <xf numFmtId="2" fontId="24172" fillId="8" borderId="1" xfId="0" applyNumberFormat="1" applyFont="1" applyFill="1" applyBorder="1" applyAlignment="1">
      <alignment horizontal="center" vertical="center"/>
    </xf>
    <xf numFmtId="2" fontId="24173" fillId="8" borderId="1" xfId="0" applyNumberFormat="1" applyFont="1" applyFill="1" applyBorder="1" applyAlignment="1">
      <alignment horizontal="center" vertical="center"/>
    </xf>
    <xf numFmtId="2" fontId="24174" fillId="8" borderId="1" xfId="0" applyNumberFormat="1" applyFont="1" applyFill="1" applyBorder="1" applyAlignment="1">
      <alignment horizontal="center" vertical="center"/>
    </xf>
    <xf numFmtId="2" fontId="24175" fillId="8" borderId="1" xfId="0" applyNumberFormat="1" applyFont="1" applyFill="1" applyBorder="1" applyAlignment="1">
      <alignment horizontal="center" vertical="center"/>
    </xf>
    <xf numFmtId="2" fontId="24176" fillId="8" borderId="1" xfId="0" applyNumberFormat="1" applyFont="1" applyFill="1" applyBorder="1" applyAlignment="1">
      <alignment horizontal="center" vertical="center"/>
    </xf>
    <xf numFmtId="2" fontId="24177" fillId="8" borderId="1" xfId="0" applyNumberFormat="1" applyFont="1" applyFill="1" applyBorder="1" applyAlignment="1">
      <alignment horizontal="center" vertical="center"/>
    </xf>
    <xf numFmtId="2" fontId="24178" fillId="8" borderId="1" xfId="0" applyNumberFormat="1" applyFont="1" applyFill="1" applyBorder="1" applyAlignment="1">
      <alignment horizontal="center" vertical="center"/>
    </xf>
    <xf numFmtId="2" fontId="24179" fillId="8" borderId="1" xfId="0" applyNumberFormat="1" applyFont="1" applyFill="1" applyBorder="1" applyAlignment="1">
      <alignment horizontal="center" vertical="center"/>
    </xf>
    <xf numFmtId="2" fontId="24180" fillId="8" borderId="1" xfId="0" applyNumberFormat="1" applyFont="1" applyFill="1" applyBorder="1" applyAlignment="1">
      <alignment horizontal="center" vertical="center"/>
    </xf>
    <xf numFmtId="0" fontId="24181" fillId="7" borderId="1" xfId="0" applyNumberFormat="1" applyFont="1" applyFill="1" applyBorder="1" applyAlignment="1">
      <alignment horizontal="left" vertical="center"/>
    </xf>
    <xf numFmtId="0" fontId="24182" fillId="8" borderId="1" xfId="0" applyNumberFormat="1" applyFont="1" applyFill="1" applyBorder="1" applyAlignment="1">
      <alignment horizontal="center" vertical="center"/>
    </xf>
    <xf numFmtId="164" fontId="24183" fillId="8" borderId="1" xfId="0" applyNumberFormat="1" applyFont="1" applyFill="1" applyBorder="1" applyAlignment="1">
      <alignment horizontal="center" vertical="center"/>
    </xf>
    <xf numFmtId="1" fontId="24184" fillId="8" borderId="1" xfId="0" applyNumberFormat="1" applyFont="1" applyFill="1" applyBorder="1" applyAlignment="1">
      <alignment horizontal="center" vertical="center"/>
    </xf>
    <xf numFmtId="1" fontId="24185" fillId="8" borderId="1" xfId="0" applyNumberFormat="1" applyFont="1" applyFill="1" applyBorder="1" applyAlignment="1">
      <alignment horizontal="center" vertical="center"/>
    </xf>
    <xf numFmtId="1" fontId="24186" fillId="8" borderId="1" xfId="0" applyNumberFormat="1" applyFont="1" applyFill="1" applyBorder="1" applyAlignment="1">
      <alignment horizontal="center" vertical="center"/>
    </xf>
    <xf numFmtId="1" fontId="24187" fillId="8" borderId="1" xfId="0" applyNumberFormat="1" applyFont="1" applyFill="1" applyBorder="1" applyAlignment="1">
      <alignment horizontal="center" vertical="center"/>
    </xf>
    <xf numFmtId="1" fontId="24188" fillId="8" borderId="1" xfId="0" applyNumberFormat="1" applyFont="1" applyFill="1" applyBorder="1" applyAlignment="1">
      <alignment horizontal="center" vertical="center"/>
    </xf>
    <xf numFmtId="1" fontId="24189" fillId="8" borderId="1" xfId="0" applyNumberFormat="1" applyFont="1" applyFill="1" applyBorder="1" applyAlignment="1">
      <alignment horizontal="center" vertical="center"/>
    </xf>
    <xf numFmtId="1" fontId="24190" fillId="8" borderId="1" xfId="0" applyNumberFormat="1" applyFont="1" applyFill="1" applyBorder="1" applyAlignment="1">
      <alignment horizontal="center" vertical="center"/>
    </xf>
    <xf numFmtId="0" fontId="24191" fillId="8" borderId="1" xfId="0" applyNumberFormat="1" applyFont="1" applyFill="1" applyBorder="1" applyAlignment="1">
      <alignment horizontal="center" vertical="center"/>
    </xf>
    <xf numFmtId="0" fontId="24192" fillId="8" borderId="1" xfId="0" applyNumberFormat="1" applyFont="1" applyFill="1" applyBorder="1" applyAlignment="1">
      <alignment horizontal="center" vertical="center"/>
    </xf>
    <xf numFmtId="1" fontId="24193" fillId="8" borderId="1" xfId="0" applyNumberFormat="1" applyFont="1" applyFill="1" applyBorder="1" applyAlignment="1">
      <alignment horizontal="center" vertical="center"/>
    </xf>
    <xf numFmtId="1" fontId="24194" fillId="8" borderId="1" xfId="0" applyNumberFormat="1" applyFont="1" applyFill="1" applyBorder="1" applyAlignment="1">
      <alignment horizontal="center" vertical="center"/>
    </xf>
    <xf numFmtId="1" fontId="24195" fillId="8" borderId="1" xfId="0" applyNumberFormat="1" applyFont="1" applyFill="1" applyBorder="1" applyAlignment="1">
      <alignment horizontal="center" vertical="center"/>
    </xf>
    <xf numFmtId="165" fontId="24196" fillId="8" borderId="1" xfId="0" applyNumberFormat="1" applyFont="1" applyFill="1" applyBorder="1" applyAlignment="1">
      <alignment horizontal="center" vertical="center"/>
    </xf>
    <xf numFmtId="1" fontId="24197" fillId="8" borderId="1" xfId="0" applyNumberFormat="1" applyFont="1" applyFill="1" applyBorder="1" applyAlignment="1">
      <alignment horizontal="center" vertical="center"/>
    </xf>
    <xf numFmtId="165" fontId="24198" fillId="8" borderId="1" xfId="0" applyNumberFormat="1" applyFont="1" applyFill="1" applyBorder="1" applyAlignment="1">
      <alignment horizontal="center" vertical="center"/>
    </xf>
    <xf numFmtId="1" fontId="24199" fillId="8" borderId="1" xfId="0" applyNumberFormat="1" applyFont="1" applyFill="1" applyBorder="1" applyAlignment="1">
      <alignment horizontal="center" vertical="center"/>
    </xf>
    <xf numFmtId="165" fontId="24200" fillId="8" borderId="1" xfId="0" applyNumberFormat="1" applyFont="1" applyFill="1" applyBorder="1" applyAlignment="1">
      <alignment horizontal="center" vertical="center"/>
    </xf>
    <xf numFmtId="1" fontId="24201" fillId="8" borderId="1" xfId="0" applyNumberFormat="1" applyFont="1" applyFill="1" applyBorder="1" applyAlignment="1">
      <alignment horizontal="center" vertical="center"/>
    </xf>
    <xf numFmtId="165" fontId="24202" fillId="8" borderId="1" xfId="0" applyNumberFormat="1" applyFont="1" applyFill="1" applyBorder="1" applyAlignment="1">
      <alignment horizontal="center" vertical="center"/>
    </xf>
    <xf numFmtId="165" fontId="24203" fillId="8" borderId="1" xfId="0" applyNumberFormat="1" applyFont="1" applyFill="1" applyBorder="1" applyAlignment="1">
      <alignment horizontal="center" vertical="center"/>
    </xf>
    <xf numFmtId="1" fontId="24204" fillId="8" borderId="1" xfId="0" applyNumberFormat="1" applyFont="1" applyFill="1" applyBorder="1" applyAlignment="1">
      <alignment horizontal="center" vertical="center"/>
    </xf>
    <xf numFmtId="1" fontId="24205" fillId="8" borderId="1" xfId="0" applyNumberFormat="1" applyFont="1" applyFill="1" applyBorder="1" applyAlignment="1">
      <alignment horizontal="center" vertical="center"/>
    </xf>
    <xf numFmtId="1" fontId="24206" fillId="8" borderId="1" xfId="0" applyNumberFormat="1" applyFont="1" applyFill="1" applyBorder="1" applyAlignment="1">
      <alignment horizontal="center" vertical="center"/>
    </xf>
    <xf numFmtId="165" fontId="24207" fillId="8" borderId="1" xfId="0" applyNumberFormat="1" applyFont="1" applyFill="1" applyBorder="1" applyAlignment="1">
      <alignment horizontal="center" vertical="center"/>
    </xf>
    <xf numFmtId="164" fontId="24208" fillId="8" borderId="1" xfId="0" applyNumberFormat="1" applyFont="1" applyFill="1" applyBorder="1" applyAlignment="1">
      <alignment horizontal="center" vertical="center"/>
    </xf>
    <xf numFmtId="164" fontId="24209" fillId="8" borderId="1" xfId="0" applyNumberFormat="1" applyFont="1" applyFill="1" applyBorder="1" applyAlignment="1">
      <alignment horizontal="center" vertical="center"/>
    </xf>
    <xf numFmtId="1" fontId="24210" fillId="8" borderId="1" xfId="0" applyNumberFormat="1" applyFont="1" applyFill="1" applyBorder="1" applyAlignment="1">
      <alignment horizontal="center" vertical="center"/>
    </xf>
    <xf numFmtId="1" fontId="24211" fillId="8" borderId="1" xfId="0" applyNumberFormat="1" applyFont="1" applyFill="1" applyBorder="1" applyAlignment="1">
      <alignment horizontal="center" vertical="center"/>
    </xf>
    <xf numFmtId="1" fontId="24212" fillId="8" borderId="1" xfId="0" applyNumberFormat="1" applyFont="1" applyFill="1" applyBorder="1" applyAlignment="1">
      <alignment horizontal="center" vertical="center"/>
    </xf>
    <xf numFmtId="165" fontId="24213" fillId="8" borderId="1" xfId="0" applyNumberFormat="1" applyFont="1" applyFill="1" applyBorder="1" applyAlignment="1">
      <alignment horizontal="center" vertical="center"/>
    </xf>
    <xf numFmtId="1" fontId="24214" fillId="8" borderId="1" xfId="0" applyNumberFormat="1" applyFont="1" applyFill="1" applyBorder="1" applyAlignment="1">
      <alignment horizontal="center" vertical="center"/>
    </xf>
    <xf numFmtId="165" fontId="24215" fillId="8" borderId="1" xfId="0" applyNumberFormat="1" applyFont="1" applyFill="1" applyBorder="1" applyAlignment="1">
      <alignment horizontal="center" vertical="center"/>
    </xf>
    <xf numFmtId="1" fontId="24216" fillId="8" borderId="1" xfId="0" applyNumberFormat="1" applyFont="1" applyFill="1" applyBorder="1" applyAlignment="1">
      <alignment horizontal="center" vertical="center"/>
    </xf>
    <xf numFmtId="1" fontId="24217" fillId="8" borderId="1" xfId="0" applyNumberFormat="1" applyFont="1" applyFill="1" applyBorder="1" applyAlignment="1">
      <alignment horizontal="center" vertical="center"/>
    </xf>
    <xf numFmtId="1" fontId="24218" fillId="8" borderId="1" xfId="0" applyNumberFormat="1" applyFont="1" applyFill="1" applyBorder="1" applyAlignment="1">
      <alignment horizontal="center" vertical="center"/>
    </xf>
    <xf numFmtId="1" fontId="24219" fillId="8" borderId="1" xfId="0" applyNumberFormat="1" applyFont="1" applyFill="1" applyBorder="1" applyAlignment="1">
      <alignment horizontal="center" vertical="center"/>
    </xf>
    <xf numFmtId="165" fontId="24220" fillId="8" borderId="1" xfId="0" applyNumberFormat="1" applyFont="1" applyFill="1" applyBorder="1" applyAlignment="1">
      <alignment horizontal="center" vertical="center"/>
    </xf>
    <xf numFmtId="1" fontId="24221" fillId="8" borderId="1" xfId="0" applyNumberFormat="1" applyFont="1" applyFill="1" applyBorder="1" applyAlignment="1">
      <alignment horizontal="center" vertical="center"/>
    </xf>
    <xf numFmtId="165" fontId="24222" fillId="8" borderId="1" xfId="0" applyNumberFormat="1" applyFont="1" applyFill="1" applyBorder="1" applyAlignment="1">
      <alignment horizontal="center" vertical="center"/>
    </xf>
    <xf numFmtId="1" fontId="24223" fillId="8" borderId="1" xfId="0" applyNumberFormat="1" applyFont="1" applyFill="1" applyBorder="1" applyAlignment="1">
      <alignment horizontal="center" vertical="center"/>
    </xf>
    <xf numFmtId="165" fontId="24224" fillId="8" borderId="1" xfId="0" applyNumberFormat="1" applyFont="1" applyFill="1" applyBorder="1" applyAlignment="1">
      <alignment horizontal="center" vertical="center"/>
    </xf>
    <xf numFmtId="2" fontId="24225" fillId="8" borderId="1" xfId="0" applyNumberFormat="1" applyFont="1" applyFill="1" applyBorder="1" applyAlignment="1">
      <alignment horizontal="center" vertical="center"/>
    </xf>
    <xf numFmtId="2" fontId="24226" fillId="8" borderId="1" xfId="0" applyNumberFormat="1" applyFont="1" applyFill="1" applyBorder="1" applyAlignment="1">
      <alignment horizontal="center" vertical="center"/>
    </xf>
    <xf numFmtId="2" fontId="24227" fillId="8" borderId="1" xfId="0" applyNumberFormat="1" applyFont="1" applyFill="1" applyBorder="1" applyAlignment="1">
      <alignment horizontal="center" vertical="center"/>
    </xf>
    <xf numFmtId="2" fontId="24228" fillId="8" borderId="1" xfId="0" applyNumberFormat="1" applyFont="1" applyFill="1" applyBorder="1" applyAlignment="1">
      <alignment horizontal="center" vertical="center"/>
    </xf>
    <xf numFmtId="2" fontId="24229" fillId="8" borderId="1" xfId="0" applyNumberFormat="1" applyFont="1" applyFill="1" applyBorder="1" applyAlignment="1">
      <alignment horizontal="center" vertical="center"/>
    </xf>
    <xf numFmtId="2" fontId="24230" fillId="8" borderId="1" xfId="0" applyNumberFormat="1" applyFont="1" applyFill="1" applyBorder="1" applyAlignment="1">
      <alignment horizontal="center" vertical="center"/>
    </xf>
    <xf numFmtId="2" fontId="24231" fillId="8" borderId="1" xfId="0" applyNumberFormat="1" applyFont="1" applyFill="1" applyBorder="1" applyAlignment="1">
      <alignment horizontal="center" vertical="center"/>
    </xf>
    <xf numFmtId="2" fontId="24232" fillId="8" borderId="1" xfId="0" applyNumberFormat="1" applyFont="1" applyFill="1" applyBorder="1" applyAlignment="1">
      <alignment horizontal="center" vertical="center"/>
    </xf>
    <xf numFmtId="2" fontId="24233" fillId="8" borderId="1" xfId="0" applyNumberFormat="1" applyFont="1" applyFill="1" applyBorder="1" applyAlignment="1">
      <alignment horizontal="center" vertical="center"/>
    </xf>
    <xf numFmtId="2" fontId="24234" fillId="8" borderId="1" xfId="0" applyNumberFormat="1" applyFont="1" applyFill="1" applyBorder="1" applyAlignment="1">
      <alignment horizontal="center" vertical="center"/>
    </xf>
    <xf numFmtId="2" fontId="24235" fillId="8" borderId="1" xfId="0" applyNumberFormat="1" applyFont="1" applyFill="1" applyBorder="1" applyAlignment="1">
      <alignment horizontal="center" vertical="center"/>
    </xf>
    <xf numFmtId="2" fontId="24236" fillId="8" borderId="1" xfId="0" applyNumberFormat="1" applyFont="1" applyFill="1" applyBorder="1" applyAlignment="1">
      <alignment horizontal="center" vertical="center"/>
    </xf>
    <xf numFmtId="2" fontId="24237" fillId="8" borderId="1" xfId="0" applyNumberFormat="1" applyFont="1" applyFill="1" applyBorder="1" applyAlignment="1">
      <alignment horizontal="center" vertical="center"/>
    </xf>
    <xf numFmtId="2" fontId="24238" fillId="8" borderId="1" xfId="0" applyNumberFormat="1" applyFont="1" applyFill="1" applyBorder="1" applyAlignment="1">
      <alignment horizontal="center" vertical="center"/>
    </xf>
    <xf numFmtId="2" fontId="24239" fillId="8" borderId="1" xfId="0" applyNumberFormat="1" applyFont="1" applyFill="1" applyBorder="1" applyAlignment="1">
      <alignment horizontal="center" vertical="center"/>
    </xf>
    <xf numFmtId="2" fontId="24240" fillId="8" borderId="1" xfId="0" applyNumberFormat="1" applyFont="1" applyFill="1" applyBorder="1" applyAlignment="1">
      <alignment horizontal="center" vertical="center"/>
    </xf>
    <xf numFmtId="2" fontId="24241" fillId="8" borderId="1" xfId="0" applyNumberFormat="1" applyFont="1" applyFill="1" applyBorder="1" applyAlignment="1">
      <alignment horizontal="center" vertical="center"/>
    </xf>
    <xf numFmtId="2" fontId="24242" fillId="8" borderId="1" xfId="0" applyNumberFormat="1" applyFont="1" applyFill="1" applyBorder="1" applyAlignment="1">
      <alignment horizontal="center" vertical="center"/>
    </xf>
    <xf numFmtId="2" fontId="24243" fillId="8" borderId="1" xfId="0" applyNumberFormat="1" applyFont="1" applyFill="1" applyBorder="1" applyAlignment="1">
      <alignment horizontal="center" vertical="center"/>
    </xf>
    <xf numFmtId="2" fontId="24244" fillId="8" borderId="1" xfId="0" applyNumberFormat="1" applyFont="1" applyFill="1" applyBorder="1" applyAlignment="1">
      <alignment horizontal="center" vertical="center"/>
    </xf>
    <xf numFmtId="2" fontId="24245" fillId="8" borderId="1" xfId="0" applyNumberFormat="1" applyFont="1" applyFill="1" applyBorder="1" applyAlignment="1">
      <alignment horizontal="center" vertical="center"/>
    </xf>
    <xf numFmtId="2" fontId="24246" fillId="8" borderId="1" xfId="0" applyNumberFormat="1" applyFont="1" applyFill="1" applyBorder="1" applyAlignment="1">
      <alignment horizontal="center" vertical="center"/>
    </xf>
    <xf numFmtId="2" fontId="24247" fillId="8" borderId="1" xfId="0" applyNumberFormat="1" applyFont="1" applyFill="1" applyBorder="1" applyAlignment="1">
      <alignment horizontal="center" vertical="center"/>
    </xf>
    <xf numFmtId="2" fontId="24248" fillId="8" borderId="1" xfId="0" applyNumberFormat="1" applyFont="1" applyFill="1" applyBorder="1" applyAlignment="1">
      <alignment horizontal="center" vertical="center"/>
    </xf>
    <xf numFmtId="2" fontId="24249" fillId="8" borderId="1" xfId="0" applyNumberFormat="1" applyFont="1" applyFill="1" applyBorder="1" applyAlignment="1">
      <alignment horizontal="center" vertical="center"/>
    </xf>
    <xf numFmtId="2" fontId="24250" fillId="8" borderId="1" xfId="0" applyNumberFormat="1" applyFont="1" applyFill="1" applyBorder="1" applyAlignment="1">
      <alignment horizontal="center" vertical="center"/>
    </xf>
    <xf numFmtId="2" fontId="24251" fillId="8" borderId="1" xfId="0" applyNumberFormat="1" applyFont="1" applyFill="1" applyBorder="1" applyAlignment="1">
      <alignment horizontal="center" vertical="center"/>
    </xf>
    <xf numFmtId="2" fontId="24252" fillId="8" borderId="1" xfId="0" applyNumberFormat="1" applyFont="1" applyFill="1" applyBorder="1" applyAlignment="1">
      <alignment horizontal="center" vertical="center"/>
    </xf>
    <xf numFmtId="2" fontId="24253" fillId="8" borderId="1" xfId="0" applyNumberFormat="1" applyFont="1" applyFill="1" applyBorder="1" applyAlignment="1">
      <alignment horizontal="center" vertical="center"/>
    </xf>
    <xf numFmtId="2" fontId="24254" fillId="8" borderId="1" xfId="0" applyNumberFormat="1" applyFont="1" applyFill="1" applyBorder="1" applyAlignment="1">
      <alignment horizontal="center" vertical="center"/>
    </xf>
    <xf numFmtId="2" fontId="24255" fillId="8" borderId="1" xfId="0" applyNumberFormat="1" applyFont="1" applyFill="1" applyBorder="1" applyAlignment="1">
      <alignment horizontal="center" vertical="center"/>
    </xf>
    <xf numFmtId="2" fontId="24256" fillId="8" borderId="1" xfId="0" applyNumberFormat="1" applyFont="1" applyFill="1" applyBorder="1" applyAlignment="1">
      <alignment horizontal="center" vertical="center"/>
    </xf>
    <xf numFmtId="2" fontId="24257" fillId="8" borderId="1" xfId="0" applyNumberFormat="1" applyFont="1" applyFill="1" applyBorder="1" applyAlignment="1">
      <alignment horizontal="center" vertical="center"/>
    </xf>
    <xf numFmtId="2" fontId="24258" fillId="8" borderId="1" xfId="0" applyNumberFormat="1" applyFont="1" applyFill="1" applyBorder="1" applyAlignment="1">
      <alignment horizontal="center" vertical="center"/>
    </xf>
    <xf numFmtId="0" fontId="24259" fillId="7" borderId="1" xfId="0" applyNumberFormat="1" applyFont="1" applyFill="1" applyBorder="1" applyAlignment="1">
      <alignment horizontal="left" vertical="center"/>
    </xf>
    <xf numFmtId="0" fontId="24260" fillId="8" borderId="1" xfId="0" applyNumberFormat="1" applyFont="1" applyFill="1" applyBorder="1" applyAlignment="1">
      <alignment horizontal="center" vertical="center"/>
    </xf>
    <xf numFmtId="164" fontId="24261" fillId="8" borderId="1" xfId="0" applyNumberFormat="1" applyFont="1" applyFill="1" applyBorder="1" applyAlignment="1">
      <alignment horizontal="center" vertical="center"/>
    </xf>
    <xf numFmtId="1" fontId="24262" fillId="8" borderId="1" xfId="0" applyNumberFormat="1" applyFont="1" applyFill="1" applyBorder="1" applyAlignment="1">
      <alignment horizontal="center" vertical="center"/>
    </xf>
    <xf numFmtId="1" fontId="24263" fillId="8" borderId="1" xfId="0" applyNumberFormat="1" applyFont="1" applyFill="1" applyBorder="1" applyAlignment="1">
      <alignment horizontal="center" vertical="center"/>
    </xf>
    <xf numFmtId="1" fontId="24264" fillId="8" borderId="1" xfId="0" applyNumberFormat="1" applyFont="1" applyFill="1" applyBorder="1" applyAlignment="1">
      <alignment horizontal="center" vertical="center"/>
    </xf>
    <xf numFmtId="1" fontId="24265" fillId="8" borderId="1" xfId="0" applyNumberFormat="1" applyFont="1" applyFill="1" applyBorder="1" applyAlignment="1">
      <alignment horizontal="center" vertical="center"/>
    </xf>
    <xf numFmtId="1" fontId="24266" fillId="8" borderId="1" xfId="0" applyNumberFormat="1" applyFont="1" applyFill="1" applyBorder="1" applyAlignment="1">
      <alignment horizontal="center" vertical="center"/>
    </xf>
    <xf numFmtId="1" fontId="24267" fillId="8" borderId="1" xfId="0" applyNumberFormat="1" applyFont="1" applyFill="1" applyBorder="1" applyAlignment="1">
      <alignment horizontal="center" vertical="center"/>
    </xf>
    <xf numFmtId="1" fontId="24268" fillId="8" borderId="1" xfId="0" applyNumberFormat="1" applyFont="1" applyFill="1" applyBorder="1" applyAlignment="1">
      <alignment horizontal="center" vertical="center"/>
    </xf>
    <xf numFmtId="0" fontId="24269" fillId="8" borderId="1" xfId="0" applyNumberFormat="1" applyFont="1" applyFill="1" applyBorder="1" applyAlignment="1">
      <alignment horizontal="center" vertical="center"/>
    </xf>
    <xf numFmtId="0" fontId="24270" fillId="8" borderId="1" xfId="0" applyNumberFormat="1" applyFont="1" applyFill="1" applyBorder="1" applyAlignment="1">
      <alignment horizontal="center" vertical="center"/>
    </xf>
    <xf numFmtId="1" fontId="24271" fillId="8" borderId="1" xfId="0" applyNumberFormat="1" applyFont="1" applyFill="1" applyBorder="1" applyAlignment="1">
      <alignment horizontal="center" vertical="center"/>
    </xf>
    <xf numFmtId="1" fontId="24272" fillId="8" borderId="1" xfId="0" applyNumberFormat="1" applyFont="1" applyFill="1" applyBorder="1" applyAlignment="1">
      <alignment horizontal="center" vertical="center"/>
    </xf>
    <xf numFmtId="1" fontId="24273" fillId="8" borderId="1" xfId="0" applyNumberFormat="1" applyFont="1" applyFill="1" applyBorder="1" applyAlignment="1">
      <alignment horizontal="center" vertical="center"/>
    </xf>
    <xf numFmtId="165" fontId="24274" fillId="8" borderId="1" xfId="0" applyNumberFormat="1" applyFont="1" applyFill="1" applyBorder="1" applyAlignment="1">
      <alignment horizontal="center" vertical="center"/>
    </xf>
    <xf numFmtId="1" fontId="24275" fillId="8" borderId="1" xfId="0" applyNumberFormat="1" applyFont="1" applyFill="1" applyBorder="1" applyAlignment="1">
      <alignment horizontal="center" vertical="center"/>
    </xf>
    <xf numFmtId="165" fontId="24276" fillId="8" borderId="1" xfId="0" applyNumberFormat="1" applyFont="1" applyFill="1" applyBorder="1" applyAlignment="1">
      <alignment horizontal="center" vertical="center"/>
    </xf>
    <xf numFmtId="1" fontId="24277" fillId="8" borderId="1" xfId="0" applyNumberFormat="1" applyFont="1" applyFill="1" applyBorder="1" applyAlignment="1">
      <alignment horizontal="center" vertical="center"/>
    </xf>
    <xf numFmtId="165" fontId="24278" fillId="8" borderId="1" xfId="0" applyNumberFormat="1" applyFont="1" applyFill="1" applyBorder="1" applyAlignment="1">
      <alignment horizontal="center" vertical="center"/>
    </xf>
    <xf numFmtId="1" fontId="24279" fillId="8" borderId="1" xfId="0" applyNumberFormat="1" applyFont="1" applyFill="1" applyBorder="1" applyAlignment="1">
      <alignment horizontal="center" vertical="center"/>
    </xf>
    <xf numFmtId="165" fontId="24280" fillId="8" borderId="1" xfId="0" applyNumberFormat="1" applyFont="1" applyFill="1" applyBorder="1" applyAlignment="1">
      <alignment horizontal="center" vertical="center"/>
    </xf>
    <xf numFmtId="165" fontId="24281" fillId="8" borderId="1" xfId="0" applyNumberFormat="1" applyFont="1" applyFill="1" applyBorder="1" applyAlignment="1">
      <alignment horizontal="center" vertical="center"/>
    </xf>
    <xf numFmtId="1" fontId="24282" fillId="8" borderId="1" xfId="0" applyNumberFormat="1" applyFont="1" applyFill="1" applyBorder="1" applyAlignment="1">
      <alignment horizontal="center" vertical="center"/>
    </xf>
    <xf numFmtId="1" fontId="24283" fillId="8" borderId="1" xfId="0" applyNumberFormat="1" applyFont="1" applyFill="1" applyBorder="1" applyAlignment="1">
      <alignment horizontal="center" vertical="center"/>
    </xf>
    <xf numFmtId="1" fontId="24284" fillId="8" borderId="1" xfId="0" applyNumberFormat="1" applyFont="1" applyFill="1" applyBorder="1" applyAlignment="1">
      <alignment horizontal="center" vertical="center"/>
    </xf>
    <xf numFmtId="165" fontId="24285" fillId="8" borderId="1" xfId="0" applyNumberFormat="1" applyFont="1" applyFill="1" applyBorder="1" applyAlignment="1">
      <alignment horizontal="center" vertical="center"/>
    </xf>
    <xf numFmtId="164" fontId="24286" fillId="8" borderId="1" xfId="0" applyNumberFormat="1" applyFont="1" applyFill="1" applyBorder="1" applyAlignment="1">
      <alignment horizontal="center" vertical="center"/>
    </xf>
    <xf numFmtId="164" fontId="24287" fillId="8" borderId="1" xfId="0" applyNumberFormat="1" applyFont="1" applyFill="1" applyBorder="1" applyAlignment="1">
      <alignment horizontal="center" vertical="center"/>
    </xf>
    <xf numFmtId="1" fontId="24288" fillId="8" borderId="1" xfId="0" applyNumberFormat="1" applyFont="1" applyFill="1" applyBorder="1" applyAlignment="1">
      <alignment horizontal="center" vertical="center"/>
    </xf>
    <xf numFmtId="1" fontId="24289" fillId="8" borderId="1" xfId="0" applyNumberFormat="1" applyFont="1" applyFill="1" applyBorder="1" applyAlignment="1">
      <alignment horizontal="center" vertical="center"/>
    </xf>
    <xf numFmtId="1" fontId="24290" fillId="8" borderId="1" xfId="0" applyNumberFormat="1" applyFont="1" applyFill="1" applyBorder="1" applyAlignment="1">
      <alignment horizontal="center" vertical="center"/>
    </xf>
    <xf numFmtId="165" fontId="24291" fillId="8" borderId="1" xfId="0" applyNumberFormat="1" applyFont="1" applyFill="1" applyBorder="1" applyAlignment="1">
      <alignment horizontal="center" vertical="center"/>
    </xf>
    <xf numFmtId="1" fontId="24292" fillId="8" borderId="1" xfId="0" applyNumberFormat="1" applyFont="1" applyFill="1" applyBorder="1" applyAlignment="1">
      <alignment horizontal="center" vertical="center"/>
    </xf>
    <xf numFmtId="165" fontId="24293" fillId="8" borderId="1" xfId="0" applyNumberFormat="1" applyFont="1" applyFill="1" applyBorder="1" applyAlignment="1">
      <alignment horizontal="center" vertical="center"/>
    </xf>
    <xf numFmtId="1" fontId="24294" fillId="8" borderId="1" xfId="0" applyNumberFormat="1" applyFont="1" applyFill="1" applyBorder="1" applyAlignment="1">
      <alignment horizontal="center" vertical="center"/>
    </xf>
    <xf numFmtId="1" fontId="24295" fillId="8" borderId="1" xfId="0" applyNumberFormat="1" applyFont="1" applyFill="1" applyBorder="1" applyAlignment="1">
      <alignment horizontal="center" vertical="center"/>
    </xf>
    <xf numFmtId="1" fontId="24296" fillId="8" borderId="1" xfId="0" applyNumberFormat="1" applyFont="1" applyFill="1" applyBorder="1" applyAlignment="1">
      <alignment horizontal="center" vertical="center"/>
    </xf>
    <xf numFmtId="1" fontId="24297" fillId="8" borderId="1" xfId="0" applyNumberFormat="1" applyFont="1" applyFill="1" applyBorder="1" applyAlignment="1">
      <alignment horizontal="center" vertical="center"/>
    </xf>
    <xf numFmtId="165" fontId="24298" fillId="8" borderId="1" xfId="0" applyNumberFormat="1" applyFont="1" applyFill="1" applyBorder="1" applyAlignment="1">
      <alignment horizontal="center" vertical="center"/>
    </xf>
    <xf numFmtId="1" fontId="24299" fillId="8" borderId="1" xfId="0" applyNumberFormat="1" applyFont="1" applyFill="1" applyBorder="1" applyAlignment="1">
      <alignment horizontal="center" vertical="center"/>
    </xf>
    <xf numFmtId="165" fontId="24300" fillId="8" borderId="1" xfId="0" applyNumberFormat="1" applyFont="1" applyFill="1" applyBorder="1" applyAlignment="1">
      <alignment horizontal="center" vertical="center"/>
    </xf>
    <xf numFmtId="1" fontId="24301" fillId="8" borderId="1" xfId="0" applyNumberFormat="1" applyFont="1" applyFill="1" applyBorder="1" applyAlignment="1">
      <alignment horizontal="center" vertical="center"/>
    </xf>
    <xf numFmtId="165" fontId="24302" fillId="8" borderId="1" xfId="0" applyNumberFormat="1" applyFont="1" applyFill="1" applyBorder="1" applyAlignment="1">
      <alignment horizontal="center" vertical="center"/>
    </xf>
    <xf numFmtId="2" fontId="24303" fillId="8" borderId="1" xfId="0" applyNumberFormat="1" applyFont="1" applyFill="1" applyBorder="1" applyAlignment="1">
      <alignment horizontal="center" vertical="center"/>
    </xf>
    <xf numFmtId="2" fontId="24304" fillId="8" borderId="1" xfId="0" applyNumberFormat="1" applyFont="1" applyFill="1" applyBorder="1" applyAlignment="1">
      <alignment horizontal="center" vertical="center"/>
    </xf>
    <xf numFmtId="2" fontId="24305" fillId="8" borderId="1" xfId="0" applyNumberFormat="1" applyFont="1" applyFill="1" applyBorder="1" applyAlignment="1">
      <alignment horizontal="center" vertical="center"/>
    </xf>
    <xf numFmtId="2" fontId="24306" fillId="8" borderId="1" xfId="0" applyNumberFormat="1" applyFont="1" applyFill="1" applyBorder="1" applyAlignment="1">
      <alignment horizontal="center" vertical="center"/>
    </xf>
    <xf numFmtId="2" fontId="24307" fillId="8" borderId="1" xfId="0" applyNumberFormat="1" applyFont="1" applyFill="1" applyBorder="1" applyAlignment="1">
      <alignment horizontal="center" vertical="center"/>
    </xf>
    <xf numFmtId="2" fontId="24308" fillId="8" borderId="1" xfId="0" applyNumberFormat="1" applyFont="1" applyFill="1" applyBorder="1" applyAlignment="1">
      <alignment horizontal="center" vertical="center"/>
    </xf>
    <xf numFmtId="2" fontId="24309" fillId="8" borderId="1" xfId="0" applyNumberFormat="1" applyFont="1" applyFill="1" applyBorder="1" applyAlignment="1">
      <alignment horizontal="center" vertical="center"/>
    </xf>
    <xf numFmtId="2" fontId="24310" fillId="8" borderId="1" xfId="0" applyNumberFormat="1" applyFont="1" applyFill="1" applyBorder="1" applyAlignment="1">
      <alignment horizontal="center" vertical="center"/>
    </xf>
    <xf numFmtId="2" fontId="24311" fillId="8" borderId="1" xfId="0" applyNumberFormat="1" applyFont="1" applyFill="1" applyBorder="1" applyAlignment="1">
      <alignment horizontal="center" vertical="center"/>
    </xf>
    <xf numFmtId="2" fontId="24312" fillId="8" borderId="1" xfId="0" applyNumberFormat="1" applyFont="1" applyFill="1" applyBorder="1" applyAlignment="1">
      <alignment horizontal="center" vertical="center"/>
    </xf>
    <xf numFmtId="2" fontId="24313" fillId="8" borderId="1" xfId="0" applyNumberFormat="1" applyFont="1" applyFill="1" applyBorder="1" applyAlignment="1">
      <alignment horizontal="center" vertical="center"/>
    </xf>
    <xf numFmtId="2" fontId="24314" fillId="8" borderId="1" xfId="0" applyNumberFormat="1" applyFont="1" applyFill="1" applyBorder="1" applyAlignment="1">
      <alignment horizontal="center" vertical="center"/>
    </xf>
    <xf numFmtId="2" fontId="24315" fillId="8" borderId="1" xfId="0" applyNumberFormat="1" applyFont="1" applyFill="1" applyBorder="1" applyAlignment="1">
      <alignment horizontal="center" vertical="center"/>
    </xf>
    <xf numFmtId="2" fontId="24316" fillId="8" borderId="1" xfId="0" applyNumberFormat="1" applyFont="1" applyFill="1" applyBorder="1" applyAlignment="1">
      <alignment horizontal="center" vertical="center"/>
    </xf>
    <xf numFmtId="2" fontId="24317" fillId="8" borderId="1" xfId="0" applyNumberFormat="1" applyFont="1" applyFill="1" applyBorder="1" applyAlignment="1">
      <alignment horizontal="center" vertical="center"/>
    </xf>
    <xf numFmtId="2" fontId="24318" fillId="8" borderId="1" xfId="0" applyNumberFormat="1" applyFont="1" applyFill="1" applyBorder="1" applyAlignment="1">
      <alignment horizontal="center" vertical="center"/>
    </xf>
    <xf numFmtId="2" fontId="24319" fillId="8" borderId="1" xfId="0" applyNumberFormat="1" applyFont="1" applyFill="1" applyBorder="1" applyAlignment="1">
      <alignment horizontal="center" vertical="center"/>
    </xf>
    <xf numFmtId="2" fontId="24320" fillId="8" borderId="1" xfId="0" applyNumberFormat="1" applyFont="1" applyFill="1" applyBorder="1" applyAlignment="1">
      <alignment horizontal="center" vertical="center"/>
    </xf>
    <xf numFmtId="2" fontId="24321" fillId="8" borderId="1" xfId="0" applyNumberFormat="1" applyFont="1" applyFill="1" applyBorder="1" applyAlignment="1">
      <alignment horizontal="center" vertical="center"/>
    </xf>
    <xf numFmtId="2" fontId="24322" fillId="8" borderId="1" xfId="0" applyNumberFormat="1" applyFont="1" applyFill="1" applyBorder="1" applyAlignment="1">
      <alignment horizontal="center" vertical="center"/>
    </xf>
    <xf numFmtId="2" fontId="24323" fillId="8" borderId="1" xfId="0" applyNumberFormat="1" applyFont="1" applyFill="1" applyBorder="1" applyAlignment="1">
      <alignment horizontal="center" vertical="center"/>
    </xf>
    <xf numFmtId="2" fontId="24324" fillId="8" borderId="1" xfId="0" applyNumberFormat="1" applyFont="1" applyFill="1" applyBorder="1" applyAlignment="1">
      <alignment horizontal="center" vertical="center"/>
    </xf>
    <xf numFmtId="2" fontId="24325" fillId="8" borderId="1" xfId="0" applyNumberFormat="1" applyFont="1" applyFill="1" applyBorder="1" applyAlignment="1">
      <alignment horizontal="center" vertical="center"/>
    </xf>
    <xf numFmtId="2" fontId="24326" fillId="8" borderId="1" xfId="0" applyNumberFormat="1" applyFont="1" applyFill="1" applyBorder="1" applyAlignment="1">
      <alignment horizontal="center" vertical="center"/>
    </xf>
    <xf numFmtId="2" fontId="24327" fillId="8" borderId="1" xfId="0" applyNumberFormat="1" applyFont="1" applyFill="1" applyBorder="1" applyAlignment="1">
      <alignment horizontal="center" vertical="center"/>
    </xf>
    <xf numFmtId="2" fontId="24328" fillId="8" borderId="1" xfId="0" applyNumberFormat="1" applyFont="1" applyFill="1" applyBorder="1" applyAlignment="1">
      <alignment horizontal="center" vertical="center"/>
    </xf>
    <xf numFmtId="2" fontId="24329" fillId="8" borderId="1" xfId="0" applyNumberFormat="1" applyFont="1" applyFill="1" applyBorder="1" applyAlignment="1">
      <alignment horizontal="center" vertical="center"/>
    </xf>
    <xf numFmtId="2" fontId="24330" fillId="8" borderId="1" xfId="0" applyNumberFormat="1" applyFont="1" applyFill="1" applyBorder="1" applyAlignment="1">
      <alignment horizontal="center" vertical="center"/>
    </xf>
    <xf numFmtId="2" fontId="24331" fillId="8" borderId="1" xfId="0" applyNumberFormat="1" applyFont="1" applyFill="1" applyBorder="1" applyAlignment="1">
      <alignment horizontal="center" vertical="center"/>
    </xf>
    <xf numFmtId="2" fontId="24332" fillId="8" borderId="1" xfId="0" applyNumberFormat="1" applyFont="1" applyFill="1" applyBorder="1" applyAlignment="1">
      <alignment horizontal="center" vertical="center"/>
    </xf>
    <xf numFmtId="2" fontId="24333" fillId="8" borderId="1" xfId="0" applyNumberFormat="1" applyFont="1" applyFill="1" applyBorder="1" applyAlignment="1">
      <alignment horizontal="center" vertical="center"/>
    </xf>
    <xf numFmtId="2" fontId="24334" fillId="8" borderId="1" xfId="0" applyNumberFormat="1" applyFont="1" applyFill="1" applyBorder="1" applyAlignment="1">
      <alignment horizontal="center" vertical="center"/>
    </xf>
    <xf numFmtId="2" fontId="24335" fillId="8" borderId="1" xfId="0" applyNumberFormat="1" applyFont="1" applyFill="1" applyBorder="1" applyAlignment="1">
      <alignment horizontal="center" vertical="center"/>
    </xf>
    <xf numFmtId="2" fontId="24336" fillId="8" borderId="1" xfId="0" applyNumberFormat="1" applyFont="1" applyFill="1" applyBorder="1" applyAlignment="1">
      <alignment horizontal="center" vertical="center"/>
    </xf>
    <xf numFmtId="0" fontId="24337" fillId="7" borderId="1" xfId="0" applyNumberFormat="1" applyFont="1" applyFill="1" applyBorder="1" applyAlignment="1">
      <alignment horizontal="left" vertical="center"/>
    </xf>
    <xf numFmtId="0" fontId="24338" fillId="8" borderId="1" xfId="0" applyNumberFormat="1" applyFont="1" applyFill="1" applyBorder="1" applyAlignment="1">
      <alignment horizontal="center" vertical="center"/>
    </xf>
    <xf numFmtId="164" fontId="24339" fillId="8" borderId="1" xfId="0" applyNumberFormat="1" applyFont="1" applyFill="1" applyBorder="1" applyAlignment="1">
      <alignment horizontal="center" vertical="center"/>
    </xf>
    <xf numFmtId="1" fontId="24340" fillId="8" borderId="1" xfId="0" applyNumberFormat="1" applyFont="1" applyFill="1" applyBorder="1" applyAlignment="1">
      <alignment horizontal="center" vertical="center"/>
    </xf>
    <xf numFmtId="1" fontId="24341" fillId="8" borderId="1" xfId="0" applyNumberFormat="1" applyFont="1" applyFill="1" applyBorder="1" applyAlignment="1">
      <alignment horizontal="center" vertical="center"/>
    </xf>
    <xf numFmtId="1" fontId="24342" fillId="8" borderId="1" xfId="0" applyNumberFormat="1" applyFont="1" applyFill="1" applyBorder="1" applyAlignment="1">
      <alignment horizontal="center" vertical="center"/>
    </xf>
    <xf numFmtId="1" fontId="24343" fillId="8" borderId="1" xfId="0" applyNumberFormat="1" applyFont="1" applyFill="1" applyBorder="1" applyAlignment="1">
      <alignment horizontal="center" vertical="center"/>
    </xf>
    <xf numFmtId="1" fontId="24344" fillId="8" borderId="1" xfId="0" applyNumberFormat="1" applyFont="1" applyFill="1" applyBorder="1" applyAlignment="1">
      <alignment horizontal="center" vertical="center"/>
    </xf>
    <xf numFmtId="1" fontId="24345" fillId="8" borderId="1" xfId="0" applyNumberFormat="1" applyFont="1" applyFill="1" applyBorder="1" applyAlignment="1">
      <alignment horizontal="center" vertical="center"/>
    </xf>
    <xf numFmtId="1" fontId="24346" fillId="8" borderId="1" xfId="0" applyNumberFormat="1" applyFont="1" applyFill="1" applyBorder="1" applyAlignment="1">
      <alignment horizontal="center" vertical="center"/>
    </xf>
    <xf numFmtId="0" fontId="24347" fillId="8" borderId="1" xfId="0" applyNumberFormat="1" applyFont="1" applyFill="1" applyBorder="1" applyAlignment="1">
      <alignment horizontal="center" vertical="center"/>
    </xf>
    <xf numFmtId="0" fontId="24348" fillId="8" borderId="1" xfId="0" applyNumberFormat="1" applyFont="1" applyFill="1" applyBorder="1" applyAlignment="1">
      <alignment horizontal="center" vertical="center"/>
    </xf>
    <xf numFmtId="1" fontId="24349" fillId="8" borderId="1" xfId="0" applyNumberFormat="1" applyFont="1" applyFill="1" applyBorder="1" applyAlignment="1">
      <alignment horizontal="center" vertical="center"/>
    </xf>
    <xf numFmtId="1" fontId="24350" fillId="8" borderId="1" xfId="0" applyNumberFormat="1" applyFont="1" applyFill="1" applyBorder="1" applyAlignment="1">
      <alignment horizontal="center" vertical="center"/>
    </xf>
    <xf numFmtId="1" fontId="24351" fillId="8" borderId="1" xfId="0" applyNumberFormat="1" applyFont="1" applyFill="1" applyBorder="1" applyAlignment="1">
      <alignment horizontal="center" vertical="center"/>
    </xf>
    <xf numFmtId="165" fontId="24352" fillId="8" borderId="1" xfId="0" applyNumberFormat="1" applyFont="1" applyFill="1" applyBorder="1" applyAlignment="1">
      <alignment horizontal="center" vertical="center"/>
    </xf>
    <xf numFmtId="1" fontId="24353" fillId="8" borderId="1" xfId="0" applyNumberFormat="1" applyFont="1" applyFill="1" applyBorder="1" applyAlignment="1">
      <alignment horizontal="center" vertical="center"/>
    </xf>
    <xf numFmtId="165" fontId="24354" fillId="8" borderId="1" xfId="0" applyNumberFormat="1" applyFont="1" applyFill="1" applyBorder="1" applyAlignment="1">
      <alignment horizontal="center" vertical="center"/>
    </xf>
    <xf numFmtId="1" fontId="24355" fillId="8" borderId="1" xfId="0" applyNumberFormat="1" applyFont="1" applyFill="1" applyBorder="1" applyAlignment="1">
      <alignment horizontal="center" vertical="center"/>
    </xf>
    <xf numFmtId="165" fontId="24356" fillId="8" borderId="1" xfId="0" applyNumberFormat="1" applyFont="1" applyFill="1" applyBorder="1" applyAlignment="1">
      <alignment horizontal="center" vertical="center"/>
    </xf>
    <xf numFmtId="1" fontId="24357" fillId="8" borderId="1" xfId="0" applyNumberFormat="1" applyFont="1" applyFill="1" applyBorder="1" applyAlignment="1">
      <alignment horizontal="center" vertical="center"/>
    </xf>
    <xf numFmtId="165" fontId="24358" fillId="8" borderId="1" xfId="0" applyNumberFormat="1" applyFont="1" applyFill="1" applyBorder="1" applyAlignment="1">
      <alignment horizontal="center" vertical="center"/>
    </xf>
    <xf numFmtId="165" fontId="24359" fillId="8" borderId="1" xfId="0" applyNumberFormat="1" applyFont="1" applyFill="1" applyBorder="1" applyAlignment="1">
      <alignment horizontal="center" vertical="center"/>
    </xf>
    <xf numFmtId="1" fontId="24360" fillId="8" borderId="1" xfId="0" applyNumberFormat="1" applyFont="1" applyFill="1" applyBorder="1" applyAlignment="1">
      <alignment horizontal="center" vertical="center"/>
    </xf>
    <xf numFmtId="1" fontId="24361" fillId="8" borderId="1" xfId="0" applyNumberFormat="1" applyFont="1" applyFill="1" applyBorder="1" applyAlignment="1">
      <alignment horizontal="center" vertical="center"/>
    </xf>
    <xf numFmtId="1" fontId="24362" fillId="8" borderId="1" xfId="0" applyNumberFormat="1" applyFont="1" applyFill="1" applyBorder="1" applyAlignment="1">
      <alignment horizontal="center" vertical="center"/>
    </xf>
    <xf numFmtId="165" fontId="24363" fillId="8" borderId="1" xfId="0" applyNumberFormat="1" applyFont="1" applyFill="1" applyBorder="1" applyAlignment="1">
      <alignment horizontal="center" vertical="center"/>
    </xf>
    <xf numFmtId="164" fontId="24364" fillId="8" borderId="1" xfId="0" applyNumberFormat="1" applyFont="1" applyFill="1" applyBorder="1" applyAlignment="1">
      <alignment horizontal="center" vertical="center"/>
    </xf>
    <xf numFmtId="164" fontId="24365" fillId="8" borderId="1" xfId="0" applyNumberFormat="1" applyFont="1" applyFill="1" applyBorder="1" applyAlignment="1">
      <alignment horizontal="center" vertical="center"/>
    </xf>
    <xf numFmtId="1" fontId="24366" fillId="8" borderId="1" xfId="0" applyNumberFormat="1" applyFont="1" applyFill="1" applyBorder="1" applyAlignment="1">
      <alignment horizontal="center" vertical="center"/>
    </xf>
    <xf numFmtId="1" fontId="24367" fillId="8" borderId="1" xfId="0" applyNumberFormat="1" applyFont="1" applyFill="1" applyBorder="1" applyAlignment="1">
      <alignment horizontal="center" vertical="center"/>
    </xf>
    <xf numFmtId="1" fontId="24368" fillId="8" borderId="1" xfId="0" applyNumberFormat="1" applyFont="1" applyFill="1" applyBorder="1" applyAlignment="1">
      <alignment horizontal="center" vertical="center"/>
    </xf>
    <xf numFmtId="165" fontId="24369" fillId="8" borderId="1" xfId="0" applyNumberFormat="1" applyFont="1" applyFill="1" applyBorder="1" applyAlignment="1">
      <alignment horizontal="center" vertical="center"/>
    </xf>
    <xf numFmtId="1" fontId="24370" fillId="8" borderId="1" xfId="0" applyNumberFormat="1" applyFont="1" applyFill="1" applyBorder="1" applyAlignment="1">
      <alignment horizontal="center" vertical="center"/>
    </xf>
    <xf numFmtId="165" fontId="24371" fillId="8" borderId="1" xfId="0" applyNumberFormat="1" applyFont="1" applyFill="1" applyBorder="1" applyAlignment="1">
      <alignment horizontal="center" vertical="center"/>
    </xf>
    <xf numFmtId="1" fontId="24372" fillId="8" borderId="1" xfId="0" applyNumberFormat="1" applyFont="1" applyFill="1" applyBorder="1" applyAlignment="1">
      <alignment horizontal="center" vertical="center"/>
    </xf>
    <xf numFmtId="1" fontId="24373" fillId="8" borderId="1" xfId="0" applyNumberFormat="1" applyFont="1" applyFill="1" applyBorder="1" applyAlignment="1">
      <alignment horizontal="center" vertical="center"/>
    </xf>
    <xf numFmtId="1" fontId="24374" fillId="8" borderId="1" xfId="0" applyNumberFormat="1" applyFont="1" applyFill="1" applyBorder="1" applyAlignment="1">
      <alignment horizontal="center" vertical="center"/>
    </xf>
    <xf numFmtId="1" fontId="24375" fillId="8" borderId="1" xfId="0" applyNumberFormat="1" applyFont="1" applyFill="1" applyBorder="1" applyAlignment="1">
      <alignment horizontal="center" vertical="center"/>
    </xf>
    <xf numFmtId="165" fontId="24376" fillId="8" borderId="1" xfId="0" applyNumberFormat="1" applyFont="1" applyFill="1" applyBorder="1" applyAlignment="1">
      <alignment horizontal="center" vertical="center"/>
    </xf>
    <xf numFmtId="1" fontId="24377" fillId="8" borderId="1" xfId="0" applyNumberFormat="1" applyFont="1" applyFill="1" applyBorder="1" applyAlignment="1">
      <alignment horizontal="center" vertical="center"/>
    </xf>
    <xf numFmtId="165" fontId="24378" fillId="8" borderId="1" xfId="0" applyNumberFormat="1" applyFont="1" applyFill="1" applyBorder="1" applyAlignment="1">
      <alignment horizontal="center" vertical="center"/>
    </xf>
    <xf numFmtId="1" fontId="24379" fillId="8" borderId="1" xfId="0" applyNumberFormat="1" applyFont="1" applyFill="1" applyBorder="1" applyAlignment="1">
      <alignment horizontal="center" vertical="center"/>
    </xf>
    <xf numFmtId="165" fontId="24380" fillId="8" borderId="1" xfId="0" applyNumberFormat="1" applyFont="1" applyFill="1" applyBorder="1" applyAlignment="1">
      <alignment horizontal="center" vertical="center"/>
    </xf>
    <xf numFmtId="2" fontId="24381" fillId="8" borderId="1" xfId="0" applyNumberFormat="1" applyFont="1" applyFill="1" applyBorder="1" applyAlignment="1">
      <alignment horizontal="center" vertical="center"/>
    </xf>
    <xf numFmtId="2" fontId="24382" fillId="8" borderId="1" xfId="0" applyNumberFormat="1" applyFont="1" applyFill="1" applyBorder="1" applyAlignment="1">
      <alignment horizontal="center" vertical="center"/>
    </xf>
    <xf numFmtId="2" fontId="24383" fillId="8" borderId="1" xfId="0" applyNumberFormat="1" applyFont="1" applyFill="1" applyBorder="1" applyAlignment="1">
      <alignment horizontal="center" vertical="center"/>
    </xf>
    <xf numFmtId="2" fontId="24384" fillId="8" borderId="1" xfId="0" applyNumberFormat="1" applyFont="1" applyFill="1" applyBorder="1" applyAlignment="1">
      <alignment horizontal="center" vertical="center"/>
    </xf>
    <xf numFmtId="2" fontId="24385" fillId="8" borderId="1" xfId="0" applyNumberFormat="1" applyFont="1" applyFill="1" applyBorder="1" applyAlignment="1">
      <alignment horizontal="center" vertical="center"/>
    </xf>
    <xf numFmtId="2" fontId="24386" fillId="8" borderId="1" xfId="0" applyNumberFormat="1" applyFont="1" applyFill="1" applyBorder="1" applyAlignment="1">
      <alignment horizontal="center" vertical="center"/>
    </xf>
    <xf numFmtId="2" fontId="24387" fillId="8" borderId="1" xfId="0" applyNumberFormat="1" applyFont="1" applyFill="1" applyBorder="1" applyAlignment="1">
      <alignment horizontal="center" vertical="center"/>
    </xf>
    <xf numFmtId="2" fontId="24388" fillId="8" borderId="1" xfId="0" applyNumberFormat="1" applyFont="1" applyFill="1" applyBorder="1" applyAlignment="1">
      <alignment horizontal="center" vertical="center"/>
    </xf>
    <xf numFmtId="2" fontId="24389" fillId="8" borderId="1" xfId="0" applyNumberFormat="1" applyFont="1" applyFill="1" applyBorder="1" applyAlignment="1">
      <alignment horizontal="center" vertical="center"/>
    </xf>
    <xf numFmtId="2" fontId="24390" fillId="8" borderId="1" xfId="0" applyNumberFormat="1" applyFont="1" applyFill="1" applyBorder="1" applyAlignment="1">
      <alignment horizontal="center" vertical="center"/>
    </xf>
    <xf numFmtId="2" fontId="24391" fillId="8" borderId="1" xfId="0" applyNumberFormat="1" applyFont="1" applyFill="1" applyBorder="1" applyAlignment="1">
      <alignment horizontal="center" vertical="center"/>
    </xf>
    <xf numFmtId="2" fontId="24392" fillId="8" borderId="1" xfId="0" applyNumberFormat="1" applyFont="1" applyFill="1" applyBorder="1" applyAlignment="1">
      <alignment horizontal="center" vertical="center"/>
    </xf>
    <xf numFmtId="2" fontId="24393" fillId="8" borderId="1" xfId="0" applyNumberFormat="1" applyFont="1" applyFill="1" applyBorder="1" applyAlignment="1">
      <alignment horizontal="center" vertical="center"/>
    </xf>
    <xf numFmtId="2" fontId="24394" fillId="8" borderId="1" xfId="0" applyNumberFormat="1" applyFont="1" applyFill="1" applyBorder="1" applyAlignment="1">
      <alignment horizontal="center" vertical="center"/>
    </xf>
    <xf numFmtId="2" fontId="24395" fillId="8" borderId="1" xfId="0" applyNumberFormat="1" applyFont="1" applyFill="1" applyBorder="1" applyAlignment="1">
      <alignment horizontal="center" vertical="center"/>
    </xf>
    <xf numFmtId="2" fontId="24396" fillId="8" borderId="1" xfId="0" applyNumberFormat="1" applyFont="1" applyFill="1" applyBorder="1" applyAlignment="1">
      <alignment horizontal="center" vertical="center"/>
    </xf>
    <xf numFmtId="2" fontId="24397" fillId="8" borderId="1" xfId="0" applyNumberFormat="1" applyFont="1" applyFill="1" applyBorder="1" applyAlignment="1">
      <alignment horizontal="center" vertical="center"/>
    </xf>
    <xf numFmtId="2" fontId="24398" fillId="8" borderId="1" xfId="0" applyNumberFormat="1" applyFont="1" applyFill="1" applyBorder="1" applyAlignment="1">
      <alignment horizontal="center" vertical="center"/>
    </xf>
    <xf numFmtId="2" fontId="24399" fillId="8" borderId="1" xfId="0" applyNumberFormat="1" applyFont="1" applyFill="1" applyBorder="1" applyAlignment="1">
      <alignment horizontal="center" vertical="center"/>
    </xf>
    <xf numFmtId="2" fontId="24400" fillId="8" borderId="1" xfId="0" applyNumberFormat="1" applyFont="1" applyFill="1" applyBorder="1" applyAlignment="1">
      <alignment horizontal="center" vertical="center"/>
    </xf>
    <xf numFmtId="2" fontId="24401" fillId="8" borderId="1" xfId="0" applyNumberFormat="1" applyFont="1" applyFill="1" applyBorder="1" applyAlignment="1">
      <alignment horizontal="center" vertical="center"/>
    </xf>
    <xf numFmtId="2" fontId="24402" fillId="8" borderId="1" xfId="0" applyNumberFormat="1" applyFont="1" applyFill="1" applyBorder="1" applyAlignment="1">
      <alignment horizontal="center" vertical="center"/>
    </xf>
    <xf numFmtId="2" fontId="24403" fillId="8" borderId="1" xfId="0" applyNumberFormat="1" applyFont="1" applyFill="1" applyBorder="1" applyAlignment="1">
      <alignment horizontal="center" vertical="center"/>
    </xf>
    <xf numFmtId="2" fontId="24404" fillId="8" borderId="1" xfId="0" applyNumberFormat="1" applyFont="1" applyFill="1" applyBorder="1" applyAlignment="1">
      <alignment horizontal="center" vertical="center"/>
    </xf>
    <xf numFmtId="2" fontId="24405" fillId="8" borderId="1" xfId="0" applyNumberFormat="1" applyFont="1" applyFill="1" applyBorder="1" applyAlignment="1">
      <alignment horizontal="center" vertical="center"/>
    </xf>
    <xf numFmtId="2" fontId="24406" fillId="8" borderId="1" xfId="0" applyNumberFormat="1" applyFont="1" applyFill="1" applyBorder="1" applyAlignment="1">
      <alignment horizontal="center" vertical="center"/>
    </xf>
    <xf numFmtId="2" fontId="24407" fillId="8" borderId="1" xfId="0" applyNumberFormat="1" applyFont="1" applyFill="1" applyBorder="1" applyAlignment="1">
      <alignment horizontal="center" vertical="center"/>
    </xf>
    <xf numFmtId="2" fontId="24408" fillId="8" borderId="1" xfId="0" applyNumberFormat="1" applyFont="1" applyFill="1" applyBorder="1" applyAlignment="1">
      <alignment horizontal="center" vertical="center"/>
    </xf>
    <xf numFmtId="2" fontId="24409" fillId="8" borderId="1" xfId="0" applyNumberFormat="1" applyFont="1" applyFill="1" applyBorder="1" applyAlignment="1">
      <alignment horizontal="center" vertical="center"/>
    </xf>
    <xf numFmtId="2" fontId="24410" fillId="8" borderId="1" xfId="0" applyNumberFormat="1" applyFont="1" applyFill="1" applyBorder="1" applyAlignment="1">
      <alignment horizontal="center" vertical="center"/>
    </xf>
    <xf numFmtId="2" fontId="24411" fillId="8" borderId="1" xfId="0" applyNumberFormat="1" applyFont="1" applyFill="1" applyBorder="1" applyAlignment="1">
      <alignment horizontal="center" vertical="center"/>
    </xf>
    <xf numFmtId="2" fontId="24412" fillId="8" borderId="1" xfId="0" applyNumberFormat="1" applyFont="1" applyFill="1" applyBorder="1" applyAlignment="1">
      <alignment horizontal="center" vertical="center"/>
    </xf>
    <xf numFmtId="2" fontId="24413" fillId="8" borderId="1" xfId="0" applyNumberFormat="1" applyFont="1" applyFill="1" applyBorder="1" applyAlignment="1">
      <alignment horizontal="center" vertical="center"/>
    </xf>
    <xf numFmtId="2" fontId="24414" fillId="8" borderId="1" xfId="0" applyNumberFormat="1" applyFont="1" applyFill="1" applyBorder="1" applyAlignment="1">
      <alignment horizontal="center" vertical="center"/>
    </xf>
    <xf numFmtId="0" fontId="24415" fillId="7" borderId="1" xfId="0" applyNumberFormat="1" applyFont="1" applyFill="1" applyBorder="1" applyAlignment="1">
      <alignment horizontal="left" vertical="center"/>
    </xf>
    <xf numFmtId="0" fontId="24416" fillId="8" borderId="1" xfId="0" applyNumberFormat="1" applyFont="1" applyFill="1" applyBorder="1" applyAlignment="1">
      <alignment horizontal="center" vertical="center"/>
    </xf>
    <xf numFmtId="164" fontId="24417" fillId="8" borderId="1" xfId="0" applyNumberFormat="1" applyFont="1" applyFill="1" applyBorder="1" applyAlignment="1">
      <alignment horizontal="center" vertical="center"/>
    </xf>
    <xf numFmtId="1" fontId="24418" fillId="8" borderId="1" xfId="0" applyNumberFormat="1" applyFont="1" applyFill="1" applyBorder="1" applyAlignment="1">
      <alignment horizontal="center" vertical="center"/>
    </xf>
    <xf numFmtId="1" fontId="24419" fillId="8" borderId="1" xfId="0" applyNumberFormat="1" applyFont="1" applyFill="1" applyBorder="1" applyAlignment="1">
      <alignment horizontal="center" vertical="center"/>
    </xf>
    <xf numFmtId="1" fontId="24420" fillId="8" borderId="1" xfId="0" applyNumberFormat="1" applyFont="1" applyFill="1" applyBorder="1" applyAlignment="1">
      <alignment horizontal="center" vertical="center"/>
    </xf>
    <xf numFmtId="1" fontId="24421" fillId="8" borderId="1" xfId="0" applyNumberFormat="1" applyFont="1" applyFill="1" applyBorder="1" applyAlignment="1">
      <alignment horizontal="center" vertical="center"/>
    </xf>
    <xf numFmtId="1" fontId="24422" fillId="8" borderId="1" xfId="0" applyNumberFormat="1" applyFont="1" applyFill="1" applyBorder="1" applyAlignment="1">
      <alignment horizontal="center" vertical="center"/>
    </xf>
    <xf numFmtId="1" fontId="24423" fillId="8" borderId="1" xfId="0" applyNumberFormat="1" applyFont="1" applyFill="1" applyBorder="1" applyAlignment="1">
      <alignment horizontal="center" vertical="center"/>
    </xf>
    <xf numFmtId="1" fontId="24424" fillId="8" borderId="1" xfId="0" applyNumberFormat="1" applyFont="1" applyFill="1" applyBorder="1" applyAlignment="1">
      <alignment horizontal="center" vertical="center"/>
    </xf>
    <xf numFmtId="0" fontId="24425" fillId="8" borderId="1" xfId="0" applyNumberFormat="1" applyFont="1" applyFill="1" applyBorder="1" applyAlignment="1">
      <alignment horizontal="center" vertical="center"/>
    </xf>
    <xf numFmtId="0" fontId="24426" fillId="8" borderId="1" xfId="0" applyNumberFormat="1" applyFont="1" applyFill="1" applyBorder="1" applyAlignment="1">
      <alignment horizontal="center" vertical="center"/>
    </xf>
    <xf numFmtId="1" fontId="24427" fillId="8" borderId="1" xfId="0" applyNumberFormat="1" applyFont="1" applyFill="1" applyBorder="1" applyAlignment="1">
      <alignment horizontal="center" vertical="center"/>
    </xf>
    <xf numFmtId="1" fontId="24428" fillId="8" borderId="1" xfId="0" applyNumberFormat="1" applyFont="1" applyFill="1" applyBorder="1" applyAlignment="1">
      <alignment horizontal="center" vertical="center"/>
    </xf>
    <xf numFmtId="1" fontId="24429" fillId="8" borderId="1" xfId="0" applyNumberFormat="1" applyFont="1" applyFill="1" applyBorder="1" applyAlignment="1">
      <alignment horizontal="center" vertical="center"/>
    </xf>
    <xf numFmtId="165" fontId="24430" fillId="8" borderId="1" xfId="0" applyNumberFormat="1" applyFont="1" applyFill="1" applyBorder="1" applyAlignment="1">
      <alignment horizontal="center" vertical="center"/>
    </xf>
    <xf numFmtId="1" fontId="24431" fillId="8" borderId="1" xfId="0" applyNumberFormat="1" applyFont="1" applyFill="1" applyBorder="1" applyAlignment="1">
      <alignment horizontal="center" vertical="center"/>
    </xf>
    <xf numFmtId="165" fontId="24432" fillId="8" borderId="1" xfId="0" applyNumberFormat="1" applyFont="1" applyFill="1" applyBorder="1" applyAlignment="1">
      <alignment horizontal="center" vertical="center"/>
    </xf>
    <xf numFmtId="1" fontId="24433" fillId="8" borderId="1" xfId="0" applyNumberFormat="1" applyFont="1" applyFill="1" applyBorder="1" applyAlignment="1">
      <alignment horizontal="center" vertical="center"/>
    </xf>
    <xf numFmtId="165" fontId="24434" fillId="8" borderId="1" xfId="0" applyNumberFormat="1" applyFont="1" applyFill="1" applyBorder="1" applyAlignment="1">
      <alignment horizontal="center" vertical="center"/>
    </xf>
    <xf numFmtId="1" fontId="24435" fillId="8" borderId="1" xfId="0" applyNumberFormat="1" applyFont="1" applyFill="1" applyBorder="1" applyAlignment="1">
      <alignment horizontal="center" vertical="center"/>
    </xf>
    <xf numFmtId="165" fontId="24436" fillId="8" borderId="1" xfId="0" applyNumberFormat="1" applyFont="1" applyFill="1" applyBorder="1" applyAlignment="1">
      <alignment horizontal="center" vertical="center"/>
    </xf>
    <xf numFmtId="165" fontId="24437" fillId="8" borderId="1" xfId="0" applyNumberFormat="1" applyFont="1" applyFill="1" applyBorder="1" applyAlignment="1">
      <alignment horizontal="center" vertical="center"/>
    </xf>
    <xf numFmtId="1" fontId="24438" fillId="8" borderId="1" xfId="0" applyNumberFormat="1" applyFont="1" applyFill="1" applyBorder="1" applyAlignment="1">
      <alignment horizontal="center" vertical="center"/>
    </xf>
    <xf numFmtId="1" fontId="24439" fillId="8" borderId="1" xfId="0" applyNumberFormat="1" applyFont="1" applyFill="1" applyBorder="1" applyAlignment="1">
      <alignment horizontal="center" vertical="center"/>
    </xf>
    <xf numFmtId="1" fontId="24440" fillId="8" borderId="1" xfId="0" applyNumberFormat="1" applyFont="1" applyFill="1" applyBorder="1" applyAlignment="1">
      <alignment horizontal="center" vertical="center"/>
    </xf>
    <xf numFmtId="165" fontId="24441" fillId="8" borderId="1" xfId="0" applyNumberFormat="1" applyFont="1" applyFill="1" applyBorder="1" applyAlignment="1">
      <alignment horizontal="center" vertical="center"/>
    </xf>
    <xf numFmtId="164" fontId="24442" fillId="8" borderId="1" xfId="0" applyNumberFormat="1" applyFont="1" applyFill="1" applyBorder="1" applyAlignment="1">
      <alignment horizontal="center" vertical="center"/>
    </xf>
    <xf numFmtId="164" fontId="24443" fillId="8" borderId="1" xfId="0" applyNumberFormat="1" applyFont="1" applyFill="1" applyBorder="1" applyAlignment="1">
      <alignment horizontal="center" vertical="center"/>
    </xf>
    <xf numFmtId="1" fontId="24444" fillId="8" borderId="1" xfId="0" applyNumberFormat="1" applyFont="1" applyFill="1" applyBorder="1" applyAlignment="1">
      <alignment horizontal="center" vertical="center"/>
    </xf>
    <xf numFmtId="1" fontId="24445" fillId="8" borderId="1" xfId="0" applyNumberFormat="1" applyFont="1" applyFill="1" applyBorder="1" applyAlignment="1">
      <alignment horizontal="center" vertical="center"/>
    </xf>
    <xf numFmtId="1" fontId="24446" fillId="8" borderId="1" xfId="0" applyNumberFormat="1" applyFont="1" applyFill="1" applyBorder="1" applyAlignment="1">
      <alignment horizontal="center" vertical="center"/>
    </xf>
    <xf numFmtId="165" fontId="24447" fillId="8" borderId="1" xfId="0" applyNumberFormat="1" applyFont="1" applyFill="1" applyBorder="1" applyAlignment="1">
      <alignment horizontal="center" vertical="center"/>
    </xf>
    <xf numFmtId="1" fontId="24448" fillId="8" borderId="1" xfId="0" applyNumberFormat="1" applyFont="1" applyFill="1" applyBorder="1" applyAlignment="1">
      <alignment horizontal="center" vertical="center"/>
    </xf>
    <xf numFmtId="165" fontId="24449" fillId="8" borderId="1" xfId="0" applyNumberFormat="1" applyFont="1" applyFill="1" applyBorder="1" applyAlignment="1">
      <alignment horizontal="center" vertical="center"/>
    </xf>
    <xf numFmtId="1" fontId="24450" fillId="8" borderId="1" xfId="0" applyNumberFormat="1" applyFont="1" applyFill="1" applyBorder="1" applyAlignment="1">
      <alignment horizontal="center" vertical="center"/>
    </xf>
    <xf numFmtId="1" fontId="24451" fillId="8" borderId="1" xfId="0" applyNumberFormat="1" applyFont="1" applyFill="1" applyBorder="1" applyAlignment="1">
      <alignment horizontal="center" vertical="center"/>
    </xf>
    <xf numFmtId="1" fontId="24452" fillId="8" borderId="1" xfId="0" applyNumberFormat="1" applyFont="1" applyFill="1" applyBorder="1" applyAlignment="1">
      <alignment horizontal="center" vertical="center"/>
    </xf>
    <xf numFmtId="1" fontId="24453" fillId="8" borderId="1" xfId="0" applyNumberFormat="1" applyFont="1" applyFill="1" applyBorder="1" applyAlignment="1">
      <alignment horizontal="center" vertical="center"/>
    </xf>
    <xf numFmtId="165" fontId="24454" fillId="8" borderId="1" xfId="0" applyNumberFormat="1" applyFont="1" applyFill="1" applyBorder="1" applyAlignment="1">
      <alignment horizontal="center" vertical="center"/>
    </xf>
    <xf numFmtId="1" fontId="24455" fillId="8" borderId="1" xfId="0" applyNumberFormat="1" applyFont="1" applyFill="1" applyBorder="1" applyAlignment="1">
      <alignment horizontal="center" vertical="center"/>
    </xf>
    <xf numFmtId="165" fontId="24456" fillId="8" borderId="1" xfId="0" applyNumberFormat="1" applyFont="1" applyFill="1" applyBorder="1" applyAlignment="1">
      <alignment horizontal="center" vertical="center"/>
    </xf>
    <xf numFmtId="1" fontId="24457" fillId="8" borderId="1" xfId="0" applyNumberFormat="1" applyFont="1" applyFill="1" applyBorder="1" applyAlignment="1">
      <alignment horizontal="center" vertical="center"/>
    </xf>
    <xf numFmtId="165" fontId="24458" fillId="8" borderId="1" xfId="0" applyNumberFormat="1" applyFont="1" applyFill="1" applyBorder="1" applyAlignment="1">
      <alignment horizontal="center" vertical="center"/>
    </xf>
    <xf numFmtId="2" fontId="24459" fillId="8" borderId="1" xfId="0" applyNumberFormat="1" applyFont="1" applyFill="1" applyBorder="1" applyAlignment="1">
      <alignment horizontal="center" vertical="center"/>
    </xf>
    <xf numFmtId="2" fontId="24460" fillId="8" borderId="1" xfId="0" applyNumberFormat="1" applyFont="1" applyFill="1" applyBorder="1" applyAlignment="1">
      <alignment horizontal="center" vertical="center"/>
    </xf>
    <xf numFmtId="2" fontId="24461" fillId="8" borderId="1" xfId="0" applyNumberFormat="1" applyFont="1" applyFill="1" applyBorder="1" applyAlignment="1">
      <alignment horizontal="center" vertical="center"/>
    </xf>
    <xf numFmtId="2" fontId="24462" fillId="8" borderId="1" xfId="0" applyNumberFormat="1" applyFont="1" applyFill="1" applyBorder="1" applyAlignment="1">
      <alignment horizontal="center" vertical="center"/>
    </xf>
    <xf numFmtId="2" fontId="24463" fillId="8" borderId="1" xfId="0" applyNumberFormat="1" applyFont="1" applyFill="1" applyBorder="1" applyAlignment="1">
      <alignment horizontal="center" vertical="center"/>
    </xf>
    <xf numFmtId="2" fontId="24464" fillId="8" borderId="1" xfId="0" applyNumberFormat="1" applyFont="1" applyFill="1" applyBorder="1" applyAlignment="1">
      <alignment horizontal="center" vertical="center"/>
    </xf>
    <xf numFmtId="2" fontId="24465" fillId="8" borderId="1" xfId="0" applyNumberFormat="1" applyFont="1" applyFill="1" applyBorder="1" applyAlignment="1">
      <alignment horizontal="center" vertical="center"/>
    </xf>
    <xf numFmtId="2" fontId="24466" fillId="8" borderId="1" xfId="0" applyNumberFormat="1" applyFont="1" applyFill="1" applyBorder="1" applyAlignment="1">
      <alignment horizontal="center" vertical="center"/>
    </xf>
    <xf numFmtId="2" fontId="24467" fillId="8" borderId="1" xfId="0" applyNumberFormat="1" applyFont="1" applyFill="1" applyBorder="1" applyAlignment="1">
      <alignment horizontal="center" vertical="center"/>
    </xf>
    <xf numFmtId="2" fontId="24468" fillId="8" borderId="1" xfId="0" applyNumberFormat="1" applyFont="1" applyFill="1" applyBorder="1" applyAlignment="1">
      <alignment horizontal="center" vertical="center"/>
    </xf>
    <xf numFmtId="2" fontId="24469" fillId="8" borderId="1" xfId="0" applyNumberFormat="1" applyFont="1" applyFill="1" applyBorder="1" applyAlignment="1">
      <alignment horizontal="center" vertical="center"/>
    </xf>
    <xf numFmtId="2" fontId="24470" fillId="8" borderId="1" xfId="0" applyNumberFormat="1" applyFont="1" applyFill="1" applyBorder="1" applyAlignment="1">
      <alignment horizontal="center" vertical="center"/>
    </xf>
    <xf numFmtId="2" fontId="24471" fillId="8" borderId="1" xfId="0" applyNumberFormat="1" applyFont="1" applyFill="1" applyBorder="1" applyAlignment="1">
      <alignment horizontal="center" vertical="center"/>
    </xf>
    <xf numFmtId="2" fontId="24472" fillId="8" borderId="1" xfId="0" applyNumberFormat="1" applyFont="1" applyFill="1" applyBorder="1" applyAlignment="1">
      <alignment horizontal="center" vertical="center"/>
    </xf>
    <xf numFmtId="2" fontId="24473" fillId="8" borderId="1" xfId="0" applyNumberFormat="1" applyFont="1" applyFill="1" applyBorder="1" applyAlignment="1">
      <alignment horizontal="center" vertical="center"/>
    </xf>
    <xf numFmtId="2" fontId="24474" fillId="8" borderId="1" xfId="0" applyNumberFormat="1" applyFont="1" applyFill="1" applyBorder="1" applyAlignment="1">
      <alignment horizontal="center" vertical="center"/>
    </xf>
    <xf numFmtId="2" fontId="24475" fillId="8" borderId="1" xfId="0" applyNumberFormat="1" applyFont="1" applyFill="1" applyBorder="1" applyAlignment="1">
      <alignment horizontal="center" vertical="center"/>
    </xf>
    <xf numFmtId="2" fontId="24476" fillId="8" borderId="1" xfId="0" applyNumberFormat="1" applyFont="1" applyFill="1" applyBorder="1" applyAlignment="1">
      <alignment horizontal="center" vertical="center"/>
    </xf>
    <xf numFmtId="2" fontId="24477" fillId="8" borderId="1" xfId="0" applyNumberFormat="1" applyFont="1" applyFill="1" applyBorder="1" applyAlignment="1">
      <alignment horizontal="center" vertical="center"/>
    </xf>
    <xf numFmtId="2" fontId="24478" fillId="8" borderId="1" xfId="0" applyNumberFormat="1" applyFont="1" applyFill="1" applyBorder="1" applyAlignment="1">
      <alignment horizontal="center" vertical="center"/>
    </xf>
    <xf numFmtId="2" fontId="24479" fillId="8" borderId="1" xfId="0" applyNumberFormat="1" applyFont="1" applyFill="1" applyBorder="1" applyAlignment="1">
      <alignment horizontal="center" vertical="center"/>
    </xf>
    <xf numFmtId="2" fontId="24480" fillId="8" borderId="1" xfId="0" applyNumberFormat="1" applyFont="1" applyFill="1" applyBorder="1" applyAlignment="1">
      <alignment horizontal="center" vertical="center"/>
    </xf>
    <xf numFmtId="2" fontId="24481" fillId="8" borderId="1" xfId="0" applyNumberFormat="1" applyFont="1" applyFill="1" applyBorder="1" applyAlignment="1">
      <alignment horizontal="center" vertical="center"/>
    </xf>
    <xf numFmtId="2" fontId="24482" fillId="8" borderId="1" xfId="0" applyNumberFormat="1" applyFont="1" applyFill="1" applyBorder="1" applyAlignment="1">
      <alignment horizontal="center" vertical="center"/>
    </xf>
    <xf numFmtId="2" fontId="24483" fillId="8" borderId="1" xfId="0" applyNumberFormat="1" applyFont="1" applyFill="1" applyBorder="1" applyAlignment="1">
      <alignment horizontal="center" vertical="center"/>
    </xf>
    <xf numFmtId="2" fontId="24484" fillId="8" borderId="1" xfId="0" applyNumberFormat="1" applyFont="1" applyFill="1" applyBorder="1" applyAlignment="1">
      <alignment horizontal="center" vertical="center"/>
    </xf>
    <xf numFmtId="2" fontId="24485" fillId="8" borderId="1" xfId="0" applyNumberFormat="1" applyFont="1" applyFill="1" applyBorder="1" applyAlignment="1">
      <alignment horizontal="center" vertical="center"/>
    </xf>
    <xf numFmtId="2" fontId="24486" fillId="8" borderId="1" xfId="0" applyNumberFormat="1" applyFont="1" applyFill="1" applyBorder="1" applyAlignment="1">
      <alignment horizontal="center" vertical="center"/>
    </xf>
    <xf numFmtId="2" fontId="24487" fillId="8" borderId="1" xfId="0" applyNumberFormat="1" applyFont="1" applyFill="1" applyBorder="1" applyAlignment="1">
      <alignment horizontal="center" vertical="center"/>
    </xf>
    <xf numFmtId="2" fontId="24488" fillId="8" borderId="1" xfId="0" applyNumberFormat="1" applyFont="1" applyFill="1" applyBorder="1" applyAlignment="1">
      <alignment horizontal="center" vertical="center"/>
    </xf>
    <xf numFmtId="2" fontId="24489" fillId="8" borderId="1" xfId="0" applyNumberFormat="1" applyFont="1" applyFill="1" applyBorder="1" applyAlignment="1">
      <alignment horizontal="center" vertical="center"/>
    </xf>
    <xf numFmtId="2" fontId="24490" fillId="8" borderId="1" xfId="0" applyNumberFormat="1" applyFont="1" applyFill="1" applyBorder="1" applyAlignment="1">
      <alignment horizontal="center" vertical="center"/>
    </xf>
    <xf numFmtId="2" fontId="24491" fillId="8" borderId="1" xfId="0" applyNumberFormat="1" applyFont="1" applyFill="1" applyBorder="1" applyAlignment="1">
      <alignment horizontal="center" vertical="center"/>
    </xf>
    <xf numFmtId="2" fontId="24492" fillId="8" borderId="1" xfId="0" applyNumberFormat="1" applyFont="1" applyFill="1" applyBorder="1" applyAlignment="1">
      <alignment horizontal="center" vertical="center"/>
    </xf>
    <xf numFmtId="0" fontId="24493" fillId="7" borderId="1" xfId="0" applyNumberFormat="1" applyFont="1" applyFill="1" applyBorder="1" applyAlignment="1">
      <alignment horizontal="left" vertical="center"/>
    </xf>
    <xf numFmtId="0" fontId="24494" fillId="8" borderId="1" xfId="0" applyNumberFormat="1" applyFont="1" applyFill="1" applyBorder="1" applyAlignment="1">
      <alignment horizontal="center" vertical="center"/>
    </xf>
    <xf numFmtId="164" fontId="24495" fillId="8" borderId="1" xfId="0" applyNumberFormat="1" applyFont="1" applyFill="1" applyBorder="1" applyAlignment="1">
      <alignment horizontal="center" vertical="center"/>
    </xf>
    <xf numFmtId="1" fontId="24496" fillId="8" borderId="1" xfId="0" applyNumberFormat="1" applyFont="1" applyFill="1" applyBorder="1" applyAlignment="1">
      <alignment horizontal="center" vertical="center"/>
    </xf>
    <xf numFmtId="1" fontId="24497" fillId="8" borderId="1" xfId="0" applyNumberFormat="1" applyFont="1" applyFill="1" applyBorder="1" applyAlignment="1">
      <alignment horizontal="center" vertical="center"/>
    </xf>
    <xf numFmtId="1" fontId="24498" fillId="8" borderId="1" xfId="0" applyNumberFormat="1" applyFont="1" applyFill="1" applyBorder="1" applyAlignment="1">
      <alignment horizontal="center" vertical="center"/>
    </xf>
    <xf numFmtId="1" fontId="24499" fillId="8" borderId="1" xfId="0" applyNumberFormat="1" applyFont="1" applyFill="1" applyBorder="1" applyAlignment="1">
      <alignment horizontal="center" vertical="center"/>
    </xf>
    <xf numFmtId="1" fontId="24500" fillId="8" borderId="1" xfId="0" applyNumberFormat="1" applyFont="1" applyFill="1" applyBorder="1" applyAlignment="1">
      <alignment horizontal="center" vertical="center"/>
    </xf>
    <xf numFmtId="1" fontId="24501" fillId="8" borderId="1" xfId="0" applyNumberFormat="1" applyFont="1" applyFill="1" applyBorder="1" applyAlignment="1">
      <alignment horizontal="center" vertical="center"/>
    </xf>
    <xf numFmtId="1" fontId="24502" fillId="8" borderId="1" xfId="0" applyNumberFormat="1" applyFont="1" applyFill="1" applyBorder="1" applyAlignment="1">
      <alignment horizontal="center" vertical="center"/>
    </xf>
    <xf numFmtId="0" fontId="24503" fillId="8" borderId="1" xfId="0" applyNumberFormat="1" applyFont="1" applyFill="1" applyBorder="1" applyAlignment="1">
      <alignment horizontal="center" vertical="center"/>
    </xf>
    <xf numFmtId="0" fontId="24504" fillId="8" borderId="1" xfId="0" applyNumberFormat="1" applyFont="1" applyFill="1" applyBorder="1" applyAlignment="1">
      <alignment horizontal="center" vertical="center"/>
    </xf>
    <xf numFmtId="1" fontId="24505" fillId="8" borderId="1" xfId="0" applyNumberFormat="1" applyFont="1" applyFill="1" applyBorder="1" applyAlignment="1">
      <alignment horizontal="center" vertical="center"/>
    </xf>
    <xf numFmtId="1" fontId="24506" fillId="8" borderId="1" xfId="0" applyNumberFormat="1" applyFont="1" applyFill="1" applyBorder="1" applyAlignment="1">
      <alignment horizontal="center" vertical="center"/>
    </xf>
    <xf numFmtId="1" fontId="24507" fillId="8" borderId="1" xfId="0" applyNumberFormat="1" applyFont="1" applyFill="1" applyBorder="1" applyAlignment="1">
      <alignment horizontal="center" vertical="center"/>
    </xf>
    <xf numFmtId="165" fontId="24508" fillId="8" borderId="1" xfId="0" applyNumberFormat="1" applyFont="1" applyFill="1" applyBorder="1" applyAlignment="1">
      <alignment horizontal="center" vertical="center"/>
    </xf>
    <xf numFmtId="1" fontId="24509" fillId="8" borderId="1" xfId="0" applyNumberFormat="1" applyFont="1" applyFill="1" applyBorder="1" applyAlignment="1">
      <alignment horizontal="center" vertical="center"/>
    </xf>
    <xf numFmtId="165" fontId="24510" fillId="8" borderId="1" xfId="0" applyNumberFormat="1" applyFont="1" applyFill="1" applyBorder="1" applyAlignment="1">
      <alignment horizontal="center" vertical="center"/>
    </xf>
    <xf numFmtId="1" fontId="24511" fillId="8" borderId="1" xfId="0" applyNumberFormat="1" applyFont="1" applyFill="1" applyBorder="1" applyAlignment="1">
      <alignment horizontal="center" vertical="center"/>
    </xf>
    <xf numFmtId="165" fontId="24512" fillId="8" borderId="1" xfId="0" applyNumberFormat="1" applyFont="1" applyFill="1" applyBorder="1" applyAlignment="1">
      <alignment horizontal="center" vertical="center"/>
    </xf>
    <xf numFmtId="1" fontId="24513" fillId="8" borderId="1" xfId="0" applyNumberFormat="1" applyFont="1" applyFill="1" applyBorder="1" applyAlignment="1">
      <alignment horizontal="center" vertical="center"/>
    </xf>
    <xf numFmtId="165" fontId="24514" fillId="8" borderId="1" xfId="0" applyNumberFormat="1" applyFont="1" applyFill="1" applyBorder="1" applyAlignment="1">
      <alignment horizontal="center" vertical="center"/>
    </xf>
    <xf numFmtId="165" fontId="24515" fillId="8" borderId="1" xfId="0" applyNumberFormat="1" applyFont="1" applyFill="1" applyBorder="1" applyAlignment="1">
      <alignment horizontal="center" vertical="center"/>
    </xf>
    <xf numFmtId="1" fontId="24516" fillId="8" borderId="1" xfId="0" applyNumberFormat="1" applyFont="1" applyFill="1" applyBorder="1" applyAlignment="1">
      <alignment horizontal="center" vertical="center"/>
    </xf>
    <xf numFmtId="1" fontId="24517" fillId="8" borderId="1" xfId="0" applyNumberFormat="1" applyFont="1" applyFill="1" applyBorder="1" applyAlignment="1">
      <alignment horizontal="center" vertical="center"/>
    </xf>
    <xf numFmtId="1" fontId="24518" fillId="8" borderId="1" xfId="0" applyNumberFormat="1" applyFont="1" applyFill="1" applyBorder="1" applyAlignment="1">
      <alignment horizontal="center" vertical="center"/>
    </xf>
    <xf numFmtId="165" fontId="24519" fillId="8" borderId="1" xfId="0" applyNumberFormat="1" applyFont="1" applyFill="1" applyBorder="1" applyAlignment="1">
      <alignment horizontal="center" vertical="center"/>
    </xf>
    <xf numFmtId="164" fontId="24520" fillId="8" borderId="1" xfId="0" applyNumberFormat="1" applyFont="1" applyFill="1" applyBorder="1" applyAlignment="1">
      <alignment horizontal="center" vertical="center"/>
    </xf>
    <xf numFmtId="164" fontId="24521" fillId="8" borderId="1" xfId="0" applyNumberFormat="1" applyFont="1" applyFill="1" applyBorder="1" applyAlignment="1">
      <alignment horizontal="center" vertical="center"/>
    </xf>
    <xf numFmtId="1" fontId="24522" fillId="8" borderId="1" xfId="0" applyNumberFormat="1" applyFont="1" applyFill="1" applyBorder="1" applyAlignment="1">
      <alignment horizontal="center" vertical="center"/>
    </xf>
    <xf numFmtId="1" fontId="24523" fillId="8" borderId="1" xfId="0" applyNumberFormat="1" applyFont="1" applyFill="1" applyBorder="1" applyAlignment="1">
      <alignment horizontal="center" vertical="center"/>
    </xf>
    <xf numFmtId="1" fontId="24524" fillId="8" borderId="1" xfId="0" applyNumberFormat="1" applyFont="1" applyFill="1" applyBorder="1" applyAlignment="1">
      <alignment horizontal="center" vertical="center"/>
    </xf>
    <xf numFmtId="165" fontId="24525" fillId="8" borderId="1" xfId="0" applyNumberFormat="1" applyFont="1" applyFill="1" applyBorder="1" applyAlignment="1">
      <alignment horizontal="center" vertical="center"/>
    </xf>
    <xf numFmtId="1" fontId="24526" fillId="8" borderId="1" xfId="0" applyNumberFormat="1" applyFont="1" applyFill="1" applyBorder="1" applyAlignment="1">
      <alignment horizontal="center" vertical="center"/>
    </xf>
    <xf numFmtId="165" fontId="24527" fillId="8" borderId="1" xfId="0" applyNumberFormat="1" applyFont="1" applyFill="1" applyBorder="1" applyAlignment="1">
      <alignment horizontal="center" vertical="center"/>
    </xf>
    <xf numFmtId="1" fontId="24528" fillId="8" borderId="1" xfId="0" applyNumberFormat="1" applyFont="1" applyFill="1" applyBorder="1" applyAlignment="1">
      <alignment horizontal="center" vertical="center"/>
    </xf>
    <xf numFmtId="1" fontId="24529" fillId="8" borderId="1" xfId="0" applyNumberFormat="1" applyFont="1" applyFill="1" applyBorder="1" applyAlignment="1">
      <alignment horizontal="center" vertical="center"/>
    </xf>
    <xf numFmtId="1" fontId="24530" fillId="8" borderId="1" xfId="0" applyNumberFormat="1" applyFont="1" applyFill="1" applyBorder="1" applyAlignment="1">
      <alignment horizontal="center" vertical="center"/>
    </xf>
    <xf numFmtId="1" fontId="24531" fillId="8" borderId="1" xfId="0" applyNumberFormat="1" applyFont="1" applyFill="1" applyBorder="1" applyAlignment="1">
      <alignment horizontal="center" vertical="center"/>
    </xf>
    <xf numFmtId="165" fontId="24532" fillId="8" borderId="1" xfId="0" applyNumberFormat="1" applyFont="1" applyFill="1" applyBorder="1" applyAlignment="1">
      <alignment horizontal="center" vertical="center"/>
    </xf>
    <xf numFmtId="1" fontId="24533" fillId="8" borderId="1" xfId="0" applyNumberFormat="1" applyFont="1" applyFill="1" applyBorder="1" applyAlignment="1">
      <alignment horizontal="center" vertical="center"/>
    </xf>
    <xf numFmtId="165" fontId="24534" fillId="8" borderId="1" xfId="0" applyNumberFormat="1" applyFont="1" applyFill="1" applyBorder="1" applyAlignment="1">
      <alignment horizontal="center" vertical="center"/>
    </xf>
    <xf numFmtId="1" fontId="24535" fillId="8" borderId="1" xfId="0" applyNumberFormat="1" applyFont="1" applyFill="1" applyBorder="1" applyAlignment="1">
      <alignment horizontal="center" vertical="center"/>
    </xf>
    <xf numFmtId="165" fontId="24536" fillId="8" borderId="1" xfId="0" applyNumberFormat="1" applyFont="1" applyFill="1" applyBorder="1" applyAlignment="1">
      <alignment horizontal="center" vertical="center"/>
    </xf>
    <xf numFmtId="2" fontId="24537" fillId="8" borderId="1" xfId="0" applyNumberFormat="1" applyFont="1" applyFill="1" applyBorder="1" applyAlignment="1">
      <alignment horizontal="center" vertical="center"/>
    </xf>
    <xf numFmtId="2" fontId="24538" fillId="8" borderId="1" xfId="0" applyNumberFormat="1" applyFont="1" applyFill="1" applyBorder="1" applyAlignment="1">
      <alignment horizontal="center" vertical="center"/>
    </xf>
    <xf numFmtId="2" fontId="24539" fillId="8" borderId="1" xfId="0" applyNumberFormat="1" applyFont="1" applyFill="1" applyBorder="1" applyAlignment="1">
      <alignment horizontal="center" vertical="center"/>
    </xf>
    <xf numFmtId="2" fontId="24540" fillId="8" borderId="1" xfId="0" applyNumberFormat="1" applyFont="1" applyFill="1" applyBorder="1" applyAlignment="1">
      <alignment horizontal="center" vertical="center"/>
    </xf>
    <xf numFmtId="2" fontId="24541" fillId="8" borderId="1" xfId="0" applyNumberFormat="1" applyFont="1" applyFill="1" applyBorder="1" applyAlignment="1">
      <alignment horizontal="center" vertical="center"/>
    </xf>
    <xf numFmtId="2" fontId="24542" fillId="8" borderId="1" xfId="0" applyNumberFormat="1" applyFont="1" applyFill="1" applyBorder="1" applyAlignment="1">
      <alignment horizontal="center" vertical="center"/>
    </xf>
    <xf numFmtId="2" fontId="24543" fillId="8" borderId="1" xfId="0" applyNumberFormat="1" applyFont="1" applyFill="1" applyBorder="1" applyAlignment="1">
      <alignment horizontal="center" vertical="center"/>
    </xf>
    <xf numFmtId="2" fontId="24544" fillId="8" borderId="1" xfId="0" applyNumberFormat="1" applyFont="1" applyFill="1" applyBorder="1" applyAlignment="1">
      <alignment horizontal="center" vertical="center"/>
    </xf>
    <xf numFmtId="2" fontId="24545" fillId="8" borderId="1" xfId="0" applyNumberFormat="1" applyFont="1" applyFill="1" applyBorder="1" applyAlignment="1">
      <alignment horizontal="center" vertical="center"/>
    </xf>
    <xf numFmtId="2" fontId="24546" fillId="8" borderId="1" xfId="0" applyNumberFormat="1" applyFont="1" applyFill="1" applyBorder="1" applyAlignment="1">
      <alignment horizontal="center" vertical="center"/>
    </xf>
    <xf numFmtId="2" fontId="24547" fillId="8" borderId="1" xfId="0" applyNumberFormat="1" applyFont="1" applyFill="1" applyBorder="1" applyAlignment="1">
      <alignment horizontal="center" vertical="center"/>
    </xf>
    <xf numFmtId="2" fontId="24548" fillId="8" borderId="1" xfId="0" applyNumberFormat="1" applyFont="1" applyFill="1" applyBorder="1" applyAlignment="1">
      <alignment horizontal="center" vertical="center"/>
    </xf>
    <xf numFmtId="2" fontId="24549" fillId="8" borderId="1" xfId="0" applyNumberFormat="1" applyFont="1" applyFill="1" applyBorder="1" applyAlignment="1">
      <alignment horizontal="center" vertical="center"/>
    </xf>
    <xf numFmtId="2" fontId="24550" fillId="8" borderId="1" xfId="0" applyNumberFormat="1" applyFont="1" applyFill="1" applyBorder="1" applyAlignment="1">
      <alignment horizontal="center" vertical="center"/>
    </xf>
    <xf numFmtId="2" fontId="24551" fillId="8" borderId="1" xfId="0" applyNumberFormat="1" applyFont="1" applyFill="1" applyBorder="1" applyAlignment="1">
      <alignment horizontal="center" vertical="center"/>
    </xf>
    <xf numFmtId="2" fontId="24552" fillId="8" borderId="1" xfId="0" applyNumberFormat="1" applyFont="1" applyFill="1" applyBorder="1" applyAlignment="1">
      <alignment horizontal="center" vertical="center"/>
    </xf>
    <xf numFmtId="2" fontId="24553" fillId="8" borderId="1" xfId="0" applyNumberFormat="1" applyFont="1" applyFill="1" applyBorder="1" applyAlignment="1">
      <alignment horizontal="center" vertical="center"/>
    </xf>
    <xf numFmtId="2" fontId="24554" fillId="8" borderId="1" xfId="0" applyNumberFormat="1" applyFont="1" applyFill="1" applyBorder="1" applyAlignment="1">
      <alignment horizontal="center" vertical="center"/>
    </xf>
    <xf numFmtId="2" fontId="24555" fillId="8" borderId="1" xfId="0" applyNumberFormat="1" applyFont="1" applyFill="1" applyBorder="1" applyAlignment="1">
      <alignment horizontal="center" vertical="center"/>
    </xf>
    <xf numFmtId="2" fontId="24556" fillId="8" borderId="1" xfId="0" applyNumberFormat="1" applyFont="1" applyFill="1" applyBorder="1" applyAlignment="1">
      <alignment horizontal="center" vertical="center"/>
    </xf>
    <xf numFmtId="2" fontId="24557" fillId="8" borderId="1" xfId="0" applyNumberFormat="1" applyFont="1" applyFill="1" applyBorder="1" applyAlignment="1">
      <alignment horizontal="center" vertical="center"/>
    </xf>
    <xf numFmtId="2" fontId="24558" fillId="8" borderId="1" xfId="0" applyNumberFormat="1" applyFont="1" applyFill="1" applyBorder="1" applyAlignment="1">
      <alignment horizontal="center" vertical="center"/>
    </xf>
    <xf numFmtId="2" fontId="24559" fillId="8" borderId="1" xfId="0" applyNumberFormat="1" applyFont="1" applyFill="1" applyBorder="1" applyAlignment="1">
      <alignment horizontal="center" vertical="center"/>
    </xf>
    <xf numFmtId="2" fontId="24560" fillId="8" borderId="1" xfId="0" applyNumberFormat="1" applyFont="1" applyFill="1" applyBorder="1" applyAlignment="1">
      <alignment horizontal="center" vertical="center"/>
    </xf>
    <xf numFmtId="2" fontId="24561" fillId="8" borderId="1" xfId="0" applyNumberFormat="1" applyFont="1" applyFill="1" applyBorder="1" applyAlignment="1">
      <alignment horizontal="center" vertical="center"/>
    </xf>
    <xf numFmtId="2" fontId="24562" fillId="8" borderId="1" xfId="0" applyNumberFormat="1" applyFont="1" applyFill="1" applyBorder="1" applyAlignment="1">
      <alignment horizontal="center" vertical="center"/>
    </xf>
    <xf numFmtId="2" fontId="24563" fillId="8" borderId="1" xfId="0" applyNumberFormat="1" applyFont="1" applyFill="1" applyBorder="1" applyAlignment="1">
      <alignment horizontal="center" vertical="center"/>
    </xf>
    <xf numFmtId="2" fontId="24564" fillId="8" borderId="1" xfId="0" applyNumberFormat="1" applyFont="1" applyFill="1" applyBorder="1" applyAlignment="1">
      <alignment horizontal="center" vertical="center"/>
    </xf>
    <xf numFmtId="2" fontId="24565" fillId="8" borderId="1" xfId="0" applyNumberFormat="1" applyFont="1" applyFill="1" applyBorder="1" applyAlignment="1">
      <alignment horizontal="center" vertical="center"/>
    </xf>
    <xf numFmtId="2" fontId="24566" fillId="8" borderId="1" xfId="0" applyNumberFormat="1" applyFont="1" applyFill="1" applyBorder="1" applyAlignment="1">
      <alignment horizontal="center" vertical="center"/>
    </xf>
    <xf numFmtId="2" fontId="24567" fillId="8" borderId="1" xfId="0" applyNumberFormat="1" applyFont="1" applyFill="1" applyBorder="1" applyAlignment="1">
      <alignment horizontal="center" vertical="center"/>
    </xf>
    <xf numFmtId="2" fontId="24568" fillId="8" borderId="1" xfId="0" applyNumberFormat="1" applyFont="1" applyFill="1" applyBorder="1" applyAlignment="1">
      <alignment horizontal="center" vertical="center"/>
    </xf>
    <xf numFmtId="2" fontId="24569" fillId="8" borderId="1" xfId="0" applyNumberFormat="1" applyFont="1" applyFill="1" applyBorder="1" applyAlignment="1">
      <alignment horizontal="center" vertical="center"/>
    </xf>
    <xf numFmtId="2" fontId="24570" fillId="8" borderId="1" xfId="0" applyNumberFormat="1" applyFont="1" applyFill="1" applyBorder="1" applyAlignment="1">
      <alignment horizontal="center" vertical="center"/>
    </xf>
    <xf numFmtId="0" fontId="24571" fillId="7" borderId="1" xfId="0" applyNumberFormat="1" applyFont="1" applyFill="1" applyBorder="1" applyAlignment="1">
      <alignment horizontal="left" vertical="center"/>
    </xf>
    <xf numFmtId="0" fontId="24572" fillId="8" borderId="1" xfId="0" applyNumberFormat="1" applyFont="1" applyFill="1" applyBorder="1" applyAlignment="1">
      <alignment horizontal="center" vertical="center"/>
    </xf>
    <xf numFmtId="164" fontId="24573" fillId="8" borderId="1" xfId="0" applyNumberFormat="1" applyFont="1" applyFill="1" applyBorder="1" applyAlignment="1">
      <alignment horizontal="center" vertical="center"/>
    </xf>
    <xf numFmtId="1" fontId="24574" fillId="8" borderId="1" xfId="0" applyNumberFormat="1" applyFont="1" applyFill="1" applyBorder="1" applyAlignment="1">
      <alignment horizontal="center" vertical="center"/>
    </xf>
    <xf numFmtId="1" fontId="24575" fillId="8" borderId="1" xfId="0" applyNumberFormat="1" applyFont="1" applyFill="1" applyBorder="1" applyAlignment="1">
      <alignment horizontal="center" vertical="center"/>
    </xf>
    <xf numFmtId="1" fontId="24576" fillId="8" borderId="1" xfId="0" applyNumberFormat="1" applyFont="1" applyFill="1" applyBorder="1" applyAlignment="1">
      <alignment horizontal="center" vertical="center"/>
    </xf>
    <xf numFmtId="1" fontId="24577" fillId="8" borderId="1" xfId="0" applyNumberFormat="1" applyFont="1" applyFill="1" applyBorder="1" applyAlignment="1">
      <alignment horizontal="center" vertical="center"/>
    </xf>
    <xf numFmtId="1" fontId="24578" fillId="8" borderId="1" xfId="0" applyNumberFormat="1" applyFont="1" applyFill="1" applyBorder="1" applyAlignment="1">
      <alignment horizontal="center" vertical="center"/>
    </xf>
    <xf numFmtId="1" fontId="24579" fillId="8" borderId="1" xfId="0" applyNumberFormat="1" applyFont="1" applyFill="1" applyBorder="1" applyAlignment="1">
      <alignment horizontal="center" vertical="center"/>
    </xf>
    <xf numFmtId="1" fontId="24580" fillId="8" borderId="1" xfId="0" applyNumberFormat="1" applyFont="1" applyFill="1" applyBorder="1" applyAlignment="1">
      <alignment horizontal="center" vertical="center"/>
    </xf>
    <xf numFmtId="0" fontId="24581" fillId="8" borderId="1" xfId="0" applyNumberFormat="1" applyFont="1" applyFill="1" applyBorder="1" applyAlignment="1">
      <alignment horizontal="center" vertical="center"/>
    </xf>
    <xf numFmtId="0" fontId="24582" fillId="8" borderId="1" xfId="0" applyNumberFormat="1" applyFont="1" applyFill="1" applyBorder="1" applyAlignment="1">
      <alignment horizontal="center" vertical="center"/>
    </xf>
    <xf numFmtId="1" fontId="24583" fillId="8" borderId="1" xfId="0" applyNumberFormat="1" applyFont="1" applyFill="1" applyBorder="1" applyAlignment="1">
      <alignment horizontal="center" vertical="center"/>
    </xf>
    <xf numFmtId="1" fontId="24584" fillId="8" borderId="1" xfId="0" applyNumberFormat="1" applyFont="1" applyFill="1" applyBorder="1" applyAlignment="1">
      <alignment horizontal="center" vertical="center"/>
    </xf>
    <xf numFmtId="1" fontId="24585" fillId="8" borderId="1" xfId="0" applyNumberFormat="1" applyFont="1" applyFill="1" applyBorder="1" applyAlignment="1">
      <alignment horizontal="center" vertical="center"/>
    </xf>
    <xf numFmtId="165" fontId="24586" fillId="8" borderId="1" xfId="0" applyNumberFormat="1" applyFont="1" applyFill="1" applyBorder="1" applyAlignment="1">
      <alignment horizontal="center" vertical="center"/>
    </xf>
    <xf numFmtId="1" fontId="24587" fillId="8" borderId="1" xfId="0" applyNumberFormat="1" applyFont="1" applyFill="1" applyBorder="1" applyAlignment="1">
      <alignment horizontal="center" vertical="center"/>
    </xf>
    <xf numFmtId="165" fontId="24588" fillId="8" borderId="1" xfId="0" applyNumberFormat="1" applyFont="1" applyFill="1" applyBorder="1" applyAlignment="1">
      <alignment horizontal="center" vertical="center"/>
    </xf>
    <xf numFmtId="1" fontId="24589" fillId="8" borderId="1" xfId="0" applyNumberFormat="1" applyFont="1" applyFill="1" applyBorder="1" applyAlignment="1">
      <alignment horizontal="center" vertical="center"/>
    </xf>
    <xf numFmtId="165" fontId="24590" fillId="8" borderId="1" xfId="0" applyNumberFormat="1" applyFont="1" applyFill="1" applyBorder="1" applyAlignment="1">
      <alignment horizontal="center" vertical="center"/>
    </xf>
    <xf numFmtId="1" fontId="24591" fillId="8" borderId="1" xfId="0" applyNumberFormat="1" applyFont="1" applyFill="1" applyBorder="1" applyAlignment="1">
      <alignment horizontal="center" vertical="center"/>
    </xf>
    <xf numFmtId="165" fontId="24592" fillId="8" borderId="1" xfId="0" applyNumberFormat="1" applyFont="1" applyFill="1" applyBorder="1" applyAlignment="1">
      <alignment horizontal="center" vertical="center"/>
    </xf>
    <xf numFmtId="165" fontId="24593" fillId="8" borderId="1" xfId="0" applyNumberFormat="1" applyFont="1" applyFill="1" applyBorder="1" applyAlignment="1">
      <alignment horizontal="center" vertical="center"/>
    </xf>
    <xf numFmtId="1" fontId="24594" fillId="8" borderId="1" xfId="0" applyNumberFormat="1" applyFont="1" applyFill="1" applyBorder="1" applyAlignment="1">
      <alignment horizontal="center" vertical="center"/>
    </xf>
    <xf numFmtId="1" fontId="24595" fillId="8" borderId="1" xfId="0" applyNumberFormat="1" applyFont="1" applyFill="1" applyBorder="1" applyAlignment="1">
      <alignment horizontal="center" vertical="center"/>
    </xf>
    <xf numFmtId="1" fontId="24596" fillId="8" borderId="1" xfId="0" applyNumberFormat="1" applyFont="1" applyFill="1" applyBorder="1" applyAlignment="1">
      <alignment horizontal="center" vertical="center"/>
    </xf>
    <xf numFmtId="165" fontId="24597" fillId="8" borderId="1" xfId="0" applyNumberFormat="1" applyFont="1" applyFill="1" applyBorder="1" applyAlignment="1">
      <alignment horizontal="center" vertical="center"/>
    </xf>
    <xf numFmtId="164" fontId="24598" fillId="8" borderId="1" xfId="0" applyNumberFormat="1" applyFont="1" applyFill="1" applyBorder="1" applyAlignment="1">
      <alignment horizontal="center" vertical="center"/>
    </xf>
    <xf numFmtId="164" fontId="24599" fillId="8" borderId="1" xfId="0" applyNumberFormat="1" applyFont="1" applyFill="1" applyBorder="1" applyAlignment="1">
      <alignment horizontal="center" vertical="center"/>
    </xf>
    <xf numFmtId="1" fontId="24600" fillId="8" borderId="1" xfId="0" applyNumberFormat="1" applyFont="1" applyFill="1" applyBorder="1" applyAlignment="1">
      <alignment horizontal="center" vertical="center"/>
    </xf>
    <xf numFmtId="1" fontId="24601" fillId="8" borderId="1" xfId="0" applyNumberFormat="1" applyFont="1" applyFill="1" applyBorder="1" applyAlignment="1">
      <alignment horizontal="center" vertical="center"/>
    </xf>
    <xf numFmtId="1" fontId="24602" fillId="8" borderId="1" xfId="0" applyNumberFormat="1" applyFont="1" applyFill="1" applyBorder="1" applyAlignment="1">
      <alignment horizontal="center" vertical="center"/>
    </xf>
    <xf numFmtId="165" fontId="24603" fillId="8" borderId="1" xfId="0" applyNumberFormat="1" applyFont="1" applyFill="1" applyBorder="1" applyAlignment="1">
      <alignment horizontal="center" vertical="center"/>
    </xf>
    <xf numFmtId="1" fontId="24604" fillId="8" borderId="1" xfId="0" applyNumberFormat="1" applyFont="1" applyFill="1" applyBorder="1" applyAlignment="1">
      <alignment horizontal="center" vertical="center"/>
    </xf>
    <xf numFmtId="165" fontId="24605" fillId="8" borderId="1" xfId="0" applyNumberFormat="1" applyFont="1" applyFill="1" applyBorder="1" applyAlignment="1">
      <alignment horizontal="center" vertical="center"/>
    </xf>
    <xf numFmtId="1" fontId="24606" fillId="8" borderId="1" xfId="0" applyNumberFormat="1" applyFont="1" applyFill="1" applyBorder="1" applyAlignment="1">
      <alignment horizontal="center" vertical="center"/>
    </xf>
    <xf numFmtId="1" fontId="24607" fillId="8" borderId="1" xfId="0" applyNumberFormat="1" applyFont="1" applyFill="1" applyBorder="1" applyAlignment="1">
      <alignment horizontal="center" vertical="center"/>
    </xf>
    <xf numFmtId="1" fontId="24608" fillId="8" borderId="1" xfId="0" applyNumberFormat="1" applyFont="1" applyFill="1" applyBorder="1" applyAlignment="1">
      <alignment horizontal="center" vertical="center"/>
    </xf>
    <xf numFmtId="1" fontId="24609" fillId="8" borderId="1" xfId="0" applyNumberFormat="1" applyFont="1" applyFill="1" applyBorder="1" applyAlignment="1">
      <alignment horizontal="center" vertical="center"/>
    </xf>
    <xf numFmtId="165" fontId="24610" fillId="8" borderId="1" xfId="0" applyNumberFormat="1" applyFont="1" applyFill="1" applyBorder="1" applyAlignment="1">
      <alignment horizontal="center" vertical="center"/>
    </xf>
    <xf numFmtId="1" fontId="24611" fillId="8" borderId="1" xfId="0" applyNumberFormat="1" applyFont="1" applyFill="1" applyBorder="1" applyAlignment="1">
      <alignment horizontal="center" vertical="center"/>
    </xf>
    <xf numFmtId="165" fontId="24612" fillId="8" borderId="1" xfId="0" applyNumberFormat="1" applyFont="1" applyFill="1" applyBorder="1" applyAlignment="1">
      <alignment horizontal="center" vertical="center"/>
    </xf>
    <xf numFmtId="1" fontId="24613" fillId="8" borderId="1" xfId="0" applyNumberFormat="1" applyFont="1" applyFill="1" applyBorder="1" applyAlignment="1">
      <alignment horizontal="center" vertical="center"/>
    </xf>
    <xf numFmtId="165" fontId="24614" fillId="8" borderId="1" xfId="0" applyNumberFormat="1" applyFont="1" applyFill="1" applyBorder="1" applyAlignment="1">
      <alignment horizontal="center" vertical="center"/>
    </xf>
    <xf numFmtId="2" fontId="24615" fillId="8" borderId="1" xfId="0" applyNumberFormat="1" applyFont="1" applyFill="1" applyBorder="1" applyAlignment="1">
      <alignment horizontal="center" vertical="center"/>
    </xf>
    <xf numFmtId="2" fontId="24616" fillId="8" borderId="1" xfId="0" applyNumberFormat="1" applyFont="1" applyFill="1" applyBorder="1" applyAlignment="1">
      <alignment horizontal="center" vertical="center"/>
    </xf>
    <xf numFmtId="2" fontId="24617" fillId="8" borderId="1" xfId="0" applyNumberFormat="1" applyFont="1" applyFill="1" applyBorder="1" applyAlignment="1">
      <alignment horizontal="center" vertical="center"/>
    </xf>
    <xf numFmtId="2" fontId="24618" fillId="8" borderId="1" xfId="0" applyNumberFormat="1" applyFont="1" applyFill="1" applyBorder="1" applyAlignment="1">
      <alignment horizontal="center" vertical="center"/>
    </xf>
    <xf numFmtId="2" fontId="24619" fillId="8" borderId="1" xfId="0" applyNumberFormat="1" applyFont="1" applyFill="1" applyBorder="1" applyAlignment="1">
      <alignment horizontal="center" vertical="center"/>
    </xf>
    <xf numFmtId="2" fontId="24620" fillId="8" borderId="1" xfId="0" applyNumberFormat="1" applyFont="1" applyFill="1" applyBorder="1" applyAlignment="1">
      <alignment horizontal="center" vertical="center"/>
    </xf>
    <xf numFmtId="2" fontId="24621" fillId="8" borderId="1" xfId="0" applyNumberFormat="1" applyFont="1" applyFill="1" applyBorder="1" applyAlignment="1">
      <alignment horizontal="center" vertical="center"/>
    </xf>
    <xf numFmtId="2" fontId="24622" fillId="8" borderId="1" xfId="0" applyNumberFormat="1" applyFont="1" applyFill="1" applyBorder="1" applyAlignment="1">
      <alignment horizontal="center" vertical="center"/>
    </xf>
    <xf numFmtId="2" fontId="24623" fillId="8" borderId="1" xfId="0" applyNumberFormat="1" applyFont="1" applyFill="1" applyBorder="1" applyAlignment="1">
      <alignment horizontal="center" vertical="center"/>
    </xf>
    <xf numFmtId="2" fontId="24624" fillId="8" borderId="1" xfId="0" applyNumberFormat="1" applyFont="1" applyFill="1" applyBorder="1" applyAlignment="1">
      <alignment horizontal="center" vertical="center"/>
    </xf>
    <xf numFmtId="2" fontId="24625" fillId="8" borderId="1" xfId="0" applyNumberFormat="1" applyFont="1" applyFill="1" applyBorder="1" applyAlignment="1">
      <alignment horizontal="center" vertical="center"/>
    </xf>
    <xf numFmtId="2" fontId="24626" fillId="8" borderId="1" xfId="0" applyNumberFormat="1" applyFont="1" applyFill="1" applyBorder="1" applyAlignment="1">
      <alignment horizontal="center" vertical="center"/>
    </xf>
    <xf numFmtId="2" fontId="24627" fillId="8" borderId="1" xfId="0" applyNumberFormat="1" applyFont="1" applyFill="1" applyBorder="1" applyAlignment="1">
      <alignment horizontal="center" vertical="center"/>
    </xf>
    <xf numFmtId="2" fontId="24628" fillId="8" borderId="1" xfId="0" applyNumberFormat="1" applyFont="1" applyFill="1" applyBorder="1" applyAlignment="1">
      <alignment horizontal="center" vertical="center"/>
    </xf>
    <xf numFmtId="2" fontId="24629" fillId="8" borderId="1" xfId="0" applyNumberFormat="1" applyFont="1" applyFill="1" applyBorder="1" applyAlignment="1">
      <alignment horizontal="center" vertical="center"/>
    </xf>
    <xf numFmtId="2" fontId="24630" fillId="8" borderId="1" xfId="0" applyNumberFormat="1" applyFont="1" applyFill="1" applyBorder="1" applyAlignment="1">
      <alignment horizontal="center" vertical="center"/>
    </xf>
    <xf numFmtId="2" fontId="24631" fillId="8" borderId="1" xfId="0" applyNumberFormat="1" applyFont="1" applyFill="1" applyBorder="1" applyAlignment="1">
      <alignment horizontal="center" vertical="center"/>
    </xf>
    <xf numFmtId="2" fontId="24632" fillId="8" borderId="1" xfId="0" applyNumberFormat="1" applyFont="1" applyFill="1" applyBorder="1" applyAlignment="1">
      <alignment horizontal="center" vertical="center"/>
    </xf>
    <xf numFmtId="2" fontId="24633" fillId="8" borderId="1" xfId="0" applyNumberFormat="1" applyFont="1" applyFill="1" applyBorder="1" applyAlignment="1">
      <alignment horizontal="center" vertical="center"/>
    </xf>
    <xf numFmtId="2" fontId="24634" fillId="8" borderId="1" xfId="0" applyNumberFormat="1" applyFont="1" applyFill="1" applyBorder="1" applyAlignment="1">
      <alignment horizontal="center" vertical="center"/>
    </xf>
    <xf numFmtId="2" fontId="24635" fillId="8" borderId="1" xfId="0" applyNumberFormat="1" applyFont="1" applyFill="1" applyBorder="1" applyAlignment="1">
      <alignment horizontal="center" vertical="center"/>
    </xf>
    <xf numFmtId="2" fontId="24636" fillId="8" borderId="1" xfId="0" applyNumberFormat="1" applyFont="1" applyFill="1" applyBorder="1" applyAlignment="1">
      <alignment horizontal="center" vertical="center"/>
    </xf>
    <xf numFmtId="2" fontId="24637" fillId="8" borderId="1" xfId="0" applyNumberFormat="1" applyFont="1" applyFill="1" applyBorder="1" applyAlignment="1">
      <alignment horizontal="center" vertical="center"/>
    </xf>
    <xf numFmtId="2" fontId="24638" fillId="8" borderId="1" xfId="0" applyNumberFormat="1" applyFont="1" applyFill="1" applyBorder="1" applyAlignment="1">
      <alignment horizontal="center" vertical="center"/>
    </xf>
    <xf numFmtId="2" fontId="24639" fillId="8" borderId="1" xfId="0" applyNumberFormat="1" applyFont="1" applyFill="1" applyBorder="1" applyAlignment="1">
      <alignment horizontal="center" vertical="center"/>
    </xf>
    <xf numFmtId="2" fontId="24640" fillId="8" borderId="1" xfId="0" applyNumberFormat="1" applyFont="1" applyFill="1" applyBorder="1" applyAlignment="1">
      <alignment horizontal="center" vertical="center"/>
    </xf>
    <xf numFmtId="2" fontId="24641" fillId="8" borderId="1" xfId="0" applyNumberFormat="1" applyFont="1" applyFill="1" applyBorder="1" applyAlignment="1">
      <alignment horizontal="center" vertical="center"/>
    </xf>
    <xf numFmtId="2" fontId="24642" fillId="8" borderId="1" xfId="0" applyNumberFormat="1" applyFont="1" applyFill="1" applyBorder="1" applyAlignment="1">
      <alignment horizontal="center" vertical="center"/>
    </xf>
    <xf numFmtId="2" fontId="24643" fillId="8" borderId="1" xfId="0" applyNumberFormat="1" applyFont="1" applyFill="1" applyBorder="1" applyAlignment="1">
      <alignment horizontal="center" vertical="center"/>
    </xf>
    <xf numFmtId="2" fontId="24644" fillId="8" borderId="1" xfId="0" applyNumberFormat="1" applyFont="1" applyFill="1" applyBorder="1" applyAlignment="1">
      <alignment horizontal="center" vertical="center"/>
    </xf>
    <xf numFmtId="2" fontId="24645" fillId="8" borderId="1" xfId="0" applyNumberFormat="1" applyFont="1" applyFill="1" applyBorder="1" applyAlignment="1">
      <alignment horizontal="center" vertical="center"/>
    </xf>
    <xf numFmtId="2" fontId="24646" fillId="8" borderId="1" xfId="0" applyNumberFormat="1" applyFont="1" applyFill="1" applyBorder="1" applyAlignment="1">
      <alignment horizontal="center" vertical="center"/>
    </xf>
    <xf numFmtId="2" fontId="24647" fillId="8" borderId="1" xfId="0" applyNumberFormat="1" applyFont="1" applyFill="1" applyBorder="1" applyAlignment="1">
      <alignment horizontal="center" vertical="center"/>
    </xf>
    <xf numFmtId="2" fontId="24648" fillId="8" borderId="1" xfId="0" applyNumberFormat="1" applyFont="1" applyFill="1" applyBorder="1" applyAlignment="1">
      <alignment horizontal="center" vertical="center"/>
    </xf>
    <xf numFmtId="0" fontId="24649" fillId="7" borderId="1" xfId="0" applyNumberFormat="1" applyFont="1" applyFill="1" applyBorder="1" applyAlignment="1">
      <alignment horizontal="left" vertical="center"/>
    </xf>
    <xf numFmtId="0" fontId="24650" fillId="8" borderId="1" xfId="0" applyNumberFormat="1" applyFont="1" applyFill="1" applyBorder="1" applyAlignment="1">
      <alignment horizontal="center" vertical="center"/>
    </xf>
    <xf numFmtId="164" fontId="24651" fillId="8" borderId="1" xfId="0" applyNumberFormat="1" applyFont="1" applyFill="1" applyBorder="1" applyAlignment="1">
      <alignment horizontal="center" vertical="center"/>
    </xf>
    <xf numFmtId="1" fontId="24652" fillId="8" borderId="1" xfId="0" applyNumberFormat="1" applyFont="1" applyFill="1" applyBorder="1" applyAlignment="1">
      <alignment horizontal="center" vertical="center"/>
    </xf>
    <xf numFmtId="1" fontId="24653" fillId="8" borderId="1" xfId="0" applyNumberFormat="1" applyFont="1" applyFill="1" applyBorder="1" applyAlignment="1">
      <alignment horizontal="center" vertical="center"/>
    </xf>
    <xf numFmtId="1" fontId="24654" fillId="8" borderId="1" xfId="0" applyNumberFormat="1" applyFont="1" applyFill="1" applyBorder="1" applyAlignment="1">
      <alignment horizontal="center" vertical="center"/>
    </xf>
    <xf numFmtId="1" fontId="24655" fillId="8" borderId="1" xfId="0" applyNumberFormat="1" applyFont="1" applyFill="1" applyBorder="1" applyAlignment="1">
      <alignment horizontal="center" vertical="center"/>
    </xf>
    <xf numFmtId="1" fontId="24656" fillId="8" borderId="1" xfId="0" applyNumberFormat="1" applyFont="1" applyFill="1" applyBorder="1" applyAlignment="1">
      <alignment horizontal="center" vertical="center"/>
    </xf>
    <xf numFmtId="1" fontId="24657" fillId="8" borderId="1" xfId="0" applyNumberFormat="1" applyFont="1" applyFill="1" applyBorder="1" applyAlignment="1">
      <alignment horizontal="center" vertical="center"/>
    </xf>
    <xf numFmtId="1" fontId="24658" fillId="8" borderId="1" xfId="0" applyNumberFormat="1" applyFont="1" applyFill="1" applyBorder="1" applyAlignment="1">
      <alignment horizontal="center" vertical="center"/>
    </xf>
    <xf numFmtId="0" fontId="24659" fillId="8" borderId="1" xfId="0" applyNumberFormat="1" applyFont="1" applyFill="1" applyBorder="1" applyAlignment="1">
      <alignment horizontal="center" vertical="center"/>
    </xf>
    <xf numFmtId="0" fontId="24660" fillId="8" borderId="1" xfId="0" applyNumberFormat="1" applyFont="1" applyFill="1" applyBorder="1" applyAlignment="1">
      <alignment horizontal="center" vertical="center"/>
    </xf>
    <xf numFmtId="1" fontId="24661" fillId="8" borderId="1" xfId="0" applyNumberFormat="1" applyFont="1" applyFill="1" applyBorder="1" applyAlignment="1">
      <alignment horizontal="center" vertical="center"/>
    </xf>
    <xf numFmtId="1" fontId="24662" fillId="8" borderId="1" xfId="0" applyNumberFormat="1" applyFont="1" applyFill="1" applyBorder="1" applyAlignment="1">
      <alignment horizontal="center" vertical="center"/>
    </xf>
    <xf numFmtId="1" fontId="24663" fillId="8" borderId="1" xfId="0" applyNumberFormat="1" applyFont="1" applyFill="1" applyBorder="1" applyAlignment="1">
      <alignment horizontal="center" vertical="center"/>
    </xf>
    <xf numFmtId="165" fontId="24664" fillId="8" borderId="1" xfId="0" applyNumberFormat="1" applyFont="1" applyFill="1" applyBorder="1" applyAlignment="1">
      <alignment horizontal="center" vertical="center"/>
    </xf>
    <xf numFmtId="1" fontId="24665" fillId="8" borderId="1" xfId="0" applyNumberFormat="1" applyFont="1" applyFill="1" applyBorder="1" applyAlignment="1">
      <alignment horizontal="center" vertical="center"/>
    </xf>
    <xf numFmtId="165" fontId="24666" fillId="8" borderId="1" xfId="0" applyNumberFormat="1" applyFont="1" applyFill="1" applyBorder="1" applyAlignment="1">
      <alignment horizontal="center" vertical="center"/>
    </xf>
    <xf numFmtId="1" fontId="24667" fillId="8" borderId="1" xfId="0" applyNumberFormat="1" applyFont="1" applyFill="1" applyBorder="1" applyAlignment="1">
      <alignment horizontal="center" vertical="center"/>
    </xf>
    <xf numFmtId="165" fontId="24668" fillId="8" borderId="1" xfId="0" applyNumberFormat="1" applyFont="1" applyFill="1" applyBorder="1" applyAlignment="1">
      <alignment horizontal="center" vertical="center"/>
    </xf>
    <xf numFmtId="1" fontId="24669" fillId="8" borderId="1" xfId="0" applyNumberFormat="1" applyFont="1" applyFill="1" applyBorder="1" applyAlignment="1">
      <alignment horizontal="center" vertical="center"/>
    </xf>
    <xf numFmtId="165" fontId="24670" fillId="8" borderId="1" xfId="0" applyNumberFormat="1" applyFont="1" applyFill="1" applyBorder="1" applyAlignment="1">
      <alignment horizontal="center" vertical="center"/>
    </xf>
    <xf numFmtId="165" fontId="24671" fillId="8" borderId="1" xfId="0" applyNumberFormat="1" applyFont="1" applyFill="1" applyBorder="1" applyAlignment="1">
      <alignment horizontal="center" vertical="center"/>
    </xf>
    <xf numFmtId="1" fontId="24672" fillId="8" borderId="1" xfId="0" applyNumberFormat="1" applyFont="1" applyFill="1" applyBorder="1" applyAlignment="1">
      <alignment horizontal="center" vertical="center"/>
    </xf>
    <xf numFmtId="1" fontId="24673" fillId="8" borderId="1" xfId="0" applyNumberFormat="1" applyFont="1" applyFill="1" applyBorder="1" applyAlignment="1">
      <alignment horizontal="center" vertical="center"/>
    </xf>
    <xf numFmtId="1" fontId="24674" fillId="8" borderId="1" xfId="0" applyNumberFormat="1" applyFont="1" applyFill="1" applyBorder="1" applyAlignment="1">
      <alignment horizontal="center" vertical="center"/>
    </xf>
    <xf numFmtId="165" fontId="24675" fillId="8" borderId="1" xfId="0" applyNumberFormat="1" applyFont="1" applyFill="1" applyBorder="1" applyAlignment="1">
      <alignment horizontal="center" vertical="center"/>
    </xf>
    <xf numFmtId="164" fontId="24676" fillId="8" borderId="1" xfId="0" applyNumberFormat="1" applyFont="1" applyFill="1" applyBorder="1" applyAlignment="1">
      <alignment horizontal="center" vertical="center"/>
    </xf>
    <xf numFmtId="164" fontId="24677" fillId="8" borderId="1" xfId="0" applyNumberFormat="1" applyFont="1" applyFill="1" applyBorder="1" applyAlignment="1">
      <alignment horizontal="center" vertical="center"/>
    </xf>
    <xf numFmtId="1" fontId="24678" fillId="8" borderId="1" xfId="0" applyNumberFormat="1" applyFont="1" applyFill="1" applyBorder="1" applyAlignment="1">
      <alignment horizontal="center" vertical="center"/>
    </xf>
    <xf numFmtId="1" fontId="24679" fillId="8" borderId="1" xfId="0" applyNumberFormat="1" applyFont="1" applyFill="1" applyBorder="1" applyAlignment="1">
      <alignment horizontal="center" vertical="center"/>
    </xf>
    <xf numFmtId="1" fontId="24680" fillId="8" borderId="1" xfId="0" applyNumberFormat="1" applyFont="1" applyFill="1" applyBorder="1" applyAlignment="1">
      <alignment horizontal="center" vertical="center"/>
    </xf>
    <xf numFmtId="165" fontId="24681" fillId="8" borderId="1" xfId="0" applyNumberFormat="1" applyFont="1" applyFill="1" applyBorder="1" applyAlignment="1">
      <alignment horizontal="center" vertical="center"/>
    </xf>
    <xf numFmtId="1" fontId="24682" fillId="8" borderId="1" xfId="0" applyNumberFormat="1" applyFont="1" applyFill="1" applyBorder="1" applyAlignment="1">
      <alignment horizontal="center" vertical="center"/>
    </xf>
    <xf numFmtId="165" fontId="24683" fillId="8" borderId="1" xfId="0" applyNumberFormat="1" applyFont="1" applyFill="1" applyBorder="1" applyAlignment="1">
      <alignment horizontal="center" vertical="center"/>
    </xf>
    <xf numFmtId="1" fontId="24684" fillId="8" borderId="1" xfId="0" applyNumberFormat="1" applyFont="1" applyFill="1" applyBorder="1" applyAlignment="1">
      <alignment horizontal="center" vertical="center"/>
    </xf>
    <xf numFmtId="1" fontId="24685" fillId="8" borderId="1" xfId="0" applyNumberFormat="1" applyFont="1" applyFill="1" applyBorder="1" applyAlignment="1">
      <alignment horizontal="center" vertical="center"/>
    </xf>
    <xf numFmtId="1" fontId="24686" fillId="8" borderId="1" xfId="0" applyNumberFormat="1" applyFont="1" applyFill="1" applyBorder="1" applyAlignment="1">
      <alignment horizontal="center" vertical="center"/>
    </xf>
    <xf numFmtId="1" fontId="24687" fillId="8" borderId="1" xfId="0" applyNumberFormat="1" applyFont="1" applyFill="1" applyBorder="1" applyAlignment="1">
      <alignment horizontal="center" vertical="center"/>
    </xf>
    <xf numFmtId="165" fontId="24688" fillId="8" borderId="1" xfId="0" applyNumberFormat="1" applyFont="1" applyFill="1" applyBorder="1" applyAlignment="1">
      <alignment horizontal="center" vertical="center"/>
    </xf>
    <xf numFmtId="1" fontId="24689" fillId="8" borderId="1" xfId="0" applyNumberFormat="1" applyFont="1" applyFill="1" applyBorder="1" applyAlignment="1">
      <alignment horizontal="center" vertical="center"/>
    </xf>
    <xf numFmtId="165" fontId="24690" fillId="8" borderId="1" xfId="0" applyNumberFormat="1" applyFont="1" applyFill="1" applyBorder="1" applyAlignment="1">
      <alignment horizontal="center" vertical="center"/>
    </xf>
    <xf numFmtId="1" fontId="24691" fillId="8" borderId="1" xfId="0" applyNumberFormat="1" applyFont="1" applyFill="1" applyBorder="1" applyAlignment="1">
      <alignment horizontal="center" vertical="center"/>
    </xf>
    <xf numFmtId="165" fontId="24692" fillId="8" borderId="1" xfId="0" applyNumberFormat="1" applyFont="1" applyFill="1" applyBorder="1" applyAlignment="1">
      <alignment horizontal="center" vertical="center"/>
    </xf>
    <xf numFmtId="2" fontId="24693" fillId="8" borderId="1" xfId="0" applyNumberFormat="1" applyFont="1" applyFill="1" applyBorder="1" applyAlignment="1">
      <alignment horizontal="center" vertical="center"/>
    </xf>
    <xf numFmtId="2" fontId="24694" fillId="8" borderId="1" xfId="0" applyNumberFormat="1" applyFont="1" applyFill="1" applyBorder="1" applyAlignment="1">
      <alignment horizontal="center" vertical="center"/>
    </xf>
    <xf numFmtId="2" fontId="24695" fillId="8" borderId="1" xfId="0" applyNumberFormat="1" applyFont="1" applyFill="1" applyBorder="1" applyAlignment="1">
      <alignment horizontal="center" vertical="center"/>
    </xf>
    <xf numFmtId="2" fontId="24696" fillId="8" borderId="1" xfId="0" applyNumberFormat="1" applyFont="1" applyFill="1" applyBorder="1" applyAlignment="1">
      <alignment horizontal="center" vertical="center"/>
    </xf>
    <xf numFmtId="2" fontId="24697" fillId="8" borderId="1" xfId="0" applyNumberFormat="1" applyFont="1" applyFill="1" applyBorder="1" applyAlignment="1">
      <alignment horizontal="center" vertical="center"/>
    </xf>
    <xf numFmtId="2" fontId="24698" fillId="8" borderId="1" xfId="0" applyNumberFormat="1" applyFont="1" applyFill="1" applyBorder="1" applyAlignment="1">
      <alignment horizontal="center" vertical="center"/>
    </xf>
    <xf numFmtId="2" fontId="24699" fillId="8" borderId="1" xfId="0" applyNumberFormat="1" applyFont="1" applyFill="1" applyBorder="1" applyAlignment="1">
      <alignment horizontal="center" vertical="center"/>
    </xf>
    <xf numFmtId="2" fontId="24700" fillId="8" borderId="1" xfId="0" applyNumberFormat="1" applyFont="1" applyFill="1" applyBorder="1" applyAlignment="1">
      <alignment horizontal="center" vertical="center"/>
    </xf>
    <xf numFmtId="2" fontId="24701" fillId="8" borderId="1" xfId="0" applyNumberFormat="1" applyFont="1" applyFill="1" applyBorder="1" applyAlignment="1">
      <alignment horizontal="center" vertical="center"/>
    </xf>
    <xf numFmtId="2" fontId="24702" fillId="8" borderId="1" xfId="0" applyNumberFormat="1" applyFont="1" applyFill="1" applyBorder="1" applyAlignment="1">
      <alignment horizontal="center" vertical="center"/>
    </xf>
    <xf numFmtId="2" fontId="24703" fillId="8" borderId="1" xfId="0" applyNumberFormat="1" applyFont="1" applyFill="1" applyBorder="1" applyAlignment="1">
      <alignment horizontal="center" vertical="center"/>
    </xf>
    <xf numFmtId="2" fontId="24704" fillId="8" borderId="1" xfId="0" applyNumberFormat="1" applyFont="1" applyFill="1" applyBorder="1" applyAlignment="1">
      <alignment horizontal="center" vertical="center"/>
    </xf>
    <xf numFmtId="2" fontId="24705" fillId="8" borderId="1" xfId="0" applyNumberFormat="1" applyFont="1" applyFill="1" applyBorder="1" applyAlignment="1">
      <alignment horizontal="center" vertical="center"/>
    </xf>
    <xf numFmtId="2" fontId="24706" fillId="8" borderId="1" xfId="0" applyNumberFormat="1" applyFont="1" applyFill="1" applyBorder="1" applyAlignment="1">
      <alignment horizontal="center" vertical="center"/>
    </xf>
    <xf numFmtId="2" fontId="24707" fillId="8" borderId="1" xfId="0" applyNumberFormat="1" applyFont="1" applyFill="1" applyBorder="1" applyAlignment="1">
      <alignment horizontal="center" vertical="center"/>
    </xf>
    <xf numFmtId="2" fontId="24708" fillId="8" borderId="1" xfId="0" applyNumberFormat="1" applyFont="1" applyFill="1" applyBorder="1" applyAlignment="1">
      <alignment horizontal="center" vertical="center"/>
    </xf>
    <xf numFmtId="2" fontId="24709" fillId="8" borderId="1" xfId="0" applyNumberFormat="1" applyFont="1" applyFill="1" applyBorder="1" applyAlignment="1">
      <alignment horizontal="center" vertical="center"/>
    </xf>
    <xf numFmtId="2" fontId="24710" fillId="8" borderId="1" xfId="0" applyNumberFormat="1" applyFont="1" applyFill="1" applyBorder="1" applyAlignment="1">
      <alignment horizontal="center" vertical="center"/>
    </xf>
    <xf numFmtId="2" fontId="24711" fillId="8" borderId="1" xfId="0" applyNumberFormat="1" applyFont="1" applyFill="1" applyBorder="1" applyAlignment="1">
      <alignment horizontal="center" vertical="center"/>
    </xf>
    <xf numFmtId="2" fontId="24712" fillId="8" borderId="1" xfId="0" applyNumberFormat="1" applyFont="1" applyFill="1" applyBorder="1" applyAlignment="1">
      <alignment horizontal="center" vertical="center"/>
    </xf>
    <xf numFmtId="2" fontId="24713" fillId="8" borderId="1" xfId="0" applyNumberFormat="1" applyFont="1" applyFill="1" applyBorder="1" applyAlignment="1">
      <alignment horizontal="center" vertical="center"/>
    </xf>
    <xf numFmtId="2" fontId="24714" fillId="8" borderId="1" xfId="0" applyNumberFormat="1" applyFont="1" applyFill="1" applyBorder="1" applyAlignment="1">
      <alignment horizontal="center" vertical="center"/>
    </xf>
    <xf numFmtId="2" fontId="24715" fillId="8" borderId="1" xfId="0" applyNumberFormat="1" applyFont="1" applyFill="1" applyBorder="1" applyAlignment="1">
      <alignment horizontal="center" vertical="center"/>
    </xf>
    <xf numFmtId="2" fontId="24716" fillId="8" borderId="1" xfId="0" applyNumberFormat="1" applyFont="1" applyFill="1" applyBorder="1" applyAlignment="1">
      <alignment horizontal="center" vertical="center"/>
    </xf>
    <xf numFmtId="2" fontId="24717" fillId="8" borderId="1" xfId="0" applyNumberFormat="1" applyFont="1" applyFill="1" applyBorder="1" applyAlignment="1">
      <alignment horizontal="center" vertical="center"/>
    </xf>
    <xf numFmtId="2" fontId="24718" fillId="8" borderId="1" xfId="0" applyNumberFormat="1" applyFont="1" applyFill="1" applyBorder="1" applyAlignment="1">
      <alignment horizontal="center" vertical="center"/>
    </xf>
    <xf numFmtId="2" fontId="24719" fillId="8" borderId="1" xfId="0" applyNumberFormat="1" applyFont="1" applyFill="1" applyBorder="1" applyAlignment="1">
      <alignment horizontal="center" vertical="center"/>
    </xf>
    <xf numFmtId="2" fontId="24720" fillId="8" borderId="1" xfId="0" applyNumberFormat="1" applyFont="1" applyFill="1" applyBorder="1" applyAlignment="1">
      <alignment horizontal="center" vertical="center"/>
    </xf>
    <xf numFmtId="2" fontId="24721" fillId="8" borderId="1" xfId="0" applyNumberFormat="1" applyFont="1" applyFill="1" applyBorder="1" applyAlignment="1">
      <alignment horizontal="center" vertical="center"/>
    </xf>
    <xf numFmtId="2" fontId="24722" fillId="8" borderId="1" xfId="0" applyNumberFormat="1" applyFont="1" applyFill="1" applyBorder="1" applyAlignment="1">
      <alignment horizontal="center" vertical="center"/>
    </xf>
    <xf numFmtId="2" fontId="24723" fillId="8" borderId="1" xfId="0" applyNumberFormat="1" applyFont="1" applyFill="1" applyBorder="1" applyAlignment="1">
      <alignment horizontal="center" vertical="center"/>
    </xf>
    <xf numFmtId="2" fontId="24724" fillId="8" borderId="1" xfId="0" applyNumberFormat="1" applyFont="1" applyFill="1" applyBorder="1" applyAlignment="1">
      <alignment horizontal="center" vertical="center"/>
    </xf>
    <xf numFmtId="2" fontId="24725" fillId="8" borderId="1" xfId="0" applyNumberFormat="1" applyFont="1" applyFill="1" applyBorder="1" applyAlignment="1">
      <alignment horizontal="center" vertical="center"/>
    </xf>
    <xf numFmtId="2" fontId="24726" fillId="8" borderId="1" xfId="0" applyNumberFormat="1" applyFont="1" applyFill="1" applyBorder="1" applyAlignment="1">
      <alignment horizontal="center" vertical="center"/>
    </xf>
    <xf numFmtId="0" fontId="24727" fillId="7" borderId="1" xfId="0" applyNumberFormat="1" applyFont="1" applyFill="1" applyBorder="1" applyAlignment="1">
      <alignment horizontal="left" vertical="center"/>
    </xf>
    <xf numFmtId="0" fontId="24728" fillId="8" borderId="1" xfId="0" applyNumberFormat="1" applyFont="1" applyFill="1" applyBorder="1" applyAlignment="1">
      <alignment horizontal="center" vertical="center"/>
    </xf>
    <xf numFmtId="164" fontId="24729" fillId="8" borderId="1" xfId="0" applyNumberFormat="1" applyFont="1" applyFill="1" applyBorder="1" applyAlignment="1">
      <alignment horizontal="center" vertical="center"/>
    </xf>
    <xf numFmtId="1" fontId="24730" fillId="8" borderId="1" xfId="0" applyNumberFormat="1" applyFont="1" applyFill="1" applyBorder="1" applyAlignment="1">
      <alignment horizontal="center" vertical="center"/>
    </xf>
    <xf numFmtId="1" fontId="24731" fillId="8" borderId="1" xfId="0" applyNumberFormat="1" applyFont="1" applyFill="1" applyBorder="1" applyAlignment="1">
      <alignment horizontal="center" vertical="center"/>
    </xf>
    <xf numFmtId="1" fontId="24732" fillId="8" borderId="1" xfId="0" applyNumberFormat="1" applyFont="1" applyFill="1" applyBorder="1" applyAlignment="1">
      <alignment horizontal="center" vertical="center"/>
    </xf>
    <xf numFmtId="1" fontId="24733" fillId="8" borderId="1" xfId="0" applyNumberFormat="1" applyFont="1" applyFill="1" applyBorder="1" applyAlignment="1">
      <alignment horizontal="center" vertical="center"/>
    </xf>
    <xf numFmtId="1" fontId="24734" fillId="8" borderId="1" xfId="0" applyNumberFormat="1" applyFont="1" applyFill="1" applyBorder="1" applyAlignment="1">
      <alignment horizontal="center" vertical="center"/>
    </xf>
    <xf numFmtId="1" fontId="24735" fillId="8" borderId="1" xfId="0" applyNumberFormat="1" applyFont="1" applyFill="1" applyBorder="1" applyAlignment="1">
      <alignment horizontal="center" vertical="center"/>
    </xf>
    <xf numFmtId="1" fontId="24736" fillId="8" borderId="1" xfId="0" applyNumberFormat="1" applyFont="1" applyFill="1" applyBorder="1" applyAlignment="1">
      <alignment horizontal="center" vertical="center"/>
    </xf>
    <xf numFmtId="0" fontId="24737" fillId="8" borderId="1" xfId="0" applyNumberFormat="1" applyFont="1" applyFill="1" applyBorder="1" applyAlignment="1">
      <alignment horizontal="center" vertical="center"/>
    </xf>
    <xf numFmtId="0" fontId="24738" fillId="8" borderId="1" xfId="0" applyNumberFormat="1" applyFont="1" applyFill="1" applyBorder="1" applyAlignment="1">
      <alignment horizontal="center" vertical="center"/>
    </xf>
    <xf numFmtId="1" fontId="24739" fillId="8" borderId="1" xfId="0" applyNumberFormat="1" applyFont="1" applyFill="1" applyBorder="1" applyAlignment="1">
      <alignment horizontal="center" vertical="center"/>
    </xf>
    <xf numFmtId="1" fontId="24740" fillId="8" borderId="1" xfId="0" applyNumberFormat="1" applyFont="1" applyFill="1" applyBorder="1" applyAlignment="1">
      <alignment horizontal="center" vertical="center"/>
    </xf>
    <xf numFmtId="1" fontId="24741" fillId="8" borderId="1" xfId="0" applyNumberFormat="1" applyFont="1" applyFill="1" applyBorder="1" applyAlignment="1">
      <alignment horizontal="center" vertical="center"/>
    </xf>
    <xf numFmtId="165" fontId="24742" fillId="8" borderId="1" xfId="0" applyNumberFormat="1" applyFont="1" applyFill="1" applyBorder="1" applyAlignment="1">
      <alignment horizontal="center" vertical="center"/>
    </xf>
    <xf numFmtId="1" fontId="24743" fillId="8" borderId="1" xfId="0" applyNumberFormat="1" applyFont="1" applyFill="1" applyBorder="1" applyAlignment="1">
      <alignment horizontal="center" vertical="center"/>
    </xf>
    <xf numFmtId="165" fontId="24744" fillId="8" borderId="1" xfId="0" applyNumberFormat="1" applyFont="1" applyFill="1" applyBorder="1" applyAlignment="1">
      <alignment horizontal="center" vertical="center"/>
    </xf>
    <xf numFmtId="1" fontId="24745" fillId="8" borderId="1" xfId="0" applyNumberFormat="1" applyFont="1" applyFill="1" applyBorder="1" applyAlignment="1">
      <alignment horizontal="center" vertical="center"/>
    </xf>
    <xf numFmtId="165" fontId="24746" fillId="8" borderId="1" xfId="0" applyNumberFormat="1" applyFont="1" applyFill="1" applyBorder="1" applyAlignment="1">
      <alignment horizontal="center" vertical="center"/>
    </xf>
    <xf numFmtId="1" fontId="24747" fillId="8" borderId="1" xfId="0" applyNumberFormat="1" applyFont="1" applyFill="1" applyBorder="1" applyAlignment="1">
      <alignment horizontal="center" vertical="center"/>
    </xf>
    <xf numFmtId="165" fontId="24748" fillId="8" borderId="1" xfId="0" applyNumberFormat="1" applyFont="1" applyFill="1" applyBorder="1" applyAlignment="1">
      <alignment horizontal="center" vertical="center"/>
    </xf>
    <xf numFmtId="165" fontId="24749" fillId="8" borderId="1" xfId="0" applyNumberFormat="1" applyFont="1" applyFill="1" applyBorder="1" applyAlignment="1">
      <alignment horizontal="center" vertical="center"/>
    </xf>
    <xf numFmtId="1" fontId="24750" fillId="8" borderId="1" xfId="0" applyNumberFormat="1" applyFont="1" applyFill="1" applyBorder="1" applyAlignment="1">
      <alignment horizontal="center" vertical="center"/>
    </xf>
    <xf numFmtId="1" fontId="24751" fillId="8" borderId="1" xfId="0" applyNumberFormat="1" applyFont="1" applyFill="1" applyBorder="1" applyAlignment="1">
      <alignment horizontal="center" vertical="center"/>
    </xf>
    <xf numFmtId="1" fontId="24752" fillId="8" borderId="1" xfId="0" applyNumberFormat="1" applyFont="1" applyFill="1" applyBorder="1" applyAlignment="1">
      <alignment horizontal="center" vertical="center"/>
    </xf>
    <xf numFmtId="165" fontId="24753" fillId="8" borderId="1" xfId="0" applyNumberFormat="1" applyFont="1" applyFill="1" applyBorder="1" applyAlignment="1">
      <alignment horizontal="center" vertical="center"/>
    </xf>
    <xf numFmtId="164" fontId="24754" fillId="8" borderId="1" xfId="0" applyNumberFormat="1" applyFont="1" applyFill="1" applyBorder="1" applyAlignment="1">
      <alignment horizontal="center" vertical="center"/>
    </xf>
    <xf numFmtId="164" fontId="24755" fillId="8" borderId="1" xfId="0" applyNumberFormat="1" applyFont="1" applyFill="1" applyBorder="1" applyAlignment="1">
      <alignment horizontal="center" vertical="center"/>
    </xf>
    <xf numFmtId="1" fontId="24756" fillId="8" borderId="1" xfId="0" applyNumberFormat="1" applyFont="1" applyFill="1" applyBorder="1" applyAlignment="1">
      <alignment horizontal="center" vertical="center"/>
    </xf>
    <xf numFmtId="1" fontId="24757" fillId="8" borderId="1" xfId="0" applyNumberFormat="1" applyFont="1" applyFill="1" applyBorder="1" applyAlignment="1">
      <alignment horizontal="center" vertical="center"/>
    </xf>
    <xf numFmtId="1" fontId="24758" fillId="8" borderId="1" xfId="0" applyNumberFormat="1" applyFont="1" applyFill="1" applyBorder="1" applyAlignment="1">
      <alignment horizontal="center" vertical="center"/>
    </xf>
    <xf numFmtId="165" fontId="24759" fillId="8" borderId="1" xfId="0" applyNumberFormat="1" applyFont="1" applyFill="1" applyBorder="1" applyAlignment="1">
      <alignment horizontal="center" vertical="center"/>
    </xf>
    <xf numFmtId="1" fontId="24760" fillId="8" borderId="1" xfId="0" applyNumberFormat="1" applyFont="1" applyFill="1" applyBorder="1" applyAlignment="1">
      <alignment horizontal="center" vertical="center"/>
    </xf>
    <xf numFmtId="165" fontId="24761" fillId="8" borderId="1" xfId="0" applyNumberFormat="1" applyFont="1" applyFill="1" applyBorder="1" applyAlignment="1">
      <alignment horizontal="center" vertical="center"/>
    </xf>
    <xf numFmtId="1" fontId="24762" fillId="8" borderId="1" xfId="0" applyNumberFormat="1" applyFont="1" applyFill="1" applyBorder="1" applyAlignment="1">
      <alignment horizontal="center" vertical="center"/>
    </xf>
    <xf numFmtId="1" fontId="24763" fillId="8" borderId="1" xfId="0" applyNumberFormat="1" applyFont="1" applyFill="1" applyBorder="1" applyAlignment="1">
      <alignment horizontal="center" vertical="center"/>
    </xf>
    <xf numFmtId="1" fontId="24764" fillId="8" borderId="1" xfId="0" applyNumberFormat="1" applyFont="1" applyFill="1" applyBorder="1" applyAlignment="1">
      <alignment horizontal="center" vertical="center"/>
    </xf>
    <xf numFmtId="1" fontId="24765" fillId="8" borderId="1" xfId="0" applyNumberFormat="1" applyFont="1" applyFill="1" applyBorder="1" applyAlignment="1">
      <alignment horizontal="center" vertical="center"/>
    </xf>
    <xf numFmtId="165" fontId="24766" fillId="8" borderId="1" xfId="0" applyNumberFormat="1" applyFont="1" applyFill="1" applyBorder="1" applyAlignment="1">
      <alignment horizontal="center" vertical="center"/>
    </xf>
    <xf numFmtId="1" fontId="24767" fillId="8" borderId="1" xfId="0" applyNumberFormat="1" applyFont="1" applyFill="1" applyBorder="1" applyAlignment="1">
      <alignment horizontal="center" vertical="center"/>
    </xf>
    <xf numFmtId="165" fontId="24768" fillId="8" borderId="1" xfId="0" applyNumberFormat="1" applyFont="1" applyFill="1" applyBorder="1" applyAlignment="1">
      <alignment horizontal="center" vertical="center"/>
    </xf>
    <xf numFmtId="1" fontId="24769" fillId="8" borderId="1" xfId="0" applyNumberFormat="1" applyFont="1" applyFill="1" applyBorder="1" applyAlignment="1">
      <alignment horizontal="center" vertical="center"/>
    </xf>
    <xf numFmtId="165" fontId="24770" fillId="8" borderId="1" xfId="0" applyNumberFormat="1" applyFont="1" applyFill="1" applyBorder="1" applyAlignment="1">
      <alignment horizontal="center" vertical="center"/>
    </xf>
    <xf numFmtId="2" fontId="24771" fillId="8" borderId="1" xfId="0" applyNumberFormat="1" applyFont="1" applyFill="1" applyBorder="1" applyAlignment="1">
      <alignment horizontal="center" vertical="center"/>
    </xf>
    <xf numFmtId="2" fontId="24772" fillId="8" borderId="1" xfId="0" applyNumberFormat="1" applyFont="1" applyFill="1" applyBorder="1" applyAlignment="1">
      <alignment horizontal="center" vertical="center"/>
    </xf>
    <xf numFmtId="2" fontId="24773" fillId="8" borderId="1" xfId="0" applyNumberFormat="1" applyFont="1" applyFill="1" applyBorder="1" applyAlignment="1">
      <alignment horizontal="center" vertical="center"/>
    </xf>
    <xf numFmtId="2" fontId="24774" fillId="8" borderId="1" xfId="0" applyNumberFormat="1" applyFont="1" applyFill="1" applyBorder="1" applyAlignment="1">
      <alignment horizontal="center" vertical="center"/>
    </xf>
    <xf numFmtId="2" fontId="24775" fillId="8" borderId="1" xfId="0" applyNumberFormat="1" applyFont="1" applyFill="1" applyBorder="1" applyAlignment="1">
      <alignment horizontal="center" vertical="center"/>
    </xf>
    <xf numFmtId="2" fontId="24776" fillId="8" borderId="1" xfId="0" applyNumberFormat="1" applyFont="1" applyFill="1" applyBorder="1" applyAlignment="1">
      <alignment horizontal="center" vertical="center"/>
    </xf>
    <xf numFmtId="2" fontId="24777" fillId="8" borderId="1" xfId="0" applyNumberFormat="1" applyFont="1" applyFill="1" applyBorder="1" applyAlignment="1">
      <alignment horizontal="center" vertical="center"/>
    </xf>
    <xf numFmtId="2" fontId="24778" fillId="8" borderId="1" xfId="0" applyNumberFormat="1" applyFont="1" applyFill="1" applyBorder="1" applyAlignment="1">
      <alignment horizontal="center" vertical="center"/>
    </xf>
    <xf numFmtId="2" fontId="24779" fillId="8" borderId="1" xfId="0" applyNumberFormat="1" applyFont="1" applyFill="1" applyBorder="1" applyAlignment="1">
      <alignment horizontal="center" vertical="center"/>
    </xf>
    <xf numFmtId="2" fontId="24780" fillId="8" borderId="1" xfId="0" applyNumberFormat="1" applyFont="1" applyFill="1" applyBorder="1" applyAlignment="1">
      <alignment horizontal="center" vertical="center"/>
    </xf>
    <xf numFmtId="2" fontId="24781" fillId="8" borderId="1" xfId="0" applyNumberFormat="1" applyFont="1" applyFill="1" applyBorder="1" applyAlignment="1">
      <alignment horizontal="center" vertical="center"/>
    </xf>
    <xf numFmtId="2" fontId="24782" fillId="8" borderId="1" xfId="0" applyNumberFormat="1" applyFont="1" applyFill="1" applyBorder="1" applyAlignment="1">
      <alignment horizontal="center" vertical="center"/>
    </xf>
    <xf numFmtId="2" fontId="24783" fillId="8" borderId="1" xfId="0" applyNumberFormat="1" applyFont="1" applyFill="1" applyBorder="1" applyAlignment="1">
      <alignment horizontal="center" vertical="center"/>
    </xf>
    <xf numFmtId="2" fontId="24784" fillId="8" borderId="1" xfId="0" applyNumberFormat="1" applyFont="1" applyFill="1" applyBorder="1" applyAlignment="1">
      <alignment horizontal="center" vertical="center"/>
    </xf>
    <xf numFmtId="2" fontId="24785" fillId="8" borderId="1" xfId="0" applyNumberFormat="1" applyFont="1" applyFill="1" applyBorder="1" applyAlignment="1">
      <alignment horizontal="center" vertical="center"/>
    </xf>
    <xf numFmtId="2" fontId="24786" fillId="8" borderId="1" xfId="0" applyNumberFormat="1" applyFont="1" applyFill="1" applyBorder="1" applyAlignment="1">
      <alignment horizontal="center" vertical="center"/>
    </xf>
    <xf numFmtId="2" fontId="24787" fillId="8" borderId="1" xfId="0" applyNumberFormat="1" applyFont="1" applyFill="1" applyBorder="1" applyAlignment="1">
      <alignment horizontal="center" vertical="center"/>
    </xf>
    <xf numFmtId="2" fontId="24788" fillId="8" borderId="1" xfId="0" applyNumberFormat="1" applyFont="1" applyFill="1" applyBorder="1" applyAlignment="1">
      <alignment horizontal="center" vertical="center"/>
    </xf>
    <xf numFmtId="2" fontId="24789" fillId="8" borderId="1" xfId="0" applyNumberFormat="1" applyFont="1" applyFill="1" applyBorder="1" applyAlignment="1">
      <alignment horizontal="center" vertical="center"/>
    </xf>
    <xf numFmtId="2" fontId="24790" fillId="8" borderId="1" xfId="0" applyNumberFormat="1" applyFont="1" applyFill="1" applyBorder="1" applyAlignment="1">
      <alignment horizontal="center" vertical="center"/>
    </xf>
    <xf numFmtId="2" fontId="24791" fillId="8" borderId="1" xfId="0" applyNumberFormat="1" applyFont="1" applyFill="1" applyBorder="1" applyAlignment="1">
      <alignment horizontal="center" vertical="center"/>
    </xf>
    <xf numFmtId="2" fontId="24792" fillId="8" borderId="1" xfId="0" applyNumberFormat="1" applyFont="1" applyFill="1" applyBorder="1" applyAlignment="1">
      <alignment horizontal="center" vertical="center"/>
    </xf>
    <xf numFmtId="2" fontId="24793" fillId="8" borderId="1" xfId="0" applyNumberFormat="1" applyFont="1" applyFill="1" applyBorder="1" applyAlignment="1">
      <alignment horizontal="center" vertical="center"/>
    </xf>
    <xf numFmtId="2" fontId="24794" fillId="8" borderId="1" xfId="0" applyNumberFormat="1" applyFont="1" applyFill="1" applyBorder="1" applyAlignment="1">
      <alignment horizontal="center" vertical="center"/>
    </xf>
    <xf numFmtId="2" fontId="24795" fillId="8" borderId="1" xfId="0" applyNumberFormat="1" applyFont="1" applyFill="1" applyBorder="1" applyAlignment="1">
      <alignment horizontal="center" vertical="center"/>
    </xf>
    <xf numFmtId="2" fontId="24796" fillId="8" borderId="1" xfId="0" applyNumberFormat="1" applyFont="1" applyFill="1" applyBorder="1" applyAlignment="1">
      <alignment horizontal="center" vertical="center"/>
    </xf>
    <xf numFmtId="2" fontId="24797" fillId="8" borderId="1" xfId="0" applyNumberFormat="1" applyFont="1" applyFill="1" applyBorder="1" applyAlignment="1">
      <alignment horizontal="center" vertical="center"/>
    </xf>
    <xf numFmtId="2" fontId="24798" fillId="8" borderId="1" xfId="0" applyNumberFormat="1" applyFont="1" applyFill="1" applyBorder="1" applyAlignment="1">
      <alignment horizontal="center" vertical="center"/>
    </xf>
    <xf numFmtId="2" fontId="24799" fillId="8" borderId="1" xfId="0" applyNumberFormat="1" applyFont="1" applyFill="1" applyBorder="1" applyAlignment="1">
      <alignment horizontal="center" vertical="center"/>
    </xf>
    <xf numFmtId="2" fontId="24800" fillId="8" borderId="1" xfId="0" applyNumberFormat="1" applyFont="1" applyFill="1" applyBorder="1" applyAlignment="1">
      <alignment horizontal="center" vertical="center"/>
    </xf>
    <xf numFmtId="2" fontId="24801" fillId="8" borderId="1" xfId="0" applyNumberFormat="1" applyFont="1" applyFill="1" applyBorder="1" applyAlignment="1">
      <alignment horizontal="center" vertical="center"/>
    </xf>
    <xf numFmtId="2" fontId="24802" fillId="8" borderId="1" xfId="0" applyNumberFormat="1" applyFont="1" applyFill="1" applyBorder="1" applyAlignment="1">
      <alignment horizontal="center" vertical="center"/>
    </xf>
    <xf numFmtId="2" fontId="24803" fillId="8" borderId="1" xfId="0" applyNumberFormat="1" applyFont="1" applyFill="1" applyBorder="1" applyAlignment="1">
      <alignment horizontal="center" vertical="center"/>
    </xf>
    <xf numFmtId="2" fontId="24804" fillId="8" borderId="1" xfId="0" applyNumberFormat="1" applyFont="1" applyFill="1" applyBorder="1" applyAlignment="1">
      <alignment horizontal="center" vertical="center"/>
    </xf>
    <xf numFmtId="0" fontId="24805" fillId="7" borderId="1" xfId="0" applyNumberFormat="1" applyFont="1" applyFill="1" applyBorder="1" applyAlignment="1">
      <alignment horizontal="left" vertical="center"/>
    </xf>
    <xf numFmtId="0" fontId="24806" fillId="8" borderId="1" xfId="0" applyNumberFormat="1" applyFont="1" applyFill="1" applyBorder="1" applyAlignment="1">
      <alignment horizontal="center" vertical="center"/>
    </xf>
    <xf numFmtId="164" fontId="24807" fillId="8" borderId="1" xfId="0" applyNumberFormat="1" applyFont="1" applyFill="1" applyBorder="1" applyAlignment="1">
      <alignment horizontal="center" vertical="center"/>
    </xf>
    <xf numFmtId="1" fontId="24808" fillId="8" borderId="1" xfId="0" applyNumberFormat="1" applyFont="1" applyFill="1" applyBorder="1" applyAlignment="1">
      <alignment horizontal="center" vertical="center"/>
    </xf>
    <xf numFmtId="1" fontId="24809" fillId="8" borderId="1" xfId="0" applyNumberFormat="1" applyFont="1" applyFill="1" applyBorder="1" applyAlignment="1">
      <alignment horizontal="center" vertical="center"/>
    </xf>
    <xf numFmtId="1" fontId="24810" fillId="8" borderId="1" xfId="0" applyNumberFormat="1" applyFont="1" applyFill="1" applyBorder="1" applyAlignment="1">
      <alignment horizontal="center" vertical="center"/>
    </xf>
    <xf numFmtId="1" fontId="24811" fillId="8" borderId="1" xfId="0" applyNumberFormat="1" applyFont="1" applyFill="1" applyBorder="1" applyAlignment="1">
      <alignment horizontal="center" vertical="center"/>
    </xf>
    <xf numFmtId="1" fontId="24812" fillId="8" borderId="1" xfId="0" applyNumberFormat="1" applyFont="1" applyFill="1" applyBorder="1" applyAlignment="1">
      <alignment horizontal="center" vertical="center"/>
    </xf>
    <xf numFmtId="1" fontId="24813" fillId="8" borderId="1" xfId="0" applyNumberFormat="1" applyFont="1" applyFill="1" applyBorder="1" applyAlignment="1">
      <alignment horizontal="center" vertical="center"/>
    </xf>
    <xf numFmtId="1" fontId="24814" fillId="8" borderId="1" xfId="0" applyNumberFormat="1" applyFont="1" applyFill="1" applyBorder="1" applyAlignment="1">
      <alignment horizontal="center" vertical="center"/>
    </xf>
    <xf numFmtId="0" fontId="24815" fillId="8" borderId="1" xfId="0" applyNumberFormat="1" applyFont="1" applyFill="1" applyBorder="1" applyAlignment="1">
      <alignment horizontal="center" vertical="center"/>
    </xf>
    <xf numFmtId="0" fontId="24816" fillId="8" borderId="1" xfId="0" applyNumberFormat="1" applyFont="1" applyFill="1" applyBorder="1" applyAlignment="1">
      <alignment horizontal="center" vertical="center"/>
    </xf>
    <xf numFmtId="1" fontId="24817" fillId="8" borderId="1" xfId="0" applyNumberFormat="1" applyFont="1" applyFill="1" applyBorder="1" applyAlignment="1">
      <alignment horizontal="center" vertical="center"/>
    </xf>
    <xf numFmtId="1" fontId="24818" fillId="8" borderId="1" xfId="0" applyNumberFormat="1" applyFont="1" applyFill="1" applyBorder="1" applyAlignment="1">
      <alignment horizontal="center" vertical="center"/>
    </xf>
    <xf numFmtId="1" fontId="24819" fillId="8" borderId="1" xfId="0" applyNumberFormat="1" applyFont="1" applyFill="1" applyBorder="1" applyAlignment="1">
      <alignment horizontal="center" vertical="center"/>
    </xf>
    <xf numFmtId="165" fontId="24820" fillId="8" borderId="1" xfId="0" applyNumberFormat="1" applyFont="1" applyFill="1" applyBorder="1" applyAlignment="1">
      <alignment horizontal="center" vertical="center"/>
    </xf>
    <xf numFmtId="1" fontId="24821" fillId="8" borderId="1" xfId="0" applyNumberFormat="1" applyFont="1" applyFill="1" applyBorder="1" applyAlignment="1">
      <alignment horizontal="center" vertical="center"/>
    </xf>
    <xf numFmtId="165" fontId="24822" fillId="8" borderId="1" xfId="0" applyNumberFormat="1" applyFont="1" applyFill="1" applyBorder="1" applyAlignment="1">
      <alignment horizontal="center" vertical="center"/>
    </xf>
    <xf numFmtId="1" fontId="24823" fillId="8" borderId="1" xfId="0" applyNumberFormat="1" applyFont="1" applyFill="1" applyBorder="1" applyAlignment="1">
      <alignment horizontal="center" vertical="center"/>
    </xf>
    <xf numFmtId="165" fontId="24824" fillId="8" borderId="1" xfId="0" applyNumberFormat="1" applyFont="1" applyFill="1" applyBorder="1" applyAlignment="1">
      <alignment horizontal="center" vertical="center"/>
    </xf>
    <xf numFmtId="1" fontId="24825" fillId="8" borderId="1" xfId="0" applyNumberFormat="1" applyFont="1" applyFill="1" applyBorder="1" applyAlignment="1">
      <alignment horizontal="center" vertical="center"/>
    </xf>
    <xf numFmtId="165" fontId="24826" fillId="8" borderId="1" xfId="0" applyNumberFormat="1" applyFont="1" applyFill="1" applyBorder="1" applyAlignment="1">
      <alignment horizontal="center" vertical="center"/>
    </xf>
    <xf numFmtId="165" fontId="24827" fillId="8" borderId="1" xfId="0" applyNumberFormat="1" applyFont="1" applyFill="1" applyBorder="1" applyAlignment="1">
      <alignment horizontal="center" vertical="center"/>
    </xf>
    <xf numFmtId="1" fontId="24828" fillId="8" borderId="1" xfId="0" applyNumberFormat="1" applyFont="1" applyFill="1" applyBorder="1" applyAlignment="1">
      <alignment horizontal="center" vertical="center"/>
    </xf>
    <xf numFmtId="1" fontId="24829" fillId="8" borderId="1" xfId="0" applyNumberFormat="1" applyFont="1" applyFill="1" applyBorder="1" applyAlignment="1">
      <alignment horizontal="center" vertical="center"/>
    </xf>
    <xf numFmtId="1" fontId="24830" fillId="8" borderId="1" xfId="0" applyNumberFormat="1" applyFont="1" applyFill="1" applyBorder="1" applyAlignment="1">
      <alignment horizontal="center" vertical="center"/>
    </xf>
    <xf numFmtId="165" fontId="24831" fillId="8" borderId="1" xfId="0" applyNumberFormat="1" applyFont="1" applyFill="1" applyBorder="1" applyAlignment="1">
      <alignment horizontal="center" vertical="center"/>
    </xf>
    <xf numFmtId="164" fontId="24832" fillId="8" borderId="1" xfId="0" applyNumberFormat="1" applyFont="1" applyFill="1" applyBorder="1" applyAlignment="1">
      <alignment horizontal="center" vertical="center"/>
    </xf>
    <xf numFmtId="164" fontId="24833" fillId="8" borderId="1" xfId="0" applyNumberFormat="1" applyFont="1" applyFill="1" applyBorder="1" applyAlignment="1">
      <alignment horizontal="center" vertical="center"/>
    </xf>
    <xf numFmtId="1" fontId="24834" fillId="8" borderId="1" xfId="0" applyNumberFormat="1" applyFont="1" applyFill="1" applyBorder="1" applyAlignment="1">
      <alignment horizontal="center" vertical="center"/>
    </xf>
    <xf numFmtId="1" fontId="24835" fillId="8" borderId="1" xfId="0" applyNumberFormat="1" applyFont="1" applyFill="1" applyBorder="1" applyAlignment="1">
      <alignment horizontal="center" vertical="center"/>
    </xf>
    <xf numFmtId="1" fontId="24836" fillId="8" borderId="1" xfId="0" applyNumberFormat="1" applyFont="1" applyFill="1" applyBorder="1" applyAlignment="1">
      <alignment horizontal="center" vertical="center"/>
    </xf>
    <xf numFmtId="165" fontId="24837" fillId="8" borderId="1" xfId="0" applyNumberFormat="1" applyFont="1" applyFill="1" applyBorder="1" applyAlignment="1">
      <alignment horizontal="center" vertical="center"/>
    </xf>
    <xf numFmtId="1" fontId="24838" fillId="8" borderId="1" xfId="0" applyNumberFormat="1" applyFont="1" applyFill="1" applyBorder="1" applyAlignment="1">
      <alignment horizontal="center" vertical="center"/>
    </xf>
    <xf numFmtId="165" fontId="24839" fillId="8" borderId="1" xfId="0" applyNumberFormat="1" applyFont="1" applyFill="1" applyBorder="1" applyAlignment="1">
      <alignment horizontal="center" vertical="center"/>
    </xf>
    <xf numFmtId="1" fontId="24840" fillId="8" borderId="1" xfId="0" applyNumberFormat="1" applyFont="1" applyFill="1" applyBorder="1" applyAlignment="1">
      <alignment horizontal="center" vertical="center"/>
    </xf>
    <xf numFmtId="1" fontId="24841" fillId="8" borderId="1" xfId="0" applyNumberFormat="1" applyFont="1" applyFill="1" applyBorder="1" applyAlignment="1">
      <alignment horizontal="center" vertical="center"/>
    </xf>
    <xf numFmtId="1" fontId="24842" fillId="8" borderId="1" xfId="0" applyNumberFormat="1" applyFont="1" applyFill="1" applyBorder="1" applyAlignment="1">
      <alignment horizontal="center" vertical="center"/>
    </xf>
    <xf numFmtId="1" fontId="24843" fillId="8" borderId="1" xfId="0" applyNumberFormat="1" applyFont="1" applyFill="1" applyBorder="1" applyAlignment="1">
      <alignment horizontal="center" vertical="center"/>
    </xf>
    <xf numFmtId="165" fontId="24844" fillId="8" borderId="1" xfId="0" applyNumberFormat="1" applyFont="1" applyFill="1" applyBorder="1" applyAlignment="1">
      <alignment horizontal="center" vertical="center"/>
    </xf>
    <xf numFmtId="1" fontId="24845" fillId="8" borderId="1" xfId="0" applyNumberFormat="1" applyFont="1" applyFill="1" applyBorder="1" applyAlignment="1">
      <alignment horizontal="center" vertical="center"/>
    </xf>
    <xf numFmtId="165" fontId="24846" fillId="8" borderId="1" xfId="0" applyNumberFormat="1" applyFont="1" applyFill="1" applyBorder="1" applyAlignment="1">
      <alignment horizontal="center" vertical="center"/>
    </xf>
    <xf numFmtId="1" fontId="24847" fillId="8" borderId="1" xfId="0" applyNumberFormat="1" applyFont="1" applyFill="1" applyBorder="1" applyAlignment="1">
      <alignment horizontal="center" vertical="center"/>
    </xf>
    <xf numFmtId="165" fontId="24848" fillId="8" borderId="1" xfId="0" applyNumberFormat="1" applyFont="1" applyFill="1" applyBorder="1" applyAlignment="1">
      <alignment horizontal="center" vertical="center"/>
    </xf>
    <xf numFmtId="2" fontId="24849" fillId="8" borderId="1" xfId="0" applyNumberFormat="1" applyFont="1" applyFill="1" applyBorder="1" applyAlignment="1">
      <alignment horizontal="center" vertical="center"/>
    </xf>
    <xf numFmtId="2" fontId="24850" fillId="8" borderId="1" xfId="0" applyNumberFormat="1" applyFont="1" applyFill="1" applyBorder="1" applyAlignment="1">
      <alignment horizontal="center" vertical="center"/>
    </xf>
    <xf numFmtId="2" fontId="24851" fillId="8" borderId="1" xfId="0" applyNumberFormat="1" applyFont="1" applyFill="1" applyBorder="1" applyAlignment="1">
      <alignment horizontal="center" vertical="center"/>
    </xf>
    <xf numFmtId="2" fontId="24852" fillId="8" borderId="1" xfId="0" applyNumberFormat="1" applyFont="1" applyFill="1" applyBorder="1" applyAlignment="1">
      <alignment horizontal="center" vertical="center"/>
    </xf>
    <xf numFmtId="2" fontId="24853" fillId="8" borderId="1" xfId="0" applyNumberFormat="1" applyFont="1" applyFill="1" applyBorder="1" applyAlignment="1">
      <alignment horizontal="center" vertical="center"/>
    </xf>
    <xf numFmtId="2" fontId="24854" fillId="8" borderId="1" xfId="0" applyNumberFormat="1" applyFont="1" applyFill="1" applyBorder="1" applyAlignment="1">
      <alignment horizontal="center" vertical="center"/>
    </xf>
    <xf numFmtId="2" fontId="24855" fillId="8" borderId="1" xfId="0" applyNumberFormat="1" applyFont="1" applyFill="1" applyBorder="1" applyAlignment="1">
      <alignment horizontal="center" vertical="center"/>
    </xf>
    <xf numFmtId="2" fontId="24856" fillId="8" borderId="1" xfId="0" applyNumberFormat="1" applyFont="1" applyFill="1" applyBorder="1" applyAlignment="1">
      <alignment horizontal="center" vertical="center"/>
    </xf>
    <xf numFmtId="2" fontId="24857" fillId="8" borderId="1" xfId="0" applyNumberFormat="1" applyFont="1" applyFill="1" applyBorder="1" applyAlignment="1">
      <alignment horizontal="center" vertical="center"/>
    </xf>
    <xf numFmtId="2" fontId="24858" fillId="8" borderId="1" xfId="0" applyNumberFormat="1" applyFont="1" applyFill="1" applyBorder="1" applyAlignment="1">
      <alignment horizontal="center" vertical="center"/>
    </xf>
    <xf numFmtId="2" fontId="24859" fillId="8" borderId="1" xfId="0" applyNumberFormat="1" applyFont="1" applyFill="1" applyBorder="1" applyAlignment="1">
      <alignment horizontal="center" vertical="center"/>
    </xf>
    <xf numFmtId="2" fontId="24860" fillId="8" borderId="1" xfId="0" applyNumberFormat="1" applyFont="1" applyFill="1" applyBorder="1" applyAlignment="1">
      <alignment horizontal="center" vertical="center"/>
    </xf>
    <xf numFmtId="2" fontId="24861" fillId="8" borderId="1" xfId="0" applyNumberFormat="1" applyFont="1" applyFill="1" applyBorder="1" applyAlignment="1">
      <alignment horizontal="center" vertical="center"/>
    </xf>
    <xf numFmtId="2" fontId="24862" fillId="8" borderId="1" xfId="0" applyNumberFormat="1" applyFont="1" applyFill="1" applyBorder="1" applyAlignment="1">
      <alignment horizontal="center" vertical="center"/>
    </xf>
    <xf numFmtId="2" fontId="24863" fillId="8" borderId="1" xfId="0" applyNumberFormat="1" applyFont="1" applyFill="1" applyBorder="1" applyAlignment="1">
      <alignment horizontal="center" vertical="center"/>
    </xf>
    <xf numFmtId="2" fontId="24864" fillId="8" borderId="1" xfId="0" applyNumberFormat="1" applyFont="1" applyFill="1" applyBorder="1" applyAlignment="1">
      <alignment horizontal="center" vertical="center"/>
    </xf>
    <xf numFmtId="2" fontId="24865" fillId="8" borderId="1" xfId="0" applyNumberFormat="1" applyFont="1" applyFill="1" applyBorder="1" applyAlignment="1">
      <alignment horizontal="center" vertical="center"/>
    </xf>
    <xf numFmtId="2" fontId="24866" fillId="8" borderId="1" xfId="0" applyNumberFormat="1" applyFont="1" applyFill="1" applyBorder="1" applyAlignment="1">
      <alignment horizontal="center" vertical="center"/>
    </xf>
    <xf numFmtId="2" fontId="24867" fillId="8" borderId="1" xfId="0" applyNumberFormat="1" applyFont="1" applyFill="1" applyBorder="1" applyAlignment="1">
      <alignment horizontal="center" vertical="center"/>
    </xf>
    <xf numFmtId="2" fontId="24868" fillId="8" borderId="1" xfId="0" applyNumberFormat="1" applyFont="1" applyFill="1" applyBorder="1" applyAlignment="1">
      <alignment horizontal="center" vertical="center"/>
    </xf>
    <xf numFmtId="2" fontId="24869" fillId="8" borderId="1" xfId="0" applyNumberFormat="1" applyFont="1" applyFill="1" applyBorder="1" applyAlignment="1">
      <alignment horizontal="center" vertical="center"/>
    </xf>
    <xf numFmtId="2" fontId="24870" fillId="8" borderId="1" xfId="0" applyNumberFormat="1" applyFont="1" applyFill="1" applyBorder="1" applyAlignment="1">
      <alignment horizontal="center" vertical="center"/>
    </xf>
    <xf numFmtId="2" fontId="24871" fillId="8" borderId="1" xfId="0" applyNumberFormat="1" applyFont="1" applyFill="1" applyBorder="1" applyAlignment="1">
      <alignment horizontal="center" vertical="center"/>
    </xf>
    <xf numFmtId="2" fontId="24872" fillId="8" borderId="1" xfId="0" applyNumberFormat="1" applyFont="1" applyFill="1" applyBorder="1" applyAlignment="1">
      <alignment horizontal="center" vertical="center"/>
    </xf>
    <xf numFmtId="2" fontId="24873" fillId="8" borderId="1" xfId="0" applyNumberFormat="1" applyFont="1" applyFill="1" applyBorder="1" applyAlignment="1">
      <alignment horizontal="center" vertical="center"/>
    </xf>
    <xf numFmtId="2" fontId="24874" fillId="8" borderId="1" xfId="0" applyNumberFormat="1" applyFont="1" applyFill="1" applyBorder="1" applyAlignment="1">
      <alignment horizontal="center" vertical="center"/>
    </xf>
    <xf numFmtId="2" fontId="24875" fillId="8" borderId="1" xfId="0" applyNumberFormat="1" applyFont="1" applyFill="1" applyBorder="1" applyAlignment="1">
      <alignment horizontal="center" vertical="center"/>
    </xf>
    <xf numFmtId="2" fontId="24876" fillId="8" borderId="1" xfId="0" applyNumberFormat="1" applyFont="1" applyFill="1" applyBorder="1" applyAlignment="1">
      <alignment horizontal="center" vertical="center"/>
    </xf>
    <xf numFmtId="2" fontId="24877" fillId="8" borderId="1" xfId="0" applyNumberFormat="1" applyFont="1" applyFill="1" applyBorder="1" applyAlignment="1">
      <alignment horizontal="center" vertical="center"/>
    </xf>
    <xf numFmtId="2" fontId="24878" fillId="8" borderId="1" xfId="0" applyNumberFormat="1" applyFont="1" applyFill="1" applyBorder="1" applyAlignment="1">
      <alignment horizontal="center" vertical="center"/>
    </xf>
    <xf numFmtId="2" fontId="24879" fillId="8" borderId="1" xfId="0" applyNumberFormat="1" applyFont="1" applyFill="1" applyBorder="1" applyAlignment="1">
      <alignment horizontal="center" vertical="center"/>
    </xf>
    <xf numFmtId="2" fontId="24880" fillId="8" borderId="1" xfId="0" applyNumberFormat="1" applyFont="1" applyFill="1" applyBorder="1" applyAlignment="1">
      <alignment horizontal="center" vertical="center"/>
    </xf>
    <xf numFmtId="2" fontId="24881" fillId="8" borderId="1" xfId="0" applyNumberFormat="1" applyFont="1" applyFill="1" applyBorder="1" applyAlignment="1">
      <alignment horizontal="center" vertical="center"/>
    </xf>
    <xf numFmtId="2" fontId="24882" fillId="8" borderId="1" xfId="0" applyNumberFormat="1" applyFont="1" applyFill="1" applyBorder="1" applyAlignment="1">
      <alignment horizontal="center" vertical="center"/>
    </xf>
    <xf numFmtId="0" fontId="24883" fillId="7" borderId="1" xfId="0" applyNumberFormat="1" applyFont="1" applyFill="1" applyBorder="1" applyAlignment="1">
      <alignment horizontal="left" vertical="center"/>
    </xf>
    <xf numFmtId="0" fontId="24884" fillId="8" borderId="1" xfId="0" applyNumberFormat="1" applyFont="1" applyFill="1" applyBorder="1" applyAlignment="1">
      <alignment horizontal="center" vertical="center"/>
    </xf>
    <xf numFmtId="164" fontId="24885" fillId="8" borderId="1" xfId="0" applyNumberFormat="1" applyFont="1" applyFill="1" applyBorder="1" applyAlignment="1">
      <alignment horizontal="center" vertical="center"/>
    </xf>
    <xf numFmtId="1" fontId="24886" fillId="8" borderId="1" xfId="0" applyNumberFormat="1" applyFont="1" applyFill="1" applyBorder="1" applyAlignment="1">
      <alignment horizontal="center" vertical="center"/>
    </xf>
    <xf numFmtId="1" fontId="24887" fillId="8" borderId="1" xfId="0" applyNumberFormat="1" applyFont="1" applyFill="1" applyBorder="1" applyAlignment="1">
      <alignment horizontal="center" vertical="center"/>
    </xf>
    <xf numFmtId="1" fontId="24888" fillId="8" borderId="1" xfId="0" applyNumberFormat="1" applyFont="1" applyFill="1" applyBorder="1" applyAlignment="1">
      <alignment horizontal="center" vertical="center"/>
    </xf>
    <xf numFmtId="1" fontId="24889" fillId="8" borderId="1" xfId="0" applyNumberFormat="1" applyFont="1" applyFill="1" applyBorder="1" applyAlignment="1">
      <alignment horizontal="center" vertical="center"/>
    </xf>
    <xf numFmtId="1" fontId="24890" fillId="8" borderId="1" xfId="0" applyNumberFormat="1" applyFont="1" applyFill="1" applyBorder="1" applyAlignment="1">
      <alignment horizontal="center" vertical="center"/>
    </xf>
    <xf numFmtId="1" fontId="24891" fillId="8" borderId="1" xfId="0" applyNumberFormat="1" applyFont="1" applyFill="1" applyBorder="1" applyAlignment="1">
      <alignment horizontal="center" vertical="center"/>
    </xf>
    <xf numFmtId="1" fontId="24892" fillId="8" borderId="1" xfId="0" applyNumberFormat="1" applyFont="1" applyFill="1" applyBorder="1" applyAlignment="1">
      <alignment horizontal="center" vertical="center"/>
    </xf>
    <xf numFmtId="0" fontId="24893" fillId="8" borderId="1" xfId="0" applyNumberFormat="1" applyFont="1" applyFill="1" applyBorder="1" applyAlignment="1">
      <alignment horizontal="center" vertical="center"/>
    </xf>
    <xf numFmtId="0" fontId="24894" fillId="8" borderId="1" xfId="0" applyNumberFormat="1" applyFont="1" applyFill="1" applyBorder="1" applyAlignment="1">
      <alignment horizontal="center" vertical="center"/>
    </xf>
    <xf numFmtId="1" fontId="24895" fillId="8" borderId="1" xfId="0" applyNumberFormat="1" applyFont="1" applyFill="1" applyBorder="1" applyAlignment="1">
      <alignment horizontal="center" vertical="center"/>
    </xf>
    <xf numFmtId="1" fontId="24896" fillId="8" borderId="1" xfId="0" applyNumberFormat="1" applyFont="1" applyFill="1" applyBorder="1" applyAlignment="1">
      <alignment horizontal="center" vertical="center"/>
    </xf>
    <xf numFmtId="1" fontId="24897" fillId="8" borderId="1" xfId="0" applyNumberFormat="1" applyFont="1" applyFill="1" applyBorder="1" applyAlignment="1">
      <alignment horizontal="center" vertical="center"/>
    </xf>
    <xf numFmtId="165" fontId="24898" fillId="8" borderId="1" xfId="0" applyNumberFormat="1" applyFont="1" applyFill="1" applyBorder="1" applyAlignment="1">
      <alignment horizontal="center" vertical="center"/>
    </xf>
    <xf numFmtId="1" fontId="24899" fillId="8" borderId="1" xfId="0" applyNumberFormat="1" applyFont="1" applyFill="1" applyBorder="1" applyAlignment="1">
      <alignment horizontal="center" vertical="center"/>
    </xf>
    <xf numFmtId="165" fontId="24900" fillId="8" borderId="1" xfId="0" applyNumberFormat="1" applyFont="1" applyFill="1" applyBorder="1" applyAlignment="1">
      <alignment horizontal="center" vertical="center"/>
    </xf>
    <xf numFmtId="1" fontId="24901" fillId="8" borderId="1" xfId="0" applyNumberFormat="1" applyFont="1" applyFill="1" applyBorder="1" applyAlignment="1">
      <alignment horizontal="center" vertical="center"/>
    </xf>
    <xf numFmtId="165" fontId="24902" fillId="8" borderId="1" xfId="0" applyNumberFormat="1" applyFont="1" applyFill="1" applyBorder="1" applyAlignment="1">
      <alignment horizontal="center" vertical="center"/>
    </xf>
    <xf numFmtId="1" fontId="24903" fillId="8" borderId="1" xfId="0" applyNumberFormat="1" applyFont="1" applyFill="1" applyBorder="1" applyAlignment="1">
      <alignment horizontal="center" vertical="center"/>
    </xf>
    <xf numFmtId="165" fontId="24904" fillId="8" borderId="1" xfId="0" applyNumberFormat="1" applyFont="1" applyFill="1" applyBorder="1" applyAlignment="1">
      <alignment horizontal="center" vertical="center"/>
    </xf>
    <xf numFmtId="165" fontId="24905" fillId="8" borderId="1" xfId="0" applyNumberFormat="1" applyFont="1" applyFill="1" applyBorder="1" applyAlignment="1">
      <alignment horizontal="center" vertical="center"/>
    </xf>
    <xf numFmtId="1" fontId="24906" fillId="8" borderId="1" xfId="0" applyNumberFormat="1" applyFont="1" applyFill="1" applyBorder="1" applyAlignment="1">
      <alignment horizontal="center" vertical="center"/>
    </xf>
    <xf numFmtId="1" fontId="24907" fillId="8" borderId="1" xfId="0" applyNumberFormat="1" applyFont="1" applyFill="1" applyBorder="1" applyAlignment="1">
      <alignment horizontal="center" vertical="center"/>
    </xf>
    <xf numFmtId="1" fontId="24908" fillId="8" borderId="1" xfId="0" applyNumberFormat="1" applyFont="1" applyFill="1" applyBorder="1" applyAlignment="1">
      <alignment horizontal="center" vertical="center"/>
    </xf>
    <xf numFmtId="165" fontId="24909" fillId="8" borderId="1" xfId="0" applyNumberFormat="1" applyFont="1" applyFill="1" applyBorder="1" applyAlignment="1">
      <alignment horizontal="center" vertical="center"/>
    </xf>
    <xf numFmtId="164" fontId="24910" fillId="8" borderId="1" xfId="0" applyNumberFormat="1" applyFont="1" applyFill="1" applyBorder="1" applyAlignment="1">
      <alignment horizontal="center" vertical="center"/>
    </xf>
    <xf numFmtId="164" fontId="24911" fillId="8" borderId="1" xfId="0" applyNumberFormat="1" applyFont="1" applyFill="1" applyBorder="1" applyAlignment="1">
      <alignment horizontal="center" vertical="center"/>
    </xf>
    <xf numFmtId="1" fontId="24912" fillId="8" borderId="1" xfId="0" applyNumberFormat="1" applyFont="1" applyFill="1" applyBorder="1" applyAlignment="1">
      <alignment horizontal="center" vertical="center"/>
    </xf>
    <xf numFmtId="1" fontId="24913" fillId="8" borderId="1" xfId="0" applyNumberFormat="1" applyFont="1" applyFill="1" applyBorder="1" applyAlignment="1">
      <alignment horizontal="center" vertical="center"/>
    </xf>
    <xf numFmtId="1" fontId="24914" fillId="8" borderId="1" xfId="0" applyNumberFormat="1" applyFont="1" applyFill="1" applyBorder="1" applyAlignment="1">
      <alignment horizontal="center" vertical="center"/>
    </xf>
    <xf numFmtId="165" fontId="24915" fillId="8" borderId="1" xfId="0" applyNumberFormat="1" applyFont="1" applyFill="1" applyBorder="1" applyAlignment="1">
      <alignment horizontal="center" vertical="center"/>
    </xf>
    <xf numFmtId="1" fontId="24916" fillId="8" borderId="1" xfId="0" applyNumberFormat="1" applyFont="1" applyFill="1" applyBorder="1" applyAlignment="1">
      <alignment horizontal="center" vertical="center"/>
    </xf>
    <xf numFmtId="165" fontId="24917" fillId="8" borderId="1" xfId="0" applyNumberFormat="1" applyFont="1" applyFill="1" applyBorder="1" applyAlignment="1">
      <alignment horizontal="center" vertical="center"/>
    </xf>
    <xf numFmtId="1" fontId="24918" fillId="8" borderId="1" xfId="0" applyNumberFormat="1" applyFont="1" applyFill="1" applyBorder="1" applyAlignment="1">
      <alignment horizontal="center" vertical="center"/>
    </xf>
    <xf numFmtId="1" fontId="24919" fillId="8" borderId="1" xfId="0" applyNumberFormat="1" applyFont="1" applyFill="1" applyBorder="1" applyAlignment="1">
      <alignment horizontal="center" vertical="center"/>
    </xf>
    <xf numFmtId="1" fontId="24920" fillId="8" borderId="1" xfId="0" applyNumberFormat="1" applyFont="1" applyFill="1" applyBorder="1" applyAlignment="1">
      <alignment horizontal="center" vertical="center"/>
    </xf>
    <xf numFmtId="1" fontId="24921" fillId="8" borderId="1" xfId="0" applyNumberFormat="1" applyFont="1" applyFill="1" applyBorder="1" applyAlignment="1">
      <alignment horizontal="center" vertical="center"/>
    </xf>
    <xf numFmtId="165" fontId="24922" fillId="8" borderId="1" xfId="0" applyNumberFormat="1" applyFont="1" applyFill="1" applyBorder="1" applyAlignment="1">
      <alignment horizontal="center" vertical="center"/>
    </xf>
    <xf numFmtId="1" fontId="24923" fillId="8" borderId="1" xfId="0" applyNumberFormat="1" applyFont="1" applyFill="1" applyBorder="1" applyAlignment="1">
      <alignment horizontal="center" vertical="center"/>
    </xf>
    <xf numFmtId="165" fontId="24924" fillId="8" borderId="1" xfId="0" applyNumberFormat="1" applyFont="1" applyFill="1" applyBorder="1" applyAlignment="1">
      <alignment horizontal="center" vertical="center"/>
    </xf>
    <xf numFmtId="1" fontId="24925" fillId="8" borderId="1" xfId="0" applyNumberFormat="1" applyFont="1" applyFill="1" applyBorder="1" applyAlignment="1">
      <alignment horizontal="center" vertical="center"/>
    </xf>
    <xf numFmtId="165" fontId="24926" fillId="8" borderId="1" xfId="0" applyNumberFormat="1" applyFont="1" applyFill="1" applyBorder="1" applyAlignment="1">
      <alignment horizontal="center" vertical="center"/>
    </xf>
    <xf numFmtId="2" fontId="24927" fillId="8" borderId="1" xfId="0" applyNumberFormat="1" applyFont="1" applyFill="1" applyBorder="1" applyAlignment="1">
      <alignment horizontal="center" vertical="center"/>
    </xf>
    <xf numFmtId="2" fontId="24928" fillId="8" borderId="1" xfId="0" applyNumberFormat="1" applyFont="1" applyFill="1" applyBorder="1" applyAlignment="1">
      <alignment horizontal="center" vertical="center"/>
    </xf>
    <xf numFmtId="2" fontId="24929" fillId="8" borderId="1" xfId="0" applyNumberFormat="1" applyFont="1" applyFill="1" applyBorder="1" applyAlignment="1">
      <alignment horizontal="center" vertical="center"/>
    </xf>
    <xf numFmtId="2" fontId="24930" fillId="8" borderId="1" xfId="0" applyNumberFormat="1" applyFont="1" applyFill="1" applyBorder="1" applyAlignment="1">
      <alignment horizontal="center" vertical="center"/>
    </xf>
    <xf numFmtId="2" fontId="24931" fillId="8" borderId="1" xfId="0" applyNumberFormat="1" applyFont="1" applyFill="1" applyBorder="1" applyAlignment="1">
      <alignment horizontal="center" vertical="center"/>
    </xf>
    <xf numFmtId="2" fontId="24932" fillId="8" borderId="1" xfId="0" applyNumberFormat="1" applyFont="1" applyFill="1" applyBorder="1" applyAlignment="1">
      <alignment horizontal="center" vertical="center"/>
    </xf>
    <xf numFmtId="2" fontId="24933" fillId="8" borderId="1" xfId="0" applyNumberFormat="1" applyFont="1" applyFill="1" applyBorder="1" applyAlignment="1">
      <alignment horizontal="center" vertical="center"/>
    </xf>
    <xf numFmtId="2" fontId="24934" fillId="8" borderId="1" xfId="0" applyNumberFormat="1" applyFont="1" applyFill="1" applyBorder="1" applyAlignment="1">
      <alignment horizontal="center" vertical="center"/>
    </xf>
    <xf numFmtId="2" fontId="24935" fillId="8" borderId="1" xfId="0" applyNumberFormat="1" applyFont="1" applyFill="1" applyBorder="1" applyAlignment="1">
      <alignment horizontal="center" vertical="center"/>
    </xf>
    <xf numFmtId="2" fontId="24936" fillId="8" borderId="1" xfId="0" applyNumberFormat="1" applyFont="1" applyFill="1" applyBorder="1" applyAlignment="1">
      <alignment horizontal="center" vertical="center"/>
    </xf>
    <xf numFmtId="2" fontId="24937" fillId="8" borderId="1" xfId="0" applyNumberFormat="1" applyFont="1" applyFill="1" applyBorder="1" applyAlignment="1">
      <alignment horizontal="center" vertical="center"/>
    </xf>
    <xf numFmtId="2" fontId="24938" fillId="8" borderId="1" xfId="0" applyNumberFormat="1" applyFont="1" applyFill="1" applyBorder="1" applyAlignment="1">
      <alignment horizontal="center" vertical="center"/>
    </xf>
    <xf numFmtId="2" fontId="24939" fillId="8" borderId="1" xfId="0" applyNumberFormat="1" applyFont="1" applyFill="1" applyBorder="1" applyAlignment="1">
      <alignment horizontal="center" vertical="center"/>
    </xf>
    <xf numFmtId="2" fontId="24940" fillId="8" borderId="1" xfId="0" applyNumberFormat="1" applyFont="1" applyFill="1" applyBorder="1" applyAlignment="1">
      <alignment horizontal="center" vertical="center"/>
    </xf>
    <xf numFmtId="2" fontId="24941" fillId="8" borderId="1" xfId="0" applyNumberFormat="1" applyFont="1" applyFill="1" applyBorder="1" applyAlignment="1">
      <alignment horizontal="center" vertical="center"/>
    </xf>
    <xf numFmtId="2" fontId="24942" fillId="8" borderId="1" xfId="0" applyNumberFormat="1" applyFont="1" applyFill="1" applyBorder="1" applyAlignment="1">
      <alignment horizontal="center" vertical="center"/>
    </xf>
    <xf numFmtId="2" fontId="24943" fillId="8" borderId="1" xfId="0" applyNumberFormat="1" applyFont="1" applyFill="1" applyBorder="1" applyAlignment="1">
      <alignment horizontal="center" vertical="center"/>
    </xf>
    <xf numFmtId="2" fontId="24944" fillId="8" borderId="1" xfId="0" applyNumberFormat="1" applyFont="1" applyFill="1" applyBorder="1" applyAlignment="1">
      <alignment horizontal="center" vertical="center"/>
    </xf>
    <xf numFmtId="2" fontId="24945" fillId="8" borderId="1" xfId="0" applyNumberFormat="1" applyFont="1" applyFill="1" applyBorder="1" applyAlignment="1">
      <alignment horizontal="center" vertical="center"/>
    </xf>
    <xf numFmtId="2" fontId="24946" fillId="8" borderId="1" xfId="0" applyNumberFormat="1" applyFont="1" applyFill="1" applyBorder="1" applyAlignment="1">
      <alignment horizontal="center" vertical="center"/>
    </xf>
    <xf numFmtId="2" fontId="24947" fillId="8" borderId="1" xfId="0" applyNumberFormat="1" applyFont="1" applyFill="1" applyBorder="1" applyAlignment="1">
      <alignment horizontal="center" vertical="center"/>
    </xf>
    <xf numFmtId="2" fontId="24948" fillId="8" borderId="1" xfId="0" applyNumberFormat="1" applyFont="1" applyFill="1" applyBorder="1" applyAlignment="1">
      <alignment horizontal="center" vertical="center"/>
    </xf>
    <xf numFmtId="2" fontId="24949" fillId="8" borderId="1" xfId="0" applyNumberFormat="1" applyFont="1" applyFill="1" applyBorder="1" applyAlignment="1">
      <alignment horizontal="center" vertical="center"/>
    </xf>
    <xf numFmtId="2" fontId="24950" fillId="8" borderId="1" xfId="0" applyNumberFormat="1" applyFont="1" applyFill="1" applyBorder="1" applyAlignment="1">
      <alignment horizontal="center" vertical="center"/>
    </xf>
    <xf numFmtId="2" fontId="24951" fillId="8" borderId="1" xfId="0" applyNumberFormat="1" applyFont="1" applyFill="1" applyBorder="1" applyAlignment="1">
      <alignment horizontal="center" vertical="center"/>
    </xf>
    <xf numFmtId="2" fontId="24952" fillId="8" borderId="1" xfId="0" applyNumberFormat="1" applyFont="1" applyFill="1" applyBorder="1" applyAlignment="1">
      <alignment horizontal="center" vertical="center"/>
    </xf>
    <xf numFmtId="2" fontId="24953" fillId="8" borderId="1" xfId="0" applyNumberFormat="1" applyFont="1" applyFill="1" applyBorder="1" applyAlignment="1">
      <alignment horizontal="center" vertical="center"/>
    </xf>
    <xf numFmtId="2" fontId="24954" fillId="8" borderId="1" xfId="0" applyNumberFormat="1" applyFont="1" applyFill="1" applyBorder="1" applyAlignment="1">
      <alignment horizontal="center" vertical="center"/>
    </xf>
    <xf numFmtId="2" fontId="24955" fillId="8" borderId="1" xfId="0" applyNumberFormat="1" applyFont="1" applyFill="1" applyBorder="1" applyAlignment="1">
      <alignment horizontal="center" vertical="center"/>
    </xf>
    <xf numFmtId="2" fontId="24956" fillId="8" borderId="1" xfId="0" applyNumberFormat="1" applyFont="1" applyFill="1" applyBorder="1" applyAlignment="1">
      <alignment horizontal="center" vertical="center"/>
    </xf>
    <xf numFmtId="2" fontId="24957" fillId="8" borderId="1" xfId="0" applyNumberFormat="1" applyFont="1" applyFill="1" applyBorder="1" applyAlignment="1">
      <alignment horizontal="center" vertical="center"/>
    </xf>
    <xf numFmtId="2" fontId="24958" fillId="8" borderId="1" xfId="0" applyNumberFormat="1" applyFont="1" applyFill="1" applyBorder="1" applyAlignment="1">
      <alignment horizontal="center" vertical="center"/>
    </xf>
    <xf numFmtId="2" fontId="24959" fillId="8" borderId="1" xfId="0" applyNumberFormat="1" applyFont="1" applyFill="1" applyBorder="1" applyAlignment="1">
      <alignment horizontal="center" vertical="center"/>
    </xf>
    <xf numFmtId="2" fontId="24960" fillId="8" borderId="1" xfId="0" applyNumberFormat="1" applyFont="1" applyFill="1" applyBorder="1" applyAlignment="1">
      <alignment horizontal="center" vertical="center"/>
    </xf>
    <xf numFmtId="0" fontId="24961" fillId="7" borderId="1" xfId="0" applyNumberFormat="1" applyFont="1" applyFill="1" applyBorder="1" applyAlignment="1">
      <alignment horizontal="left" vertical="center"/>
    </xf>
    <xf numFmtId="0" fontId="24962" fillId="8" borderId="1" xfId="0" applyNumberFormat="1" applyFont="1" applyFill="1" applyBorder="1" applyAlignment="1">
      <alignment horizontal="center" vertical="center"/>
    </xf>
    <xf numFmtId="164" fontId="24963" fillId="8" borderId="1" xfId="0" applyNumberFormat="1" applyFont="1" applyFill="1" applyBorder="1" applyAlignment="1">
      <alignment horizontal="center" vertical="center"/>
    </xf>
    <xf numFmtId="1" fontId="24964" fillId="8" borderId="1" xfId="0" applyNumberFormat="1" applyFont="1" applyFill="1" applyBorder="1" applyAlignment="1">
      <alignment horizontal="center" vertical="center"/>
    </xf>
    <xf numFmtId="1" fontId="24965" fillId="8" borderId="1" xfId="0" applyNumberFormat="1" applyFont="1" applyFill="1" applyBorder="1" applyAlignment="1">
      <alignment horizontal="center" vertical="center"/>
    </xf>
    <xf numFmtId="1" fontId="24966" fillId="8" borderId="1" xfId="0" applyNumberFormat="1" applyFont="1" applyFill="1" applyBorder="1" applyAlignment="1">
      <alignment horizontal="center" vertical="center"/>
    </xf>
    <xf numFmtId="1" fontId="24967" fillId="8" borderId="1" xfId="0" applyNumberFormat="1" applyFont="1" applyFill="1" applyBorder="1" applyAlignment="1">
      <alignment horizontal="center" vertical="center"/>
    </xf>
    <xf numFmtId="1" fontId="24968" fillId="8" borderId="1" xfId="0" applyNumberFormat="1" applyFont="1" applyFill="1" applyBorder="1" applyAlignment="1">
      <alignment horizontal="center" vertical="center"/>
    </xf>
    <xf numFmtId="1" fontId="24969" fillId="8" borderId="1" xfId="0" applyNumberFormat="1" applyFont="1" applyFill="1" applyBorder="1" applyAlignment="1">
      <alignment horizontal="center" vertical="center"/>
    </xf>
    <xf numFmtId="1" fontId="24970" fillId="8" borderId="1" xfId="0" applyNumberFormat="1" applyFont="1" applyFill="1" applyBorder="1" applyAlignment="1">
      <alignment horizontal="center" vertical="center"/>
    </xf>
    <xf numFmtId="0" fontId="24971" fillId="8" borderId="1" xfId="0" applyNumberFormat="1" applyFont="1" applyFill="1" applyBorder="1" applyAlignment="1">
      <alignment horizontal="center" vertical="center"/>
    </xf>
    <xf numFmtId="0" fontId="24972" fillId="8" borderId="1" xfId="0" applyNumberFormat="1" applyFont="1" applyFill="1" applyBorder="1" applyAlignment="1">
      <alignment horizontal="center" vertical="center"/>
    </xf>
    <xf numFmtId="1" fontId="24973" fillId="8" borderId="1" xfId="0" applyNumberFormat="1" applyFont="1" applyFill="1" applyBorder="1" applyAlignment="1">
      <alignment horizontal="center" vertical="center"/>
    </xf>
    <xf numFmtId="1" fontId="24974" fillId="8" borderId="1" xfId="0" applyNumberFormat="1" applyFont="1" applyFill="1" applyBorder="1" applyAlignment="1">
      <alignment horizontal="center" vertical="center"/>
    </xf>
    <xf numFmtId="1" fontId="24975" fillId="8" borderId="1" xfId="0" applyNumberFormat="1" applyFont="1" applyFill="1" applyBorder="1" applyAlignment="1">
      <alignment horizontal="center" vertical="center"/>
    </xf>
    <xf numFmtId="165" fontId="24976" fillId="8" borderId="1" xfId="0" applyNumberFormat="1" applyFont="1" applyFill="1" applyBorder="1" applyAlignment="1">
      <alignment horizontal="center" vertical="center"/>
    </xf>
    <xf numFmtId="1" fontId="24977" fillId="8" borderId="1" xfId="0" applyNumberFormat="1" applyFont="1" applyFill="1" applyBorder="1" applyAlignment="1">
      <alignment horizontal="center" vertical="center"/>
    </xf>
    <xf numFmtId="165" fontId="24978" fillId="8" borderId="1" xfId="0" applyNumberFormat="1" applyFont="1" applyFill="1" applyBorder="1" applyAlignment="1">
      <alignment horizontal="center" vertical="center"/>
    </xf>
    <xf numFmtId="1" fontId="24979" fillId="8" borderId="1" xfId="0" applyNumberFormat="1" applyFont="1" applyFill="1" applyBorder="1" applyAlignment="1">
      <alignment horizontal="center" vertical="center"/>
    </xf>
    <xf numFmtId="165" fontId="24980" fillId="8" borderId="1" xfId="0" applyNumberFormat="1" applyFont="1" applyFill="1" applyBorder="1" applyAlignment="1">
      <alignment horizontal="center" vertical="center"/>
    </xf>
    <xf numFmtId="1" fontId="24981" fillId="8" borderId="1" xfId="0" applyNumberFormat="1" applyFont="1" applyFill="1" applyBorder="1" applyAlignment="1">
      <alignment horizontal="center" vertical="center"/>
    </xf>
    <xf numFmtId="165" fontId="24982" fillId="8" borderId="1" xfId="0" applyNumberFormat="1" applyFont="1" applyFill="1" applyBorder="1" applyAlignment="1">
      <alignment horizontal="center" vertical="center"/>
    </xf>
    <xf numFmtId="165" fontId="24983" fillId="8" borderId="1" xfId="0" applyNumberFormat="1" applyFont="1" applyFill="1" applyBorder="1" applyAlignment="1">
      <alignment horizontal="center" vertical="center"/>
    </xf>
    <xf numFmtId="1" fontId="24984" fillId="8" borderId="1" xfId="0" applyNumberFormat="1" applyFont="1" applyFill="1" applyBorder="1" applyAlignment="1">
      <alignment horizontal="center" vertical="center"/>
    </xf>
    <xf numFmtId="1" fontId="24985" fillId="8" borderId="1" xfId="0" applyNumberFormat="1" applyFont="1" applyFill="1" applyBorder="1" applyAlignment="1">
      <alignment horizontal="center" vertical="center"/>
    </xf>
    <xf numFmtId="1" fontId="24986" fillId="8" borderId="1" xfId="0" applyNumberFormat="1" applyFont="1" applyFill="1" applyBorder="1" applyAlignment="1">
      <alignment horizontal="center" vertical="center"/>
    </xf>
    <xf numFmtId="165" fontId="24987" fillId="8" borderId="1" xfId="0" applyNumberFormat="1" applyFont="1" applyFill="1" applyBorder="1" applyAlignment="1">
      <alignment horizontal="center" vertical="center"/>
    </xf>
    <xf numFmtId="164" fontId="24988" fillId="8" borderId="1" xfId="0" applyNumberFormat="1" applyFont="1" applyFill="1" applyBorder="1" applyAlignment="1">
      <alignment horizontal="center" vertical="center"/>
    </xf>
    <xf numFmtId="164" fontId="24989" fillId="8" borderId="1" xfId="0" applyNumberFormat="1" applyFont="1" applyFill="1" applyBorder="1" applyAlignment="1">
      <alignment horizontal="center" vertical="center"/>
    </xf>
    <xf numFmtId="1" fontId="24990" fillId="8" borderId="1" xfId="0" applyNumberFormat="1" applyFont="1" applyFill="1" applyBorder="1" applyAlignment="1">
      <alignment horizontal="center" vertical="center"/>
    </xf>
    <xf numFmtId="1" fontId="24991" fillId="8" borderId="1" xfId="0" applyNumberFormat="1" applyFont="1" applyFill="1" applyBorder="1" applyAlignment="1">
      <alignment horizontal="center" vertical="center"/>
    </xf>
    <xf numFmtId="1" fontId="24992" fillId="8" borderId="1" xfId="0" applyNumberFormat="1" applyFont="1" applyFill="1" applyBorder="1" applyAlignment="1">
      <alignment horizontal="center" vertical="center"/>
    </xf>
    <xf numFmtId="165" fontId="24993" fillId="8" borderId="1" xfId="0" applyNumberFormat="1" applyFont="1" applyFill="1" applyBorder="1" applyAlignment="1">
      <alignment horizontal="center" vertical="center"/>
    </xf>
    <xf numFmtId="1" fontId="24994" fillId="8" borderId="1" xfId="0" applyNumberFormat="1" applyFont="1" applyFill="1" applyBorder="1" applyAlignment="1">
      <alignment horizontal="center" vertical="center"/>
    </xf>
    <xf numFmtId="165" fontId="24995" fillId="8" borderId="1" xfId="0" applyNumberFormat="1" applyFont="1" applyFill="1" applyBorder="1" applyAlignment="1">
      <alignment horizontal="center" vertical="center"/>
    </xf>
    <xf numFmtId="1" fontId="24996" fillId="8" borderId="1" xfId="0" applyNumberFormat="1" applyFont="1" applyFill="1" applyBorder="1" applyAlignment="1">
      <alignment horizontal="center" vertical="center"/>
    </xf>
    <xf numFmtId="1" fontId="24997" fillId="8" borderId="1" xfId="0" applyNumberFormat="1" applyFont="1" applyFill="1" applyBorder="1" applyAlignment="1">
      <alignment horizontal="center" vertical="center"/>
    </xf>
    <xf numFmtId="1" fontId="24998" fillId="8" borderId="1" xfId="0" applyNumberFormat="1" applyFont="1" applyFill="1" applyBorder="1" applyAlignment="1">
      <alignment horizontal="center" vertical="center"/>
    </xf>
    <xf numFmtId="1" fontId="24999" fillId="8" borderId="1" xfId="0" applyNumberFormat="1" applyFont="1" applyFill="1" applyBorder="1" applyAlignment="1">
      <alignment horizontal="center" vertical="center"/>
    </xf>
    <xf numFmtId="165" fontId="25000" fillId="8" borderId="1" xfId="0" applyNumberFormat="1" applyFont="1" applyFill="1" applyBorder="1" applyAlignment="1">
      <alignment horizontal="center" vertical="center"/>
    </xf>
    <xf numFmtId="1" fontId="25001" fillId="8" borderId="1" xfId="0" applyNumberFormat="1" applyFont="1" applyFill="1" applyBorder="1" applyAlignment="1">
      <alignment horizontal="center" vertical="center"/>
    </xf>
    <xf numFmtId="165" fontId="25002" fillId="8" borderId="1" xfId="0" applyNumberFormat="1" applyFont="1" applyFill="1" applyBorder="1" applyAlignment="1">
      <alignment horizontal="center" vertical="center"/>
    </xf>
    <xf numFmtId="1" fontId="25003" fillId="8" borderId="1" xfId="0" applyNumberFormat="1" applyFont="1" applyFill="1" applyBorder="1" applyAlignment="1">
      <alignment horizontal="center" vertical="center"/>
    </xf>
    <xf numFmtId="165" fontId="25004" fillId="8" borderId="1" xfId="0" applyNumberFormat="1" applyFont="1" applyFill="1" applyBorder="1" applyAlignment="1">
      <alignment horizontal="center" vertical="center"/>
    </xf>
    <xf numFmtId="2" fontId="25005" fillId="8" borderId="1" xfId="0" applyNumberFormat="1" applyFont="1" applyFill="1" applyBorder="1" applyAlignment="1">
      <alignment horizontal="center" vertical="center"/>
    </xf>
    <xf numFmtId="2" fontId="25006" fillId="8" borderId="1" xfId="0" applyNumberFormat="1" applyFont="1" applyFill="1" applyBorder="1" applyAlignment="1">
      <alignment horizontal="center" vertical="center"/>
    </xf>
    <xf numFmtId="2" fontId="25007" fillId="8" borderId="1" xfId="0" applyNumberFormat="1" applyFont="1" applyFill="1" applyBorder="1" applyAlignment="1">
      <alignment horizontal="center" vertical="center"/>
    </xf>
    <xf numFmtId="2" fontId="25008" fillId="8" borderId="1" xfId="0" applyNumberFormat="1" applyFont="1" applyFill="1" applyBorder="1" applyAlignment="1">
      <alignment horizontal="center" vertical="center"/>
    </xf>
    <xf numFmtId="2" fontId="25009" fillId="8" borderId="1" xfId="0" applyNumberFormat="1" applyFont="1" applyFill="1" applyBorder="1" applyAlignment="1">
      <alignment horizontal="center" vertical="center"/>
    </xf>
    <xf numFmtId="2" fontId="25010" fillId="8" borderId="1" xfId="0" applyNumberFormat="1" applyFont="1" applyFill="1" applyBorder="1" applyAlignment="1">
      <alignment horizontal="center" vertical="center"/>
    </xf>
    <xf numFmtId="2" fontId="25011" fillId="8" borderId="1" xfId="0" applyNumberFormat="1" applyFont="1" applyFill="1" applyBorder="1" applyAlignment="1">
      <alignment horizontal="center" vertical="center"/>
    </xf>
    <xf numFmtId="2" fontId="25012" fillId="8" borderId="1" xfId="0" applyNumberFormat="1" applyFont="1" applyFill="1" applyBorder="1" applyAlignment="1">
      <alignment horizontal="center" vertical="center"/>
    </xf>
    <xf numFmtId="2" fontId="25013" fillId="8" borderId="1" xfId="0" applyNumberFormat="1" applyFont="1" applyFill="1" applyBorder="1" applyAlignment="1">
      <alignment horizontal="center" vertical="center"/>
    </xf>
    <xf numFmtId="2" fontId="25014" fillId="8" borderId="1" xfId="0" applyNumberFormat="1" applyFont="1" applyFill="1" applyBorder="1" applyAlignment="1">
      <alignment horizontal="center" vertical="center"/>
    </xf>
    <xf numFmtId="2" fontId="25015" fillId="8" borderId="1" xfId="0" applyNumberFormat="1" applyFont="1" applyFill="1" applyBorder="1" applyAlignment="1">
      <alignment horizontal="center" vertical="center"/>
    </xf>
    <xf numFmtId="2" fontId="25016" fillId="8" borderId="1" xfId="0" applyNumberFormat="1" applyFont="1" applyFill="1" applyBorder="1" applyAlignment="1">
      <alignment horizontal="center" vertical="center"/>
    </xf>
    <xf numFmtId="2" fontId="25017" fillId="8" borderId="1" xfId="0" applyNumberFormat="1" applyFont="1" applyFill="1" applyBorder="1" applyAlignment="1">
      <alignment horizontal="center" vertical="center"/>
    </xf>
    <xf numFmtId="2" fontId="25018" fillId="8" borderId="1" xfId="0" applyNumberFormat="1" applyFont="1" applyFill="1" applyBorder="1" applyAlignment="1">
      <alignment horizontal="center" vertical="center"/>
    </xf>
    <xf numFmtId="2" fontId="25019" fillId="8" borderId="1" xfId="0" applyNumberFormat="1" applyFont="1" applyFill="1" applyBorder="1" applyAlignment="1">
      <alignment horizontal="center" vertical="center"/>
    </xf>
    <xf numFmtId="2" fontId="25020" fillId="8" borderId="1" xfId="0" applyNumberFormat="1" applyFont="1" applyFill="1" applyBorder="1" applyAlignment="1">
      <alignment horizontal="center" vertical="center"/>
    </xf>
    <xf numFmtId="2" fontId="25021" fillId="8" borderId="1" xfId="0" applyNumberFormat="1" applyFont="1" applyFill="1" applyBorder="1" applyAlignment="1">
      <alignment horizontal="center" vertical="center"/>
    </xf>
    <xf numFmtId="2" fontId="25022" fillId="8" borderId="1" xfId="0" applyNumberFormat="1" applyFont="1" applyFill="1" applyBorder="1" applyAlignment="1">
      <alignment horizontal="center" vertical="center"/>
    </xf>
    <xf numFmtId="2" fontId="25023" fillId="8" borderId="1" xfId="0" applyNumberFormat="1" applyFont="1" applyFill="1" applyBorder="1" applyAlignment="1">
      <alignment horizontal="center" vertical="center"/>
    </xf>
    <xf numFmtId="2" fontId="25024" fillId="8" borderId="1" xfId="0" applyNumberFormat="1" applyFont="1" applyFill="1" applyBorder="1" applyAlignment="1">
      <alignment horizontal="center" vertical="center"/>
    </xf>
    <xf numFmtId="2" fontId="25025" fillId="8" borderId="1" xfId="0" applyNumberFormat="1" applyFont="1" applyFill="1" applyBorder="1" applyAlignment="1">
      <alignment horizontal="center" vertical="center"/>
    </xf>
    <xf numFmtId="2" fontId="25026" fillId="8" borderId="1" xfId="0" applyNumberFormat="1" applyFont="1" applyFill="1" applyBorder="1" applyAlignment="1">
      <alignment horizontal="center" vertical="center"/>
    </xf>
    <xf numFmtId="2" fontId="25027" fillId="8" borderId="1" xfId="0" applyNumberFormat="1" applyFont="1" applyFill="1" applyBorder="1" applyAlignment="1">
      <alignment horizontal="center" vertical="center"/>
    </xf>
    <xf numFmtId="2" fontId="25028" fillId="8" borderId="1" xfId="0" applyNumberFormat="1" applyFont="1" applyFill="1" applyBorder="1" applyAlignment="1">
      <alignment horizontal="center" vertical="center"/>
    </xf>
    <xf numFmtId="2" fontId="25029" fillId="8" borderId="1" xfId="0" applyNumberFormat="1" applyFont="1" applyFill="1" applyBorder="1" applyAlignment="1">
      <alignment horizontal="center" vertical="center"/>
    </xf>
    <xf numFmtId="2" fontId="25030" fillId="8" borderId="1" xfId="0" applyNumberFormat="1" applyFont="1" applyFill="1" applyBorder="1" applyAlignment="1">
      <alignment horizontal="center" vertical="center"/>
    </xf>
    <xf numFmtId="2" fontId="25031" fillId="8" borderId="1" xfId="0" applyNumberFormat="1" applyFont="1" applyFill="1" applyBorder="1" applyAlignment="1">
      <alignment horizontal="center" vertical="center"/>
    </xf>
    <xf numFmtId="2" fontId="25032" fillId="8" borderId="1" xfId="0" applyNumberFormat="1" applyFont="1" applyFill="1" applyBorder="1" applyAlignment="1">
      <alignment horizontal="center" vertical="center"/>
    </xf>
    <xf numFmtId="2" fontId="25033" fillId="8" borderId="1" xfId="0" applyNumberFormat="1" applyFont="1" applyFill="1" applyBorder="1" applyAlignment="1">
      <alignment horizontal="center" vertical="center"/>
    </xf>
    <xf numFmtId="2" fontId="25034" fillId="8" borderId="1" xfId="0" applyNumberFormat="1" applyFont="1" applyFill="1" applyBorder="1" applyAlignment="1">
      <alignment horizontal="center" vertical="center"/>
    </xf>
    <xf numFmtId="2" fontId="25035" fillId="8" borderId="1" xfId="0" applyNumberFormat="1" applyFont="1" applyFill="1" applyBorder="1" applyAlignment="1">
      <alignment horizontal="center" vertical="center"/>
    </xf>
    <xf numFmtId="2" fontId="25036" fillId="8" borderId="1" xfId="0" applyNumberFormat="1" applyFont="1" applyFill="1" applyBorder="1" applyAlignment="1">
      <alignment horizontal="center" vertical="center"/>
    </xf>
    <xf numFmtId="2" fontId="25037" fillId="8" borderId="1" xfId="0" applyNumberFormat="1" applyFont="1" applyFill="1" applyBorder="1" applyAlignment="1">
      <alignment horizontal="center" vertical="center"/>
    </xf>
    <xf numFmtId="2" fontId="25038" fillId="8" borderId="1" xfId="0" applyNumberFormat="1" applyFont="1" applyFill="1" applyBorder="1" applyAlignment="1">
      <alignment horizontal="center" vertical="center"/>
    </xf>
    <xf numFmtId="0" fontId="25039" fillId="7" borderId="1" xfId="0" applyNumberFormat="1" applyFont="1" applyFill="1" applyBorder="1" applyAlignment="1">
      <alignment horizontal="left" vertical="center"/>
    </xf>
    <xf numFmtId="0" fontId="25040" fillId="8" borderId="1" xfId="0" applyNumberFormat="1" applyFont="1" applyFill="1" applyBorder="1" applyAlignment="1">
      <alignment horizontal="center" vertical="center"/>
    </xf>
    <xf numFmtId="164" fontId="25041" fillId="8" borderId="1" xfId="0" applyNumberFormat="1" applyFont="1" applyFill="1" applyBorder="1" applyAlignment="1">
      <alignment horizontal="center" vertical="center"/>
    </xf>
    <xf numFmtId="1" fontId="25042" fillId="8" borderId="1" xfId="0" applyNumberFormat="1" applyFont="1" applyFill="1" applyBorder="1" applyAlignment="1">
      <alignment horizontal="center" vertical="center"/>
    </xf>
    <xf numFmtId="1" fontId="25043" fillId="8" borderId="1" xfId="0" applyNumberFormat="1" applyFont="1" applyFill="1" applyBorder="1" applyAlignment="1">
      <alignment horizontal="center" vertical="center"/>
    </xf>
    <xf numFmtId="1" fontId="25044" fillId="8" borderId="1" xfId="0" applyNumberFormat="1" applyFont="1" applyFill="1" applyBorder="1" applyAlignment="1">
      <alignment horizontal="center" vertical="center"/>
    </xf>
    <xf numFmtId="1" fontId="25045" fillId="8" borderId="1" xfId="0" applyNumberFormat="1" applyFont="1" applyFill="1" applyBorder="1" applyAlignment="1">
      <alignment horizontal="center" vertical="center"/>
    </xf>
    <xf numFmtId="1" fontId="25046" fillId="8" borderId="1" xfId="0" applyNumberFormat="1" applyFont="1" applyFill="1" applyBorder="1" applyAlignment="1">
      <alignment horizontal="center" vertical="center"/>
    </xf>
    <xf numFmtId="1" fontId="25047" fillId="8" borderId="1" xfId="0" applyNumberFormat="1" applyFont="1" applyFill="1" applyBorder="1" applyAlignment="1">
      <alignment horizontal="center" vertical="center"/>
    </xf>
    <xf numFmtId="1" fontId="25048" fillId="8" borderId="1" xfId="0" applyNumberFormat="1" applyFont="1" applyFill="1" applyBorder="1" applyAlignment="1">
      <alignment horizontal="center" vertical="center"/>
    </xf>
    <xf numFmtId="0" fontId="25049" fillId="8" borderId="1" xfId="0" applyNumberFormat="1" applyFont="1" applyFill="1" applyBorder="1" applyAlignment="1">
      <alignment horizontal="center" vertical="center"/>
    </xf>
    <xf numFmtId="0" fontId="25050" fillId="8" borderId="1" xfId="0" applyNumberFormat="1" applyFont="1" applyFill="1" applyBorder="1" applyAlignment="1">
      <alignment horizontal="center" vertical="center"/>
    </xf>
    <xf numFmtId="1" fontId="25051" fillId="8" borderId="1" xfId="0" applyNumberFormat="1" applyFont="1" applyFill="1" applyBorder="1" applyAlignment="1">
      <alignment horizontal="center" vertical="center"/>
    </xf>
    <xf numFmtId="1" fontId="25052" fillId="8" borderId="1" xfId="0" applyNumberFormat="1" applyFont="1" applyFill="1" applyBorder="1" applyAlignment="1">
      <alignment horizontal="center" vertical="center"/>
    </xf>
    <xf numFmtId="1" fontId="25053" fillId="8" borderId="1" xfId="0" applyNumberFormat="1" applyFont="1" applyFill="1" applyBorder="1" applyAlignment="1">
      <alignment horizontal="center" vertical="center"/>
    </xf>
    <xf numFmtId="165" fontId="25054" fillId="8" borderId="1" xfId="0" applyNumberFormat="1" applyFont="1" applyFill="1" applyBorder="1" applyAlignment="1">
      <alignment horizontal="center" vertical="center"/>
    </xf>
    <xf numFmtId="1" fontId="25055" fillId="8" borderId="1" xfId="0" applyNumberFormat="1" applyFont="1" applyFill="1" applyBorder="1" applyAlignment="1">
      <alignment horizontal="center" vertical="center"/>
    </xf>
    <xf numFmtId="165" fontId="25056" fillId="8" borderId="1" xfId="0" applyNumberFormat="1" applyFont="1" applyFill="1" applyBorder="1" applyAlignment="1">
      <alignment horizontal="center" vertical="center"/>
    </xf>
    <xf numFmtId="1" fontId="25057" fillId="8" borderId="1" xfId="0" applyNumberFormat="1" applyFont="1" applyFill="1" applyBorder="1" applyAlignment="1">
      <alignment horizontal="center" vertical="center"/>
    </xf>
    <xf numFmtId="165" fontId="25058" fillId="8" borderId="1" xfId="0" applyNumberFormat="1" applyFont="1" applyFill="1" applyBorder="1" applyAlignment="1">
      <alignment horizontal="center" vertical="center"/>
    </xf>
    <xf numFmtId="1" fontId="25059" fillId="8" borderId="1" xfId="0" applyNumberFormat="1" applyFont="1" applyFill="1" applyBorder="1" applyAlignment="1">
      <alignment horizontal="center" vertical="center"/>
    </xf>
    <xf numFmtId="165" fontId="25060" fillId="8" borderId="1" xfId="0" applyNumberFormat="1" applyFont="1" applyFill="1" applyBorder="1" applyAlignment="1">
      <alignment horizontal="center" vertical="center"/>
    </xf>
    <xf numFmtId="165" fontId="25061" fillId="8" borderId="1" xfId="0" applyNumberFormat="1" applyFont="1" applyFill="1" applyBorder="1" applyAlignment="1">
      <alignment horizontal="center" vertical="center"/>
    </xf>
    <xf numFmtId="1" fontId="25062" fillId="8" borderId="1" xfId="0" applyNumberFormat="1" applyFont="1" applyFill="1" applyBorder="1" applyAlignment="1">
      <alignment horizontal="center" vertical="center"/>
    </xf>
    <xf numFmtId="1" fontId="25063" fillId="8" borderId="1" xfId="0" applyNumberFormat="1" applyFont="1" applyFill="1" applyBorder="1" applyAlignment="1">
      <alignment horizontal="center" vertical="center"/>
    </xf>
    <xf numFmtId="1" fontId="25064" fillId="8" borderId="1" xfId="0" applyNumberFormat="1" applyFont="1" applyFill="1" applyBorder="1" applyAlignment="1">
      <alignment horizontal="center" vertical="center"/>
    </xf>
    <xf numFmtId="165" fontId="25065" fillId="8" borderId="1" xfId="0" applyNumberFormat="1" applyFont="1" applyFill="1" applyBorder="1" applyAlignment="1">
      <alignment horizontal="center" vertical="center"/>
    </xf>
    <xf numFmtId="164" fontId="25066" fillId="8" borderId="1" xfId="0" applyNumberFormat="1" applyFont="1" applyFill="1" applyBorder="1" applyAlignment="1">
      <alignment horizontal="center" vertical="center"/>
    </xf>
    <xf numFmtId="164" fontId="25067" fillId="8" borderId="1" xfId="0" applyNumberFormat="1" applyFont="1" applyFill="1" applyBorder="1" applyAlignment="1">
      <alignment horizontal="center" vertical="center"/>
    </xf>
    <xf numFmtId="1" fontId="25068" fillId="8" borderId="1" xfId="0" applyNumberFormat="1" applyFont="1" applyFill="1" applyBorder="1" applyAlignment="1">
      <alignment horizontal="center" vertical="center"/>
    </xf>
    <xf numFmtId="1" fontId="25069" fillId="8" borderId="1" xfId="0" applyNumberFormat="1" applyFont="1" applyFill="1" applyBorder="1" applyAlignment="1">
      <alignment horizontal="center" vertical="center"/>
    </xf>
    <xf numFmtId="1" fontId="25070" fillId="8" borderId="1" xfId="0" applyNumberFormat="1" applyFont="1" applyFill="1" applyBorder="1" applyAlignment="1">
      <alignment horizontal="center" vertical="center"/>
    </xf>
    <xf numFmtId="165" fontId="25071" fillId="8" borderId="1" xfId="0" applyNumberFormat="1" applyFont="1" applyFill="1" applyBorder="1" applyAlignment="1">
      <alignment horizontal="center" vertical="center"/>
    </xf>
    <xf numFmtId="1" fontId="25072" fillId="8" borderId="1" xfId="0" applyNumberFormat="1" applyFont="1" applyFill="1" applyBorder="1" applyAlignment="1">
      <alignment horizontal="center" vertical="center"/>
    </xf>
    <xf numFmtId="165" fontId="25073" fillId="8" borderId="1" xfId="0" applyNumberFormat="1" applyFont="1" applyFill="1" applyBorder="1" applyAlignment="1">
      <alignment horizontal="center" vertical="center"/>
    </xf>
    <xf numFmtId="1" fontId="25074" fillId="8" borderId="1" xfId="0" applyNumberFormat="1" applyFont="1" applyFill="1" applyBorder="1" applyAlignment="1">
      <alignment horizontal="center" vertical="center"/>
    </xf>
    <xf numFmtId="1" fontId="25075" fillId="8" borderId="1" xfId="0" applyNumberFormat="1" applyFont="1" applyFill="1" applyBorder="1" applyAlignment="1">
      <alignment horizontal="center" vertical="center"/>
    </xf>
    <xf numFmtId="1" fontId="25076" fillId="8" borderId="1" xfId="0" applyNumberFormat="1" applyFont="1" applyFill="1" applyBorder="1" applyAlignment="1">
      <alignment horizontal="center" vertical="center"/>
    </xf>
    <xf numFmtId="1" fontId="25077" fillId="8" borderId="1" xfId="0" applyNumberFormat="1" applyFont="1" applyFill="1" applyBorder="1" applyAlignment="1">
      <alignment horizontal="center" vertical="center"/>
    </xf>
    <xf numFmtId="165" fontId="25078" fillId="8" borderId="1" xfId="0" applyNumberFormat="1" applyFont="1" applyFill="1" applyBorder="1" applyAlignment="1">
      <alignment horizontal="center" vertical="center"/>
    </xf>
    <xf numFmtId="1" fontId="25079" fillId="8" borderId="1" xfId="0" applyNumberFormat="1" applyFont="1" applyFill="1" applyBorder="1" applyAlignment="1">
      <alignment horizontal="center" vertical="center"/>
    </xf>
    <xf numFmtId="165" fontId="25080" fillId="8" borderId="1" xfId="0" applyNumberFormat="1" applyFont="1" applyFill="1" applyBorder="1" applyAlignment="1">
      <alignment horizontal="center" vertical="center"/>
    </xf>
    <xf numFmtId="1" fontId="25081" fillId="8" borderId="1" xfId="0" applyNumberFormat="1" applyFont="1" applyFill="1" applyBorder="1" applyAlignment="1">
      <alignment horizontal="center" vertical="center"/>
    </xf>
    <xf numFmtId="165" fontId="25082" fillId="8" borderId="1" xfId="0" applyNumberFormat="1" applyFont="1" applyFill="1" applyBorder="1" applyAlignment="1">
      <alignment horizontal="center" vertical="center"/>
    </xf>
    <xf numFmtId="2" fontId="25083" fillId="8" borderId="1" xfId="0" applyNumberFormat="1" applyFont="1" applyFill="1" applyBorder="1" applyAlignment="1">
      <alignment horizontal="center" vertical="center"/>
    </xf>
    <xf numFmtId="2" fontId="25084" fillId="8" borderId="1" xfId="0" applyNumberFormat="1" applyFont="1" applyFill="1" applyBorder="1" applyAlignment="1">
      <alignment horizontal="center" vertical="center"/>
    </xf>
    <xf numFmtId="2" fontId="25085" fillId="8" borderId="1" xfId="0" applyNumberFormat="1" applyFont="1" applyFill="1" applyBorder="1" applyAlignment="1">
      <alignment horizontal="center" vertical="center"/>
    </xf>
    <xf numFmtId="2" fontId="25086" fillId="8" borderId="1" xfId="0" applyNumberFormat="1" applyFont="1" applyFill="1" applyBorder="1" applyAlignment="1">
      <alignment horizontal="center" vertical="center"/>
    </xf>
    <xf numFmtId="2" fontId="25087" fillId="8" borderId="1" xfId="0" applyNumberFormat="1" applyFont="1" applyFill="1" applyBorder="1" applyAlignment="1">
      <alignment horizontal="center" vertical="center"/>
    </xf>
    <xf numFmtId="2" fontId="25088" fillId="8" borderId="1" xfId="0" applyNumberFormat="1" applyFont="1" applyFill="1" applyBorder="1" applyAlignment="1">
      <alignment horizontal="center" vertical="center"/>
    </xf>
    <xf numFmtId="2" fontId="25089" fillId="8" borderId="1" xfId="0" applyNumberFormat="1" applyFont="1" applyFill="1" applyBorder="1" applyAlignment="1">
      <alignment horizontal="center" vertical="center"/>
    </xf>
    <xf numFmtId="2" fontId="25090" fillId="8" borderId="1" xfId="0" applyNumberFormat="1" applyFont="1" applyFill="1" applyBorder="1" applyAlignment="1">
      <alignment horizontal="center" vertical="center"/>
    </xf>
    <xf numFmtId="2" fontId="25091" fillId="8" borderId="1" xfId="0" applyNumberFormat="1" applyFont="1" applyFill="1" applyBorder="1" applyAlignment="1">
      <alignment horizontal="center" vertical="center"/>
    </xf>
    <xf numFmtId="2" fontId="25092" fillId="8" borderId="1" xfId="0" applyNumberFormat="1" applyFont="1" applyFill="1" applyBorder="1" applyAlignment="1">
      <alignment horizontal="center" vertical="center"/>
    </xf>
    <xf numFmtId="2" fontId="25093" fillId="8" borderId="1" xfId="0" applyNumberFormat="1" applyFont="1" applyFill="1" applyBorder="1" applyAlignment="1">
      <alignment horizontal="center" vertical="center"/>
    </xf>
    <xf numFmtId="2" fontId="25094" fillId="8" borderId="1" xfId="0" applyNumberFormat="1" applyFont="1" applyFill="1" applyBorder="1" applyAlignment="1">
      <alignment horizontal="center" vertical="center"/>
    </xf>
    <xf numFmtId="2" fontId="25095" fillId="8" borderId="1" xfId="0" applyNumberFormat="1" applyFont="1" applyFill="1" applyBorder="1" applyAlignment="1">
      <alignment horizontal="center" vertical="center"/>
    </xf>
    <xf numFmtId="2" fontId="25096" fillId="8" borderId="1" xfId="0" applyNumberFormat="1" applyFont="1" applyFill="1" applyBorder="1" applyAlignment="1">
      <alignment horizontal="center" vertical="center"/>
    </xf>
    <xf numFmtId="2" fontId="25097" fillId="8" borderId="1" xfId="0" applyNumberFormat="1" applyFont="1" applyFill="1" applyBorder="1" applyAlignment="1">
      <alignment horizontal="center" vertical="center"/>
    </xf>
    <xf numFmtId="2" fontId="25098" fillId="8" borderId="1" xfId="0" applyNumberFormat="1" applyFont="1" applyFill="1" applyBorder="1" applyAlignment="1">
      <alignment horizontal="center" vertical="center"/>
    </xf>
    <xf numFmtId="2" fontId="25099" fillId="8" borderId="1" xfId="0" applyNumberFormat="1" applyFont="1" applyFill="1" applyBorder="1" applyAlignment="1">
      <alignment horizontal="center" vertical="center"/>
    </xf>
    <xf numFmtId="2" fontId="25100" fillId="8" borderId="1" xfId="0" applyNumberFormat="1" applyFont="1" applyFill="1" applyBorder="1" applyAlignment="1">
      <alignment horizontal="center" vertical="center"/>
    </xf>
    <xf numFmtId="2" fontId="25101" fillId="8" borderId="1" xfId="0" applyNumberFormat="1" applyFont="1" applyFill="1" applyBorder="1" applyAlignment="1">
      <alignment horizontal="center" vertical="center"/>
    </xf>
    <xf numFmtId="2" fontId="25102" fillId="8" borderId="1" xfId="0" applyNumberFormat="1" applyFont="1" applyFill="1" applyBorder="1" applyAlignment="1">
      <alignment horizontal="center" vertical="center"/>
    </xf>
    <xf numFmtId="2" fontId="25103" fillId="8" borderId="1" xfId="0" applyNumberFormat="1" applyFont="1" applyFill="1" applyBorder="1" applyAlignment="1">
      <alignment horizontal="center" vertical="center"/>
    </xf>
    <xf numFmtId="2" fontId="25104" fillId="8" borderId="1" xfId="0" applyNumberFormat="1" applyFont="1" applyFill="1" applyBorder="1" applyAlignment="1">
      <alignment horizontal="center" vertical="center"/>
    </xf>
    <xf numFmtId="2" fontId="25105" fillId="8" borderId="1" xfId="0" applyNumberFormat="1" applyFont="1" applyFill="1" applyBorder="1" applyAlignment="1">
      <alignment horizontal="center" vertical="center"/>
    </xf>
    <xf numFmtId="2" fontId="25106" fillId="8" borderId="1" xfId="0" applyNumberFormat="1" applyFont="1" applyFill="1" applyBorder="1" applyAlignment="1">
      <alignment horizontal="center" vertical="center"/>
    </xf>
    <xf numFmtId="2" fontId="25107" fillId="8" borderId="1" xfId="0" applyNumberFormat="1" applyFont="1" applyFill="1" applyBorder="1" applyAlignment="1">
      <alignment horizontal="center" vertical="center"/>
    </xf>
    <xf numFmtId="2" fontId="25108" fillId="8" borderId="1" xfId="0" applyNumberFormat="1" applyFont="1" applyFill="1" applyBorder="1" applyAlignment="1">
      <alignment horizontal="center" vertical="center"/>
    </xf>
    <xf numFmtId="2" fontId="25109" fillId="8" borderId="1" xfId="0" applyNumberFormat="1" applyFont="1" applyFill="1" applyBorder="1" applyAlignment="1">
      <alignment horizontal="center" vertical="center"/>
    </xf>
    <xf numFmtId="2" fontId="25110" fillId="8" borderId="1" xfId="0" applyNumberFormat="1" applyFont="1" applyFill="1" applyBorder="1" applyAlignment="1">
      <alignment horizontal="center" vertical="center"/>
    </xf>
    <xf numFmtId="2" fontId="25111" fillId="8" borderId="1" xfId="0" applyNumberFormat="1" applyFont="1" applyFill="1" applyBorder="1" applyAlignment="1">
      <alignment horizontal="center" vertical="center"/>
    </xf>
    <xf numFmtId="2" fontId="25112" fillId="8" borderId="1" xfId="0" applyNumberFormat="1" applyFont="1" applyFill="1" applyBorder="1" applyAlignment="1">
      <alignment horizontal="center" vertical="center"/>
    </xf>
    <xf numFmtId="2" fontId="25113" fillId="8" borderId="1" xfId="0" applyNumberFormat="1" applyFont="1" applyFill="1" applyBorder="1" applyAlignment="1">
      <alignment horizontal="center" vertical="center"/>
    </xf>
    <xf numFmtId="2" fontId="25114" fillId="8" borderId="1" xfId="0" applyNumberFormat="1" applyFont="1" applyFill="1" applyBorder="1" applyAlignment="1">
      <alignment horizontal="center" vertical="center"/>
    </xf>
    <xf numFmtId="2" fontId="25115" fillId="8" borderId="1" xfId="0" applyNumberFormat="1" applyFont="1" applyFill="1" applyBorder="1" applyAlignment="1">
      <alignment horizontal="center" vertical="center"/>
    </xf>
    <xf numFmtId="2" fontId="25116" fillId="8" borderId="1" xfId="0" applyNumberFormat="1" applyFont="1" applyFill="1" applyBorder="1" applyAlignment="1">
      <alignment horizontal="center" vertical="center"/>
    </xf>
    <xf numFmtId="0" fontId="25117" fillId="7" borderId="1" xfId="0" applyNumberFormat="1" applyFont="1" applyFill="1" applyBorder="1" applyAlignment="1">
      <alignment horizontal="left" vertical="center"/>
    </xf>
    <xf numFmtId="0" fontId="25118" fillId="8" borderId="1" xfId="0" applyNumberFormat="1" applyFont="1" applyFill="1" applyBorder="1" applyAlignment="1">
      <alignment horizontal="center" vertical="center"/>
    </xf>
    <xf numFmtId="164" fontId="25119" fillId="8" borderId="1" xfId="0" applyNumberFormat="1" applyFont="1" applyFill="1" applyBorder="1" applyAlignment="1">
      <alignment horizontal="center" vertical="center"/>
    </xf>
    <xf numFmtId="1" fontId="25120" fillId="8" borderId="1" xfId="0" applyNumberFormat="1" applyFont="1" applyFill="1" applyBorder="1" applyAlignment="1">
      <alignment horizontal="center" vertical="center"/>
    </xf>
    <xf numFmtId="1" fontId="25121" fillId="8" borderId="1" xfId="0" applyNumberFormat="1" applyFont="1" applyFill="1" applyBorder="1" applyAlignment="1">
      <alignment horizontal="center" vertical="center"/>
    </xf>
    <xf numFmtId="1" fontId="25122" fillId="8" borderId="1" xfId="0" applyNumberFormat="1" applyFont="1" applyFill="1" applyBorder="1" applyAlignment="1">
      <alignment horizontal="center" vertical="center"/>
    </xf>
    <xf numFmtId="1" fontId="25123" fillId="8" borderId="1" xfId="0" applyNumberFormat="1" applyFont="1" applyFill="1" applyBorder="1" applyAlignment="1">
      <alignment horizontal="center" vertical="center"/>
    </xf>
    <xf numFmtId="1" fontId="25124" fillId="8" borderId="1" xfId="0" applyNumberFormat="1" applyFont="1" applyFill="1" applyBorder="1" applyAlignment="1">
      <alignment horizontal="center" vertical="center"/>
    </xf>
    <xf numFmtId="1" fontId="25125" fillId="8" borderId="1" xfId="0" applyNumberFormat="1" applyFont="1" applyFill="1" applyBorder="1" applyAlignment="1">
      <alignment horizontal="center" vertical="center"/>
    </xf>
    <xf numFmtId="1" fontId="25126" fillId="8" borderId="1" xfId="0" applyNumberFormat="1" applyFont="1" applyFill="1" applyBorder="1" applyAlignment="1">
      <alignment horizontal="center" vertical="center"/>
    </xf>
    <xf numFmtId="0" fontId="25127" fillId="8" borderId="1" xfId="0" applyNumberFormat="1" applyFont="1" applyFill="1" applyBorder="1" applyAlignment="1">
      <alignment horizontal="center" vertical="center"/>
    </xf>
    <xf numFmtId="0" fontId="25128" fillId="8" borderId="1" xfId="0" applyNumberFormat="1" applyFont="1" applyFill="1" applyBorder="1" applyAlignment="1">
      <alignment horizontal="center" vertical="center"/>
    </xf>
    <xf numFmtId="1" fontId="25129" fillId="8" borderId="1" xfId="0" applyNumberFormat="1" applyFont="1" applyFill="1" applyBorder="1" applyAlignment="1">
      <alignment horizontal="center" vertical="center"/>
    </xf>
    <xf numFmtId="1" fontId="25130" fillId="8" borderId="1" xfId="0" applyNumberFormat="1" applyFont="1" applyFill="1" applyBorder="1" applyAlignment="1">
      <alignment horizontal="center" vertical="center"/>
    </xf>
    <xf numFmtId="1" fontId="25131" fillId="8" borderId="1" xfId="0" applyNumberFormat="1" applyFont="1" applyFill="1" applyBorder="1" applyAlignment="1">
      <alignment horizontal="center" vertical="center"/>
    </xf>
    <xf numFmtId="165" fontId="25132" fillId="8" borderId="1" xfId="0" applyNumberFormat="1" applyFont="1" applyFill="1" applyBorder="1" applyAlignment="1">
      <alignment horizontal="center" vertical="center"/>
    </xf>
    <xf numFmtId="1" fontId="25133" fillId="8" borderId="1" xfId="0" applyNumberFormat="1" applyFont="1" applyFill="1" applyBorder="1" applyAlignment="1">
      <alignment horizontal="center" vertical="center"/>
    </xf>
    <xf numFmtId="165" fontId="25134" fillId="8" borderId="1" xfId="0" applyNumberFormat="1" applyFont="1" applyFill="1" applyBorder="1" applyAlignment="1">
      <alignment horizontal="center" vertical="center"/>
    </xf>
    <xf numFmtId="1" fontId="25135" fillId="8" borderId="1" xfId="0" applyNumberFormat="1" applyFont="1" applyFill="1" applyBorder="1" applyAlignment="1">
      <alignment horizontal="center" vertical="center"/>
    </xf>
    <xf numFmtId="165" fontId="25136" fillId="8" borderId="1" xfId="0" applyNumberFormat="1" applyFont="1" applyFill="1" applyBorder="1" applyAlignment="1">
      <alignment horizontal="center" vertical="center"/>
    </xf>
    <xf numFmtId="1" fontId="25137" fillId="8" borderId="1" xfId="0" applyNumberFormat="1" applyFont="1" applyFill="1" applyBorder="1" applyAlignment="1">
      <alignment horizontal="center" vertical="center"/>
    </xf>
    <xf numFmtId="165" fontId="25138" fillId="8" borderId="1" xfId="0" applyNumberFormat="1" applyFont="1" applyFill="1" applyBorder="1" applyAlignment="1">
      <alignment horizontal="center" vertical="center"/>
    </xf>
    <xf numFmtId="165" fontId="25139" fillId="8" borderId="1" xfId="0" applyNumberFormat="1" applyFont="1" applyFill="1" applyBorder="1" applyAlignment="1">
      <alignment horizontal="center" vertical="center"/>
    </xf>
    <xf numFmtId="1" fontId="25140" fillId="8" borderId="1" xfId="0" applyNumberFormat="1" applyFont="1" applyFill="1" applyBorder="1" applyAlignment="1">
      <alignment horizontal="center" vertical="center"/>
    </xf>
    <xf numFmtId="1" fontId="25141" fillId="8" borderId="1" xfId="0" applyNumberFormat="1" applyFont="1" applyFill="1" applyBorder="1" applyAlignment="1">
      <alignment horizontal="center" vertical="center"/>
    </xf>
    <xf numFmtId="1" fontId="25142" fillId="8" borderId="1" xfId="0" applyNumberFormat="1" applyFont="1" applyFill="1" applyBorder="1" applyAlignment="1">
      <alignment horizontal="center" vertical="center"/>
    </xf>
    <xf numFmtId="165" fontId="25143" fillId="8" borderId="1" xfId="0" applyNumberFormat="1" applyFont="1" applyFill="1" applyBorder="1" applyAlignment="1">
      <alignment horizontal="center" vertical="center"/>
    </xf>
    <xf numFmtId="164" fontId="25144" fillId="8" borderId="1" xfId="0" applyNumberFormat="1" applyFont="1" applyFill="1" applyBorder="1" applyAlignment="1">
      <alignment horizontal="center" vertical="center"/>
    </xf>
    <xf numFmtId="164" fontId="25145" fillId="8" borderId="1" xfId="0" applyNumberFormat="1" applyFont="1" applyFill="1" applyBorder="1" applyAlignment="1">
      <alignment horizontal="center" vertical="center"/>
    </xf>
    <xf numFmtId="1" fontId="25146" fillId="8" borderId="1" xfId="0" applyNumberFormat="1" applyFont="1" applyFill="1" applyBorder="1" applyAlignment="1">
      <alignment horizontal="center" vertical="center"/>
    </xf>
    <xf numFmtId="1" fontId="25147" fillId="8" borderId="1" xfId="0" applyNumberFormat="1" applyFont="1" applyFill="1" applyBorder="1" applyAlignment="1">
      <alignment horizontal="center" vertical="center"/>
    </xf>
    <xf numFmtId="1" fontId="25148" fillId="8" borderId="1" xfId="0" applyNumberFormat="1" applyFont="1" applyFill="1" applyBorder="1" applyAlignment="1">
      <alignment horizontal="center" vertical="center"/>
    </xf>
    <xf numFmtId="165" fontId="25149" fillId="8" borderId="1" xfId="0" applyNumberFormat="1" applyFont="1" applyFill="1" applyBorder="1" applyAlignment="1">
      <alignment horizontal="center" vertical="center"/>
    </xf>
    <xf numFmtId="1" fontId="25150" fillId="8" borderId="1" xfId="0" applyNumberFormat="1" applyFont="1" applyFill="1" applyBorder="1" applyAlignment="1">
      <alignment horizontal="center" vertical="center"/>
    </xf>
    <xf numFmtId="165" fontId="25151" fillId="8" borderId="1" xfId="0" applyNumberFormat="1" applyFont="1" applyFill="1" applyBorder="1" applyAlignment="1">
      <alignment horizontal="center" vertical="center"/>
    </xf>
    <xf numFmtId="1" fontId="25152" fillId="8" borderId="1" xfId="0" applyNumberFormat="1" applyFont="1" applyFill="1" applyBorder="1" applyAlignment="1">
      <alignment horizontal="center" vertical="center"/>
    </xf>
    <xf numFmtId="1" fontId="25153" fillId="8" borderId="1" xfId="0" applyNumberFormat="1" applyFont="1" applyFill="1" applyBorder="1" applyAlignment="1">
      <alignment horizontal="center" vertical="center"/>
    </xf>
    <xf numFmtId="1" fontId="25154" fillId="8" borderId="1" xfId="0" applyNumberFormat="1" applyFont="1" applyFill="1" applyBorder="1" applyAlignment="1">
      <alignment horizontal="center" vertical="center"/>
    </xf>
    <xf numFmtId="1" fontId="25155" fillId="8" borderId="1" xfId="0" applyNumberFormat="1" applyFont="1" applyFill="1" applyBorder="1" applyAlignment="1">
      <alignment horizontal="center" vertical="center"/>
    </xf>
    <xf numFmtId="165" fontId="25156" fillId="8" borderId="1" xfId="0" applyNumberFormat="1" applyFont="1" applyFill="1" applyBorder="1" applyAlignment="1">
      <alignment horizontal="center" vertical="center"/>
    </xf>
    <xf numFmtId="1" fontId="25157" fillId="8" borderId="1" xfId="0" applyNumberFormat="1" applyFont="1" applyFill="1" applyBorder="1" applyAlignment="1">
      <alignment horizontal="center" vertical="center"/>
    </xf>
    <xf numFmtId="165" fontId="25158" fillId="8" borderId="1" xfId="0" applyNumberFormat="1" applyFont="1" applyFill="1" applyBorder="1" applyAlignment="1">
      <alignment horizontal="center" vertical="center"/>
    </xf>
    <xf numFmtId="1" fontId="25159" fillId="8" borderId="1" xfId="0" applyNumberFormat="1" applyFont="1" applyFill="1" applyBorder="1" applyAlignment="1">
      <alignment horizontal="center" vertical="center"/>
    </xf>
    <xf numFmtId="165" fontId="25160" fillId="8" borderId="1" xfId="0" applyNumberFormat="1" applyFont="1" applyFill="1" applyBorder="1" applyAlignment="1">
      <alignment horizontal="center" vertical="center"/>
    </xf>
    <xf numFmtId="2" fontId="25161" fillId="8" borderId="1" xfId="0" applyNumberFormat="1" applyFont="1" applyFill="1" applyBorder="1" applyAlignment="1">
      <alignment horizontal="center" vertical="center"/>
    </xf>
    <xf numFmtId="2" fontId="25162" fillId="8" borderId="1" xfId="0" applyNumberFormat="1" applyFont="1" applyFill="1" applyBorder="1" applyAlignment="1">
      <alignment horizontal="center" vertical="center"/>
    </xf>
    <xf numFmtId="2" fontId="25163" fillId="8" borderId="1" xfId="0" applyNumberFormat="1" applyFont="1" applyFill="1" applyBorder="1" applyAlignment="1">
      <alignment horizontal="center" vertical="center"/>
    </xf>
    <xf numFmtId="2" fontId="25164" fillId="8" borderId="1" xfId="0" applyNumberFormat="1" applyFont="1" applyFill="1" applyBorder="1" applyAlignment="1">
      <alignment horizontal="center" vertical="center"/>
    </xf>
    <xf numFmtId="2" fontId="25165" fillId="8" borderId="1" xfId="0" applyNumberFormat="1" applyFont="1" applyFill="1" applyBorder="1" applyAlignment="1">
      <alignment horizontal="center" vertical="center"/>
    </xf>
    <xf numFmtId="2" fontId="25166" fillId="8" borderId="1" xfId="0" applyNumberFormat="1" applyFont="1" applyFill="1" applyBorder="1" applyAlignment="1">
      <alignment horizontal="center" vertical="center"/>
    </xf>
    <xf numFmtId="2" fontId="25167" fillId="8" borderId="1" xfId="0" applyNumberFormat="1" applyFont="1" applyFill="1" applyBorder="1" applyAlignment="1">
      <alignment horizontal="center" vertical="center"/>
    </xf>
    <xf numFmtId="2" fontId="25168" fillId="8" borderId="1" xfId="0" applyNumberFormat="1" applyFont="1" applyFill="1" applyBorder="1" applyAlignment="1">
      <alignment horizontal="center" vertical="center"/>
    </xf>
    <xf numFmtId="2" fontId="25169" fillId="8" borderId="1" xfId="0" applyNumberFormat="1" applyFont="1" applyFill="1" applyBorder="1" applyAlignment="1">
      <alignment horizontal="center" vertical="center"/>
    </xf>
    <xf numFmtId="2" fontId="25170" fillId="8" borderId="1" xfId="0" applyNumberFormat="1" applyFont="1" applyFill="1" applyBorder="1" applyAlignment="1">
      <alignment horizontal="center" vertical="center"/>
    </xf>
    <xf numFmtId="2" fontId="25171" fillId="8" borderId="1" xfId="0" applyNumberFormat="1" applyFont="1" applyFill="1" applyBorder="1" applyAlignment="1">
      <alignment horizontal="center" vertical="center"/>
    </xf>
    <xf numFmtId="2" fontId="25172" fillId="8" borderId="1" xfId="0" applyNumberFormat="1" applyFont="1" applyFill="1" applyBorder="1" applyAlignment="1">
      <alignment horizontal="center" vertical="center"/>
    </xf>
    <xf numFmtId="2" fontId="25173" fillId="8" borderId="1" xfId="0" applyNumberFormat="1" applyFont="1" applyFill="1" applyBorder="1" applyAlignment="1">
      <alignment horizontal="center" vertical="center"/>
    </xf>
    <xf numFmtId="2" fontId="25174" fillId="8" borderId="1" xfId="0" applyNumberFormat="1" applyFont="1" applyFill="1" applyBorder="1" applyAlignment="1">
      <alignment horizontal="center" vertical="center"/>
    </xf>
    <xf numFmtId="2" fontId="25175" fillId="8" borderId="1" xfId="0" applyNumberFormat="1" applyFont="1" applyFill="1" applyBorder="1" applyAlignment="1">
      <alignment horizontal="center" vertical="center"/>
    </xf>
    <xf numFmtId="2" fontId="25176" fillId="8" borderId="1" xfId="0" applyNumberFormat="1" applyFont="1" applyFill="1" applyBorder="1" applyAlignment="1">
      <alignment horizontal="center" vertical="center"/>
    </xf>
    <xf numFmtId="2" fontId="25177" fillId="8" borderId="1" xfId="0" applyNumberFormat="1" applyFont="1" applyFill="1" applyBorder="1" applyAlignment="1">
      <alignment horizontal="center" vertical="center"/>
    </xf>
    <xf numFmtId="2" fontId="25178" fillId="8" borderId="1" xfId="0" applyNumberFormat="1" applyFont="1" applyFill="1" applyBorder="1" applyAlignment="1">
      <alignment horizontal="center" vertical="center"/>
    </xf>
    <xf numFmtId="2" fontId="25179" fillId="8" borderId="1" xfId="0" applyNumberFormat="1" applyFont="1" applyFill="1" applyBorder="1" applyAlignment="1">
      <alignment horizontal="center" vertical="center"/>
    </xf>
    <xf numFmtId="2" fontId="25180" fillId="8" borderId="1" xfId="0" applyNumberFormat="1" applyFont="1" applyFill="1" applyBorder="1" applyAlignment="1">
      <alignment horizontal="center" vertical="center"/>
    </xf>
    <xf numFmtId="2" fontId="25181" fillId="8" borderId="1" xfId="0" applyNumberFormat="1" applyFont="1" applyFill="1" applyBorder="1" applyAlignment="1">
      <alignment horizontal="center" vertical="center"/>
    </xf>
    <xf numFmtId="2" fontId="25182" fillId="8" borderId="1" xfId="0" applyNumberFormat="1" applyFont="1" applyFill="1" applyBorder="1" applyAlignment="1">
      <alignment horizontal="center" vertical="center"/>
    </xf>
    <xf numFmtId="2" fontId="25183" fillId="8" borderId="1" xfId="0" applyNumberFormat="1" applyFont="1" applyFill="1" applyBorder="1" applyAlignment="1">
      <alignment horizontal="center" vertical="center"/>
    </xf>
    <xf numFmtId="2" fontId="25184" fillId="8" borderId="1" xfId="0" applyNumberFormat="1" applyFont="1" applyFill="1" applyBorder="1" applyAlignment="1">
      <alignment horizontal="center" vertical="center"/>
    </xf>
    <xf numFmtId="2" fontId="25185" fillId="8" borderId="1" xfId="0" applyNumberFormat="1" applyFont="1" applyFill="1" applyBorder="1" applyAlignment="1">
      <alignment horizontal="center" vertical="center"/>
    </xf>
    <xf numFmtId="2" fontId="25186" fillId="8" borderId="1" xfId="0" applyNumberFormat="1" applyFont="1" applyFill="1" applyBorder="1" applyAlignment="1">
      <alignment horizontal="center" vertical="center"/>
    </xf>
    <xf numFmtId="2" fontId="25187" fillId="8" borderId="1" xfId="0" applyNumberFormat="1" applyFont="1" applyFill="1" applyBorder="1" applyAlignment="1">
      <alignment horizontal="center" vertical="center"/>
    </xf>
    <xf numFmtId="2" fontId="25188" fillId="8" borderId="1" xfId="0" applyNumberFormat="1" applyFont="1" applyFill="1" applyBorder="1" applyAlignment="1">
      <alignment horizontal="center" vertical="center"/>
    </xf>
    <xf numFmtId="2" fontId="25189" fillId="8" borderId="1" xfId="0" applyNumberFormat="1" applyFont="1" applyFill="1" applyBorder="1" applyAlignment="1">
      <alignment horizontal="center" vertical="center"/>
    </xf>
    <xf numFmtId="2" fontId="25190" fillId="8" borderId="1" xfId="0" applyNumberFormat="1" applyFont="1" applyFill="1" applyBorder="1" applyAlignment="1">
      <alignment horizontal="center" vertical="center"/>
    </xf>
    <xf numFmtId="2" fontId="25191" fillId="8" borderId="1" xfId="0" applyNumberFormat="1" applyFont="1" applyFill="1" applyBorder="1" applyAlignment="1">
      <alignment horizontal="center" vertical="center"/>
    </xf>
    <xf numFmtId="2" fontId="25192" fillId="8" borderId="1" xfId="0" applyNumberFormat="1" applyFont="1" applyFill="1" applyBorder="1" applyAlignment="1">
      <alignment horizontal="center" vertical="center"/>
    </xf>
    <xf numFmtId="2" fontId="25193" fillId="8" borderId="1" xfId="0" applyNumberFormat="1" applyFont="1" applyFill="1" applyBorder="1" applyAlignment="1">
      <alignment horizontal="center" vertical="center"/>
    </xf>
    <xf numFmtId="2" fontId="25194" fillId="8" borderId="1" xfId="0" applyNumberFormat="1" applyFont="1" applyFill="1" applyBorder="1" applyAlignment="1">
      <alignment horizontal="center" vertical="center"/>
    </xf>
    <xf numFmtId="0" fontId="25195" fillId="7" borderId="1" xfId="0" applyNumberFormat="1" applyFont="1" applyFill="1" applyBorder="1" applyAlignment="1">
      <alignment horizontal="left" vertical="center"/>
    </xf>
    <xf numFmtId="0" fontId="25196" fillId="8" borderId="1" xfId="0" applyNumberFormat="1" applyFont="1" applyFill="1" applyBorder="1" applyAlignment="1">
      <alignment horizontal="center" vertical="center"/>
    </xf>
    <xf numFmtId="164" fontId="25197" fillId="8" borderId="1" xfId="0" applyNumberFormat="1" applyFont="1" applyFill="1" applyBorder="1" applyAlignment="1">
      <alignment horizontal="center" vertical="center"/>
    </xf>
    <xf numFmtId="1" fontId="25198" fillId="8" borderId="1" xfId="0" applyNumberFormat="1" applyFont="1" applyFill="1" applyBorder="1" applyAlignment="1">
      <alignment horizontal="center" vertical="center"/>
    </xf>
    <xf numFmtId="1" fontId="25199" fillId="8" borderId="1" xfId="0" applyNumberFormat="1" applyFont="1" applyFill="1" applyBorder="1" applyAlignment="1">
      <alignment horizontal="center" vertical="center"/>
    </xf>
    <xf numFmtId="1" fontId="25200" fillId="8" borderId="1" xfId="0" applyNumberFormat="1" applyFont="1" applyFill="1" applyBorder="1" applyAlignment="1">
      <alignment horizontal="center" vertical="center"/>
    </xf>
    <xf numFmtId="1" fontId="25201" fillId="8" borderId="1" xfId="0" applyNumberFormat="1" applyFont="1" applyFill="1" applyBorder="1" applyAlignment="1">
      <alignment horizontal="center" vertical="center"/>
    </xf>
    <xf numFmtId="1" fontId="25202" fillId="8" borderId="1" xfId="0" applyNumberFormat="1" applyFont="1" applyFill="1" applyBorder="1" applyAlignment="1">
      <alignment horizontal="center" vertical="center"/>
    </xf>
    <xf numFmtId="1" fontId="25203" fillId="8" borderId="1" xfId="0" applyNumberFormat="1" applyFont="1" applyFill="1" applyBorder="1" applyAlignment="1">
      <alignment horizontal="center" vertical="center"/>
    </xf>
    <xf numFmtId="1" fontId="25204" fillId="8" borderId="1" xfId="0" applyNumberFormat="1" applyFont="1" applyFill="1" applyBorder="1" applyAlignment="1">
      <alignment horizontal="center" vertical="center"/>
    </xf>
    <xf numFmtId="0" fontId="25205" fillId="8" borderId="1" xfId="0" applyNumberFormat="1" applyFont="1" applyFill="1" applyBorder="1" applyAlignment="1">
      <alignment horizontal="center" vertical="center"/>
    </xf>
    <xf numFmtId="0" fontId="25206" fillId="8" borderId="1" xfId="0" applyNumberFormat="1" applyFont="1" applyFill="1" applyBorder="1" applyAlignment="1">
      <alignment horizontal="center" vertical="center"/>
    </xf>
    <xf numFmtId="1" fontId="25207" fillId="8" borderId="1" xfId="0" applyNumberFormat="1" applyFont="1" applyFill="1" applyBorder="1" applyAlignment="1">
      <alignment horizontal="center" vertical="center"/>
    </xf>
    <xf numFmtId="1" fontId="25208" fillId="8" borderId="1" xfId="0" applyNumberFormat="1" applyFont="1" applyFill="1" applyBorder="1" applyAlignment="1">
      <alignment horizontal="center" vertical="center"/>
    </xf>
    <xf numFmtId="1" fontId="25209" fillId="8" borderId="1" xfId="0" applyNumberFormat="1" applyFont="1" applyFill="1" applyBorder="1" applyAlignment="1">
      <alignment horizontal="center" vertical="center"/>
    </xf>
    <xf numFmtId="165" fontId="25210" fillId="8" borderId="1" xfId="0" applyNumberFormat="1" applyFont="1" applyFill="1" applyBorder="1" applyAlignment="1">
      <alignment horizontal="center" vertical="center"/>
    </xf>
    <xf numFmtId="1" fontId="25211" fillId="8" borderId="1" xfId="0" applyNumberFormat="1" applyFont="1" applyFill="1" applyBorder="1" applyAlignment="1">
      <alignment horizontal="center" vertical="center"/>
    </xf>
    <xf numFmtId="165" fontId="25212" fillId="8" borderId="1" xfId="0" applyNumberFormat="1" applyFont="1" applyFill="1" applyBorder="1" applyAlignment="1">
      <alignment horizontal="center" vertical="center"/>
    </xf>
    <xf numFmtId="1" fontId="25213" fillId="8" borderId="1" xfId="0" applyNumberFormat="1" applyFont="1" applyFill="1" applyBorder="1" applyAlignment="1">
      <alignment horizontal="center" vertical="center"/>
    </xf>
    <xf numFmtId="165" fontId="25214" fillId="8" borderId="1" xfId="0" applyNumberFormat="1" applyFont="1" applyFill="1" applyBorder="1" applyAlignment="1">
      <alignment horizontal="center" vertical="center"/>
    </xf>
    <xf numFmtId="1" fontId="25215" fillId="8" borderId="1" xfId="0" applyNumberFormat="1" applyFont="1" applyFill="1" applyBorder="1" applyAlignment="1">
      <alignment horizontal="center" vertical="center"/>
    </xf>
    <xf numFmtId="165" fontId="25216" fillId="8" borderId="1" xfId="0" applyNumberFormat="1" applyFont="1" applyFill="1" applyBorder="1" applyAlignment="1">
      <alignment horizontal="center" vertical="center"/>
    </xf>
    <xf numFmtId="165" fontId="25217" fillId="8" borderId="1" xfId="0" applyNumberFormat="1" applyFont="1" applyFill="1" applyBorder="1" applyAlignment="1">
      <alignment horizontal="center" vertical="center"/>
    </xf>
    <xf numFmtId="1" fontId="25218" fillId="8" borderId="1" xfId="0" applyNumberFormat="1" applyFont="1" applyFill="1" applyBorder="1" applyAlignment="1">
      <alignment horizontal="center" vertical="center"/>
    </xf>
    <xf numFmtId="1" fontId="25219" fillId="8" borderId="1" xfId="0" applyNumberFormat="1" applyFont="1" applyFill="1" applyBorder="1" applyAlignment="1">
      <alignment horizontal="center" vertical="center"/>
    </xf>
    <xf numFmtId="1" fontId="25220" fillId="8" borderId="1" xfId="0" applyNumberFormat="1" applyFont="1" applyFill="1" applyBorder="1" applyAlignment="1">
      <alignment horizontal="center" vertical="center"/>
    </xf>
    <xf numFmtId="165" fontId="25221" fillId="8" borderId="1" xfId="0" applyNumberFormat="1" applyFont="1" applyFill="1" applyBorder="1" applyAlignment="1">
      <alignment horizontal="center" vertical="center"/>
    </xf>
    <xf numFmtId="164" fontId="25222" fillId="8" borderId="1" xfId="0" applyNumberFormat="1" applyFont="1" applyFill="1" applyBorder="1" applyAlignment="1">
      <alignment horizontal="center" vertical="center"/>
    </xf>
    <xf numFmtId="164" fontId="25223" fillId="8" borderId="1" xfId="0" applyNumberFormat="1" applyFont="1" applyFill="1" applyBorder="1" applyAlignment="1">
      <alignment horizontal="center" vertical="center"/>
    </xf>
    <xf numFmtId="1" fontId="25224" fillId="8" borderId="1" xfId="0" applyNumberFormat="1" applyFont="1" applyFill="1" applyBorder="1" applyAlignment="1">
      <alignment horizontal="center" vertical="center"/>
    </xf>
    <xf numFmtId="1" fontId="25225" fillId="8" borderId="1" xfId="0" applyNumberFormat="1" applyFont="1" applyFill="1" applyBorder="1" applyAlignment="1">
      <alignment horizontal="center" vertical="center"/>
    </xf>
    <xf numFmtId="1" fontId="25226" fillId="8" borderId="1" xfId="0" applyNumberFormat="1" applyFont="1" applyFill="1" applyBorder="1" applyAlignment="1">
      <alignment horizontal="center" vertical="center"/>
    </xf>
    <xf numFmtId="165" fontId="25227" fillId="8" borderId="1" xfId="0" applyNumberFormat="1" applyFont="1" applyFill="1" applyBorder="1" applyAlignment="1">
      <alignment horizontal="center" vertical="center"/>
    </xf>
    <xf numFmtId="1" fontId="25228" fillId="8" borderId="1" xfId="0" applyNumberFormat="1" applyFont="1" applyFill="1" applyBorder="1" applyAlignment="1">
      <alignment horizontal="center" vertical="center"/>
    </xf>
    <xf numFmtId="165" fontId="25229" fillId="8" borderId="1" xfId="0" applyNumberFormat="1" applyFont="1" applyFill="1" applyBorder="1" applyAlignment="1">
      <alignment horizontal="center" vertical="center"/>
    </xf>
    <xf numFmtId="1" fontId="25230" fillId="8" borderId="1" xfId="0" applyNumberFormat="1" applyFont="1" applyFill="1" applyBorder="1" applyAlignment="1">
      <alignment horizontal="center" vertical="center"/>
    </xf>
    <xf numFmtId="1" fontId="25231" fillId="8" borderId="1" xfId="0" applyNumberFormat="1" applyFont="1" applyFill="1" applyBorder="1" applyAlignment="1">
      <alignment horizontal="center" vertical="center"/>
    </xf>
    <xf numFmtId="1" fontId="25232" fillId="8" borderId="1" xfId="0" applyNumberFormat="1" applyFont="1" applyFill="1" applyBorder="1" applyAlignment="1">
      <alignment horizontal="center" vertical="center"/>
    </xf>
    <xf numFmtId="1" fontId="25233" fillId="8" borderId="1" xfId="0" applyNumberFormat="1" applyFont="1" applyFill="1" applyBorder="1" applyAlignment="1">
      <alignment horizontal="center" vertical="center"/>
    </xf>
    <xf numFmtId="165" fontId="25234" fillId="8" borderId="1" xfId="0" applyNumberFormat="1" applyFont="1" applyFill="1" applyBorder="1" applyAlignment="1">
      <alignment horizontal="center" vertical="center"/>
    </xf>
    <xf numFmtId="1" fontId="25235" fillId="8" borderId="1" xfId="0" applyNumberFormat="1" applyFont="1" applyFill="1" applyBorder="1" applyAlignment="1">
      <alignment horizontal="center" vertical="center"/>
    </xf>
    <xf numFmtId="165" fontId="25236" fillId="8" borderId="1" xfId="0" applyNumberFormat="1" applyFont="1" applyFill="1" applyBorder="1" applyAlignment="1">
      <alignment horizontal="center" vertical="center"/>
    </xf>
    <xf numFmtId="1" fontId="25237" fillId="8" borderId="1" xfId="0" applyNumberFormat="1" applyFont="1" applyFill="1" applyBorder="1" applyAlignment="1">
      <alignment horizontal="center" vertical="center"/>
    </xf>
    <xf numFmtId="165" fontId="25238" fillId="8" borderId="1" xfId="0" applyNumberFormat="1" applyFont="1" applyFill="1" applyBorder="1" applyAlignment="1">
      <alignment horizontal="center" vertical="center"/>
    </xf>
    <xf numFmtId="2" fontId="25239" fillId="8" borderId="1" xfId="0" applyNumberFormat="1" applyFont="1" applyFill="1" applyBorder="1" applyAlignment="1">
      <alignment horizontal="center" vertical="center"/>
    </xf>
    <xf numFmtId="2" fontId="25240" fillId="8" borderId="1" xfId="0" applyNumberFormat="1" applyFont="1" applyFill="1" applyBorder="1" applyAlignment="1">
      <alignment horizontal="center" vertical="center"/>
    </xf>
    <xf numFmtId="2" fontId="25241" fillId="8" borderId="1" xfId="0" applyNumberFormat="1" applyFont="1" applyFill="1" applyBorder="1" applyAlignment="1">
      <alignment horizontal="center" vertical="center"/>
    </xf>
    <xf numFmtId="2" fontId="25242" fillId="8" borderId="1" xfId="0" applyNumberFormat="1" applyFont="1" applyFill="1" applyBorder="1" applyAlignment="1">
      <alignment horizontal="center" vertical="center"/>
    </xf>
    <xf numFmtId="2" fontId="25243" fillId="8" borderId="1" xfId="0" applyNumberFormat="1" applyFont="1" applyFill="1" applyBorder="1" applyAlignment="1">
      <alignment horizontal="center" vertical="center"/>
    </xf>
    <xf numFmtId="2" fontId="25244" fillId="8" borderId="1" xfId="0" applyNumberFormat="1" applyFont="1" applyFill="1" applyBorder="1" applyAlignment="1">
      <alignment horizontal="center" vertical="center"/>
    </xf>
    <xf numFmtId="2" fontId="25245" fillId="8" borderId="1" xfId="0" applyNumberFormat="1" applyFont="1" applyFill="1" applyBorder="1" applyAlignment="1">
      <alignment horizontal="center" vertical="center"/>
    </xf>
    <xf numFmtId="2" fontId="25246" fillId="8" borderId="1" xfId="0" applyNumberFormat="1" applyFont="1" applyFill="1" applyBorder="1" applyAlignment="1">
      <alignment horizontal="center" vertical="center"/>
    </xf>
    <xf numFmtId="2" fontId="25247" fillId="8" borderId="1" xfId="0" applyNumberFormat="1" applyFont="1" applyFill="1" applyBorder="1" applyAlignment="1">
      <alignment horizontal="center" vertical="center"/>
    </xf>
    <xf numFmtId="2" fontId="25248" fillId="8" borderId="1" xfId="0" applyNumberFormat="1" applyFont="1" applyFill="1" applyBorder="1" applyAlignment="1">
      <alignment horizontal="center" vertical="center"/>
    </xf>
    <xf numFmtId="2" fontId="25249" fillId="8" borderId="1" xfId="0" applyNumberFormat="1" applyFont="1" applyFill="1" applyBorder="1" applyAlignment="1">
      <alignment horizontal="center" vertical="center"/>
    </xf>
    <xf numFmtId="2" fontId="25250" fillId="8" borderId="1" xfId="0" applyNumberFormat="1" applyFont="1" applyFill="1" applyBorder="1" applyAlignment="1">
      <alignment horizontal="center" vertical="center"/>
    </xf>
    <xf numFmtId="2" fontId="25251" fillId="8" borderId="1" xfId="0" applyNumberFormat="1" applyFont="1" applyFill="1" applyBorder="1" applyAlignment="1">
      <alignment horizontal="center" vertical="center"/>
    </xf>
    <xf numFmtId="2" fontId="25252" fillId="8" borderId="1" xfId="0" applyNumberFormat="1" applyFont="1" applyFill="1" applyBorder="1" applyAlignment="1">
      <alignment horizontal="center" vertical="center"/>
    </xf>
    <xf numFmtId="2" fontId="25253" fillId="8" borderId="1" xfId="0" applyNumberFormat="1" applyFont="1" applyFill="1" applyBorder="1" applyAlignment="1">
      <alignment horizontal="center" vertical="center"/>
    </xf>
    <xf numFmtId="2" fontId="25254" fillId="8" borderId="1" xfId="0" applyNumberFormat="1" applyFont="1" applyFill="1" applyBorder="1" applyAlignment="1">
      <alignment horizontal="center" vertical="center"/>
    </xf>
    <xf numFmtId="2" fontId="25255" fillId="8" borderId="1" xfId="0" applyNumberFormat="1" applyFont="1" applyFill="1" applyBorder="1" applyAlignment="1">
      <alignment horizontal="center" vertical="center"/>
    </xf>
    <xf numFmtId="2" fontId="25256" fillId="8" borderId="1" xfId="0" applyNumberFormat="1" applyFont="1" applyFill="1" applyBorder="1" applyAlignment="1">
      <alignment horizontal="center" vertical="center"/>
    </xf>
    <xf numFmtId="2" fontId="25257" fillId="8" borderId="1" xfId="0" applyNumberFormat="1" applyFont="1" applyFill="1" applyBorder="1" applyAlignment="1">
      <alignment horizontal="center" vertical="center"/>
    </xf>
    <xf numFmtId="2" fontId="25258" fillId="8" borderId="1" xfId="0" applyNumberFormat="1" applyFont="1" applyFill="1" applyBorder="1" applyAlignment="1">
      <alignment horizontal="center" vertical="center"/>
    </xf>
    <xf numFmtId="2" fontId="25259" fillId="8" borderId="1" xfId="0" applyNumberFormat="1" applyFont="1" applyFill="1" applyBorder="1" applyAlignment="1">
      <alignment horizontal="center" vertical="center"/>
    </xf>
    <xf numFmtId="2" fontId="25260" fillId="8" borderId="1" xfId="0" applyNumberFormat="1" applyFont="1" applyFill="1" applyBorder="1" applyAlignment="1">
      <alignment horizontal="center" vertical="center"/>
    </xf>
    <xf numFmtId="2" fontId="25261" fillId="8" borderId="1" xfId="0" applyNumberFormat="1" applyFont="1" applyFill="1" applyBorder="1" applyAlignment="1">
      <alignment horizontal="center" vertical="center"/>
    </xf>
    <xf numFmtId="2" fontId="25262" fillId="8" borderId="1" xfId="0" applyNumberFormat="1" applyFont="1" applyFill="1" applyBorder="1" applyAlignment="1">
      <alignment horizontal="center" vertical="center"/>
    </xf>
    <xf numFmtId="2" fontId="25263" fillId="8" borderId="1" xfId="0" applyNumberFormat="1" applyFont="1" applyFill="1" applyBorder="1" applyAlignment="1">
      <alignment horizontal="center" vertical="center"/>
    </xf>
    <xf numFmtId="2" fontId="25264" fillId="8" borderId="1" xfId="0" applyNumberFormat="1" applyFont="1" applyFill="1" applyBorder="1" applyAlignment="1">
      <alignment horizontal="center" vertical="center"/>
    </xf>
    <xf numFmtId="2" fontId="25265" fillId="8" borderId="1" xfId="0" applyNumberFormat="1" applyFont="1" applyFill="1" applyBorder="1" applyAlignment="1">
      <alignment horizontal="center" vertical="center"/>
    </xf>
    <xf numFmtId="2" fontId="25266" fillId="8" borderId="1" xfId="0" applyNumberFormat="1" applyFont="1" applyFill="1" applyBorder="1" applyAlignment="1">
      <alignment horizontal="center" vertical="center"/>
    </xf>
    <xf numFmtId="2" fontId="25267" fillId="8" borderId="1" xfId="0" applyNumberFormat="1" applyFont="1" applyFill="1" applyBorder="1" applyAlignment="1">
      <alignment horizontal="center" vertical="center"/>
    </xf>
    <xf numFmtId="2" fontId="25268" fillId="8" borderId="1" xfId="0" applyNumberFormat="1" applyFont="1" applyFill="1" applyBorder="1" applyAlignment="1">
      <alignment horizontal="center" vertical="center"/>
    </xf>
    <xf numFmtId="2" fontId="25269" fillId="8" borderId="1" xfId="0" applyNumberFormat="1" applyFont="1" applyFill="1" applyBorder="1" applyAlignment="1">
      <alignment horizontal="center" vertical="center"/>
    </xf>
    <xf numFmtId="2" fontId="25270" fillId="8" borderId="1" xfId="0" applyNumberFormat="1" applyFont="1" applyFill="1" applyBorder="1" applyAlignment="1">
      <alignment horizontal="center" vertical="center"/>
    </xf>
    <xf numFmtId="2" fontId="25271" fillId="8" borderId="1" xfId="0" applyNumberFormat="1" applyFont="1" applyFill="1" applyBorder="1" applyAlignment="1">
      <alignment horizontal="center" vertical="center"/>
    </xf>
    <xf numFmtId="2" fontId="25272" fillId="8" borderId="1" xfId="0" applyNumberFormat="1" applyFont="1" applyFill="1" applyBorder="1" applyAlignment="1">
      <alignment horizontal="center" vertical="center"/>
    </xf>
    <xf numFmtId="0" fontId="25273" fillId="7" borderId="1" xfId="0" applyNumberFormat="1" applyFont="1" applyFill="1" applyBorder="1" applyAlignment="1">
      <alignment horizontal="left" vertical="center"/>
    </xf>
    <xf numFmtId="0" fontId="25274" fillId="8" borderId="1" xfId="0" applyNumberFormat="1" applyFont="1" applyFill="1" applyBorder="1" applyAlignment="1">
      <alignment horizontal="center" vertical="center"/>
    </xf>
    <xf numFmtId="164" fontId="25275" fillId="8" borderId="1" xfId="0" applyNumberFormat="1" applyFont="1" applyFill="1" applyBorder="1" applyAlignment="1">
      <alignment horizontal="center" vertical="center"/>
    </xf>
    <xf numFmtId="1" fontId="25276" fillId="8" borderId="1" xfId="0" applyNumberFormat="1" applyFont="1" applyFill="1" applyBorder="1" applyAlignment="1">
      <alignment horizontal="center" vertical="center"/>
    </xf>
    <xf numFmtId="1" fontId="25277" fillId="8" borderId="1" xfId="0" applyNumberFormat="1" applyFont="1" applyFill="1" applyBorder="1" applyAlignment="1">
      <alignment horizontal="center" vertical="center"/>
    </xf>
    <xf numFmtId="1" fontId="25278" fillId="8" borderId="1" xfId="0" applyNumberFormat="1" applyFont="1" applyFill="1" applyBorder="1" applyAlignment="1">
      <alignment horizontal="center" vertical="center"/>
    </xf>
    <xf numFmtId="1" fontId="25279" fillId="8" borderId="1" xfId="0" applyNumberFormat="1" applyFont="1" applyFill="1" applyBorder="1" applyAlignment="1">
      <alignment horizontal="center" vertical="center"/>
    </xf>
    <xf numFmtId="1" fontId="25280" fillId="8" borderId="1" xfId="0" applyNumberFormat="1" applyFont="1" applyFill="1" applyBorder="1" applyAlignment="1">
      <alignment horizontal="center" vertical="center"/>
    </xf>
    <xf numFmtId="1" fontId="25281" fillId="8" borderId="1" xfId="0" applyNumberFormat="1" applyFont="1" applyFill="1" applyBorder="1" applyAlignment="1">
      <alignment horizontal="center" vertical="center"/>
    </xf>
    <xf numFmtId="1" fontId="25282" fillId="8" borderId="1" xfId="0" applyNumberFormat="1" applyFont="1" applyFill="1" applyBorder="1" applyAlignment="1">
      <alignment horizontal="center" vertical="center"/>
    </xf>
    <xf numFmtId="0" fontId="25283" fillId="8" borderId="1" xfId="0" applyNumberFormat="1" applyFont="1" applyFill="1" applyBorder="1" applyAlignment="1">
      <alignment horizontal="center" vertical="center"/>
    </xf>
    <xf numFmtId="0" fontId="25284" fillId="8" borderId="1" xfId="0" applyNumberFormat="1" applyFont="1" applyFill="1" applyBorder="1" applyAlignment="1">
      <alignment horizontal="center" vertical="center"/>
    </xf>
    <xf numFmtId="1" fontId="25285" fillId="8" borderId="1" xfId="0" applyNumberFormat="1" applyFont="1" applyFill="1" applyBorder="1" applyAlignment="1">
      <alignment horizontal="center" vertical="center"/>
    </xf>
    <xf numFmtId="1" fontId="25286" fillId="8" borderId="1" xfId="0" applyNumberFormat="1" applyFont="1" applyFill="1" applyBorder="1" applyAlignment="1">
      <alignment horizontal="center" vertical="center"/>
    </xf>
    <xf numFmtId="1" fontId="25287" fillId="8" borderId="1" xfId="0" applyNumberFormat="1" applyFont="1" applyFill="1" applyBorder="1" applyAlignment="1">
      <alignment horizontal="center" vertical="center"/>
    </xf>
    <xf numFmtId="165" fontId="25288" fillId="8" borderId="1" xfId="0" applyNumberFormat="1" applyFont="1" applyFill="1" applyBorder="1" applyAlignment="1">
      <alignment horizontal="center" vertical="center"/>
    </xf>
    <xf numFmtId="1" fontId="25289" fillId="8" borderId="1" xfId="0" applyNumberFormat="1" applyFont="1" applyFill="1" applyBorder="1" applyAlignment="1">
      <alignment horizontal="center" vertical="center"/>
    </xf>
    <xf numFmtId="165" fontId="25290" fillId="8" borderId="1" xfId="0" applyNumberFormat="1" applyFont="1" applyFill="1" applyBorder="1" applyAlignment="1">
      <alignment horizontal="center" vertical="center"/>
    </xf>
    <xf numFmtId="1" fontId="25291" fillId="8" borderId="1" xfId="0" applyNumberFormat="1" applyFont="1" applyFill="1" applyBorder="1" applyAlignment="1">
      <alignment horizontal="center" vertical="center"/>
    </xf>
    <xf numFmtId="165" fontId="25292" fillId="8" borderId="1" xfId="0" applyNumberFormat="1" applyFont="1" applyFill="1" applyBorder="1" applyAlignment="1">
      <alignment horizontal="center" vertical="center"/>
    </xf>
    <xf numFmtId="1" fontId="25293" fillId="8" borderId="1" xfId="0" applyNumberFormat="1" applyFont="1" applyFill="1" applyBorder="1" applyAlignment="1">
      <alignment horizontal="center" vertical="center"/>
    </xf>
    <xf numFmtId="165" fontId="25294" fillId="8" borderId="1" xfId="0" applyNumberFormat="1" applyFont="1" applyFill="1" applyBorder="1" applyAlignment="1">
      <alignment horizontal="center" vertical="center"/>
    </xf>
    <xf numFmtId="165" fontId="25295" fillId="8" borderId="1" xfId="0" applyNumberFormat="1" applyFont="1" applyFill="1" applyBorder="1" applyAlignment="1">
      <alignment horizontal="center" vertical="center"/>
    </xf>
    <xf numFmtId="1" fontId="25296" fillId="8" borderId="1" xfId="0" applyNumberFormat="1" applyFont="1" applyFill="1" applyBorder="1" applyAlignment="1">
      <alignment horizontal="center" vertical="center"/>
    </xf>
    <xf numFmtId="1" fontId="25297" fillId="8" borderId="1" xfId="0" applyNumberFormat="1" applyFont="1" applyFill="1" applyBorder="1" applyAlignment="1">
      <alignment horizontal="center" vertical="center"/>
    </xf>
    <xf numFmtId="1" fontId="25298" fillId="8" borderId="1" xfId="0" applyNumberFormat="1" applyFont="1" applyFill="1" applyBorder="1" applyAlignment="1">
      <alignment horizontal="center" vertical="center"/>
    </xf>
    <xf numFmtId="165" fontId="25299" fillId="8" borderId="1" xfId="0" applyNumberFormat="1" applyFont="1" applyFill="1" applyBorder="1" applyAlignment="1">
      <alignment horizontal="center" vertical="center"/>
    </xf>
    <xf numFmtId="164" fontId="25300" fillId="8" borderId="1" xfId="0" applyNumberFormat="1" applyFont="1" applyFill="1" applyBorder="1" applyAlignment="1">
      <alignment horizontal="center" vertical="center"/>
    </xf>
    <xf numFmtId="164" fontId="25301" fillId="8" borderId="1" xfId="0" applyNumberFormat="1" applyFont="1" applyFill="1" applyBorder="1" applyAlignment="1">
      <alignment horizontal="center" vertical="center"/>
    </xf>
    <xf numFmtId="1" fontId="25302" fillId="8" borderId="1" xfId="0" applyNumberFormat="1" applyFont="1" applyFill="1" applyBorder="1" applyAlignment="1">
      <alignment horizontal="center" vertical="center"/>
    </xf>
    <xf numFmtId="1" fontId="25303" fillId="8" borderId="1" xfId="0" applyNumberFormat="1" applyFont="1" applyFill="1" applyBorder="1" applyAlignment="1">
      <alignment horizontal="center" vertical="center"/>
    </xf>
    <xf numFmtId="1" fontId="25304" fillId="8" borderId="1" xfId="0" applyNumberFormat="1" applyFont="1" applyFill="1" applyBorder="1" applyAlignment="1">
      <alignment horizontal="center" vertical="center"/>
    </xf>
    <xf numFmtId="165" fontId="25305" fillId="8" borderId="1" xfId="0" applyNumberFormat="1" applyFont="1" applyFill="1" applyBorder="1" applyAlignment="1">
      <alignment horizontal="center" vertical="center"/>
    </xf>
    <xf numFmtId="1" fontId="25306" fillId="8" borderId="1" xfId="0" applyNumberFormat="1" applyFont="1" applyFill="1" applyBorder="1" applyAlignment="1">
      <alignment horizontal="center" vertical="center"/>
    </xf>
    <xf numFmtId="165" fontId="25307" fillId="8" borderId="1" xfId="0" applyNumberFormat="1" applyFont="1" applyFill="1" applyBorder="1" applyAlignment="1">
      <alignment horizontal="center" vertical="center"/>
    </xf>
    <xf numFmtId="1" fontId="25308" fillId="8" borderId="1" xfId="0" applyNumberFormat="1" applyFont="1" applyFill="1" applyBorder="1" applyAlignment="1">
      <alignment horizontal="center" vertical="center"/>
    </xf>
    <xf numFmtId="1" fontId="25309" fillId="8" borderId="1" xfId="0" applyNumberFormat="1" applyFont="1" applyFill="1" applyBorder="1" applyAlignment="1">
      <alignment horizontal="center" vertical="center"/>
    </xf>
    <xf numFmtId="1" fontId="25310" fillId="8" borderId="1" xfId="0" applyNumberFormat="1" applyFont="1" applyFill="1" applyBorder="1" applyAlignment="1">
      <alignment horizontal="center" vertical="center"/>
    </xf>
    <xf numFmtId="1" fontId="25311" fillId="8" borderId="1" xfId="0" applyNumberFormat="1" applyFont="1" applyFill="1" applyBorder="1" applyAlignment="1">
      <alignment horizontal="center" vertical="center"/>
    </xf>
    <xf numFmtId="165" fontId="25312" fillId="8" borderId="1" xfId="0" applyNumberFormat="1" applyFont="1" applyFill="1" applyBorder="1" applyAlignment="1">
      <alignment horizontal="center" vertical="center"/>
    </xf>
    <xf numFmtId="1" fontId="25313" fillId="8" borderId="1" xfId="0" applyNumberFormat="1" applyFont="1" applyFill="1" applyBorder="1" applyAlignment="1">
      <alignment horizontal="center" vertical="center"/>
    </xf>
    <xf numFmtId="165" fontId="25314" fillId="8" borderId="1" xfId="0" applyNumberFormat="1" applyFont="1" applyFill="1" applyBorder="1" applyAlignment="1">
      <alignment horizontal="center" vertical="center"/>
    </xf>
    <xf numFmtId="1" fontId="25315" fillId="8" borderId="1" xfId="0" applyNumberFormat="1" applyFont="1" applyFill="1" applyBorder="1" applyAlignment="1">
      <alignment horizontal="center" vertical="center"/>
    </xf>
    <xf numFmtId="165" fontId="25316" fillId="8" borderId="1" xfId="0" applyNumberFormat="1" applyFont="1" applyFill="1" applyBorder="1" applyAlignment="1">
      <alignment horizontal="center" vertical="center"/>
    </xf>
    <xf numFmtId="2" fontId="25317" fillId="8" borderId="1" xfId="0" applyNumberFormat="1" applyFont="1" applyFill="1" applyBorder="1" applyAlignment="1">
      <alignment horizontal="center" vertical="center"/>
    </xf>
    <xf numFmtId="2" fontId="25318" fillId="8" borderId="1" xfId="0" applyNumberFormat="1" applyFont="1" applyFill="1" applyBorder="1" applyAlignment="1">
      <alignment horizontal="center" vertical="center"/>
    </xf>
    <xf numFmtId="2" fontId="25319" fillId="8" borderId="1" xfId="0" applyNumberFormat="1" applyFont="1" applyFill="1" applyBorder="1" applyAlignment="1">
      <alignment horizontal="center" vertical="center"/>
    </xf>
    <xf numFmtId="2" fontId="25320" fillId="8" borderId="1" xfId="0" applyNumberFormat="1" applyFont="1" applyFill="1" applyBorder="1" applyAlignment="1">
      <alignment horizontal="center" vertical="center"/>
    </xf>
    <xf numFmtId="2" fontId="25321" fillId="8" borderId="1" xfId="0" applyNumberFormat="1" applyFont="1" applyFill="1" applyBorder="1" applyAlignment="1">
      <alignment horizontal="center" vertical="center"/>
    </xf>
    <xf numFmtId="2" fontId="25322" fillId="8" borderId="1" xfId="0" applyNumberFormat="1" applyFont="1" applyFill="1" applyBorder="1" applyAlignment="1">
      <alignment horizontal="center" vertical="center"/>
    </xf>
    <xf numFmtId="2" fontId="25323" fillId="8" borderId="1" xfId="0" applyNumberFormat="1" applyFont="1" applyFill="1" applyBorder="1" applyAlignment="1">
      <alignment horizontal="center" vertical="center"/>
    </xf>
    <xf numFmtId="2" fontId="25324" fillId="8" borderId="1" xfId="0" applyNumberFormat="1" applyFont="1" applyFill="1" applyBorder="1" applyAlignment="1">
      <alignment horizontal="center" vertical="center"/>
    </xf>
    <xf numFmtId="2" fontId="25325" fillId="8" borderId="1" xfId="0" applyNumberFormat="1" applyFont="1" applyFill="1" applyBorder="1" applyAlignment="1">
      <alignment horizontal="center" vertical="center"/>
    </xf>
    <xf numFmtId="2" fontId="25326" fillId="8" borderId="1" xfId="0" applyNumberFormat="1" applyFont="1" applyFill="1" applyBorder="1" applyAlignment="1">
      <alignment horizontal="center" vertical="center"/>
    </xf>
    <xf numFmtId="2" fontId="25327" fillId="8" borderId="1" xfId="0" applyNumberFormat="1" applyFont="1" applyFill="1" applyBorder="1" applyAlignment="1">
      <alignment horizontal="center" vertical="center"/>
    </xf>
    <xf numFmtId="2" fontId="25328" fillId="8" borderId="1" xfId="0" applyNumberFormat="1" applyFont="1" applyFill="1" applyBorder="1" applyAlignment="1">
      <alignment horizontal="center" vertical="center"/>
    </xf>
    <xf numFmtId="2" fontId="25329" fillId="8" borderId="1" xfId="0" applyNumberFormat="1" applyFont="1" applyFill="1" applyBorder="1" applyAlignment="1">
      <alignment horizontal="center" vertical="center"/>
    </xf>
    <xf numFmtId="2" fontId="25330" fillId="8" borderId="1" xfId="0" applyNumberFormat="1" applyFont="1" applyFill="1" applyBorder="1" applyAlignment="1">
      <alignment horizontal="center" vertical="center"/>
    </xf>
    <xf numFmtId="2" fontId="25331" fillId="8" borderId="1" xfId="0" applyNumberFormat="1" applyFont="1" applyFill="1" applyBorder="1" applyAlignment="1">
      <alignment horizontal="center" vertical="center"/>
    </xf>
    <xf numFmtId="2" fontId="25332" fillId="8" borderId="1" xfId="0" applyNumberFormat="1" applyFont="1" applyFill="1" applyBorder="1" applyAlignment="1">
      <alignment horizontal="center" vertical="center"/>
    </xf>
    <xf numFmtId="2" fontId="25333" fillId="8" borderId="1" xfId="0" applyNumberFormat="1" applyFont="1" applyFill="1" applyBorder="1" applyAlignment="1">
      <alignment horizontal="center" vertical="center"/>
    </xf>
    <xf numFmtId="2" fontId="25334" fillId="8" borderId="1" xfId="0" applyNumberFormat="1" applyFont="1" applyFill="1" applyBorder="1" applyAlignment="1">
      <alignment horizontal="center" vertical="center"/>
    </xf>
    <xf numFmtId="2" fontId="25335" fillId="8" borderId="1" xfId="0" applyNumberFormat="1" applyFont="1" applyFill="1" applyBorder="1" applyAlignment="1">
      <alignment horizontal="center" vertical="center"/>
    </xf>
    <xf numFmtId="2" fontId="25336" fillId="8" borderId="1" xfId="0" applyNumberFormat="1" applyFont="1" applyFill="1" applyBorder="1" applyAlignment="1">
      <alignment horizontal="center" vertical="center"/>
    </xf>
    <xf numFmtId="2" fontId="25337" fillId="8" borderId="1" xfId="0" applyNumberFormat="1" applyFont="1" applyFill="1" applyBorder="1" applyAlignment="1">
      <alignment horizontal="center" vertical="center"/>
    </xf>
    <xf numFmtId="2" fontId="25338" fillId="8" borderId="1" xfId="0" applyNumberFormat="1" applyFont="1" applyFill="1" applyBorder="1" applyAlignment="1">
      <alignment horizontal="center" vertical="center"/>
    </xf>
    <xf numFmtId="2" fontId="25339" fillId="8" borderId="1" xfId="0" applyNumberFormat="1" applyFont="1" applyFill="1" applyBorder="1" applyAlignment="1">
      <alignment horizontal="center" vertical="center"/>
    </xf>
    <xf numFmtId="2" fontId="25340" fillId="8" borderId="1" xfId="0" applyNumberFormat="1" applyFont="1" applyFill="1" applyBorder="1" applyAlignment="1">
      <alignment horizontal="center" vertical="center"/>
    </xf>
    <xf numFmtId="2" fontId="25341" fillId="8" borderId="1" xfId="0" applyNumberFormat="1" applyFont="1" applyFill="1" applyBorder="1" applyAlignment="1">
      <alignment horizontal="center" vertical="center"/>
    </xf>
    <xf numFmtId="2" fontId="25342" fillId="8" borderId="1" xfId="0" applyNumberFormat="1" applyFont="1" applyFill="1" applyBorder="1" applyAlignment="1">
      <alignment horizontal="center" vertical="center"/>
    </xf>
    <xf numFmtId="2" fontId="25343" fillId="8" borderId="1" xfId="0" applyNumberFormat="1" applyFont="1" applyFill="1" applyBorder="1" applyAlignment="1">
      <alignment horizontal="center" vertical="center"/>
    </xf>
    <xf numFmtId="2" fontId="25344" fillId="8" borderId="1" xfId="0" applyNumberFormat="1" applyFont="1" applyFill="1" applyBorder="1" applyAlignment="1">
      <alignment horizontal="center" vertical="center"/>
    </xf>
    <xf numFmtId="2" fontId="25345" fillId="8" borderId="1" xfId="0" applyNumberFormat="1" applyFont="1" applyFill="1" applyBorder="1" applyAlignment="1">
      <alignment horizontal="center" vertical="center"/>
    </xf>
    <xf numFmtId="2" fontId="25346" fillId="8" borderId="1" xfId="0" applyNumberFormat="1" applyFont="1" applyFill="1" applyBorder="1" applyAlignment="1">
      <alignment horizontal="center" vertical="center"/>
    </xf>
    <xf numFmtId="2" fontId="25347" fillId="8" borderId="1" xfId="0" applyNumberFormat="1" applyFont="1" applyFill="1" applyBorder="1" applyAlignment="1">
      <alignment horizontal="center" vertical="center"/>
    </xf>
    <xf numFmtId="2" fontId="25348" fillId="8" borderId="1" xfId="0" applyNumberFormat="1" applyFont="1" applyFill="1" applyBorder="1" applyAlignment="1">
      <alignment horizontal="center" vertical="center"/>
    </xf>
    <xf numFmtId="2" fontId="25349" fillId="8" borderId="1" xfId="0" applyNumberFormat="1" applyFont="1" applyFill="1" applyBorder="1" applyAlignment="1">
      <alignment horizontal="center" vertical="center"/>
    </xf>
    <xf numFmtId="2" fontId="25350" fillId="8" borderId="1" xfId="0" applyNumberFormat="1" applyFont="1" applyFill="1" applyBorder="1" applyAlignment="1">
      <alignment horizontal="center" vertical="center"/>
    </xf>
    <xf numFmtId="0" fontId="25351" fillId="7" borderId="1" xfId="0" applyNumberFormat="1" applyFont="1" applyFill="1" applyBorder="1" applyAlignment="1">
      <alignment horizontal="left" vertical="center"/>
    </xf>
    <xf numFmtId="0" fontId="25352" fillId="8" borderId="1" xfId="0" applyNumberFormat="1" applyFont="1" applyFill="1" applyBorder="1" applyAlignment="1">
      <alignment horizontal="center" vertical="center"/>
    </xf>
    <xf numFmtId="164" fontId="25353" fillId="8" borderId="1" xfId="0" applyNumberFormat="1" applyFont="1" applyFill="1" applyBorder="1" applyAlignment="1">
      <alignment horizontal="center" vertical="center"/>
    </xf>
    <xf numFmtId="1" fontId="25354" fillId="8" borderId="1" xfId="0" applyNumberFormat="1" applyFont="1" applyFill="1" applyBorder="1" applyAlignment="1">
      <alignment horizontal="center" vertical="center"/>
    </xf>
    <xf numFmtId="1" fontId="25355" fillId="8" borderId="1" xfId="0" applyNumberFormat="1" applyFont="1" applyFill="1" applyBorder="1" applyAlignment="1">
      <alignment horizontal="center" vertical="center"/>
    </xf>
    <xf numFmtId="1" fontId="25356" fillId="8" borderId="1" xfId="0" applyNumberFormat="1" applyFont="1" applyFill="1" applyBorder="1" applyAlignment="1">
      <alignment horizontal="center" vertical="center"/>
    </xf>
    <xf numFmtId="1" fontId="25357" fillId="8" borderId="1" xfId="0" applyNumberFormat="1" applyFont="1" applyFill="1" applyBorder="1" applyAlignment="1">
      <alignment horizontal="center" vertical="center"/>
    </xf>
    <xf numFmtId="1" fontId="25358" fillId="8" borderId="1" xfId="0" applyNumberFormat="1" applyFont="1" applyFill="1" applyBorder="1" applyAlignment="1">
      <alignment horizontal="center" vertical="center"/>
    </xf>
    <xf numFmtId="1" fontId="25359" fillId="8" borderId="1" xfId="0" applyNumberFormat="1" applyFont="1" applyFill="1" applyBorder="1" applyAlignment="1">
      <alignment horizontal="center" vertical="center"/>
    </xf>
    <xf numFmtId="1" fontId="25360" fillId="8" borderId="1" xfId="0" applyNumberFormat="1" applyFont="1" applyFill="1" applyBorder="1" applyAlignment="1">
      <alignment horizontal="center" vertical="center"/>
    </xf>
    <xf numFmtId="0" fontId="25361" fillId="8" borderId="1" xfId="0" applyNumberFormat="1" applyFont="1" applyFill="1" applyBorder="1" applyAlignment="1">
      <alignment horizontal="center" vertical="center"/>
    </xf>
    <xf numFmtId="0" fontId="25362" fillId="8" borderId="1" xfId="0" applyNumberFormat="1" applyFont="1" applyFill="1" applyBorder="1" applyAlignment="1">
      <alignment horizontal="center" vertical="center"/>
    </xf>
    <xf numFmtId="1" fontId="25363" fillId="8" borderId="1" xfId="0" applyNumberFormat="1" applyFont="1" applyFill="1" applyBorder="1" applyAlignment="1">
      <alignment horizontal="center" vertical="center"/>
    </xf>
    <xf numFmtId="1" fontId="25364" fillId="8" borderId="1" xfId="0" applyNumberFormat="1" applyFont="1" applyFill="1" applyBorder="1" applyAlignment="1">
      <alignment horizontal="center" vertical="center"/>
    </xf>
    <xf numFmtId="1" fontId="25365" fillId="8" borderId="1" xfId="0" applyNumberFormat="1" applyFont="1" applyFill="1" applyBorder="1" applyAlignment="1">
      <alignment horizontal="center" vertical="center"/>
    </xf>
    <xf numFmtId="165" fontId="25366" fillId="8" borderId="1" xfId="0" applyNumberFormat="1" applyFont="1" applyFill="1" applyBorder="1" applyAlignment="1">
      <alignment horizontal="center" vertical="center"/>
    </xf>
    <xf numFmtId="1" fontId="25367" fillId="8" borderId="1" xfId="0" applyNumberFormat="1" applyFont="1" applyFill="1" applyBorder="1" applyAlignment="1">
      <alignment horizontal="center" vertical="center"/>
    </xf>
    <xf numFmtId="165" fontId="25368" fillId="8" borderId="1" xfId="0" applyNumberFormat="1" applyFont="1" applyFill="1" applyBorder="1" applyAlignment="1">
      <alignment horizontal="center" vertical="center"/>
    </xf>
    <xf numFmtId="1" fontId="25369" fillId="8" borderId="1" xfId="0" applyNumberFormat="1" applyFont="1" applyFill="1" applyBorder="1" applyAlignment="1">
      <alignment horizontal="center" vertical="center"/>
    </xf>
    <xf numFmtId="165" fontId="25370" fillId="8" borderId="1" xfId="0" applyNumberFormat="1" applyFont="1" applyFill="1" applyBorder="1" applyAlignment="1">
      <alignment horizontal="center" vertical="center"/>
    </xf>
    <xf numFmtId="1" fontId="25371" fillId="8" borderId="1" xfId="0" applyNumberFormat="1" applyFont="1" applyFill="1" applyBorder="1" applyAlignment="1">
      <alignment horizontal="center" vertical="center"/>
    </xf>
    <xf numFmtId="165" fontId="25372" fillId="8" borderId="1" xfId="0" applyNumberFormat="1" applyFont="1" applyFill="1" applyBorder="1" applyAlignment="1">
      <alignment horizontal="center" vertical="center"/>
    </xf>
    <xf numFmtId="165" fontId="25373" fillId="8" borderId="1" xfId="0" applyNumberFormat="1" applyFont="1" applyFill="1" applyBorder="1" applyAlignment="1">
      <alignment horizontal="center" vertical="center"/>
    </xf>
    <xf numFmtId="1" fontId="25374" fillId="8" borderId="1" xfId="0" applyNumberFormat="1" applyFont="1" applyFill="1" applyBorder="1" applyAlignment="1">
      <alignment horizontal="center" vertical="center"/>
    </xf>
    <xf numFmtId="1" fontId="25375" fillId="8" borderId="1" xfId="0" applyNumberFormat="1" applyFont="1" applyFill="1" applyBorder="1" applyAlignment="1">
      <alignment horizontal="center" vertical="center"/>
    </xf>
    <xf numFmtId="1" fontId="25376" fillId="8" borderId="1" xfId="0" applyNumberFormat="1" applyFont="1" applyFill="1" applyBorder="1" applyAlignment="1">
      <alignment horizontal="center" vertical="center"/>
    </xf>
    <xf numFmtId="165" fontId="25377" fillId="8" borderId="1" xfId="0" applyNumberFormat="1" applyFont="1" applyFill="1" applyBorder="1" applyAlignment="1">
      <alignment horizontal="center" vertical="center"/>
    </xf>
    <xf numFmtId="164" fontId="25378" fillId="8" borderId="1" xfId="0" applyNumberFormat="1" applyFont="1" applyFill="1" applyBorder="1" applyAlignment="1">
      <alignment horizontal="center" vertical="center"/>
    </xf>
    <xf numFmtId="164" fontId="25379" fillId="8" borderId="1" xfId="0" applyNumberFormat="1" applyFont="1" applyFill="1" applyBorder="1" applyAlignment="1">
      <alignment horizontal="center" vertical="center"/>
    </xf>
    <xf numFmtId="1" fontId="25380" fillId="8" borderId="1" xfId="0" applyNumberFormat="1" applyFont="1" applyFill="1" applyBorder="1" applyAlignment="1">
      <alignment horizontal="center" vertical="center"/>
    </xf>
    <xf numFmtId="1" fontId="25381" fillId="8" borderId="1" xfId="0" applyNumberFormat="1" applyFont="1" applyFill="1" applyBorder="1" applyAlignment="1">
      <alignment horizontal="center" vertical="center"/>
    </xf>
    <xf numFmtId="1" fontId="25382" fillId="8" borderId="1" xfId="0" applyNumberFormat="1" applyFont="1" applyFill="1" applyBorder="1" applyAlignment="1">
      <alignment horizontal="center" vertical="center"/>
    </xf>
    <xf numFmtId="165" fontId="25383" fillId="8" borderId="1" xfId="0" applyNumberFormat="1" applyFont="1" applyFill="1" applyBorder="1" applyAlignment="1">
      <alignment horizontal="center" vertical="center"/>
    </xf>
    <xf numFmtId="1" fontId="25384" fillId="8" borderId="1" xfId="0" applyNumberFormat="1" applyFont="1" applyFill="1" applyBorder="1" applyAlignment="1">
      <alignment horizontal="center" vertical="center"/>
    </xf>
    <xf numFmtId="165" fontId="25385" fillId="8" borderId="1" xfId="0" applyNumberFormat="1" applyFont="1" applyFill="1" applyBorder="1" applyAlignment="1">
      <alignment horizontal="center" vertical="center"/>
    </xf>
    <xf numFmtId="1" fontId="25386" fillId="8" borderId="1" xfId="0" applyNumberFormat="1" applyFont="1" applyFill="1" applyBorder="1" applyAlignment="1">
      <alignment horizontal="center" vertical="center"/>
    </xf>
    <xf numFmtId="1" fontId="25387" fillId="8" borderId="1" xfId="0" applyNumberFormat="1" applyFont="1" applyFill="1" applyBorder="1" applyAlignment="1">
      <alignment horizontal="center" vertical="center"/>
    </xf>
    <xf numFmtId="1" fontId="25388" fillId="8" borderId="1" xfId="0" applyNumberFormat="1" applyFont="1" applyFill="1" applyBorder="1" applyAlignment="1">
      <alignment horizontal="center" vertical="center"/>
    </xf>
    <xf numFmtId="1" fontId="25389" fillId="8" borderId="1" xfId="0" applyNumberFormat="1" applyFont="1" applyFill="1" applyBorder="1" applyAlignment="1">
      <alignment horizontal="center" vertical="center"/>
    </xf>
    <xf numFmtId="165" fontId="25390" fillId="8" borderId="1" xfId="0" applyNumberFormat="1" applyFont="1" applyFill="1" applyBorder="1" applyAlignment="1">
      <alignment horizontal="center" vertical="center"/>
    </xf>
    <xf numFmtId="1" fontId="25391" fillId="8" borderId="1" xfId="0" applyNumberFormat="1" applyFont="1" applyFill="1" applyBorder="1" applyAlignment="1">
      <alignment horizontal="center" vertical="center"/>
    </xf>
    <xf numFmtId="165" fontId="25392" fillId="8" borderId="1" xfId="0" applyNumberFormat="1" applyFont="1" applyFill="1" applyBorder="1" applyAlignment="1">
      <alignment horizontal="center" vertical="center"/>
    </xf>
    <xf numFmtId="1" fontId="25393" fillId="8" borderId="1" xfId="0" applyNumberFormat="1" applyFont="1" applyFill="1" applyBorder="1" applyAlignment="1">
      <alignment horizontal="center" vertical="center"/>
    </xf>
    <xf numFmtId="165" fontId="25394" fillId="8" borderId="1" xfId="0" applyNumberFormat="1" applyFont="1" applyFill="1" applyBorder="1" applyAlignment="1">
      <alignment horizontal="center" vertical="center"/>
    </xf>
    <xf numFmtId="2" fontId="25395" fillId="8" borderId="1" xfId="0" applyNumberFormat="1" applyFont="1" applyFill="1" applyBorder="1" applyAlignment="1">
      <alignment horizontal="center" vertical="center"/>
    </xf>
    <xf numFmtId="2" fontId="25396" fillId="8" borderId="1" xfId="0" applyNumberFormat="1" applyFont="1" applyFill="1" applyBorder="1" applyAlignment="1">
      <alignment horizontal="center" vertical="center"/>
    </xf>
    <xf numFmtId="2" fontId="25397" fillId="8" borderId="1" xfId="0" applyNumberFormat="1" applyFont="1" applyFill="1" applyBorder="1" applyAlignment="1">
      <alignment horizontal="center" vertical="center"/>
    </xf>
    <xf numFmtId="2" fontId="25398" fillId="8" borderId="1" xfId="0" applyNumberFormat="1" applyFont="1" applyFill="1" applyBorder="1" applyAlignment="1">
      <alignment horizontal="center" vertical="center"/>
    </xf>
    <xf numFmtId="2" fontId="25399" fillId="8" borderId="1" xfId="0" applyNumberFormat="1" applyFont="1" applyFill="1" applyBorder="1" applyAlignment="1">
      <alignment horizontal="center" vertical="center"/>
    </xf>
    <xf numFmtId="2" fontId="25400" fillId="8" borderId="1" xfId="0" applyNumberFormat="1" applyFont="1" applyFill="1" applyBorder="1" applyAlignment="1">
      <alignment horizontal="center" vertical="center"/>
    </xf>
    <xf numFmtId="2" fontId="25401" fillId="8" borderId="1" xfId="0" applyNumberFormat="1" applyFont="1" applyFill="1" applyBorder="1" applyAlignment="1">
      <alignment horizontal="center" vertical="center"/>
    </xf>
    <xf numFmtId="2" fontId="25402" fillId="8" borderId="1" xfId="0" applyNumberFormat="1" applyFont="1" applyFill="1" applyBorder="1" applyAlignment="1">
      <alignment horizontal="center" vertical="center"/>
    </xf>
    <xf numFmtId="2" fontId="25403" fillId="8" borderId="1" xfId="0" applyNumberFormat="1" applyFont="1" applyFill="1" applyBorder="1" applyAlignment="1">
      <alignment horizontal="center" vertical="center"/>
    </xf>
    <xf numFmtId="2" fontId="25404" fillId="8" borderId="1" xfId="0" applyNumberFormat="1" applyFont="1" applyFill="1" applyBorder="1" applyAlignment="1">
      <alignment horizontal="center" vertical="center"/>
    </xf>
    <xf numFmtId="2" fontId="25405" fillId="8" borderId="1" xfId="0" applyNumberFormat="1" applyFont="1" applyFill="1" applyBorder="1" applyAlignment="1">
      <alignment horizontal="center" vertical="center"/>
    </xf>
    <xf numFmtId="2" fontId="25406" fillId="8" borderId="1" xfId="0" applyNumberFormat="1" applyFont="1" applyFill="1" applyBorder="1" applyAlignment="1">
      <alignment horizontal="center" vertical="center"/>
    </xf>
    <xf numFmtId="2" fontId="25407" fillId="8" borderId="1" xfId="0" applyNumberFormat="1" applyFont="1" applyFill="1" applyBorder="1" applyAlignment="1">
      <alignment horizontal="center" vertical="center"/>
    </xf>
    <xf numFmtId="2" fontId="25408" fillId="8" borderId="1" xfId="0" applyNumberFormat="1" applyFont="1" applyFill="1" applyBorder="1" applyAlignment="1">
      <alignment horizontal="center" vertical="center"/>
    </xf>
    <xf numFmtId="2" fontId="25409" fillId="8" borderId="1" xfId="0" applyNumberFormat="1" applyFont="1" applyFill="1" applyBorder="1" applyAlignment="1">
      <alignment horizontal="center" vertical="center"/>
    </xf>
    <xf numFmtId="2" fontId="25410" fillId="8" borderId="1" xfId="0" applyNumberFormat="1" applyFont="1" applyFill="1" applyBorder="1" applyAlignment="1">
      <alignment horizontal="center" vertical="center"/>
    </xf>
    <xf numFmtId="2" fontId="25411" fillId="8" borderId="1" xfId="0" applyNumberFormat="1" applyFont="1" applyFill="1" applyBorder="1" applyAlignment="1">
      <alignment horizontal="center" vertical="center"/>
    </xf>
    <xf numFmtId="2" fontId="25412" fillId="8" borderId="1" xfId="0" applyNumberFormat="1" applyFont="1" applyFill="1" applyBorder="1" applyAlignment="1">
      <alignment horizontal="center" vertical="center"/>
    </xf>
    <xf numFmtId="2" fontId="25413" fillId="8" borderId="1" xfId="0" applyNumberFormat="1" applyFont="1" applyFill="1" applyBorder="1" applyAlignment="1">
      <alignment horizontal="center" vertical="center"/>
    </xf>
    <xf numFmtId="2" fontId="25414" fillId="8" borderId="1" xfId="0" applyNumberFormat="1" applyFont="1" applyFill="1" applyBorder="1" applyAlignment="1">
      <alignment horizontal="center" vertical="center"/>
    </xf>
    <xf numFmtId="2" fontId="25415" fillId="8" borderId="1" xfId="0" applyNumberFormat="1" applyFont="1" applyFill="1" applyBorder="1" applyAlignment="1">
      <alignment horizontal="center" vertical="center"/>
    </xf>
    <xf numFmtId="2" fontId="25416" fillId="8" borderId="1" xfId="0" applyNumberFormat="1" applyFont="1" applyFill="1" applyBorder="1" applyAlignment="1">
      <alignment horizontal="center" vertical="center"/>
    </xf>
    <xf numFmtId="2" fontId="25417" fillId="8" borderId="1" xfId="0" applyNumberFormat="1" applyFont="1" applyFill="1" applyBorder="1" applyAlignment="1">
      <alignment horizontal="center" vertical="center"/>
    </xf>
    <xf numFmtId="2" fontId="25418" fillId="8" borderId="1" xfId="0" applyNumberFormat="1" applyFont="1" applyFill="1" applyBorder="1" applyAlignment="1">
      <alignment horizontal="center" vertical="center"/>
    </xf>
    <xf numFmtId="2" fontId="25419" fillId="8" borderId="1" xfId="0" applyNumberFormat="1" applyFont="1" applyFill="1" applyBorder="1" applyAlignment="1">
      <alignment horizontal="center" vertical="center"/>
    </xf>
    <xf numFmtId="2" fontId="25420" fillId="8" borderId="1" xfId="0" applyNumberFormat="1" applyFont="1" applyFill="1" applyBorder="1" applyAlignment="1">
      <alignment horizontal="center" vertical="center"/>
    </xf>
    <xf numFmtId="2" fontId="25421" fillId="8" borderId="1" xfId="0" applyNumberFormat="1" applyFont="1" applyFill="1" applyBorder="1" applyAlignment="1">
      <alignment horizontal="center" vertical="center"/>
    </xf>
    <xf numFmtId="2" fontId="25422" fillId="8" borderId="1" xfId="0" applyNumberFormat="1" applyFont="1" applyFill="1" applyBorder="1" applyAlignment="1">
      <alignment horizontal="center" vertical="center"/>
    </xf>
    <xf numFmtId="2" fontId="25423" fillId="8" borderId="1" xfId="0" applyNumberFormat="1" applyFont="1" applyFill="1" applyBorder="1" applyAlignment="1">
      <alignment horizontal="center" vertical="center"/>
    </xf>
    <xf numFmtId="2" fontId="25424" fillId="8" borderId="1" xfId="0" applyNumberFormat="1" applyFont="1" applyFill="1" applyBorder="1" applyAlignment="1">
      <alignment horizontal="center" vertical="center"/>
    </xf>
    <xf numFmtId="2" fontId="25425" fillId="8" borderId="1" xfId="0" applyNumberFormat="1" applyFont="1" applyFill="1" applyBorder="1" applyAlignment="1">
      <alignment horizontal="center" vertical="center"/>
    </xf>
    <xf numFmtId="2" fontId="25426" fillId="8" borderId="1" xfId="0" applyNumberFormat="1" applyFont="1" applyFill="1" applyBorder="1" applyAlignment="1">
      <alignment horizontal="center" vertical="center"/>
    </xf>
    <xf numFmtId="2" fontId="25427" fillId="8" borderId="1" xfId="0" applyNumberFormat="1" applyFont="1" applyFill="1" applyBorder="1" applyAlignment="1">
      <alignment horizontal="center" vertical="center"/>
    </xf>
    <xf numFmtId="2" fontId="25428" fillId="8" borderId="1" xfId="0" applyNumberFormat="1" applyFont="1" applyFill="1" applyBorder="1" applyAlignment="1">
      <alignment horizontal="center" vertical="center"/>
    </xf>
    <xf numFmtId="0" fontId="25429" fillId="7" borderId="1" xfId="0" applyNumberFormat="1" applyFont="1" applyFill="1" applyBorder="1" applyAlignment="1">
      <alignment horizontal="left" vertical="center"/>
    </xf>
    <xf numFmtId="0" fontId="25430" fillId="8" borderId="1" xfId="0" applyNumberFormat="1" applyFont="1" applyFill="1" applyBorder="1" applyAlignment="1">
      <alignment horizontal="center" vertical="center"/>
    </xf>
    <xf numFmtId="164" fontId="25431" fillId="8" borderId="1" xfId="0" applyNumberFormat="1" applyFont="1" applyFill="1" applyBorder="1" applyAlignment="1">
      <alignment horizontal="center" vertical="center"/>
    </xf>
    <xf numFmtId="1" fontId="25432" fillId="8" borderId="1" xfId="0" applyNumberFormat="1" applyFont="1" applyFill="1" applyBorder="1" applyAlignment="1">
      <alignment horizontal="center" vertical="center"/>
    </xf>
    <xf numFmtId="1" fontId="25433" fillId="8" borderId="1" xfId="0" applyNumberFormat="1" applyFont="1" applyFill="1" applyBorder="1" applyAlignment="1">
      <alignment horizontal="center" vertical="center"/>
    </xf>
    <xf numFmtId="1" fontId="25434" fillId="8" borderId="1" xfId="0" applyNumberFormat="1" applyFont="1" applyFill="1" applyBorder="1" applyAlignment="1">
      <alignment horizontal="center" vertical="center"/>
    </xf>
    <xf numFmtId="1" fontId="25435" fillId="8" borderId="1" xfId="0" applyNumberFormat="1" applyFont="1" applyFill="1" applyBorder="1" applyAlignment="1">
      <alignment horizontal="center" vertical="center"/>
    </xf>
    <xf numFmtId="1" fontId="25436" fillId="8" borderId="1" xfId="0" applyNumberFormat="1" applyFont="1" applyFill="1" applyBorder="1" applyAlignment="1">
      <alignment horizontal="center" vertical="center"/>
    </xf>
    <xf numFmtId="1" fontId="25437" fillId="8" borderId="1" xfId="0" applyNumberFormat="1" applyFont="1" applyFill="1" applyBorder="1" applyAlignment="1">
      <alignment horizontal="center" vertical="center"/>
    </xf>
    <xf numFmtId="1" fontId="25438" fillId="8" borderId="1" xfId="0" applyNumberFormat="1" applyFont="1" applyFill="1" applyBorder="1" applyAlignment="1">
      <alignment horizontal="center" vertical="center"/>
    </xf>
    <xf numFmtId="0" fontId="25439" fillId="8" borderId="1" xfId="0" applyNumberFormat="1" applyFont="1" applyFill="1" applyBorder="1" applyAlignment="1">
      <alignment horizontal="center" vertical="center"/>
    </xf>
    <xf numFmtId="0" fontId="25440" fillId="8" borderId="1" xfId="0" applyNumberFormat="1" applyFont="1" applyFill="1" applyBorder="1" applyAlignment="1">
      <alignment horizontal="center" vertical="center"/>
    </xf>
    <xf numFmtId="1" fontId="25441" fillId="8" borderId="1" xfId="0" applyNumberFormat="1" applyFont="1" applyFill="1" applyBorder="1" applyAlignment="1">
      <alignment horizontal="center" vertical="center"/>
    </xf>
    <xf numFmtId="1" fontId="25442" fillId="8" borderId="1" xfId="0" applyNumberFormat="1" applyFont="1" applyFill="1" applyBorder="1" applyAlignment="1">
      <alignment horizontal="center" vertical="center"/>
    </xf>
    <xf numFmtId="1" fontId="25443" fillId="8" borderId="1" xfId="0" applyNumberFormat="1" applyFont="1" applyFill="1" applyBorder="1" applyAlignment="1">
      <alignment horizontal="center" vertical="center"/>
    </xf>
    <xf numFmtId="165" fontId="25444" fillId="8" borderId="1" xfId="0" applyNumberFormat="1" applyFont="1" applyFill="1" applyBorder="1" applyAlignment="1">
      <alignment horizontal="center" vertical="center"/>
    </xf>
    <xf numFmtId="1" fontId="25445" fillId="8" borderId="1" xfId="0" applyNumberFormat="1" applyFont="1" applyFill="1" applyBorder="1" applyAlignment="1">
      <alignment horizontal="center" vertical="center"/>
    </xf>
    <xf numFmtId="165" fontId="25446" fillId="8" borderId="1" xfId="0" applyNumberFormat="1" applyFont="1" applyFill="1" applyBorder="1" applyAlignment="1">
      <alignment horizontal="center" vertical="center"/>
    </xf>
    <xf numFmtId="1" fontId="25447" fillId="8" borderId="1" xfId="0" applyNumberFormat="1" applyFont="1" applyFill="1" applyBorder="1" applyAlignment="1">
      <alignment horizontal="center" vertical="center"/>
    </xf>
    <xf numFmtId="165" fontId="25448" fillId="8" borderId="1" xfId="0" applyNumberFormat="1" applyFont="1" applyFill="1" applyBorder="1" applyAlignment="1">
      <alignment horizontal="center" vertical="center"/>
    </xf>
    <xf numFmtId="1" fontId="25449" fillId="8" borderId="1" xfId="0" applyNumberFormat="1" applyFont="1" applyFill="1" applyBorder="1" applyAlignment="1">
      <alignment horizontal="center" vertical="center"/>
    </xf>
    <xf numFmtId="165" fontId="25450" fillId="8" borderId="1" xfId="0" applyNumberFormat="1" applyFont="1" applyFill="1" applyBorder="1" applyAlignment="1">
      <alignment horizontal="center" vertical="center"/>
    </xf>
    <xf numFmtId="165" fontId="25451" fillId="8" borderId="1" xfId="0" applyNumberFormat="1" applyFont="1" applyFill="1" applyBorder="1" applyAlignment="1">
      <alignment horizontal="center" vertical="center"/>
    </xf>
    <xf numFmtId="1" fontId="25452" fillId="8" borderId="1" xfId="0" applyNumberFormat="1" applyFont="1" applyFill="1" applyBorder="1" applyAlignment="1">
      <alignment horizontal="center" vertical="center"/>
    </xf>
    <xf numFmtId="1" fontId="25453" fillId="8" borderId="1" xfId="0" applyNumberFormat="1" applyFont="1" applyFill="1" applyBorder="1" applyAlignment="1">
      <alignment horizontal="center" vertical="center"/>
    </xf>
    <xf numFmtId="1" fontId="25454" fillId="8" borderId="1" xfId="0" applyNumberFormat="1" applyFont="1" applyFill="1" applyBorder="1" applyAlignment="1">
      <alignment horizontal="center" vertical="center"/>
    </xf>
    <xf numFmtId="165" fontId="25455" fillId="8" borderId="1" xfId="0" applyNumberFormat="1" applyFont="1" applyFill="1" applyBorder="1" applyAlignment="1">
      <alignment horizontal="center" vertical="center"/>
    </xf>
    <xf numFmtId="164" fontId="25456" fillId="8" borderId="1" xfId="0" applyNumberFormat="1" applyFont="1" applyFill="1" applyBorder="1" applyAlignment="1">
      <alignment horizontal="center" vertical="center"/>
    </xf>
    <xf numFmtId="164" fontId="25457" fillId="8" borderId="1" xfId="0" applyNumberFormat="1" applyFont="1" applyFill="1" applyBorder="1" applyAlignment="1">
      <alignment horizontal="center" vertical="center"/>
    </xf>
    <xf numFmtId="1" fontId="25458" fillId="8" borderId="1" xfId="0" applyNumberFormat="1" applyFont="1" applyFill="1" applyBorder="1" applyAlignment="1">
      <alignment horizontal="center" vertical="center"/>
    </xf>
    <xf numFmtId="1" fontId="25459" fillId="8" borderId="1" xfId="0" applyNumberFormat="1" applyFont="1" applyFill="1" applyBorder="1" applyAlignment="1">
      <alignment horizontal="center" vertical="center"/>
    </xf>
    <xf numFmtId="1" fontId="25460" fillId="8" borderId="1" xfId="0" applyNumberFormat="1" applyFont="1" applyFill="1" applyBorder="1" applyAlignment="1">
      <alignment horizontal="center" vertical="center"/>
    </xf>
    <xf numFmtId="165" fontId="25461" fillId="8" borderId="1" xfId="0" applyNumberFormat="1" applyFont="1" applyFill="1" applyBorder="1" applyAlignment="1">
      <alignment horizontal="center" vertical="center"/>
    </xf>
    <xf numFmtId="1" fontId="25462" fillId="8" borderId="1" xfId="0" applyNumberFormat="1" applyFont="1" applyFill="1" applyBorder="1" applyAlignment="1">
      <alignment horizontal="center" vertical="center"/>
    </xf>
    <xf numFmtId="165" fontId="25463" fillId="8" borderId="1" xfId="0" applyNumberFormat="1" applyFont="1" applyFill="1" applyBorder="1" applyAlignment="1">
      <alignment horizontal="center" vertical="center"/>
    </xf>
    <xf numFmtId="1" fontId="25464" fillId="8" borderId="1" xfId="0" applyNumberFormat="1" applyFont="1" applyFill="1" applyBorder="1" applyAlignment="1">
      <alignment horizontal="center" vertical="center"/>
    </xf>
    <xf numFmtId="1" fontId="25465" fillId="8" borderId="1" xfId="0" applyNumberFormat="1" applyFont="1" applyFill="1" applyBorder="1" applyAlignment="1">
      <alignment horizontal="center" vertical="center"/>
    </xf>
    <xf numFmtId="1" fontId="25466" fillId="8" borderId="1" xfId="0" applyNumberFormat="1" applyFont="1" applyFill="1" applyBorder="1" applyAlignment="1">
      <alignment horizontal="center" vertical="center"/>
    </xf>
    <xf numFmtId="1" fontId="25467" fillId="8" borderId="1" xfId="0" applyNumberFormat="1" applyFont="1" applyFill="1" applyBorder="1" applyAlignment="1">
      <alignment horizontal="center" vertical="center"/>
    </xf>
    <xf numFmtId="165" fontId="25468" fillId="8" borderId="1" xfId="0" applyNumberFormat="1" applyFont="1" applyFill="1" applyBorder="1" applyAlignment="1">
      <alignment horizontal="center" vertical="center"/>
    </xf>
    <xf numFmtId="1" fontId="25469" fillId="8" borderId="1" xfId="0" applyNumberFormat="1" applyFont="1" applyFill="1" applyBorder="1" applyAlignment="1">
      <alignment horizontal="center" vertical="center"/>
    </xf>
    <xf numFmtId="165" fontId="25470" fillId="8" borderId="1" xfId="0" applyNumberFormat="1" applyFont="1" applyFill="1" applyBorder="1" applyAlignment="1">
      <alignment horizontal="center" vertical="center"/>
    </xf>
    <xf numFmtId="1" fontId="25471" fillId="8" borderId="1" xfId="0" applyNumberFormat="1" applyFont="1" applyFill="1" applyBorder="1" applyAlignment="1">
      <alignment horizontal="center" vertical="center"/>
    </xf>
    <xf numFmtId="165" fontId="25472" fillId="8" borderId="1" xfId="0" applyNumberFormat="1" applyFont="1" applyFill="1" applyBorder="1" applyAlignment="1">
      <alignment horizontal="center" vertical="center"/>
    </xf>
    <xf numFmtId="2" fontId="25473" fillId="8" borderId="1" xfId="0" applyNumberFormat="1" applyFont="1" applyFill="1" applyBorder="1" applyAlignment="1">
      <alignment horizontal="center" vertical="center"/>
    </xf>
    <xf numFmtId="2" fontId="25474" fillId="8" borderId="1" xfId="0" applyNumberFormat="1" applyFont="1" applyFill="1" applyBorder="1" applyAlignment="1">
      <alignment horizontal="center" vertical="center"/>
    </xf>
    <xf numFmtId="2" fontId="25475" fillId="8" borderId="1" xfId="0" applyNumberFormat="1" applyFont="1" applyFill="1" applyBorder="1" applyAlignment="1">
      <alignment horizontal="center" vertical="center"/>
    </xf>
    <xf numFmtId="2" fontId="25476" fillId="8" borderId="1" xfId="0" applyNumberFormat="1" applyFont="1" applyFill="1" applyBorder="1" applyAlignment="1">
      <alignment horizontal="center" vertical="center"/>
    </xf>
    <xf numFmtId="2" fontId="25477" fillId="8" borderId="1" xfId="0" applyNumberFormat="1" applyFont="1" applyFill="1" applyBorder="1" applyAlignment="1">
      <alignment horizontal="center" vertical="center"/>
    </xf>
    <xf numFmtId="2" fontId="25478" fillId="8" borderId="1" xfId="0" applyNumberFormat="1" applyFont="1" applyFill="1" applyBorder="1" applyAlignment="1">
      <alignment horizontal="center" vertical="center"/>
    </xf>
    <xf numFmtId="2" fontId="25479" fillId="8" borderId="1" xfId="0" applyNumberFormat="1" applyFont="1" applyFill="1" applyBorder="1" applyAlignment="1">
      <alignment horizontal="center" vertical="center"/>
    </xf>
    <xf numFmtId="2" fontId="25480" fillId="8" borderId="1" xfId="0" applyNumberFormat="1" applyFont="1" applyFill="1" applyBorder="1" applyAlignment="1">
      <alignment horizontal="center" vertical="center"/>
    </xf>
    <xf numFmtId="2" fontId="25481" fillId="8" borderId="1" xfId="0" applyNumberFormat="1" applyFont="1" applyFill="1" applyBorder="1" applyAlignment="1">
      <alignment horizontal="center" vertical="center"/>
    </xf>
    <xf numFmtId="2" fontId="25482" fillId="8" borderId="1" xfId="0" applyNumberFormat="1" applyFont="1" applyFill="1" applyBorder="1" applyAlignment="1">
      <alignment horizontal="center" vertical="center"/>
    </xf>
    <xf numFmtId="2" fontId="25483" fillId="8" borderId="1" xfId="0" applyNumberFormat="1" applyFont="1" applyFill="1" applyBorder="1" applyAlignment="1">
      <alignment horizontal="center" vertical="center"/>
    </xf>
    <xf numFmtId="2" fontId="25484" fillId="8" borderId="1" xfId="0" applyNumberFormat="1" applyFont="1" applyFill="1" applyBorder="1" applyAlignment="1">
      <alignment horizontal="center" vertical="center"/>
    </xf>
    <xf numFmtId="2" fontId="25485" fillId="8" borderId="1" xfId="0" applyNumberFormat="1" applyFont="1" applyFill="1" applyBorder="1" applyAlignment="1">
      <alignment horizontal="center" vertical="center"/>
    </xf>
    <xf numFmtId="2" fontId="25486" fillId="8" borderId="1" xfId="0" applyNumberFormat="1" applyFont="1" applyFill="1" applyBorder="1" applyAlignment="1">
      <alignment horizontal="center" vertical="center"/>
    </xf>
    <xf numFmtId="2" fontId="25487" fillId="8" borderId="1" xfId="0" applyNumberFormat="1" applyFont="1" applyFill="1" applyBorder="1" applyAlignment="1">
      <alignment horizontal="center" vertical="center"/>
    </xf>
    <xf numFmtId="2" fontId="25488" fillId="8" borderId="1" xfId="0" applyNumberFormat="1" applyFont="1" applyFill="1" applyBorder="1" applyAlignment="1">
      <alignment horizontal="center" vertical="center"/>
    </xf>
    <xf numFmtId="2" fontId="25489" fillId="8" borderId="1" xfId="0" applyNumberFormat="1" applyFont="1" applyFill="1" applyBorder="1" applyAlignment="1">
      <alignment horizontal="center" vertical="center"/>
    </xf>
    <xf numFmtId="2" fontId="25490" fillId="8" borderId="1" xfId="0" applyNumberFormat="1" applyFont="1" applyFill="1" applyBorder="1" applyAlignment="1">
      <alignment horizontal="center" vertical="center"/>
    </xf>
    <xf numFmtId="2" fontId="25491" fillId="8" borderId="1" xfId="0" applyNumberFormat="1" applyFont="1" applyFill="1" applyBorder="1" applyAlignment="1">
      <alignment horizontal="center" vertical="center"/>
    </xf>
    <xf numFmtId="2" fontId="25492" fillId="8" borderId="1" xfId="0" applyNumberFormat="1" applyFont="1" applyFill="1" applyBorder="1" applyAlignment="1">
      <alignment horizontal="center" vertical="center"/>
    </xf>
    <xf numFmtId="2" fontId="25493" fillId="8" borderId="1" xfId="0" applyNumberFormat="1" applyFont="1" applyFill="1" applyBorder="1" applyAlignment="1">
      <alignment horizontal="center" vertical="center"/>
    </xf>
    <xf numFmtId="2" fontId="25494" fillId="8" borderId="1" xfId="0" applyNumberFormat="1" applyFont="1" applyFill="1" applyBorder="1" applyAlignment="1">
      <alignment horizontal="center" vertical="center"/>
    </xf>
    <xf numFmtId="2" fontId="25495" fillId="8" borderId="1" xfId="0" applyNumberFormat="1" applyFont="1" applyFill="1" applyBorder="1" applyAlignment="1">
      <alignment horizontal="center" vertical="center"/>
    </xf>
    <xf numFmtId="2" fontId="25496" fillId="8" borderId="1" xfId="0" applyNumberFormat="1" applyFont="1" applyFill="1" applyBorder="1" applyAlignment="1">
      <alignment horizontal="center" vertical="center"/>
    </xf>
    <xf numFmtId="2" fontId="25497" fillId="8" borderId="1" xfId="0" applyNumberFormat="1" applyFont="1" applyFill="1" applyBorder="1" applyAlignment="1">
      <alignment horizontal="center" vertical="center"/>
    </xf>
    <xf numFmtId="2" fontId="25498" fillId="8" borderId="1" xfId="0" applyNumberFormat="1" applyFont="1" applyFill="1" applyBorder="1" applyAlignment="1">
      <alignment horizontal="center" vertical="center"/>
    </xf>
    <xf numFmtId="2" fontId="25499" fillId="8" borderId="1" xfId="0" applyNumberFormat="1" applyFont="1" applyFill="1" applyBorder="1" applyAlignment="1">
      <alignment horizontal="center" vertical="center"/>
    </xf>
    <xf numFmtId="2" fontId="25500" fillId="8" borderId="1" xfId="0" applyNumberFormat="1" applyFont="1" applyFill="1" applyBorder="1" applyAlignment="1">
      <alignment horizontal="center" vertical="center"/>
    </xf>
    <xf numFmtId="2" fontId="25501" fillId="8" borderId="1" xfId="0" applyNumberFormat="1" applyFont="1" applyFill="1" applyBorder="1" applyAlignment="1">
      <alignment horizontal="center" vertical="center"/>
    </xf>
    <xf numFmtId="2" fontId="25502" fillId="8" borderId="1" xfId="0" applyNumberFormat="1" applyFont="1" applyFill="1" applyBorder="1" applyAlignment="1">
      <alignment horizontal="center" vertical="center"/>
    </xf>
    <xf numFmtId="2" fontId="25503" fillId="8" borderId="1" xfId="0" applyNumberFormat="1" applyFont="1" applyFill="1" applyBorder="1" applyAlignment="1">
      <alignment horizontal="center" vertical="center"/>
    </xf>
    <xf numFmtId="2" fontId="25504" fillId="8" borderId="1" xfId="0" applyNumberFormat="1" applyFont="1" applyFill="1" applyBorder="1" applyAlignment="1">
      <alignment horizontal="center" vertical="center"/>
    </xf>
    <xf numFmtId="2" fontId="25505" fillId="8" borderId="1" xfId="0" applyNumberFormat="1" applyFont="1" applyFill="1" applyBorder="1" applyAlignment="1">
      <alignment horizontal="center" vertical="center"/>
    </xf>
    <xf numFmtId="2" fontId="25506" fillId="8" borderId="1" xfId="0" applyNumberFormat="1" applyFont="1" applyFill="1" applyBorder="1" applyAlignment="1">
      <alignment horizontal="center" vertical="center"/>
    </xf>
    <xf numFmtId="0" fontId="25507" fillId="7" borderId="1" xfId="0" applyNumberFormat="1" applyFont="1" applyFill="1" applyBorder="1" applyAlignment="1">
      <alignment horizontal="left" vertical="center"/>
    </xf>
    <xf numFmtId="0" fontId="25508" fillId="8" borderId="1" xfId="0" applyNumberFormat="1" applyFont="1" applyFill="1" applyBorder="1" applyAlignment="1">
      <alignment horizontal="center" vertical="center"/>
    </xf>
    <xf numFmtId="164" fontId="25509" fillId="8" borderId="1" xfId="0" applyNumberFormat="1" applyFont="1" applyFill="1" applyBorder="1" applyAlignment="1">
      <alignment horizontal="center" vertical="center"/>
    </xf>
    <xf numFmtId="1" fontId="25510" fillId="8" borderId="1" xfId="0" applyNumberFormat="1" applyFont="1" applyFill="1" applyBorder="1" applyAlignment="1">
      <alignment horizontal="center" vertical="center"/>
    </xf>
    <xf numFmtId="1" fontId="25511" fillId="8" borderId="1" xfId="0" applyNumberFormat="1" applyFont="1" applyFill="1" applyBorder="1" applyAlignment="1">
      <alignment horizontal="center" vertical="center"/>
    </xf>
    <xf numFmtId="1" fontId="25512" fillId="8" borderId="1" xfId="0" applyNumberFormat="1" applyFont="1" applyFill="1" applyBorder="1" applyAlignment="1">
      <alignment horizontal="center" vertical="center"/>
    </xf>
    <xf numFmtId="1" fontId="25513" fillId="8" borderId="1" xfId="0" applyNumberFormat="1" applyFont="1" applyFill="1" applyBorder="1" applyAlignment="1">
      <alignment horizontal="center" vertical="center"/>
    </xf>
    <xf numFmtId="1" fontId="25514" fillId="8" borderId="1" xfId="0" applyNumberFormat="1" applyFont="1" applyFill="1" applyBorder="1" applyAlignment="1">
      <alignment horizontal="center" vertical="center"/>
    </xf>
    <xf numFmtId="1" fontId="25515" fillId="8" borderId="1" xfId="0" applyNumberFormat="1" applyFont="1" applyFill="1" applyBorder="1" applyAlignment="1">
      <alignment horizontal="center" vertical="center"/>
    </xf>
    <xf numFmtId="1" fontId="25516" fillId="8" borderId="1" xfId="0" applyNumberFormat="1" applyFont="1" applyFill="1" applyBorder="1" applyAlignment="1">
      <alignment horizontal="center" vertical="center"/>
    </xf>
    <xf numFmtId="0" fontId="25517" fillId="8" borderId="1" xfId="0" applyNumberFormat="1" applyFont="1" applyFill="1" applyBorder="1" applyAlignment="1">
      <alignment horizontal="center" vertical="center"/>
    </xf>
    <xf numFmtId="0" fontId="25518" fillId="8" borderId="1" xfId="0" applyNumberFormat="1" applyFont="1" applyFill="1" applyBorder="1" applyAlignment="1">
      <alignment horizontal="center" vertical="center"/>
    </xf>
    <xf numFmtId="1" fontId="25519" fillId="8" borderId="1" xfId="0" applyNumberFormat="1" applyFont="1" applyFill="1" applyBorder="1" applyAlignment="1">
      <alignment horizontal="center" vertical="center"/>
    </xf>
    <xf numFmtId="1" fontId="25520" fillId="8" borderId="1" xfId="0" applyNumberFormat="1" applyFont="1" applyFill="1" applyBorder="1" applyAlignment="1">
      <alignment horizontal="center" vertical="center"/>
    </xf>
    <xf numFmtId="1" fontId="25521" fillId="8" borderId="1" xfId="0" applyNumberFormat="1" applyFont="1" applyFill="1" applyBorder="1" applyAlignment="1">
      <alignment horizontal="center" vertical="center"/>
    </xf>
    <xf numFmtId="165" fontId="25522" fillId="8" borderId="1" xfId="0" applyNumberFormat="1" applyFont="1" applyFill="1" applyBorder="1" applyAlignment="1">
      <alignment horizontal="center" vertical="center"/>
    </xf>
    <xf numFmtId="1" fontId="25523" fillId="8" borderId="1" xfId="0" applyNumberFormat="1" applyFont="1" applyFill="1" applyBorder="1" applyAlignment="1">
      <alignment horizontal="center" vertical="center"/>
    </xf>
    <xf numFmtId="165" fontId="25524" fillId="8" borderId="1" xfId="0" applyNumberFormat="1" applyFont="1" applyFill="1" applyBorder="1" applyAlignment="1">
      <alignment horizontal="center" vertical="center"/>
    </xf>
    <xf numFmtId="1" fontId="25525" fillId="8" borderId="1" xfId="0" applyNumberFormat="1" applyFont="1" applyFill="1" applyBorder="1" applyAlignment="1">
      <alignment horizontal="center" vertical="center"/>
    </xf>
    <xf numFmtId="165" fontId="25526" fillId="8" borderId="1" xfId="0" applyNumberFormat="1" applyFont="1" applyFill="1" applyBorder="1" applyAlignment="1">
      <alignment horizontal="center" vertical="center"/>
    </xf>
    <xf numFmtId="1" fontId="25527" fillId="8" borderId="1" xfId="0" applyNumberFormat="1" applyFont="1" applyFill="1" applyBorder="1" applyAlignment="1">
      <alignment horizontal="center" vertical="center"/>
    </xf>
    <xf numFmtId="165" fontId="25528" fillId="8" borderId="1" xfId="0" applyNumberFormat="1" applyFont="1" applyFill="1" applyBorder="1" applyAlignment="1">
      <alignment horizontal="center" vertical="center"/>
    </xf>
    <xf numFmtId="165" fontId="25529" fillId="8" borderId="1" xfId="0" applyNumberFormat="1" applyFont="1" applyFill="1" applyBorder="1" applyAlignment="1">
      <alignment horizontal="center" vertical="center"/>
    </xf>
    <xf numFmtId="1" fontId="25530" fillId="8" borderId="1" xfId="0" applyNumberFormat="1" applyFont="1" applyFill="1" applyBorder="1" applyAlignment="1">
      <alignment horizontal="center" vertical="center"/>
    </xf>
    <xf numFmtId="1" fontId="25531" fillId="8" borderId="1" xfId="0" applyNumberFormat="1" applyFont="1" applyFill="1" applyBorder="1" applyAlignment="1">
      <alignment horizontal="center" vertical="center"/>
    </xf>
    <xf numFmtId="1" fontId="25532" fillId="8" borderId="1" xfId="0" applyNumberFormat="1" applyFont="1" applyFill="1" applyBorder="1" applyAlignment="1">
      <alignment horizontal="center" vertical="center"/>
    </xf>
    <xf numFmtId="165" fontId="25533" fillId="8" borderId="1" xfId="0" applyNumberFormat="1" applyFont="1" applyFill="1" applyBorder="1" applyAlignment="1">
      <alignment horizontal="center" vertical="center"/>
    </xf>
    <xf numFmtId="164" fontId="25534" fillId="8" borderId="1" xfId="0" applyNumberFormat="1" applyFont="1" applyFill="1" applyBorder="1" applyAlignment="1">
      <alignment horizontal="center" vertical="center"/>
    </xf>
    <xf numFmtId="164" fontId="25535" fillId="8" borderId="1" xfId="0" applyNumberFormat="1" applyFont="1" applyFill="1" applyBorder="1" applyAlignment="1">
      <alignment horizontal="center" vertical="center"/>
    </xf>
    <xf numFmtId="1" fontId="25536" fillId="8" borderId="1" xfId="0" applyNumberFormat="1" applyFont="1" applyFill="1" applyBorder="1" applyAlignment="1">
      <alignment horizontal="center" vertical="center"/>
    </xf>
    <xf numFmtId="1" fontId="25537" fillId="8" borderId="1" xfId="0" applyNumberFormat="1" applyFont="1" applyFill="1" applyBorder="1" applyAlignment="1">
      <alignment horizontal="center" vertical="center"/>
    </xf>
    <xf numFmtId="1" fontId="25538" fillId="8" borderId="1" xfId="0" applyNumberFormat="1" applyFont="1" applyFill="1" applyBorder="1" applyAlignment="1">
      <alignment horizontal="center" vertical="center"/>
    </xf>
    <xf numFmtId="165" fontId="25539" fillId="8" borderId="1" xfId="0" applyNumberFormat="1" applyFont="1" applyFill="1" applyBorder="1" applyAlignment="1">
      <alignment horizontal="center" vertical="center"/>
    </xf>
    <xf numFmtId="1" fontId="25540" fillId="8" borderId="1" xfId="0" applyNumberFormat="1" applyFont="1" applyFill="1" applyBorder="1" applyAlignment="1">
      <alignment horizontal="center" vertical="center"/>
    </xf>
    <xf numFmtId="165" fontId="25541" fillId="8" borderId="1" xfId="0" applyNumberFormat="1" applyFont="1" applyFill="1" applyBorder="1" applyAlignment="1">
      <alignment horizontal="center" vertical="center"/>
    </xf>
    <xf numFmtId="1" fontId="25542" fillId="8" borderId="1" xfId="0" applyNumberFormat="1" applyFont="1" applyFill="1" applyBorder="1" applyAlignment="1">
      <alignment horizontal="center" vertical="center"/>
    </xf>
    <xf numFmtId="1" fontId="25543" fillId="8" borderId="1" xfId="0" applyNumberFormat="1" applyFont="1" applyFill="1" applyBorder="1" applyAlignment="1">
      <alignment horizontal="center" vertical="center"/>
    </xf>
    <xf numFmtId="1" fontId="25544" fillId="8" borderId="1" xfId="0" applyNumberFormat="1" applyFont="1" applyFill="1" applyBorder="1" applyAlignment="1">
      <alignment horizontal="center" vertical="center"/>
    </xf>
    <xf numFmtId="1" fontId="25545" fillId="8" borderId="1" xfId="0" applyNumberFormat="1" applyFont="1" applyFill="1" applyBorder="1" applyAlignment="1">
      <alignment horizontal="center" vertical="center"/>
    </xf>
    <xf numFmtId="165" fontId="25546" fillId="8" borderId="1" xfId="0" applyNumberFormat="1" applyFont="1" applyFill="1" applyBorder="1" applyAlignment="1">
      <alignment horizontal="center" vertical="center"/>
    </xf>
    <xf numFmtId="1" fontId="25547" fillId="8" borderId="1" xfId="0" applyNumberFormat="1" applyFont="1" applyFill="1" applyBorder="1" applyAlignment="1">
      <alignment horizontal="center" vertical="center"/>
    </xf>
    <xf numFmtId="165" fontId="25548" fillId="8" borderId="1" xfId="0" applyNumberFormat="1" applyFont="1" applyFill="1" applyBorder="1" applyAlignment="1">
      <alignment horizontal="center" vertical="center"/>
    </xf>
    <xf numFmtId="1" fontId="25549" fillId="8" borderId="1" xfId="0" applyNumberFormat="1" applyFont="1" applyFill="1" applyBorder="1" applyAlignment="1">
      <alignment horizontal="center" vertical="center"/>
    </xf>
    <xf numFmtId="165" fontId="25550" fillId="8" borderId="1" xfId="0" applyNumberFormat="1" applyFont="1" applyFill="1" applyBorder="1" applyAlignment="1">
      <alignment horizontal="center" vertical="center"/>
    </xf>
    <xf numFmtId="2" fontId="25551" fillId="8" borderId="1" xfId="0" applyNumberFormat="1" applyFont="1" applyFill="1" applyBorder="1" applyAlignment="1">
      <alignment horizontal="center" vertical="center"/>
    </xf>
    <xf numFmtId="2" fontId="25552" fillId="8" borderId="1" xfId="0" applyNumberFormat="1" applyFont="1" applyFill="1" applyBorder="1" applyAlignment="1">
      <alignment horizontal="center" vertical="center"/>
    </xf>
    <xf numFmtId="2" fontId="25553" fillId="8" borderId="1" xfId="0" applyNumberFormat="1" applyFont="1" applyFill="1" applyBorder="1" applyAlignment="1">
      <alignment horizontal="center" vertical="center"/>
    </xf>
    <xf numFmtId="2" fontId="25554" fillId="8" borderId="1" xfId="0" applyNumberFormat="1" applyFont="1" applyFill="1" applyBorder="1" applyAlignment="1">
      <alignment horizontal="center" vertical="center"/>
    </xf>
    <xf numFmtId="2" fontId="25555" fillId="8" borderId="1" xfId="0" applyNumberFormat="1" applyFont="1" applyFill="1" applyBorder="1" applyAlignment="1">
      <alignment horizontal="center" vertical="center"/>
    </xf>
    <xf numFmtId="2" fontId="25556" fillId="8" borderId="1" xfId="0" applyNumberFormat="1" applyFont="1" applyFill="1" applyBorder="1" applyAlignment="1">
      <alignment horizontal="center" vertical="center"/>
    </xf>
    <xf numFmtId="2" fontId="25557" fillId="8" borderId="1" xfId="0" applyNumberFormat="1" applyFont="1" applyFill="1" applyBorder="1" applyAlignment="1">
      <alignment horizontal="center" vertical="center"/>
    </xf>
    <xf numFmtId="2" fontId="25558" fillId="8" borderId="1" xfId="0" applyNumberFormat="1" applyFont="1" applyFill="1" applyBorder="1" applyAlignment="1">
      <alignment horizontal="center" vertical="center"/>
    </xf>
    <xf numFmtId="2" fontId="25559" fillId="8" borderId="1" xfId="0" applyNumberFormat="1" applyFont="1" applyFill="1" applyBorder="1" applyAlignment="1">
      <alignment horizontal="center" vertical="center"/>
    </xf>
    <xf numFmtId="2" fontId="25560" fillId="8" borderId="1" xfId="0" applyNumberFormat="1" applyFont="1" applyFill="1" applyBorder="1" applyAlignment="1">
      <alignment horizontal="center" vertical="center"/>
    </xf>
    <xf numFmtId="2" fontId="25561" fillId="8" borderId="1" xfId="0" applyNumberFormat="1" applyFont="1" applyFill="1" applyBorder="1" applyAlignment="1">
      <alignment horizontal="center" vertical="center"/>
    </xf>
    <xf numFmtId="2" fontId="25562" fillId="8" borderId="1" xfId="0" applyNumberFormat="1" applyFont="1" applyFill="1" applyBorder="1" applyAlignment="1">
      <alignment horizontal="center" vertical="center"/>
    </xf>
    <xf numFmtId="2" fontId="25563" fillId="8" borderId="1" xfId="0" applyNumberFormat="1" applyFont="1" applyFill="1" applyBorder="1" applyAlignment="1">
      <alignment horizontal="center" vertical="center"/>
    </xf>
    <xf numFmtId="2" fontId="25564" fillId="8" borderId="1" xfId="0" applyNumberFormat="1" applyFont="1" applyFill="1" applyBorder="1" applyAlignment="1">
      <alignment horizontal="center" vertical="center"/>
    </xf>
    <xf numFmtId="2" fontId="25565" fillId="8" borderId="1" xfId="0" applyNumberFormat="1" applyFont="1" applyFill="1" applyBorder="1" applyAlignment="1">
      <alignment horizontal="center" vertical="center"/>
    </xf>
    <xf numFmtId="2" fontId="25566" fillId="8" borderId="1" xfId="0" applyNumberFormat="1" applyFont="1" applyFill="1" applyBorder="1" applyAlignment="1">
      <alignment horizontal="center" vertical="center"/>
    </xf>
    <xf numFmtId="2" fontId="25567" fillId="8" borderId="1" xfId="0" applyNumberFormat="1" applyFont="1" applyFill="1" applyBorder="1" applyAlignment="1">
      <alignment horizontal="center" vertical="center"/>
    </xf>
    <xf numFmtId="2" fontId="25568" fillId="8" borderId="1" xfId="0" applyNumberFormat="1" applyFont="1" applyFill="1" applyBorder="1" applyAlignment="1">
      <alignment horizontal="center" vertical="center"/>
    </xf>
    <xf numFmtId="2" fontId="25569" fillId="8" borderId="1" xfId="0" applyNumberFormat="1" applyFont="1" applyFill="1" applyBorder="1" applyAlignment="1">
      <alignment horizontal="center" vertical="center"/>
    </xf>
    <xf numFmtId="2" fontId="25570" fillId="8" borderId="1" xfId="0" applyNumberFormat="1" applyFont="1" applyFill="1" applyBorder="1" applyAlignment="1">
      <alignment horizontal="center" vertical="center"/>
    </xf>
    <xf numFmtId="2" fontId="25571" fillId="8" borderId="1" xfId="0" applyNumberFormat="1" applyFont="1" applyFill="1" applyBorder="1" applyAlignment="1">
      <alignment horizontal="center" vertical="center"/>
    </xf>
    <xf numFmtId="2" fontId="25572" fillId="8" borderId="1" xfId="0" applyNumberFormat="1" applyFont="1" applyFill="1" applyBorder="1" applyAlignment="1">
      <alignment horizontal="center" vertical="center"/>
    </xf>
    <xf numFmtId="2" fontId="25573" fillId="8" borderId="1" xfId="0" applyNumberFormat="1" applyFont="1" applyFill="1" applyBorder="1" applyAlignment="1">
      <alignment horizontal="center" vertical="center"/>
    </xf>
    <xf numFmtId="2" fontId="25574" fillId="8" borderId="1" xfId="0" applyNumberFormat="1" applyFont="1" applyFill="1" applyBorder="1" applyAlignment="1">
      <alignment horizontal="center" vertical="center"/>
    </xf>
    <xf numFmtId="2" fontId="25575" fillId="8" borderId="1" xfId="0" applyNumberFormat="1" applyFont="1" applyFill="1" applyBorder="1" applyAlignment="1">
      <alignment horizontal="center" vertical="center"/>
    </xf>
    <xf numFmtId="2" fontId="25576" fillId="8" borderId="1" xfId="0" applyNumberFormat="1" applyFont="1" applyFill="1" applyBorder="1" applyAlignment="1">
      <alignment horizontal="center" vertical="center"/>
    </xf>
    <xf numFmtId="2" fontId="25577" fillId="8" borderId="1" xfId="0" applyNumberFormat="1" applyFont="1" applyFill="1" applyBorder="1" applyAlignment="1">
      <alignment horizontal="center" vertical="center"/>
    </xf>
    <xf numFmtId="2" fontId="25578" fillId="8" borderId="1" xfId="0" applyNumberFormat="1" applyFont="1" applyFill="1" applyBorder="1" applyAlignment="1">
      <alignment horizontal="center" vertical="center"/>
    </xf>
    <xf numFmtId="2" fontId="25579" fillId="8" borderId="1" xfId="0" applyNumberFormat="1" applyFont="1" applyFill="1" applyBorder="1" applyAlignment="1">
      <alignment horizontal="center" vertical="center"/>
    </xf>
    <xf numFmtId="2" fontId="25580" fillId="8" borderId="1" xfId="0" applyNumberFormat="1" applyFont="1" applyFill="1" applyBorder="1" applyAlignment="1">
      <alignment horizontal="center" vertical="center"/>
    </xf>
    <xf numFmtId="2" fontId="25581" fillId="8" borderId="1" xfId="0" applyNumberFormat="1" applyFont="1" applyFill="1" applyBorder="1" applyAlignment="1">
      <alignment horizontal="center" vertical="center"/>
    </xf>
    <xf numFmtId="2" fontId="25582" fillId="8" borderId="1" xfId="0" applyNumberFormat="1" applyFont="1" applyFill="1" applyBorder="1" applyAlignment="1">
      <alignment horizontal="center" vertical="center"/>
    </xf>
    <xf numFmtId="2" fontId="25583" fillId="8" borderId="1" xfId="0" applyNumberFormat="1" applyFont="1" applyFill="1" applyBorder="1" applyAlignment="1">
      <alignment horizontal="center" vertical="center"/>
    </xf>
    <xf numFmtId="2" fontId="25584" fillId="8" borderId="1" xfId="0" applyNumberFormat="1" applyFont="1" applyFill="1" applyBorder="1" applyAlignment="1">
      <alignment horizontal="center" vertical="center"/>
    </xf>
    <xf numFmtId="0" fontId="25585" fillId="7" borderId="1" xfId="0" applyNumberFormat="1" applyFont="1" applyFill="1" applyBorder="1" applyAlignment="1">
      <alignment horizontal="left" vertical="center"/>
    </xf>
    <xf numFmtId="0" fontId="25586" fillId="8" borderId="1" xfId="0" applyNumberFormat="1" applyFont="1" applyFill="1" applyBorder="1" applyAlignment="1">
      <alignment horizontal="center" vertical="center"/>
    </xf>
    <xf numFmtId="164" fontId="25587" fillId="8" borderId="1" xfId="0" applyNumberFormat="1" applyFont="1" applyFill="1" applyBorder="1" applyAlignment="1">
      <alignment horizontal="center" vertical="center"/>
    </xf>
    <xf numFmtId="1" fontId="25588" fillId="8" borderId="1" xfId="0" applyNumberFormat="1" applyFont="1" applyFill="1" applyBorder="1" applyAlignment="1">
      <alignment horizontal="center" vertical="center"/>
    </xf>
    <xf numFmtId="1" fontId="25589" fillId="8" borderId="1" xfId="0" applyNumberFormat="1" applyFont="1" applyFill="1" applyBorder="1" applyAlignment="1">
      <alignment horizontal="center" vertical="center"/>
    </xf>
    <xf numFmtId="1" fontId="25590" fillId="8" borderId="1" xfId="0" applyNumberFormat="1" applyFont="1" applyFill="1" applyBorder="1" applyAlignment="1">
      <alignment horizontal="center" vertical="center"/>
    </xf>
    <xf numFmtId="1" fontId="25591" fillId="8" borderId="1" xfId="0" applyNumberFormat="1" applyFont="1" applyFill="1" applyBorder="1" applyAlignment="1">
      <alignment horizontal="center" vertical="center"/>
    </xf>
    <xf numFmtId="1" fontId="25592" fillId="8" borderId="1" xfId="0" applyNumberFormat="1" applyFont="1" applyFill="1" applyBorder="1" applyAlignment="1">
      <alignment horizontal="center" vertical="center"/>
    </xf>
    <xf numFmtId="1" fontId="25593" fillId="8" borderId="1" xfId="0" applyNumberFormat="1" applyFont="1" applyFill="1" applyBorder="1" applyAlignment="1">
      <alignment horizontal="center" vertical="center"/>
    </xf>
    <xf numFmtId="1" fontId="25594" fillId="8" borderId="1" xfId="0" applyNumberFormat="1" applyFont="1" applyFill="1" applyBorder="1" applyAlignment="1">
      <alignment horizontal="center" vertical="center"/>
    </xf>
    <xf numFmtId="0" fontId="25595" fillId="8" borderId="1" xfId="0" applyNumberFormat="1" applyFont="1" applyFill="1" applyBorder="1" applyAlignment="1">
      <alignment horizontal="center" vertical="center"/>
    </xf>
    <xf numFmtId="0" fontId="25596" fillId="8" borderId="1" xfId="0" applyNumberFormat="1" applyFont="1" applyFill="1" applyBorder="1" applyAlignment="1">
      <alignment horizontal="center" vertical="center"/>
    </xf>
    <xf numFmtId="1" fontId="25597" fillId="8" borderId="1" xfId="0" applyNumberFormat="1" applyFont="1" applyFill="1" applyBorder="1" applyAlignment="1">
      <alignment horizontal="center" vertical="center"/>
    </xf>
    <xf numFmtId="1" fontId="25598" fillId="8" borderId="1" xfId="0" applyNumberFormat="1" applyFont="1" applyFill="1" applyBorder="1" applyAlignment="1">
      <alignment horizontal="center" vertical="center"/>
    </xf>
    <xf numFmtId="1" fontId="25599" fillId="8" borderId="1" xfId="0" applyNumberFormat="1" applyFont="1" applyFill="1" applyBorder="1" applyAlignment="1">
      <alignment horizontal="center" vertical="center"/>
    </xf>
    <xf numFmtId="165" fontId="25600" fillId="8" borderId="1" xfId="0" applyNumberFormat="1" applyFont="1" applyFill="1" applyBorder="1" applyAlignment="1">
      <alignment horizontal="center" vertical="center"/>
    </xf>
    <xf numFmtId="1" fontId="25601" fillId="8" borderId="1" xfId="0" applyNumberFormat="1" applyFont="1" applyFill="1" applyBorder="1" applyAlignment="1">
      <alignment horizontal="center" vertical="center"/>
    </xf>
    <xf numFmtId="165" fontId="25602" fillId="8" borderId="1" xfId="0" applyNumberFormat="1" applyFont="1" applyFill="1" applyBorder="1" applyAlignment="1">
      <alignment horizontal="center" vertical="center"/>
    </xf>
    <xf numFmtId="1" fontId="25603" fillId="8" borderId="1" xfId="0" applyNumberFormat="1" applyFont="1" applyFill="1" applyBorder="1" applyAlignment="1">
      <alignment horizontal="center" vertical="center"/>
    </xf>
    <xf numFmtId="165" fontId="25604" fillId="8" borderId="1" xfId="0" applyNumberFormat="1" applyFont="1" applyFill="1" applyBorder="1" applyAlignment="1">
      <alignment horizontal="center" vertical="center"/>
    </xf>
    <xf numFmtId="1" fontId="25605" fillId="8" borderId="1" xfId="0" applyNumberFormat="1" applyFont="1" applyFill="1" applyBorder="1" applyAlignment="1">
      <alignment horizontal="center" vertical="center"/>
    </xf>
    <xf numFmtId="165" fontId="25606" fillId="8" borderId="1" xfId="0" applyNumberFormat="1" applyFont="1" applyFill="1" applyBorder="1" applyAlignment="1">
      <alignment horizontal="center" vertical="center"/>
    </xf>
    <xf numFmtId="165" fontId="25607" fillId="8" borderId="1" xfId="0" applyNumberFormat="1" applyFont="1" applyFill="1" applyBorder="1" applyAlignment="1">
      <alignment horizontal="center" vertical="center"/>
    </xf>
    <xf numFmtId="1" fontId="25608" fillId="8" borderId="1" xfId="0" applyNumberFormat="1" applyFont="1" applyFill="1" applyBorder="1" applyAlignment="1">
      <alignment horizontal="center" vertical="center"/>
    </xf>
    <xf numFmtId="1" fontId="25609" fillId="8" borderId="1" xfId="0" applyNumberFormat="1" applyFont="1" applyFill="1" applyBorder="1" applyAlignment="1">
      <alignment horizontal="center" vertical="center"/>
    </xf>
    <xf numFmtId="1" fontId="25610" fillId="8" borderId="1" xfId="0" applyNumberFormat="1" applyFont="1" applyFill="1" applyBorder="1" applyAlignment="1">
      <alignment horizontal="center" vertical="center"/>
    </xf>
    <xf numFmtId="165" fontId="25611" fillId="8" borderId="1" xfId="0" applyNumberFormat="1" applyFont="1" applyFill="1" applyBorder="1" applyAlignment="1">
      <alignment horizontal="center" vertical="center"/>
    </xf>
    <xf numFmtId="164" fontId="25612" fillId="8" borderId="1" xfId="0" applyNumberFormat="1" applyFont="1" applyFill="1" applyBorder="1" applyAlignment="1">
      <alignment horizontal="center" vertical="center"/>
    </xf>
    <xf numFmtId="164" fontId="25613" fillId="8" borderId="1" xfId="0" applyNumberFormat="1" applyFont="1" applyFill="1" applyBorder="1" applyAlignment="1">
      <alignment horizontal="center" vertical="center"/>
    </xf>
    <xf numFmtId="1" fontId="25614" fillId="8" borderId="1" xfId="0" applyNumberFormat="1" applyFont="1" applyFill="1" applyBorder="1" applyAlignment="1">
      <alignment horizontal="center" vertical="center"/>
    </xf>
    <xf numFmtId="1" fontId="25615" fillId="8" borderId="1" xfId="0" applyNumberFormat="1" applyFont="1" applyFill="1" applyBorder="1" applyAlignment="1">
      <alignment horizontal="center" vertical="center"/>
    </xf>
    <xf numFmtId="1" fontId="25616" fillId="8" borderId="1" xfId="0" applyNumberFormat="1" applyFont="1" applyFill="1" applyBorder="1" applyAlignment="1">
      <alignment horizontal="center" vertical="center"/>
    </xf>
    <xf numFmtId="165" fontId="25617" fillId="8" borderId="1" xfId="0" applyNumberFormat="1" applyFont="1" applyFill="1" applyBorder="1" applyAlignment="1">
      <alignment horizontal="center" vertical="center"/>
    </xf>
    <xf numFmtId="1" fontId="25618" fillId="8" borderId="1" xfId="0" applyNumberFormat="1" applyFont="1" applyFill="1" applyBorder="1" applyAlignment="1">
      <alignment horizontal="center" vertical="center"/>
    </xf>
    <xf numFmtId="165" fontId="25619" fillId="8" borderId="1" xfId="0" applyNumberFormat="1" applyFont="1" applyFill="1" applyBorder="1" applyAlignment="1">
      <alignment horizontal="center" vertical="center"/>
    </xf>
    <xf numFmtId="1" fontId="25620" fillId="8" borderId="1" xfId="0" applyNumberFormat="1" applyFont="1" applyFill="1" applyBorder="1" applyAlignment="1">
      <alignment horizontal="center" vertical="center"/>
    </xf>
    <xf numFmtId="1" fontId="25621" fillId="8" borderId="1" xfId="0" applyNumberFormat="1" applyFont="1" applyFill="1" applyBorder="1" applyAlignment="1">
      <alignment horizontal="center" vertical="center"/>
    </xf>
    <xf numFmtId="1" fontId="25622" fillId="8" borderId="1" xfId="0" applyNumberFormat="1" applyFont="1" applyFill="1" applyBorder="1" applyAlignment="1">
      <alignment horizontal="center" vertical="center"/>
    </xf>
    <xf numFmtId="1" fontId="25623" fillId="8" borderId="1" xfId="0" applyNumberFormat="1" applyFont="1" applyFill="1" applyBorder="1" applyAlignment="1">
      <alignment horizontal="center" vertical="center"/>
    </xf>
    <xf numFmtId="165" fontId="25624" fillId="8" borderId="1" xfId="0" applyNumberFormat="1" applyFont="1" applyFill="1" applyBorder="1" applyAlignment="1">
      <alignment horizontal="center" vertical="center"/>
    </xf>
    <xf numFmtId="1" fontId="25625" fillId="8" borderId="1" xfId="0" applyNumberFormat="1" applyFont="1" applyFill="1" applyBorder="1" applyAlignment="1">
      <alignment horizontal="center" vertical="center"/>
    </xf>
    <xf numFmtId="165" fontId="25626" fillId="8" borderId="1" xfId="0" applyNumberFormat="1" applyFont="1" applyFill="1" applyBorder="1" applyAlignment="1">
      <alignment horizontal="center" vertical="center"/>
    </xf>
    <xf numFmtId="1" fontId="25627" fillId="8" borderId="1" xfId="0" applyNumberFormat="1" applyFont="1" applyFill="1" applyBorder="1" applyAlignment="1">
      <alignment horizontal="center" vertical="center"/>
    </xf>
    <xf numFmtId="165" fontId="25628" fillId="8" borderId="1" xfId="0" applyNumberFormat="1" applyFont="1" applyFill="1" applyBorder="1" applyAlignment="1">
      <alignment horizontal="center" vertical="center"/>
    </xf>
    <xf numFmtId="2" fontId="25629" fillId="8" borderId="1" xfId="0" applyNumberFormat="1" applyFont="1" applyFill="1" applyBorder="1" applyAlignment="1">
      <alignment horizontal="center" vertical="center"/>
    </xf>
    <xf numFmtId="2" fontId="25630" fillId="8" borderId="1" xfId="0" applyNumberFormat="1" applyFont="1" applyFill="1" applyBorder="1" applyAlignment="1">
      <alignment horizontal="center" vertical="center"/>
    </xf>
    <xf numFmtId="2" fontId="25631" fillId="8" borderId="1" xfId="0" applyNumberFormat="1" applyFont="1" applyFill="1" applyBorder="1" applyAlignment="1">
      <alignment horizontal="center" vertical="center"/>
    </xf>
    <xf numFmtId="2" fontId="25632" fillId="8" borderId="1" xfId="0" applyNumberFormat="1" applyFont="1" applyFill="1" applyBorder="1" applyAlignment="1">
      <alignment horizontal="center" vertical="center"/>
    </xf>
    <xf numFmtId="2" fontId="25633" fillId="8" borderId="1" xfId="0" applyNumberFormat="1" applyFont="1" applyFill="1" applyBorder="1" applyAlignment="1">
      <alignment horizontal="center" vertical="center"/>
    </xf>
    <xf numFmtId="2" fontId="25634" fillId="8" borderId="1" xfId="0" applyNumberFormat="1" applyFont="1" applyFill="1" applyBorder="1" applyAlignment="1">
      <alignment horizontal="center" vertical="center"/>
    </xf>
    <xf numFmtId="2" fontId="25635" fillId="8" borderId="1" xfId="0" applyNumberFormat="1" applyFont="1" applyFill="1" applyBorder="1" applyAlignment="1">
      <alignment horizontal="center" vertical="center"/>
    </xf>
    <xf numFmtId="2" fontId="25636" fillId="8" borderId="1" xfId="0" applyNumberFormat="1" applyFont="1" applyFill="1" applyBorder="1" applyAlignment="1">
      <alignment horizontal="center" vertical="center"/>
    </xf>
    <xf numFmtId="2" fontId="25637" fillId="8" borderId="1" xfId="0" applyNumberFormat="1" applyFont="1" applyFill="1" applyBorder="1" applyAlignment="1">
      <alignment horizontal="center" vertical="center"/>
    </xf>
    <xf numFmtId="2" fontId="25638" fillId="8" borderId="1" xfId="0" applyNumberFormat="1" applyFont="1" applyFill="1" applyBorder="1" applyAlignment="1">
      <alignment horizontal="center" vertical="center"/>
    </xf>
    <xf numFmtId="2" fontId="25639" fillId="8" borderId="1" xfId="0" applyNumberFormat="1" applyFont="1" applyFill="1" applyBorder="1" applyAlignment="1">
      <alignment horizontal="center" vertical="center"/>
    </xf>
    <xf numFmtId="2" fontId="25640" fillId="8" borderId="1" xfId="0" applyNumberFormat="1" applyFont="1" applyFill="1" applyBorder="1" applyAlignment="1">
      <alignment horizontal="center" vertical="center"/>
    </xf>
    <xf numFmtId="2" fontId="25641" fillId="8" borderId="1" xfId="0" applyNumberFormat="1" applyFont="1" applyFill="1" applyBorder="1" applyAlignment="1">
      <alignment horizontal="center" vertical="center"/>
    </xf>
    <xf numFmtId="2" fontId="25642" fillId="8" borderId="1" xfId="0" applyNumberFormat="1" applyFont="1" applyFill="1" applyBorder="1" applyAlignment="1">
      <alignment horizontal="center" vertical="center"/>
    </xf>
    <xf numFmtId="2" fontId="25643" fillId="8" borderId="1" xfId="0" applyNumberFormat="1" applyFont="1" applyFill="1" applyBorder="1" applyAlignment="1">
      <alignment horizontal="center" vertical="center"/>
    </xf>
    <xf numFmtId="2" fontId="25644" fillId="8" borderId="1" xfId="0" applyNumberFormat="1" applyFont="1" applyFill="1" applyBorder="1" applyAlignment="1">
      <alignment horizontal="center" vertical="center"/>
    </xf>
    <xf numFmtId="2" fontId="25645" fillId="8" borderId="1" xfId="0" applyNumberFormat="1" applyFont="1" applyFill="1" applyBorder="1" applyAlignment="1">
      <alignment horizontal="center" vertical="center"/>
    </xf>
    <xf numFmtId="2" fontId="25646" fillId="8" borderId="1" xfId="0" applyNumberFormat="1" applyFont="1" applyFill="1" applyBorder="1" applyAlignment="1">
      <alignment horizontal="center" vertical="center"/>
    </xf>
    <xf numFmtId="2" fontId="25647" fillId="8" borderId="1" xfId="0" applyNumberFormat="1" applyFont="1" applyFill="1" applyBorder="1" applyAlignment="1">
      <alignment horizontal="center" vertical="center"/>
    </xf>
    <xf numFmtId="2" fontId="25648" fillId="8" borderId="1" xfId="0" applyNumberFormat="1" applyFont="1" applyFill="1" applyBorder="1" applyAlignment="1">
      <alignment horizontal="center" vertical="center"/>
    </xf>
    <xf numFmtId="2" fontId="25649" fillId="8" borderId="1" xfId="0" applyNumberFormat="1" applyFont="1" applyFill="1" applyBorder="1" applyAlignment="1">
      <alignment horizontal="center" vertical="center"/>
    </xf>
    <xf numFmtId="2" fontId="25650" fillId="8" borderId="1" xfId="0" applyNumberFormat="1" applyFont="1" applyFill="1" applyBorder="1" applyAlignment="1">
      <alignment horizontal="center" vertical="center"/>
    </xf>
    <xf numFmtId="2" fontId="25651" fillId="8" borderId="1" xfId="0" applyNumberFormat="1" applyFont="1" applyFill="1" applyBorder="1" applyAlignment="1">
      <alignment horizontal="center" vertical="center"/>
    </xf>
    <xf numFmtId="2" fontId="25652" fillId="8" borderId="1" xfId="0" applyNumberFormat="1" applyFont="1" applyFill="1" applyBorder="1" applyAlignment="1">
      <alignment horizontal="center" vertical="center"/>
    </xf>
    <xf numFmtId="2" fontId="25653" fillId="8" borderId="1" xfId="0" applyNumberFormat="1" applyFont="1" applyFill="1" applyBorder="1" applyAlignment="1">
      <alignment horizontal="center" vertical="center"/>
    </xf>
    <xf numFmtId="2" fontId="25654" fillId="8" borderId="1" xfId="0" applyNumberFormat="1" applyFont="1" applyFill="1" applyBorder="1" applyAlignment="1">
      <alignment horizontal="center" vertical="center"/>
    </xf>
    <xf numFmtId="2" fontId="25655" fillId="8" borderId="1" xfId="0" applyNumberFormat="1" applyFont="1" applyFill="1" applyBorder="1" applyAlignment="1">
      <alignment horizontal="center" vertical="center"/>
    </xf>
    <xf numFmtId="2" fontId="25656" fillId="8" borderId="1" xfId="0" applyNumberFormat="1" applyFont="1" applyFill="1" applyBorder="1" applyAlignment="1">
      <alignment horizontal="center" vertical="center"/>
    </xf>
    <xf numFmtId="2" fontId="25657" fillId="8" borderId="1" xfId="0" applyNumberFormat="1" applyFont="1" applyFill="1" applyBorder="1" applyAlignment="1">
      <alignment horizontal="center" vertical="center"/>
    </xf>
    <xf numFmtId="2" fontId="25658" fillId="8" borderId="1" xfId="0" applyNumberFormat="1" applyFont="1" applyFill="1" applyBorder="1" applyAlignment="1">
      <alignment horizontal="center" vertical="center"/>
    </xf>
    <xf numFmtId="2" fontId="25659" fillId="8" borderId="1" xfId="0" applyNumberFormat="1" applyFont="1" applyFill="1" applyBorder="1" applyAlignment="1">
      <alignment horizontal="center" vertical="center"/>
    </xf>
    <xf numFmtId="2" fontId="25660" fillId="8" borderId="1" xfId="0" applyNumberFormat="1" applyFont="1" applyFill="1" applyBorder="1" applyAlignment="1">
      <alignment horizontal="center" vertical="center"/>
    </xf>
    <xf numFmtId="2" fontId="25661" fillId="8" borderId="1" xfId="0" applyNumberFormat="1" applyFont="1" applyFill="1" applyBorder="1" applyAlignment="1">
      <alignment horizontal="center" vertical="center"/>
    </xf>
    <xf numFmtId="2" fontId="25662" fillId="8" borderId="1" xfId="0" applyNumberFormat="1" applyFont="1" applyFill="1" applyBorder="1" applyAlignment="1">
      <alignment horizontal="center" vertical="center"/>
    </xf>
    <xf numFmtId="0" fontId="25663" fillId="7" borderId="1" xfId="0" applyNumberFormat="1" applyFont="1" applyFill="1" applyBorder="1" applyAlignment="1">
      <alignment horizontal="left" vertical="center"/>
    </xf>
    <xf numFmtId="0" fontId="25664" fillId="8" borderId="1" xfId="0" applyNumberFormat="1" applyFont="1" applyFill="1" applyBorder="1" applyAlignment="1">
      <alignment horizontal="center" vertical="center"/>
    </xf>
    <xf numFmtId="164" fontId="25665" fillId="8" borderId="1" xfId="0" applyNumberFormat="1" applyFont="1" applyFill="1" applyBorder="1" applyAlignment="1">
      <alignment horizontal="center" vertical="center"/>
    </xf>
    <xf numFmtId="1" fontId="25666" fillId="8" borderId="1" xfId="0" applyNumberFormat="1" applyFont="1" applyFill="1" applyBorder="1" applyAlignment="1">
      <alignment horizontal="center" vertical="center"/>
    </xf>
    <xf numFmtId="1" fontId="25667" fillId="8" borderId="1" xfId="0" applyNumberFormat="1" applyFont="1" applyFill="1" applyBorder="1" applyAlignment="1">
      <alignment horizontal="center" vertical="center"/>
    </xf>
    <xf numFmtId="1" fontId="25668" fillId="8" borderId="1" xfId="0" applyNumberFormat="1" applyFont="1" applyFill="1" applyBorder="1" applyAlignment="1">
      <alignment horizontal="center" vertical="center"/>
    </xf>
    <xf numFmtId="1" fontId="25669" fillId="8" borderId="1" xfId="0" applyNumberFormat="1" applyFont="1" applyFill="1" applyBorder="1" applyAlignment="1">
      <alignment horizontal="center" vertical="center"/>
    </xf>
    <xf numFmtId="1" fontId="25670" fillId="8" borderId="1" xfId="0" applyNumberFormat="1" applyFont="1" applyFill="1" applyBorder="1" applyAlignment="1">
      <alignment horizontal="center" vertical="center"/>
    </xf>
    <xf numFmtId="1" fontId="25671" fillId="8" borderId="1" xfId="0" applyNumberFormat="1" applyFont="1" applyFill="1" applyBorder="1" applyAlignment="1">
      <alignment horizontal="center" vertical="center"/>
    </xf>
    <xf numFmtId="1" fontId="25672" fillId="8" borderId="1" xfId="0" applyNumberFormat="1" applyFont="1" applyFill="1" applyBorder="1" applyAlignment="1">
      <alignment horizontal="center" vertical="center"/>
    </xf>
    <xf numFmtId="0" fontId="25673" fillId="8" borderId="1" xfId="0" applyNumberFormat="1" applyFont="1" applyFill="1" applyBorder="1" applyAlignment="1">
      <alignment horizontal="center" vertical="center"/>
    </xf>
    <xf numFmtId="0" fontId="25674" fillId="8" borderId="1" xfId="0" applyNumberFormat="1" applyFont="1" applyFill="1" applyBorder="1" applyAlignment="1">
      <alignment horizontal="center" vertical="center"/>
    </xf>
    <xf numFmtId="1" fontId="25675" fillId="8" borderId="1" xfId="0" applyNumberFormat="1" applyFont="1" applyFill="1" applyBorder="1" applyAlignment="1">
      <alignment horizontal="center" vertical="center"/>
    </xf>
    <xf numFmtId="1" fontId="25676" fillId="8" borderId="1" xfId="0" applyNumberFormat="1" applyFont="1" applyFill="1" applyBorder="1" applyAlignment="1">
      <alignment horizontal="center" vertical="center"/>
    </xf>
    <xf numFmtId="1" fontId="25677" fillId="8" borderId="1" xfId="0" applyNumberFormat="1" applyFont="1" applyFill="1" applyBorder="1" applyAlignment="1">
      <alignment horizontal="center" vertical="center"/>
    </xf>
    <xf numFmtId="165" fontId="25678" fillId="8" borderId="1" xfId="0" applyNumberFormat="1" applyFont="1" applyFill="1" applyBorder="1" applyAlignment="1">
      <alignment horizontal="center" vertical="center"/>
    </xf>
    <xf numFmtId="1" fontId="25679" fillId="8" borderId="1" xfId="0" applyNumberFormat="1" applyFont="1" applyFill="1" applyBorder="1" applyAlignment="1">
      <alignment horizontal="center" vertical="center"/>
    </xf>
    <xf numFmtId="165" fontId="25680" fillId="8" borderId="1" xfId="0" applyNumberFormat="1" applyFont="1" applyFill="1" applyBorder="1" applyAlignment="1">
      <alignment horizontal="center" vertical="center"/>
    </xf>
    <xf numFmtId="1" fontId="25681" fillId="8" borderId="1" xfId="0" applyNumberFormat="1" applyFont="1" applyFill="1" applyBorder="1" applyAlignment="1">
      <alignment horizontal="center" vertical="center"/>
    </xf>
    <xf numFmtId="165" fontId="25682" fillId="8" borderId="1" xfId="0" applyNumberFormat="1" applyFont="1" applyFill="1" applyBorder="1" applyAlignment="1">
      <alignment horizontal="center" vertical="center"/>
    </xf>
    <xf numFmtId="1" fontId="25683" fillId="8" borderId="1" xfId="0" applyNumberFormat="1" applyFont="1" applyFill="1" applyBorder="1" applyAlignment="1">
      <alignment horizontal="center" vertical="center"/>
    </xf>
    <xf numFmtId="165" fontId="25684" fillId="8" borderId="1" xfId="0" applyNumberFormat="1" applyFont="1" applyFill="1" applyBorder="1" applyAlignment="1">
      <alignment horizontal="center" vertical="center"/>
    </xf>
    <xf numFmtId="165" fontId="25685" fillId="8" borderId="1" xfId="0" applyNumberFormat="1" applyFont="1" applyFill="1" applyBorder="1" applyAlignment="1">
      <alignment horizontal="center" vertical="center"/>
    </xf>
    <xf numFmtId="1" fontId="25686" fillId="8" borderId="1" xfId="0" applyNumberFormat="1" applyFont="1" applyFill="1" applyBorder="1" applyAlignment="1">
      <alignment horizontal="center" vertical="center"/>
    </xf>
    <xf numFmtId="1" fontId="25687" fillId="8" borderId="1" xfId="0" applyNumberFormat="1" applyFont="1" applyFill="1" applyBorder="1" applyAlignment="1">
      <alignment horizontal="center" vertical="center"/>
    </xf>
    <xf numFmtId="1" fontId="25688" fillId="8" borderId="1" xfId="0" applyNumberFormat="1" applyFont="1" applyFill="1" applyBorder="1" applyAlignment="1">
      <alignment horizontal="center" vertical="center"/>
    </xf>
    <xf numFmtId="165" fontId="25689" fillId="8" borderId="1" xfId="0" applyNumberFormat="1" applyFont="1" applyFill="1" applyBorder="1" applyAlignment="1">
      <alignment horizontal="center" vertical="center"/>
    </xf>
    <xf numFmtId="164" fontId="25690" fillId="8" borderId="1" xfId="0" applyNumberFormat="1" applyFont="1" applyFill="1" applyBorder="1" applyAlignment="1">
      <alignment horizontal="center" vertical="center"/>
    </xf>
    <xf numFmtId="164" fontId="25691" fillId="8" borderId="1" xfId="0" applyNumberFormat="1" applyFont="1" applyFill="1" applyBorder="1" applyAlignment="1">
      <alignment horizontal="center" vertical="center"/>
    </xf>
    <xf numFmtId="1" fontId="25692" fillId="8" borderId="1" xfId="0" applyNumberFormat="1" applyFont="1" applyFill="1" applyBorder="1" applyAlignment="1">
      <alignment horizontal="center" vertical="center"/>
    </xf>
    <xf numFmtId="1" fontId="25693" fillId="8" borderId="1" xfId="0" applyNumberFormat="1" applyFont="1" applyFill="1" applyBorder="1" applyAlignment="1">
      <alignment horizontal="center" vertical="center"/>
    </xf>
    <xf numFmtId="1" fontId="25694" fillId="8" borderId="1" xfId="0" applyNumberFormat="1" applyFont="1" applyFill="1" applyBorder="1" applyAlignment="1">
      <alignment horizontal="center" vertical="center"/>
    </xf>
    <xf numFmtId="165" fontId="25695" fillId="8" borderId="1" xfId="0" applyNumberFormat="1" applyFont="1" applyFill="1" applyBorder="1" applyAlignment="1">
      <alignment horizontal="center" vertical="center"/>
    </xf>
    <xf numFmtId="1" fontId="25696" fillId="8" borderId="1" xfId="0" applyNumberFormat="1" applyFont="1" applyFill="1" applyBorder="1" applyAlignment="1">
      <alignment horizontal="center" vertical="center"/>
    </xf>
    <xf numFmtId="165" fontId="25697" fillId="8" borderId="1" xfId="0" applyNumberFormat="1" applyFont="1" applyFill="1" applyBorder="1" applyAlignment="1">
      <alignment horizontal="center" vertical="center"/>
    </xf>
    <xf numFmtId="1" fontId="25698" fillId="8" borderId="1" xfId="0" applyNumberFormat="1" applyFont="1" applyFill="1" applyBorder="1" applyAlignment="1">
      <alignment horizontal="center" vertical="center"/>
    </xf>
    <xf numFmtId="1" fontId="25699" fillId="8" borderId="1" xfId="0" applyNumberFormat="1" applyFont="1" applyFill="1" applyBorder="1" applyAlignment="1">
      <alignment horizontal="center" vertical="center"/>
    </xf>
    <xf numFmtId="1" fontId="25700" fillId="8" borderId="1" xfId="0" applyNumberFormat="1" applyFont="1" applyFill="1" applyBorder="1" applyAlignment="1">
      <alignment horizontal="center" vertical="center"/>
    </xf>
    <xf numFmtId="1" fontId="25701" fillId="8" borderId="1" xfId="0" applyNumberFormat="1" applyFont="1" applyFill="1" applyBorder="1" applyAlignment="1">
      <alignment horizontal="center" vertical="center"/>
    </xf>
    <xf numFmtId="165" fontId="25702" fillId="8" borderId="1" xfId="0" applyNumberFormat="1" applyFont="1" applyFill="1" applyBorder="1" applyAlignment="1">
      <alignment horizontal="center" vertical="center"/>
    </xf>
    <xf numFmtId="1" fontId="25703" fillId="8" borderId="1" xfId="0" applyNumberFormat="1" applyFont="1" applyFill="1" applyBorder="1" applyAlignment="1">
      <alignment horizontal="center" vertical="center"/>
    </xf>
    <xf numFmtId="165" fontId="25704" fillId="8" borderId="1" xfId="0" applyNumberFormat="1" applyFont="1" applyFill="1" applyBorder="1" applyAlignment="1">
      <alignment horizontal="center" vertical="center"/>
    </xf>
    <xf numFmtId="1" fontId="25705" fillId="8" borderId="1" xfId="0" applyNumberFormat="1" applyFont="1" applyFill="1" applyBorder="1" applyAlignment="1">
      <alignment horizontal="center" vertical="center"/>
    </xf>
    <xf numFmtId="165" fontId="25706" fillId="8" borderId="1" xfId="0" applyNumberFormat="1" applyFont="1" applyFill="1" applyBorder="1" applyAlignment="1">
      <alignment horizontal="center" vertical="center"/>
    </xf>
    <xf numFmtId="2" fontId="25707" fillId="8" borderId="1" xfId="0" applyNumberFormat="1" applyFont="1" applyFill="1" applyBorder="1" applyAlignment="1">
      <alignment horizontal="center" vertical="center"/>
    </xf>
    <xf numFmtId="2" fontId="25708" fillId="8" borderId="1" xfId="0" applyNumberFormat="1" applyFont="1" applyFill="1" applyBorder="1" applyAlignment="1">
      <alignment horizontal="center" vertical="center"/>
    </xf>
    <xf numFmtId="2" fontId="25709" fillId="8" borderId="1" xfId="0" applyNumberFormat="1" applyFont="1" applyFill="1" applyBorder="1" applyAlignment="1">
      <alignment horizontal="center" vertical="center"/>
    </xf>
    <xf numFmtId="2" fontId="25710" fillId="8" borderId="1" xfId="0" applyNumberFormat="1" applyFont="1" applyFill="1" applyBorder="1" applyAlignment="1">
      <alignment horizontal="center" vertical="center"/>
    </xf>
    <xf numFmtId="2" fontId="25711" fillId="8" borderId="1" xfId="0" applyNumberFormat="1" applyFont="1" applyFill="1" applyBorder="1" applyAlignment="1">
      <alignment horizontal="center" vertical="center"/>
    </xf>
    <xf numFmtId="2" fontId="25712" fillId="8" borderId="1" xfId="0" applyNumberFormat="1" applyFont="1" applyFill="1" applyBorder="1" applyAlignment="1">
      <alignment horizontal="center" vertical="center"/>
    </xf>
    <xf numFmtId="2" fontId="25713" fillId="8" borderId="1" xfId="0" applyNumberFormat="1" applyFont="1" applyFill="1" applyBorder="1" applyAlignment="1">
      <alignment horizontal="center" vertical="center"/>
    </xf>
    <xf numFmtId="2" fontId="25714" fillId="8" borderId="1" xfId="0" applyNumberFormat="1" applyFont="1" applyFill="1" applyBorder="1" applyAlignment="1">
      <alignment horizontal="center" vertical="center"/>
    </xf>
    <xf numFmtId="2" fontId="25715" fillId="8" borderId="1" xfId="0" applyNumberFormat="1" applyFont="1" applyFill="1" applyBorder="1" applyAlignment="1">
      <alignment horizontal="center" vertical="center"/>
    </xf>
    <xf numFmtId="2" fontId="25716" fillId="8" borderId="1" xfId="0" applyNumberFormat="1" applyFont="1" applyFill="1" applyBorder="1" applyAlignment="1">
      <alignment horizontal="center" vertical="center"/>
    </xf>
    <xf numFmtId="2" fontId="25717" fillId="8" borderId="1" xfId="0" applyNumberFormat="1" applyFont="1" applyFill="1" applyBorder="1" applyAlignment="1">
      <alignment horizontal="center" vertical="center"/>
    </xf>
    <xf numFmtId="2" fontId="25718" fillId="8" borderId="1" xfId="0" applyNumberFormat="1" applyFont="1" applyFill="1" applyBorder="1" applyAlignment="1">
      <alignment horizontal="center" vertical="center"/>
    </xf>
    <xf numFmtId="2" fontId="25719" fillId="8" borderId="1" xfId="0" applyNumberFormat="1" applyFont="1" applyFill="1" applyBorder="1" applyAlignment="1">
      <alignment horizontal="center" vertical="center"/>
    </xf>
    <xf numFmtId="2" fontId="25720" fillId="8" borderId="1" xfId="0" applyNumberFormat="1" applyFont="1" applyFill="1" applyBorder="1" applyAlignment="1">
      <alignment horizontal="center" vertical="center"/>
    </xf>
    <xf numFmtId="2" fontId="25721" fillId="8" borderId="1" xfId="0" applyNumberFormat="1" applyFont="1" applyFill="1" applyBorder="1" applyAlignment="1">
      <alignment horizontal="center" vertical="center"/>
    </xf>
    <xf numFmtId="2" fontId="25722" fillId="8" borderId="1" xfId="0" applyNumberFormat="1" applyFont="1" applyFill="1" applyBorder="1" applyAlignment="1">
      <alignment horizontal="center" vertical="center"/>
    </xf>
    <xf numFmtId="2" fontId="25723" fillId="8" borderId="1" xfId="0" applyNumberFormat="1" applyFont="1" applyFill="1" applyBorder="1" applyAlignment="1">
      <alignment horizontal="center" vertical="center"/>
    </xf>
    <xf numFmtId="2" fontId="25724" fillId="8" borderId="1" xfId="0" applyNumberFormat="1" applyFont="1" applyFill="1" applyBorder="1" applyAlignment="1">
      <alignment horizontal="center" vertical="center"/>
    </xf>
    <xf numFmtId="2" fontId="25725" fillId="8" borderId="1" xfId="0" applyNumberFormat="1" applyFont="1" applyFill="1" applyBorder="1" applyAlignment="1">
      <alignment horizontal="center" vertical="center"/>
    </xf>
    <xf numFmtId="2" fontId="25726" fillId="8" borderId="1" xfId="0" applyNumberFormat="1" applyFont="1" applyFill="1" applyBorder="1" applyAlignment="1">
      <alignment horizontal="center" vertical="center"/>
    </xf>
    <xf numFmtId="2" fontId="25727" fillId="8" borderId="1" xfId="0" applyNumberFormat="1" applyFont="1" applyFill="1" applyBorder="1" applyAlignment="1">
      <alignment horizontal="center" vertical="center"/>
    </xf>
    <xf numFmtId="2" fontId="25728" fillId="8" borderId="1" xfId="0" applyNumberFormat="1" applyFont="1" applyFill="1" applyBorder="1" applyAlignment="1">
      <alignment horizontal="center" vertical="center"/>
    </xf>
    <xf numFmtId="2" fontId="25729" fillId="8" borderId="1" xfId="0" applyNumberFormat="1" applyFont="1" applyFill="1" applyBorder="1" applyAlignment="1">
      <alignment horizontal="center" vertical="center"/>
    </xf>
    <xf numFmtId="2" fontId="25730" fillId="8" borderId="1" xfId="0" applyNumberFormat="1" applyFont="1" applyFill="1" applyBorder="1" applyAlignment="1">
      <alignment horizontal="center" vertical="center"/>
    </xf>
    <xf numFmtId="2" fontId="25731" fillId="8" borderId="1" xfId="0" applyNumberFormat="1" applyFont="1" applyFill="1" applyBorder="1" applyAlignment="1">
      <alignment horizontal="center" vertical="center"/>
    </xf>
    <xf numFmtId="2" fontId="25732" fillId="8" borderId="1" xfId="0" applyNumberFormat="1" applyFont="1" applyFill="1" applyBorder="1" applyAlignment="1">
      <alignment horizontal="center" vertical="center"/>
    </xf>
    <xf numFmtId="2" fontId="25733" fillId="8" borderId="1" xfId="0" applyNumberFormat="1" applyFont="1" applyFill="1" applyBorder="1" applyAlignment="1">
      <alignment horizontal="center" vertical="center"/>
    </xf>
    <xf numFmtId="2" fontId="25734" fillId="8" borderId="1" xfId="0" applyNumberFormat="1" applyFont="1" applyFill="1" applyBorder="1" applyAlignment="1">
      <alignment horizontal="center" vertical="center"/>
    </xf>
    <xf numFmtId="2" fontId="25735" fillId="8" borderId="1" xfId="0" applyNumberFormat="1" applyFont="1" applyFill="1" applyBorder="1" applyAlignment="1">
      <alignment horizontal="center" vertical="center"/>
    </xf>
    <xf numFmtId="2" fontId="25736" fillId="8" borderId="1" xfId="0" applyNumberFormat="1" applyFont="1" applyFill="1" applyBorder="1" applyAlignment="1">
      <alignment horizontal="center" vertical="center"/>
    </xf>
    <xf numFmtId="2" fontId="25737" fillId="8" borderId="1" xfId="0" applyNumberFormat="1" applyFont="1" applyFill="1" applyBorder="1" applyAlignment="1">
      <alignment horizontal="center" vertical="center"/>
    </xf>
    <xf numFmtId="2" fontId="25738" fillId="8" borderId="1" xfId="0" applyNumberFormat="1" applyFont="1" applyFill="1" applyBorder="1" applyAlignment="1">
      <alignment horizontal="center" vertical="center"/>
    </xf>
    <xf numFmtId="2" fontId="25739" fillId="8" borderId="1" xfId="0" applyNumberFormat="1" applyFont="1" applyFill="1" applyBorder="1" applyAlignment="1">
      <alignment horizontal="center" vertical="center"/>
    </xf>
    <xf numFmtId="2" fontId="25740" fillId="8" borderId="1" xfId="0" applyNumberFormat="1" applyFont="1" applyFill="1" applyBorder="1" applyAlignment="1">
      <alignment horizontal="center" vertical="center"/>
    </xf>
    <xf numFmtId="0" fontId="25741" fillId="7" borderId="1" xfId="0" applyNumberFormat="1" applyFont="1" applyFill="1" applyBorder="1" applyAlignment="1">
      <alignment horizontal="left" vertical="center"/>
    </xf>
    <xf numFmtId="0" fontId="25742" fillId="8" borderId="1" xfId="0" applyNumberFormat="1" applyFont="1" applyFill="1" applyBorder="1" applyAlignment="1">
      <alignment horizontal="center" vertical="center"/>
    </xf>
    <xf numFmtId="164" fontId="25743" fillId="8" borderId="1" xfId="0" applyNumberFormat="1" applyFont="1" applyFill="1" applyBorder="1" applyAlignment="1">
      <alignment horizontal="center" vertical="center"/>
    </xf>
    <xf numFmtId="1" fontId="25744" fillId="8" borderId="1" xfId="0" applyNumberFormat="1" applyFont="1" applyFill="1" applyBorder="1" applyAlignment="1">
      <alignment horizontal="center" vertical="center"/>
    </xf>
    <xf numFmtId="1" fontId="25745" fillId="8" borderId="1" xfId="0" applyNumberFormat="1" applyFont="1" applyFill="1" applyBorder="1" applyAlignment="1">
      <alignment horizontal="center" vertical="center"/>
    </xf>
    <xf numFmtId="1" fontId="25746" fillId="8" borderId="1" xfId="0" applyNumberFormat="1" applyFont="1" applyFill="1" applyBorder="1" applyAlignment="1">
      <alignment horizontal="center" vertical="center"/>
    </xf>
    <xf numFmtId="1" fontId="25747" fillId="8" borderId="1" xfId="0" applyNumberFormat="1" applyFont="1" applyFill="1" applyBorder="1" applyAlignment="1">
      <alignment horizontal="center" vertical="center"/>
    </xf>
    <xf numFmtId="1" fontId="25748" fillId="8" borderId="1" xfId="0" applyNumberFormat="1" applyFont="1" applyFill="1" applyBorder="1" applyAlignment="1">
      <alignment horizontal="center" vertical="center"/>
    </xf>
    <xf numFmtId="1" fontId="25749" fillId="8" borderId="1" xfId="0" applyNumberFormat="1" applyFont="1" applyFill="1" applyBorder="1" applyAlignment="1">
      <alignment horizontal="center" vertical="center"/>
    </xf>
    <xf numFmtId="1" fontId="25750" fillId="8" borderId="1" xfId="0" applyNumberFormat="1" applyFont="1" applyFill="1" applyBorder="1" applyAlignment="1">
      <alignment horizontal="center" vertical="center"/>
    </xf>
    <xf numFmtId="0" fontId="25751" fillId="8" borderId="1" xfId="0" applyNumberFormat="1" applyFont="1" applyFill="1" applyBorder="1" applyAlignment="1">
      <alignment horizontal="center" vertical="center"/>
    </xf>
    <xf numFmtId="0" fontId="25752" fillId="8" borderId="1" xfId="0" applyNumberFormat="1" applyFont="1" applyFill="1" applyBorder="1" applyAlignment="1">
      <alignment horizontal="center" vertical="center"/>
    </xf>
    <xf numFmtId="1" fontId="25753" fillId="8" borderId="1" xfId="0" applyNumberFormat="1" applyFont="1" applyFill="1" applyBorder="1" applyAlignment="1">
      <alignment horizontal="center" vertical="center"/>
    </xf>
    <xf numFmtId="1" fontId="25754" fillId="8" borderId="1" xfId="0" applyNumberFormat="1" applyFont="1" applyFill="1" applyBorder="1" applyAlignment="1">
      <alignment horizontal="center" vertical="center"/>
    </xf>
    <xf numFmtId="1" fontId="25755" fillId="8" borderId="1" xfId="0" applyNumberFormat="1" applyFont="1" applyFill="1" applyBorder="1" applyAlignment="1">
      <alignment horizontal="center" vertical="center"/>
    </xf>
    <xf numFmtId="165" fontId="25756" fillId="8" borderId="1" xfId="0" applyNumberFormat="1" applyFont="1" applyFill="1" applyBorder="1" applyAlignment="1">
      <alignment horizontal="center" vertical="center"/>
    </xf>
    <xf numFmtId="1" fontId="25757" fillId="8" borderId="1" xfId="0" applyNumberFormat="1" applyFont="1" applyFill="1" applyBorder="1" applyAlignment="1">
      <alignment horizontal="center" vertical="center"/>
    </xf>
    <xf numFmtId="165" fontId="25758" fillId="8" borderId="1" xfId="0" applyNumberFormat="1" applyFont="1" applyFill="1" applyBorder="1" applyAlignment="1">
      <alignment horizontal="center" vertical="center"/>
    </xf>
    <xf numFmtId="1" fontId="25759" fillId="8" borderId="1" xfId="0" applyNumberFormat="1" applyFont="1" applyFill="1" applyBorder="1" applyAlignment="1">
      <alignment horizontal="center" vertical="center"/>
    </xf>
    <xf numFmtId="165" fontId="25760" fillId="8" borderId="1" xfId="0" applyNumberFormat="1" applyFont="1" applyFill="1" applyBorder="1" applyAlignment="1">
      <alignment horizontal="center" vertical="center"/>
    </xf>
    <xf numFmtId="1" fontId="25761" fillId="8" borderId="1" xfId="0" applyNumberFormat="1" applyFont="1" applyFill="1" applyBorder="1" applyAlignment="1">
      <alignment horizontal="center" vertical="center"/>
    </xf>
    <xf numFmtId="165" fontId="25762" fillId="8" borderId="1" xfId="0" applyNumberFormat="1" applyFont="1" applyFill="1" applyBorder="1" applyAlignment="1">
      <alignment horizontal="center" vertical="center"/>
    </xf>
    <xf numFmtId="165" fontId="25763" fillId="8" borderId="1" xfId="0" applyNumberFormat="1" applyFont="1" applyFill="1" applyBorder="1" applyAlignment="1">
      <alignment horizontal="center" vertical="center"/>
    </xf>
    <xf numFmtId="1" fontId="25764" fillId="8" borderId="1" xfId="0" applyNumberFormat="1" applyFont="1" applyFill="1" applyBorder="1" applyAlignment="1">
      <alignment horizontal="center" vertical="center"/>
    </xf>
    <xf numFmtId="1" fontId="25765" fillId="8" borderId="1" xfId="0" applyNumberFormat="1" applyFont="1" applyFill="1" applyBorder="1" applyAlignment="1">
      <alignment horizontal="center" vertical="center"/>
    </xf>
    <xf numFmtId="1" fontId="25766" fillId="8" borderId="1" xfId="0" applyNumberFormat="1" applyFont="1" applyFill="1" applyBorder="1" applyAlignment="1">
      <alignment horizontal="center" vertical="center"/>
    </xf>
    <xf numFmtId="165" fontId="25767" fillId="8" borderId="1" xfId="0" applyNumberFormat="1" applyFont="1" applyFill="1" applyBorder="1" applyAlignment="1">
      <alignment horizontal="center" vertical="center"/>
    </xf>
    <xf numFmtId="164" fontId="25768" fillId="8" borderId="1" xfId="0" applyNumberFormat="1" applyFont="1" applyFill="1" applyBorder="1" applyAlignment="1">
      <alignment horizontal="center" vertical="center"/>
    </xf>
    <xf numFmtId="164" fontId="25769" fillId="8" borderId="1" xfId="0" applyNumberFormat="1" applyFont="1" applyFill="1" applyBorder="1" applyAlignment="1">
      <alignment horizontal="center" vertical="center"/>
    </xf>
    <xf numFmtId="1" fontId="25770" fillId="8" borderId="1" xfId="0" applyNumberFormat="1" applyFont="1" applyFill="1" applyBorder="1" applyAlignment="1">
      <alignment horizontal="center" vertical="center"/>
    </xf>
    <xf numFmtId="1" fontId="25771" fillId="8" borderId="1" xfId="0" applyNumberFormat="1" applyFont="1" applyFill="1" applyBorder="1" applyAlignment="1">
      <alignment horizontal="center" vertical="center"/>
    </xf>
    <xf numFmtId="1" fontId="25772" fillId="8" borderId="1" xfId="0" applyNumberFormat="1" applyFont="1" applyFill="1" applyBorder="1" applyAlignment="1">
      <alignment horizontal="center" vertical="center"/>
    </xf>
    <xf numFmtId="165" fontId="25773" fillId="8" borderId="1" xfId="0" applyNumberFormat="1" applyFont="1" applyFill="1" applyBorder="1" applyAlignment="1">
      <alignment horizontal="center" vertical="center"/>
    </xf>
    <xf numFmtId="1" fontId="25774" fillId="8" borderId="1" xfId="0" applyNumberFormat="1" applyFont="1" applyFill="1" applyBorder="1" applyAlignment="1">
      <alignment horizontal="center" vertical="center"/>
    </xf>
    <xf numFmtId="165" fontId="25775" fillId="8" borderId="1" xfId="0" applyNumberFormat="1" applyFont="1" applyFill="1" applyBorder="1" applyAlignment="1">
      <alignment horizontal="center" vertical="center"/>
    </xf>
    <xf numFmtId="1" fontId="25776" fillId="8" borderId="1" xfId="0" applyNumberFormat="1" applyFont="1" applyFill="1" applyBorder="1" applyAlignment="1">
      <alignment horizontal="center" vertical="center"/>
    </xf>
    <xf numFmtId="1" fontId="25777" fillId="8" borderId="1" xfId="0" applyNumberFormat="1" applyFont="1" applyFill="1" applyBorder="1" applyAlignment="1">
      <alignment horizontal="center" vertical="center"/>
    </xf>
    <xf numFmtId="1" fontId="25778" fillId="8" borderId="1" xfId="0" applyNumberFormat="1" applyFont="1" applyFill="1" applyBorder="1" applyAlignment="1">
      <alignment horizontal="center" vertical="center"/>
    </xf>
    <xf numFmtId="1" fontId="25779" fillId="8" borderId="1" xfId="0" applyNumberFormat="1" applyFont="1" applyFill="1" applyBorder="1" applyAlignment="1">
      <alignment horizontal="center" vertical="center"/>
    </xf>
    <xf numFmtId="165" fontId="25780" fillId="8" borderId="1" xfId="0" applyNumberFormat="1" applyFont="1" applyFill="1" applyBorder="1" applyAlignment="1">
      <alignment horizontal="center" vertical="center"/>
    </xf>
    <xf numFmtId="1" fontId="25781" fillId="8" borderId="1" xfId="0" applyNumberFormat="1" applyFont="1" applyFill="1" applyBorder="1" applyAlignment="1">
      <alignment horizontal="center" vertical="center"/>
    </xf>
    <xf numFmtId="165" fontId="25782" fillId="8" borderId="1" xfId="0" applyNumberFormat="1" applyFont="1" applyFill="1" applyBorder="1" applyAlignment="1">
      <alignment horizontal="center" vertical="center"/>
    </xf>
    <xf numFmtId="1" fontId="25783" fillId="8" borderId="1" xfId="0" applyNumberFormat="1" applyFont="1" applyFill="1" applyBorder="1" applyAlignment="1">
      <alignment horizontal="center" vertical="center"/>
    </xf>
    <xf numFmtId="165" fontId="25784" fillId="8" borderId="1" xfId="0" applyNumberFormat="1" applyFont="1" applyFill="1" applyBorder="1" applyAlignment="1">
      <alignment horizontal="center" vertical="center"/>
    </xf>
    <xf numFmtId="2" fontId="25785" fillId="8" borderId="1" xfId="0" applyNumberFormat="1" applyFont="1" applyFill="1" applyBorder="1" applyAlignment="1">
      <alignment horizontal="center" vertical="center"/>
    </xf>
    <xf numFmtId="2" fontId="25786" fillId="8" borderId="1" xfId="0" applyNumberFormat="1" applyFont="1" applyFill="1" applyBorder="1" applyAlignment="1">
      <alignment horizontal="center" vertical="center"/>
    </xf>
    <xf numFmtId="2" fontId="25787" fillId="8" borderId="1" xfId="0" applyNumberFormat="1" applyFont="1" applyFill="1" applyBorder="1" applyAlignment="1">
      <alignment horizontal="center" vertical="center"/>
    </xf>
    <xf numFmtId="2" fontId="25788" fillId="8" borderId="1" xfId="0" applyNumberFormat="1" applyFont="1" applyFill="1" applyBorder="1" applyAlignment="1">
      <alignment horizontal="center" vertical="center"/>
    </xf>
    <xf numFmtId="2" fontId="25789" fillId="8" borderId="1" xfId="0" applyNumberFormat="1" applyFont="1" applyFill="1" applyBorder="1" applyAlignment="1">
      <alignment horizontal="center" vertical="center"/>
    </xf>
    <xf numFmtId="2" fontId="25790" fillId="8" borderId="1" xfId="0" applyNumberFormat="1" applyFont="1" applyFill="1" applyBorder="1" applyAlignment="1">
      <alignment horizontal="center" vertical="center"/>
    </xf>
    <xf numFmtId="2" fontId="25791" fillId="8" borderId="1" xfId="0" applyNumberFormat="1" applyFont="1" applyFill="1" applyBorder="1" applyAlignment="1">
      <alignment horizontal="center" vertical="center"/>
    </xf>
    <xf numFmtId="2" fontId="25792" fillId="8" borderId="1" xfId="0" applyNumberFormat="1" applyFont="1" applyFill="1" applyBorder="1" applyAlignment="1">
      <alignment horizontal="center" vertical="center"/>
    </xf>
    <xf numFmtId="2" fontId="25793" fillId="8" borderId="1" xfId="0" applyNumberFormat="1" applyFont="1" applyFill="1" applyBorder="1" applyAlignment="1">
      <alignment horizontal="center" vertical="center"/>
    </xf>
    <xf numFmtId="2" fontId="25794" fillId="8" borderId="1" xfId="0" applyNumberFormat="1" applyFont="1" applyFill="1" applyBorder="1" applyAlignment="1">
      <alignment horizontal="center" vertical="center"/>
    </xf>
    <xf numFmtId="2" fontId="25795" fillId="8" borderId="1" xfId="0" applyNumberFormat="1" applyFont="1" applyFill="1" applyBorder="1" applyAlignment="1">
      <alignment horizontal="center" vertical="center"/>
    </xf>
    <xf numFmtId="2" fontId="25796" fillId="8" borderId="1" xfId="0" applyNumberFormat="1" applyFont="1" applyFill="1" applyBorder="1" applyAlignment="1">
      <alignment horizontal="center" vertical="center"/>
    </xf>
    <xf numFmtId="2" fontId="25797" fillId="8" borderId="1" xfId="0" applyNumberFormat="1" applyFont="1" applyFill="1" applyBorder="1" applyAlignment="1">
      <alignment horizontal="center" vertical="center"/>
    </xf>
    <xf numFmtId="2" fontId="25798" fillId="8" borderId="1" xfId="0" applyNumberFormat="1" applyFont="1" applyFill="1" applyBorder="1" applyAlignment="1">
      <alignment horizontal="center" vertical="center"/>
    </xf>
    <xf numFmtId="2" fontId="25799" fillId="8" borderId="1" xfId="0" applyNumberFormat="1" applyFont="1" applyFill="1" applyBorder="1" applyAlignment="1">
      <alignment horizontal="center" vertical="center"/>
    </xf>
    <xf numFmtId="2" fontId="25800" fillId="8" borderId="1" xfId="0" applyNumberFormat="1" applyFont="1" applyFill="1" applyBorder="1" applyAlignment="1">
      <alignment horizontal="center" vertical="center"/>
    </xf>
    <xf numFmtId="2" fontId="25801" fillId="8" borderId="1" xfId="0" applyNumberFormat="1" applyFont="1" applyFill="1" applyBorder="1" applyAlignment="1">
      <alignment horizontal="center" vertical="center"/>
    </xf>
    <xf numFmtId="2" fontId="25802" fillId="8" borderId="1" xfId="0" applyNumberFormat="1" applyFont="1" applyFill="1" applyBorder="1" applyAlignment="1">
      <alignment horizontal="center" vertical="center"/>
    </xf>
    <xf numFmtId="2" fontId="25803" fillId="8" borderId="1" xfId="0" applyNumberFormat="1" applyFont="1" applyFill="1" applyBorder="1" applyAlignment="1">
      <alignment horizontal="center" vertical="center"/>
    </xf>
    <xf numFmtId="2" fontId="25804" fillId="8" borderId="1" xfId="0" applyNumberFormat="1" applyFont="1" applyFill="1" applyBorder="1" applyAlignment="1">
      <alignment horizontal="center" vertical="center"/>
    </xf>
    <xf numFmtId="2" fontId="25805" fillId="8" borderId="1" xfId="0" applyNumberFormat="1" applyFont="1" applyFill="1" applyBorder="1" applyAlignment="1">
      <alignment horizontal="center" vertical="center"/>
    </xf>
    <xf numFmtId="2" fontId="25806" fillId="8" borderId="1" xfId="0" applyNumberFormat="1" applyFont="1" applyFill="1" applyBorder="1" applyAlignment="1">
      <alignment horizontal="center" vertical="center"/>
    </xf>
    <xf numFmtId="2" fontId="25807" fillId="8" borderId="1" xfId="0" applyNumberFormat="1" applyFont="1" applyFill="1" applyBorder="1" applyAlignment="1">
      <alignment horizontal="center" vertical="center"/>
    </xf>
    <xf numFmtId="2" fontId="25808" fillId="8" borderId="1" xfId="0" applyNumberFormat="1" applyFont="1" applyFill="1" applyBorder="1" applyAlignment="1">
      <alignment horizontal="center" vertical="center"/>
    </xf>
    <xf numFmtId="2" fontId="25809" fillId="8" borderId="1" xfId="0" applyNumberFormat="1" applyFont="1" applyFill="1" applyBorder="1" applyAlignment="1">
      <alignment horizontal="center" vertical="center"/>
    </xf>
    <xf numFmtId="2" fontId="25810" fillId="8" borderId="1" xfId="0" applyNumberFormat="1" applyFont="1" applyFill="1" applyBorder="1" applyAlignment="1">
      <alignment horizontal="center" vertical="center"/>
    </xf>
    <xf numFmtId="2" fontId="25811" fillId="8" borderId="1" xfId="0" applyNumberFormat="1" applyFont="1" applyFill="1" applyBorder="1" applyAlignment="1">
      <alignment horizontal="center" vertical="center"/>
    </xf>
    <xf numFmtId="2" fontId="25812" fillId="8" borderId="1" xfId="0" applyNumberFormat="1" applyFont="1" applyFill="1" applyBorder="1" applyAlignment="1">
      <alignment horizontal="center" vertical="center"/>
    </xf>
    <xf numFmtId="2" fontId="25813" fillId="8" borderId="1" xfId="0" applyNumberFormat="1" applyFont="1" applyFill="1" applyBorder="1" applyAlignment="1">
      <alignment horizontal="center" vertical="center"/>
    </xf>
    <xf numFmtId="2" fontId="25814" fillId="8" borderId="1" xfId="0" applyNumberFormat="1" applyFont="1" applyFill="1" applyBorder="1" applyAlignment="1">
      <alignment horizontal="center" vertical="center"/>
    </xf>
    <xf numFmtId="2" fontId="25815" fillId="8" borderId="1" xfId="0" applyNumberFormat="1" applyFont="1" applyFill="1" applyBorder="1" applyAlignment="1">
      <alignment horizontal="center" vertical="center"/>
    </xf>
    <xf numFmtId="2" fontId="25816" fillId="8" borderId="1" xfId="0" applyNumberFormat="1" applyFont="1" applyFill="1" applyBorder="1" applyAlignment="1">
      <alignment horizontal="center" vertical="center"/>
    </xf>
    <xf numFmtId="2" fontId="25817" fillId="8" borderId="1" xfId="0" applyNumberFormat="1" applyFont="1" applyFill="1" applyBorder="1" applyAlignment="1">
      <alignment horizontal="center" vertical="center"/>
    </xf>
    <xf numFmtId="2" fontId="25818" fillId="8" borderId="1" xfId="0" applyNumberFormat="1" applyFont="1" applyFill="1" applyBorder="1" applyAlignment="1">
      <alignment horizontal="center" vertical="center"/>
    </xf>
    <xf numFmtId="0" fontId="25819" fillId="7" borderId="1" xfId="0" applyNumberFormat="1" applyFont="1" applyFill="1" applyBorder="1" applyAlignment="1">
      <alignment horizontal="left" vertical="center"/>
    </xf>
    <xf numFmtId="0" fontId="25820" fillId="8" borderId="1" xfId="0" applyNumberFormat="1" applyFont="1" applyFill="1" applyBorder="1" applyAlignment="1">
      <alignment horizontal="center" vertical="center"/>
    </xf>
    <xf numFmtId="164" fontId="25821" fillId="8" borderId="1" xfId="0" applyNumberFormat="1" applyFont="1" applyFill="1" applyBorder="1" applyAlignment="1">
      <alignment horizontal="center" vertical="center"/>
    </xf>
    <xf numFmtId="1" fontId="25822" fillId="8" borderId="1" xfId="0" applyNumberFormat="1" applyFont="1" applyFill="1" applyBorder="1" applyAlignment="1">
      <alignment horizontal="center" vertical="center"/>
    </xf>
    <xf numFmtId="1" fontId="25823" fillId="8" borderId="1" xfId="0" applyNumberFormat="1" applyFont="1" applyFill="1" applyBorder="1" applyAlignment="1">
      <alignment horizontal="center" vertical="center"/>
    </xf>
    <xf numFmtId="1" fontId="25824" fillId="8" borderId="1" xfId="0" applyNumberFormat="1" applyFont="1" applyFill="1" applyBorder="1" applyAlignment="1">
      <alignment horizontal="center" vertical="center"/>
    </xf>
    <xf numFmtId="1" fontId="25825" fillId="8" borderId="1" xfId="0" applyNumberFormat="1" applyFont="1" applyFill="1" applyBorder="1" applyAlignment="1">
      <alignment horizontal="center" vertical="center"/>
    </xf>
    <xf numFmtId="1" fontId="25826" fillId="8" borderId="1" xfId="0" applyNumberFormat="1" applyFont="1" applyFill="1" applyBorder="1" applyAlignment="1">
      <alignment horizontal="center" vertical="center"/>
    </xf>
    <xf numFmtId="1" fontId="25827" fillId="8" borderId="1" xfId="0" applyNumberFormat="1" applyFont="1" applyFill="1" applyBorder="1" applyAlignment="1">
      <alignment horizontal="center" vertical="center"/>
    </xf>
    <xf numFmtId="1" fontId="25828" fillId="8" borderId="1" xfId="0" applyNumberFormat="1" applyFont="1" applyFill="1" applyBorder="1" applyAlignment="1">
      <alignment horizontal="center" vertical="center"/>
    </xf>
    <xf numFmtId="0" fontId="25829" fillId="8" borderId="1" xfId="0" applyNumberFormat="1" applyFont="1" applyFill="1" applyBorder="1" applyAlignment="1">
      <alignment horizontal="center" vertical="center"/>
    </xf>
    <xf numFmtId="0" fontId="25830" fillId="8" borderId="1" xfId="0" applyNumberFormat="1" applyFont="1" applyFill="1" applyBorder="1" applyAlignment="1">
      <alignment horizontal="center" vertical="center"/>
    </xf>
    <xf numFmtId="1" fontId="25831" fillId="8" borderId="1" xfId="0" applyNumberFormat="1" applyFont="1" applyFill="1" applyBorder="1" applyAlignment="1">
      <alignment horizontal="center" vertical="center"/>
    </xf>
    <xf numFmtId="1" fontId="25832" fillId="8" borderId="1" xfId="0" applyNumberFormat="1" applyFont="1" applyFill="1" applyBorder="1" applyAlignment="1">
      <alignment horizontal="center" vertical="center"/>
    </xf>
    <xf numFmtId="1" fontId="25833" fillId="8" borderId="1" xfId="0" applyNumberFormat="1" applyFont="1" applyFill="1" applyBorder="1" applyAlignment="1">
      <alignment horizontal="center" vertical="center"/>
    </xf>
    <xf numFmtId="165" fontId="25834" fillId="8" borderId="1" xfId="0" applyNumberFormat="1" applyFont="1" applyFill="1" applyBorder="1" applyAlignment="1">
      <alignment horizontal="center" vertical="center"/>
    </xf>
    <xf numFmtId="1" fontId="25835" fillId="8" borderId="1" xfId="0" applyNumberFormat="1" applyFont="1" applyFill="1" applyBorder="1" applyAlignment="1">
      <alignment horizontal="center" vertical="center"/>
    </xf>
    <xf numFmtId="165" fontId="25836" fillId="8" borderId="1" xfId="0" applyNumberFormat="1" applyFont="1" applyFill="1" applyBorder="1" applyAlignment="1">
      <alignment horizontal="center" vertical="center"/>
    </xf>
    <xf numFmtId="1" fontId="25837" fillId="8" borderId="1" xfId="0" applyNumberFormat="1" applyFont="1" applyFill="1" applyBorder="1" applyAlignment="1">
      <alignment horizontal="center" vertical="center"/>
    </xf>
    <xf numFmtId="165" fontId="25838" fillId="8" borderId="1" xfId="0" applyNumberFormat="1" applyFont="1" applyFill="1" applyBorder="1" applyAlignment="1">
      <alignment horizontal="center" vertical="center"/>
    </xf>
    <xf numFmtId="1" fontId="25839" fillId="8" borderId="1" xfId="0" applyNumberFormat="1" applyFont="1" applyFill="1" applyBorder="1" applyAlignment="1">
      <alignment horizontal="center" vertical="center"/>
    </xf>
    <xf numFmtId="165" fontId="25840" fillId="8" borderId="1" xfId="0" applyNumberFormat="1" applyFont="1" applyFill="1" applyBorder="1" applyAlignment="1">
      <alignment horizontal="center" vertical="center"/>
    </xf>
    <xf numFmtId="165" fontId="25841" fillId="8" borderId="1" xfId="0" applyNumberFormat="1" applyFont="1" applyFill="1" applyBorder="1" applyAlignment="1">
      <alignment horizontal="center" vertical="center"/>
    </xf>
    <xf numFmtId="1" fontId="25842" fillId="8" borderId="1" xfId="0" applyNumberFormat="1" applyFont="1" applyFill="1" applyBorder="1" applyAlignment="1">
      <alignment horizontal="center" vertical="center"/>
    </xf>
    <xf numFmtId="1" fontId="25843" fillId="8" borderId="1" xfId="0" applyNumberFormat="1" applyFont="1" applyFill="1" applyBorder="1" applyAlignment="1">
      <alignment horizontal="center" vertical="center"/>
    </xf>
    <xf numFmtId="1" fontId="25844" fillId="8" borderId="1" xfId="0" applyNumberFormat="1" applyFont="1" applyFill="1" applyBorder="1" applyAlignment="1">
      <alignment horizontal="center" vertical="center"/>
    </xf>
    <xf numFmtId="165" fontId="25845" fillId="8" borderId="1" xfId="0" applyNumberFormat="1" applyFont="1" applyFill="1" applyBorder="1" applyAlignment="1">
      <alignment horizontal="center" vertical="center"/>
    </xf>
    <xf numFmtId="164" fontId="25846" fillId="8" borderId="1" xfId="0" applyNumberFormat="1" applyFont="1" applyFill="1" applyBorder="1" applyAlignment="1">
      <alignment horizontal="center" vertical="center"/>
    </xf>
    <xf numFmtId="164" fontId="25847" fillId="8" borderId="1" xfId="0" applyNumberFormat="1" applyFont="1" applyFill="1" applyBorder="1" applyAlignment="1">
      <alignment horizontal="center" vertical="center"/>
    </xf>
    <xf numFmtId="1" fontId="25848" fillId="8" borderId="1" xfId="0" applyNumberFormat="1" applyFont="1" applyFill="1" applyBorder="1" applyAlignment="1">
      <alignment horizontal="center" vertical="center"/>
    </xf>
    <xf numFmtId="1" fontId="25849" fillId="8" borderId="1" xfId="0" applyNumberFormat="1" applyFont="1" applyFill="1" applyBorder="1" applyAlignment="1">
      <alignment horizontal="center" vertical="center"/>
    </xf>
    <xf numFmtId="1" fontId="25850" fillId="8" borderId="1" xfId="0" applyNumberFormat="1" applyFont="1" applyFill="1" applyBorder="1" applyAlignment="1">
      <alignment horizontal="center" vertical="center"/>
    </xf>
    <xf numFmtId="165" fontId="25851" fillId="8" borderId="1" xfId="0" applyNumberFormat="1" applyFont="1" applyFill="1" applyBorder="1" applyAlignment="1">
      <alignment horizontal="center" vertical="center"/>
    </xf>
    <xf numFmtId="1" fontId="25852" fillId="8" borderId="1" xfId="0" applyNumberFormat="1" applyFont="1" applyFill="1" applyBorder="1" applyAlignment="1">
      <alignment horizontal="center" vertical="center"/>
    </xf>
    <xf numFmtId="165" fontId="25853" fillId="8" borderId="1" xfId="0" applyNumberFormat="1" applyFont="1" applyFill="1" applyBorder="1" applyAlignment="1">
      <alignment horizontal="center" vertical="center"/>
    </xf>
    <xf numFmtId="1" fontId="25854" fillId="8" borderId="1" xfId="0" applyNumberFormat="1" applyFont="1" applyFill="1" applyBorder="1" applyAlignment="1">
      <alignment horizontal="center" vertical="center"/>
    </xf>
    <xf numFmtId="1" fontId="25855" fillId="8" borderId="1" xfId="0" applyNumberFormat="1" applyFont="1" applyFill="1" applyBorder="1" applyAlignment="1">
      <alignment horizontal="center" vertical="center"/>
    </xf>
    <xf numFmtId="1" fontId="25856" fillId="8" borderId="1" xfId="0" applyNumberFormat="1" applyFont="1" applyFill="1" applyBorder="1" applyAlignment="1">
      <alignment horizontal="center" vertical="center"/>
    </xf>
    <xf numFmtId="1" fontId="25857" fillId="8" borderId="1" xfId="0" applyNumberFormat="1" applyFont="1" applyFill="1" applyBorder="1" applyAlignment="1">
      <alignment horizontal="center" vertical="center"/>
    </xf>
    <xf numFmtId="165" fontId="25858" fillId="8" borderId="1" xfId="0" applyNumberFormat="1" applyFont="1" applyFill="1" applyBorder="1" applyAlignment="1">
      <alignment horizontal="center" vertical="center"/>
    </xf>
    <xf numFmtId="1" fontId="25859" fillId="8" borderId="1" xfId="0" applyNumberFormat="1" applyFont="1" applyFill="1" applyBorder="1" applyAlignment="1">
      <alignment horizontal="center" vertical="center"/>
    </xf>
    <xf numFmtId="165" fontId="25860" fillId="8" borderId="1" xfId="0" applyNumberFormat="1" applyFont="1" applyFill="1" applyBorder="1" applyAlignment="1">
      <alignment horizontal="center" vertical="center"/>
    </xf>
    <xf numFmtId="1" fontId="25861" fillId="8" borderId="1" xfId="0" applyNumberFormat="1" applyFont="1" applyFill="1" applyBorder="1" applyAlignment="1">
      <alignment horizontal="center" vertical="center"/>
    </xf>
    <xf numFmtId="165" fontId="25862" fillId="8" borderId="1" xfId="0" applyNumberFormat="1" applyFont="1" applyFill="1" applyBorder="1" applyAlignment="1">
      <alignment horizontal="center" vertical="center"/>
    </xf>
    <xf numFmtId="2" fontId="25863" fillId="8" borderId="1" xfId="0" applyNumberFormat="1" applyFont="1" applyFill="1" applyBorder="1" applyAlignment="1">
      <alignment horizontal="center" vertical="center"/>
    </xf>
    <xf numFmtId="2" fontId="25864" fillId="8" borderId="1" xfId="0" applyNumberFormat="1" applyFont="1" applyFill="1" applyBorder="1" applyAlignment="1">
      <alignment horizontal="center" vertical="center"/>
    </xf>
    <xf numFmtId="2" fontId="25865" fillId="8" borderId="1" xfId="0" applyNumberFormat="1" applyFont="1" applyFill="1" applyBorder="1" applyAlignment="1">
      <alignment horizontal="center" vertical="center"/>
    </xf>
    <xf numFmtId="2" fontId="25866" fillId="8" borderId="1" xfId="0" applyNumberFormat="1" applyFont="1" applyFill="1" applyBorder="1" applyAlignment="1">
      <alignment horizontal="center" vertical="center"/>
    </xf>
    <xf numFmtId="2" fontId="25867" fillId="8" borderId="1" xfId="0" applyNumberFormat="1" applyFont="1" applyFill="1" applyBorder="1" applyAlignment="1">
      <alignment horizontal="center" vertical="center"/>
    </xf>
    <xf numFmtId="2" fontId="25868" fillId="8" borderId="1" xfId="0" applyNumberFormat="1" applyFont="1" applyFill="1" applyBorder="1" applyAlignment="1">
      <alignment horizontal="center" vertical="center"/>
    </xf>
    <xf numFmtId="2" fontId="25869" fillId="8" borderId="1" xfId="0" applyNumberFormat="1" applyFont="1" applyFill="1" applyBorder="1" applyAlignment="1">
      <alignment horizontal="center" vertical="center"/>
    </xf>
    <xf numFmtId="2" fontId="25870" fillId="8" borderId="1" xfId="0" applyNumberFormat="1" applyFont="1" applyFill="1" applyBorder="1" applyAlignment="1">
      <alignment horizontal="center" vertical="center"/>
    </xf>
    <xf numFmtId="2" fontId="25871" fillId="8" borderId="1" xfId="0" applyNumberFormat="1" applyFont="1" applyFill="1" applyBorder="1" applyAlignment="1">
      <alignment horizontal="center" vertical="center"/>
    </xf>
    <xf numFmtId="2" fontId="25872" fillId="8" borderId="1" xfId="0" applyNumberFormat="1" applyFont="1" applyFill="1" applyBorder="1" applyAlignment="1">
      <alignment horizontal="center" vertical="center"/>
    </xf>
    <xf numFmtId="2" fontId="25873" fillId="8" borderId="1" xfId="0" applyNumberFormat="1" applyFont="1" applyFill="1" applyBorder="1" applyAlignment="1">
      <alignment horizontal="center" vertical="center"/>
    </xf>
    <xf numFmtId="2" fontId="25874" fillId="8" borderId="1" xfId="0" applyNumberFormat="1" applyFont="1" applyFill="1" applyBorder="1" applyAlignment="1">
      <alignment horizontal="center" vertical="center"/>
    </xf>
    <xf numFmtId="2" fontId="25875" fillId="8" borderId="1" xfId="0" applyNumberFormat="1" applyFont="1" applyFill="1" applyBorder="1" applyAlignment="1">
      <alignment horizontal="center" vertical="center"/>
    </xf>
    <xf numFmtId="2" fontId="25876" fillId="8" borderId="1" xfId="0" applyNumberFormat="1" applyFont="1" applyFill="1" applyBorder="1" applyAlignment="1">
      <alignment horizontal="center" vertical="center"/>
    </xf>
    <xf numFmtId="2" fontId="25877" fillId="8" borderId="1" xfId="0" applyNumberFormat="1" applyFont="1" applyFill="1" applyBorder="1" applyAlignment="1">
      <alignment horizontal="center" vertical="center"/>
    </xf>
    <xf numFmtId="2" fontId="25878" fillId="8" borderId="1" xfId="0" applyNumberFormat="1" applyFont="1" applyFill="1" applyBorder="1" applyAlignment="1">
      <alignment horizontal="center" vertical="center"/>
    </xf>
    <xf numFmtId="2" fontId="25879" fillId="8" borderId="1" xfId="0" applyNumberFormat="1" applyFont="1" applyFill="1" applyBorder="1" applyAlignment="1">
      <alignment horizontal="center" vertical="center"/>
    </xf>
    <xf numFmtId="2" fontId="25880" fillId="8" borderId="1" xfId="0" applyNumberFormat="1" applyFont="1" applyFill="1" applyBorder="1" applyAlignment="1">
      <alignment horizontal="center" vertical="center"/>
    </xf>
    <xf numFmtId="2" fontId="25881" fillId="8" borderId="1" xfId="0" applyNumberFormat="1" applyFont="1" applyFill="1" applyBorder="1" applyAlignment="1">
      <alignment horizontal="center" vertical="center"/>
    </xf>
    <xf numFmtId="2" fontId="25882" fillId="8" borderId="1" xfId="0" applyNumberFormat="1" applyFont="1" applyFill="1" applyBorder="1" applyAlignment="1">
      <alignment horizontal="center" vertical="center"/>
    </xf>
    <xf numFmtId="2" fontId="25883" fillId="8" borderId="1" xfId="0" applyNumberFormat="1" applyFont="1" applyFill="1" applyBorder="1" applyAlignment="1">
      <alignment horizontal="center" vertical="center"/>
    </xf>
    <xf numFmtId="2" fontId="25884" fillId="8" borderId="1" xfId="0" applyNumberFormat="1" applyFont="1" applyFill="1" applyBorder="1" applyAlignment="1">
      <alignment horizontal="center" vertical="center"/>
    </xf>
    <xf numFmtId="2" fontId="25885" fillId="8" borderId="1" xfId="0" applyNumberFormat="1" applyFont="1" applyFill="1" applyBorder="1" applyAlignment="1">
      <alignment horizontal="center" vertical="center"/>
    </xf>
    <xf numFmtId="2" fontId="25886" fillId="8" borderId="1" xfId="0" applyNumberFormat="1" applyFont="1" applyFill="1" applyBorder="1" applyAlignment="1">
      <alignment horizontal="center" vertical="center"/>
    </xf>
    <xf numFmtId="2" fontId="25887" fillId="8" borderId="1" xfId="0" applyNumberFormat="1" applyFont="1" applyFill="1" applyBorder="1" applyAlignment="1">
      <alignment horizontal="center" vertical="center"/>
    </xf>
    <xf numFmtId="2" fontId="25888" fillId="8" borderId="1" xfId="0" applyNumberFormat="1" applyFont="1" applyFill="1" applyBorder="1" applyAlignment="1">
      <alignment horizontal="center" vertical="center"/>
    </xf>
    <xf numFmtId="2" fontId="25889" fillId="8" borderId="1" xfId="0" applyNumberFormat="1" applyFont="1" applyFill="1" applyBorder="1" applyAlignment="1">
      <alignment horizontal="center" vertical="center"/>
    </xf>
    <xf numFmtId="2" fontId="25890" fillId="8" borderId="1" xfId="0" applyNumberFormat="1" applyFont="1" applyFill="1" applyBorder="1" applyAlignment="1">
      <alignment horizontal="center" vertical="center"/>
    </xf>
    <xf numFmtId="2" fontId="25891" fillId="8" borderId="1" xfId="0" applyNumberFormat="1" applyFont="1" applyFill="1" applyBorder="1" applyAlignment="1">
      <alignment horizontal="center" vertical="center"/>
    </xf>
    <xf numFmtId="2" fontId="25892" fillId="8" borderId="1" xfId="0" applyNumberFormat="1" applyFont="1" applyFill="1" applyBorder="1" applyAlignment="1">
      <alignment horizontal="center" vertical="center"/>
    </xf>
    <xf numFmtId="2" fontId="25893" fillId="8" borderId="1" xfId="0" applyNumberFormat="1" applyFont="1" applyFill="1" applyBorder="1" applyAlignment="1">
      <alignment horizontal="center" vertical="center"/>
    </xf>
    <xf numFmtId="2" fontId="25894" fillId="8" borderId="1" xfId="0" applyNumberFormat="1" applyFont="1" applyFill="1" applyBorder="1" applyAlignment="1">
      <alignment horizontal="center" vertical="center"/>
    </xf>
    <xf numFmtId="2" fontId="25895" fillId="8" borderId="1" xfId="0" applyNumberFormat="1" applyFont="1" applyFill="1" applyBorder="1" applyAlignment="1">
      <alignment horizontal="center" vertical="center"/>
    </xf>
    <xf numFmtId="2" fontId="25896" fillId="8" borderId="1" xfId="0" applyNumberFormat="1" applyFont="1" applyFill="1" applyBorder="1" applyAlignment="1">
      <alignment horizontal="center" vertical="center"/>
    </xf>
    <xf numFmtId="0" fontId="25897" fillId="7" borderId="1" xfId="0" applyNumberFormat="1" applyFont="1" applyFill="1" applyBorder="1" applyAlignment="1">
      <alignment horizontal="left" vertical="center"/>
    </xf>
    <xf numFmtId="0" fontId="25898" fillId="8" borderId="1" xfId="0" applyNumberFormat="1" applyFont="1" applyFill="1" applyBorder="1" applyAlignment="1">
      <alignment horizontal="center" vertical="center"/>
    </xf>
    <xf numFmtId="164" fontId="25899" fillId="8" borderId="1" xfId="0" applyNumberFormat="1" applyFont="1" applyFill="1" applyBorder="1" applyAlignment="1">
      <alignment horizontal="center" vertical="center"/>
    </xf>
    <xf numFmtId="1" fontId="25900" fillId="8" borderId="1" xfId="0" applyNumberFormat="1" applyFont="1" applyFill="1" applyBorder="1" applyAlignment="1">
      <alignment horizontal="center" vertical="center"/>
    </xf>
    <xf numFmtId="1" fontId="25901" fillId="8" borderId="1" xfId="0" applyNumberFormat="1" applyFont="1" applyFill="1" applyBorder="1" applyAlignment="1">
      <alignment horizontal="center" vertical="center"/>
    </xf>
    <xf numFmtId="1" fontId="25902" fillId="8" borderId="1" xfId="0" applyNumberFormat="1" applyFont="1" applyFill="1" applyBorder="1" applyAlignment="1">
      <alignment horizontal="center" vertical="center"/>
    </xf>
    <xf numFmtId="1" fontId="25903" fillId="8" borderId="1" xfId="0" applyNumberFormat="1" applyFont="1" applyFill="1" applyBorder="1" applyAlignment="1">
      <alignment horizontal="center" vertical="center"/>
    </xf>
    <xf numFmtId="1" fontId="25904" fillId="8" borderId="1" xfId="0" applyNumberFormat="1" applyFont="1" applyFill="1" applyBorder="1" applyAlignment="1">
      <alignment horizontal="center" vertical="center"/>
    </xf>
    <xf numFmtId="1" fontId="25905" fillId="8" borderId="1" xfId="0" applyNumberFormat="1" applyFont="1" applyFill="1" applyBorder="1" applyAlignment="1">
      <alignment horizontal="center" vertical="center"/>
    </xf>
    <xf numFmtId="1" fontId="25906" fillId="8" borderId="1" xfId="0" applyNumberFormat="1" applyFont="1" applyFill="1" applyBorder="1" applyAlignment="1">
      <alignment horizontal="center" vertical="center"/>
    </xf>
    <xf numFmtId="0" fontId="25907" fillId="8" borderId="1" xfId="0" applyNumberFormat="1" applyFont="1" applyFill="1" applyBorder="1" applyAlignment="1">
      <alignment horizontal="center" vertical="center"/>
    </xf>
    <xf numFmtId="0" fontId="25908" fillId="8" borderId="1" xfId="0" applyNumberFormat="1" applyFont="1" applyFill="1" applyBorder="1" applyAlignment="1">
      <alignment horizontal="center" vertical="center"/>
    </xf>
    <xf numFmtId="1" fontId="25909" fillId="8" borderId="1" xfId="0" applyNumberFormat="1" applyFont="1" applyFill="1" applyBorder="1" applyAlignment="1">
      <alignment horizontal="center" vertical="center"/>
    </xf>
    <xf numFmtId="1" fontId="25910" fillId="8" borderId="1" xfId="0" applyNumberFormat="1" applyFont="1" applyFill="1" applyBorder="1" applyAlignment="1">
      <alignment horizontal="center" vertical="center"/>
    </xf>
    <xf numFmtId="1" fontId="25911" fillId="8" borderId="1" xfId="0" applyNumberFormat="1" applyFont="1" applyFill="1" applyBorder="1" applyAlignment="1">
      <alignment horizontal="center" vertical="center"/>
    </xf>
    <xf numFmtId="165" fontId="25912" fillId="8" borderId="1" xfId="0" applyNumberFormat="1" applyFont="1" applyFill="1" applyBorder="1" applyAlignment="1">
      <alignment horizontal="center" vertical="center"/>
    </xf>
    <xf numFmtId="1" fontId="25913" fillId="8" borderId="1" xfId="0" applyNumberFormat="1" applyFont="1" applyFill="1" applyBorder="1" applyAlignment="1">
      <alignment horizontal="center" vertical="center"/>
    </xf>
    <xf numFmtId="165" fontId="25914" fillId="8" borderId="1" xfId="0" applyNumberFormat="1" applyFont="1" applyFill="1" applyBorder="1" applyAlignment="1">
      <alignment horizontal="center" vertical="center"/>
    </xf>
    <xf numFmtId="1" fontId="25915" fillId="8" borderId="1" xfId="0" applyNumberFormat="1" applyFont="1" applyFill="1" applyBorder="1" applyAlignment="1">
      <alignment horizontal="center" vertical="center"/>
    </xf>
    <xf numFmtId="165" fontId="25916" fillId="8" borderId="1" xfId="0" applyNumberFormat="1" applyFont="1" applyFill="1" applyBorder="1" applyAlignment="1">
      <alignment horizontal="center" vertical="center"/>
    </xf>
    <xf numFmtId="1" fontId="25917" fillId="8" borderId="1" xfId="0" applyNumberFormat="1" applyFont="1" applyFill="1" applyBorder="1" applyAlignment="1">
      <alignment horizontal="center" vertical="center"/>
    </xf>
    <xf numFmtId="165" fontId="25918" fillId="8" borderId="1" xfId="0" applyNumberFormat="1" applyFont="1" applyFill="1" applyBorder="1" applyAlignment="1">
      <alignment horizontal="center" vertical="center"/>
    </xf>
    <xf numFmtId="165" fontId="25919" fillId="8" borderId="1" xfId="0" applyNumberFormat="1" applyFont="1" applyFill="1" applyBorder="1" applyAlignment="1">
      <alignment horizontal="center" vertical="center"/>
    </xf>
    <xf numFmtId="1" fontId="25920" fillId="8" borderId="1" xfId="0" applyNumberFormat="1" applyFont="1" applyFill="1" applyBorder="1" applyAlignment="1">
      <alignment horizontal="center" vertical="center"/>
    </xf>
    <xf numFmtId="1" fontId="25921" fillId="8" borderId="1" xfId="0" applyNumberFormat="1" applyFont="1" applyFill="1" applyBorder="1" applyAlignment="1">
      <alignment horizontal="center" vertical="center"/>
    </xf>
    <xf numFmtId="1" fontId="25922" fillId="8" borderId="1" xfId="0" applyNumberFormat="1" applyFont="1" applyFill="1" applyBorder="1" applyAlignment="1">
      <alignment horizontal="center" vertical="center"/>
    </xf>
    <xf numFmtId="165" fontId="25923" fillId="8" borderId="1" xfId="0" applyNumberFormat="1" applyFont="1" applyFill="1" applyBorder="1" applyAlignment="1">
      <alignment horizontal="center" vertical="center"/>
    </xf>
    <xf numFmtId="164" fontId="25924" fillId="8" borderId="1" xfId="0" applyNumberFormat="1" applyFont="1" applyFill="1" applyBorder="1" applyAlignment="1">
      <alignment horizontal="center" vertical="center"/>
    </xf>
    <xf numFmtId="164" fontId="25925" fillId="8" borderId="1" xfId="0" applyNumberFormat="1" applyFont="1" applyFill="1" applyBorder="1" applyAlignment="1">
      <alignment horizontal="center" vertical="center"/>
    </xf>
    <xf numFmtId="1" fontId="25926" fillId="8" borderId="1" xfId="0" applyNumberFormat="1" applyFont="1" applyFill="1" applyBorder="1" applyAlignment="1">
      <alignment horizontal="center" vertical="center"/>
    </xf>
    <xf numFmtId="1" fontId="25927" fillId="8" borderId="1" xfId="0" applyNumberFormat="1" applyFont="1" applyFill="1" applyBorder="1" applyAlignment="1">
      <alignment horizontal="center" vertical="center"/>
    </xf>
    <xf numFmtId="1" fontId="25928" fillId="8" borderId="1" xfId="0" applyNumberFormat="1" applyFont="1" applyFill="1" applyBorder="1" applyAlignment="1">
      <alignment horizontal="center" vertical="center"/>
    </xf>
    <xf numFmtId="165" fontId="25929" fillId="8" borderId="1" xfId="0" applyNumberFormat="1" applyFont="1" applyFill="1" applyBorder="1" applyAlignment="1">
      <alignment horizontal="center" vertical="center"/>
    </xf>
    <xf numFmtId="1" fontId="25930" fillId="8" borderId="1" xfId="0" applyNumberFormat="1" applyFont="1" applyFill="1" applyBorder="1" applyAlignment="1">
      <alignment horizontal="center" vertical="center"/>
    </xf>
    <xf numFmtId="165" fontId="25931" fillId="8" borderId="1" xfId="0" applyNumberFormat="1" applyFont="1" applyFill="1" applyBorder="1" applyAlignment="1">
      <alignment horizontal="center" vertical="center"/>
    </xf>
    <xf numFmtId="1" fontId="25932" fillId="8" borderId="1" xfId="0" applyNumberFormat="1" applyFont="1" applyFill="1" applyBorder="1" applyAlignment="1">
      <alignment horizontal="center" vertical="center"/>
    </xf>
    <xf numFmtId="1" fontId="25933" fillId="8" borderId="1" xfId="0" applyNumberFormat="1" applyFont="1" applyFill="1" applyBorder="1" applyAlignment="1">
      <alignment horizontal="center" vertical="center"/>
    </xf>
    <xf numFmtId="1" fontId="25934" fillId="8" borderId="1" xfId="0" applyNumberFormat="1" applyFont="1" applyFill="1" applyBorder="1" applyAlignment="1">
      <alignment horizontal="center" vertical="center"/>
    </xf>
    <xf numFmtId="1" fontId="25935" fillId="8" borderId="1" xfId="0" applyNumberFormat="1" applyFont="1" applyFill="1" applyBorder="1" applyAlignment="1">
      <alignment horizontal="center" vertical="center"/>
    </xf>
    <xf numFmtId="165" fontId="25936" fillId="8" borderId="1" xfId="0" applyNumberFormat="1" applyFont="1" applyFill="1" applyBorder="1" applyAlignment="1">
      <alignment horizontal="center" vertical="center"/>
    </xf>
    <xf numFmtId="1" fontId="25937" fillId="8" borderId="1" xfId="0" applyNumberFormat="1" applyFont="1" applyFill="1" applyBorder="1" applyAlignment="1">
      <alignment horizontal="center" vertical="center"/>
    </xf>
    <xf numFmtId="165" fontId="25938" fillId="8" borderId="1" xfId="0" applyNumberFormat="1" applyFont="1" applyFill="1" applyBorder="1" applyAlignment="1">
      <alignment horizontal="center" vertical="center"/>
    </xf>
    <xf numFmtId="1" fontId="25939" fillId="8" borderId="1" xfId="0" applyNumberFormat="1" applyFont="1" applyFill="1" applyBorder="1" applyAlignment="1">
      <alignment horizontal="center" vertical="center"/>
    </xf>
    <xf numFmtId="165" fontId="25940" fillId="8" borderId="1" xfId="0" applyNumberFormat="1" applyFont="1" applyFill="1" applyBorder="1" applyAlignment="1">
      <alignment horizontal="center" vertical="center"/>
    </xf>
    <xf numFmtId="2" fontId="25941" fillId="8" borderId="1" xfId="0" applyNumberFormat="1" applyFont="1" applyFill="1" applyBorder="1" applyAlignment="1">
      <alignment horizontal="center" vertical="center"/>
    </xf>
    <xf numFmtId="2" fontId="25942" fillId="8" borderId="1" xfId="0" applyNumberFormat="1" applyFont="1" applyFill="1" applyBorder="1" applyAlignment="1">
      <alignment horizontal="center" vertical="center"/>
    </xf>
    <xf numFmtId="2" fontId="25943" fillId="8" borderId="1" xfId="0" applyNumberFormat="1" applyFont="1" applyFill="1" applyBorder="1" applyAlignment="1">
      <alignment horizontal="center" vertical="center"/>
    </xf>
    <xf numFmtId="2" fontId="25944" fillId="8" borderId="1" xfId="0" applyNumberFormat="1" applyFont="1" applyFill="1" applyBorder="1" applyAlignment="1">
      <alignment horizontal="center" vertical="center"/>
    </xf>
    <xf numFmtId="2" fontId="25945" fillId="8" borderId="1" xfId="0" applyNumberFormat="1" applyFont="1" applyFill="1" applyBorder="1" applyAlignment="1">
      <alignment horizontal="center" vertical="center"/>
    </xf>
    <xf numFmtId="2" fontId="25946" fillId="8" borderId="1" xfId="0" applyNumberFormat="1" applyFont="1" applyFill="1" applyBorder="1" applyAlignment="1">
      <alignment horizontal="center" vertical="center"/>
    </xf>
    <xf numFmtId="2" fontId="25947" fillId="8" borderId="1" xfId="0" applyNumberFormat="1" applyFont="1" applyFill="1" applyBorder="1" applyAlignment="1">
      <alignment horizontal="center" vertical="center"/>
    </xf>
    <xf numFmtId="2" fontId="25948" fillId="8" borderId="1" xfId="0" applyNumberFormat="1" applyFont="1" applyFill="1" applyBorder="1" applyAlignment="1">
      <alignment horizontal="center" vertical="center"/>
    </xf>
    <xf numFmtId="2" fontId="25949" fillId="8" borderId="1" xfId="0" applyNumberFormat="1" applyFont="1" applyFill="1" applyBorder="1" applyAlignment="1">
      <alignment horizontal="center" vertical="center"/>
    </xf>
    <xf numFmtId="2" fontId="25950" fillId="8" borderId="1" xfId="0" applyNumberFormat="1" applyFont="1" applyFill="1" applyBorder="1" applyAlignment="1">
      <alignment horizontal="center" vertical="center"/>
    </xf>
    <xf numFmtId="2" fontId="25951" fillId="8" borderId="1" xfId="0" applyNumberFormat="1" applyFont="1" applyFill="1" applyBorder="1" applyAlignment="1">
      <alignment horizontal="center" vertical="center"/>
    </xf>
    <xf numFmtId="2" fontId="25952" fillId="8" borderId="1" xfId="0" applyNumberFormat="1" applyFont="1" applyFill="1" applyBorder="1" applyAlignment="1">
      <alignment horizontal="center" vertical="center"/>
    </xf>
    <xf numFmtId="2" fontId="25953" fillId="8" borderId="1" xfId="0" applyNumberFormat="1" applyFont="1" applyFill="1" applyBorder="1" applyAlignment="1">
      <alignment horizontal="center" vertical="center"/>
    </xf>
    <xf numFmtId="2" fontId="25954" fillId="8" borderId="1" xfId="0" applyNumberFormat="1" applyFont="1" applyFill="1" applyBorder="1" applyAlignment="1">
      <alignment horizontal="center" vertical="center"/>
    </xf>
    <xf numFmtId="2" fontId="25955" fillId="8" borderId="1" xfId="0" applyNumberFormat="1" applyFont="1" applyFill="1" applyBorder="1" applyAlignment="1">
      <alignment horizontal="center" vertical="center"/>
    </xf>
    <xf numFmtId="2" fontId="25956" fillId="8" borderId="1" xfId="0" applyNumberFormat="1" applyFont="1" applyFill="1" applyBorder="1" applyAlignment="1">
      <alignment horizontal="center" vertical="center"/>
    </xf>
    <xf numFmtId="2" fontId="25957" fillId="8" borderId="1" xfId="0" applyNumberFormat="1" applyFont="1" applyFill="1" applyBorder="1" applyAlignment="1">
      <alignment horizontal="center" vertical="center"/>
    </xf>
    <xf numFmtId="2" fontId="25958" fillId="8" borderId="1" xfId="0" applyNumberFormat="1" applyFont="1" applyFill="1" applyBorder="1" applyAlignment="1">
      <alignment horizontal="center" vertical="center"/>
    </xf>
    <xf numFmtId="2" fontId="25959" fillId="8" borderId="1" xfId="0" applyNumberFormat="1" applyFont="1" applyFill="1" applyBorder="1" applyAlignment="1">
      <alignment horizontal="center" vertical="center"/>
    </xf>
    <xf numFmtId="2" fontId="25960" fillId="8" borderId="1" xfId="0" applyNumberFormat="1" applyFont="1" applyFill="1" applyBorder="1" applyAlignment="1">
      <alignment horizontal="center" vertical="center"/>
    </xf>
    <xf numFmtId="2" fontId="25961" fillId="8" borderId="1" xfId="0" applyNumberFormat="1" applyFont="1" applyFill="1" applyBorder="1" applyAlignment="1">
      <alignment horizontal="center" vertical="center"/>
    </xf>
    <xf numFmtId="2" fontId="25962" fillId="8" borderId="1" xfId="0" applyNumberFormat="1" applyFont="1" applyFill="1" applyBorder="1" applyAlignment="1">
      <alignment horizontal="center" vertical="center"/>
    </xf>
    <xf numFmtId="2" fontId="25963" fillId="8" borderId="1" xfId="0" applyNumberFormat="1" applyFont="1" applyFill="1" applyBorder="1" applyAlignment="1">
      <alignment horizontal="center" vertical="center"/>
    </xf>
    <xf numFmtId="2" fontId="25964" fillId="8" borderId="1" xfId="0" applyNumberFormat="1" applyFont="1" applyFill="1" applyBorder="1" applyAlignment="1">
      <alignment horizontal="center" vertical="center"/>
    </xf>
    <xf numFmtId="2" fontId="25965" fillId="8" borderId="1" xfId="0" applyNumberFormat="1" applyFont="1" applyFill="1" applyBorder="1" applyAlignment="1">
      <alignment horizontal="center" vertical="center"/>
    </xf>
    <xf numFmtId="2" fontId="25966" fillId="8" borderId="1" xfId="0" applyNumberFormat="1" applyFont="1" applyFill="1" applyBorder="1" applyAlignment="1">
      <alignment horizontal="center" vertical="center"/>
    </xf>
    <xf numFmtId="2" fontId="25967" fillId="8" borderId="1" xfId="0" applyNumberFormat="1" applyFont="1" applyFill="1" applyBorder="1" applyAlignment="1">
      <alignment horizontal="center" vertical="center"/>
    </xf>
    <xf numFmtId="2" fontId="25968" fillId="8" borderId="1" xfId="0" applyNumberFormat="1" applyFont="1" applyFill="1" applyBorder="1" applyAlignment="1">
      <alignment horizontal="center" vertical="center"/>
    </xf>
    <xf numFmtId="2" fontId="25969" fillId="8" borderId="1" xfId="0" applyNumberFormat="1" applyFont="1" applyFill="1" applyBorder="1" applyAlignment="1">
      <alignment horizontal="center" vertical="center"/>
    </xf>
    <xf numFmtId="2" fontId="25970" fillId="8" borderId="1" xfId="0" applyNumberFormat="1" applyFont="1" applyFill="1" applyBorder="1" applyAlignment="1">
      <alignment horizontal="center" vertical="center"/>
    </xf>
    <xf numFmtId="2" fontId="25971" fillId="8" borderId="1" xfId="0" applyNumberFormat="1" applyFont="1" applyFill="1" applyBorder="1" applyAlignment="1">
      <alignment horizontal="center" vertical="center"/>
    </xf>
    <xf numFmtId="2" fontId="25972" fillId="8" borderId="1" xfId="0" applyNumberFormat="1" applyFont="1" applyFill="1" applyBorder="1" applyAlignment="1">
      <alignment horizontal="center" vertical="center"/>
    </xf>
    <xf numFmtId="2" fontId="25973" fillId="8" borderId="1" xfId="0" applyNumberFormat="1" applyFont="1" applyFill="1" applyBorder="1" applyAlignment="1">
      <alignment horizontal="center" vertical="center"/>
    </xf>
    <xf numFmtId="2" fontId="25974" fillId="8" borderId="1" xfId="0" applyNumberFormat="1" applyFont="1" applyFill="1" applyBorder="1" applyAlignment="1">
      <alignment horizontal="center" vertical="center"/>
    </xf>
    <xf numFmtId="0" fontId="25975" fillId="7" borderId="1" xfId="0" applyNumberFormat="1" applyFont="1" applyFill="1" applyBorder="1" applyAlignment="1">
      <alignment horizontal="left" vertical="center"/>
    </xf>
    <xf numFmtId="0" fontId="25976" fillId="8" borderId="1" xfId="0" applyNumberFormat="1" applyFont="1" applyFill="1" applyBorder="1" applyAlignment="1">
      <alignment horizontal="center" vertical="center"/>
    </xf>
    <xf numFmtId="164" fontId="25977" fillId="8" borderId="1" xfId="0" applyNumberFormat="1" applyFont="1" applyFill="1" applyBorder="1" applyAlignment="1">
      <alignment horizontal="center" vertical="center"/>
    </xf>
    <xf numFmtId="1" fontId="25978" fillId="8" borderId="1" xfId="0" applyNumberFormat="1" applyFont="1" applyFill="1" applyBorder="1" applyAlignment="1">
      <alignment horizontal="center" vertical="center"/>
    </xf>
    <xf numFmtId="1" fontId="25979" fillId="8" borderId="1" xfId="0" applyNumberFormat="1" applyFont="1" applyFill="1" applyBorder="1" applyAlignment="1">
      <alignment horizontal="center" vertical="center"/>
    </xf>
    <xf numFmtId="1" fontId="25980" fillId="8" borderId="1" xfId="0" applyNumberFormat="1" applyFont="1" applyFill="1" applyBorder="1" applyAlignment="1">
      <alignment horizontal="center" vertical="center"/>
    </xf>
    <xf numFmtId="1" fontId="25981" fillId="8" borderId="1" xfId="0" applyNumberFormat="1" applyFont="1" applyFill="1" applyBorder="1" applyAlignment="1">
      <alignment horizontal="center" vertical="center"/>
    </xf>
    <xf numFmtId="1" fontId="25982" fillId="8" borderId="1" xfId="0" applyNumberFormat="1" applyFont="1" applyFill="1" applyBorder="1" applyAlignment="1">
      <alignment horizontal="center" vertical="center"/>
    </xf>
    <xf numFmtId="1" fontId="25983" fillId="8" borderId="1" xfId="0" applyNumberFormat="1" applyFont="1" applyFill="1" applyBorder="1" applyAlignment="1">
      <alignment horizontal="center" vertical="center"/>
    </xf>
    <xf numFmtId="1" fontId="25984" fillId="8" borderId="1" xfId="0" applyNumberFormat="1" applyFont="1" applyFill="1" applyBorder="1" applyAlignment="1">
      <alignment horizontal="center" vertical="center"/>
    </xf>
    <xf numFmtId="0" fontId="25985" fillId="8" borderId="1" xfId="0" applyNumberFormat="1" applyFont="1" applyFill="1" applyBorder="1" applyAlignment="1">
      <alignment horizontal="center" vertical="center"/>
    </xf>
    <xf numFmtId="0" fontId="25986" fillId="8" borderId="1" xfId="0" applyNumberFormat="1" applyFont="1" applyFill="1" applyBorder="1" applyAlignment="1">
      <alignment horizontal="center" vertical="center"/>
    </xf>
    <xf numFmtId="1" fontId="25987" fillId="8" borderId="1" xfId="0" applyNumberFormat="1" applyFont="1" applyFill="1" applyBorder="1" applyAlignment="1">
      <alignment horizontal="center" vertical="center"/>
    </xf>
    <xf numFmtId="1" fontId="25988" fillId="8" borderId="1" xfId="0" applyNumberFormat="1" applyFont="1" applyFill="1" applyBorder="1" applyAlignment="1">
      <alignment horizontal="center" vertical="center"/>
    </xf>
    <xf numFmtId="1" fontId="25989" fillId="8" borderId="1" xfId="0" applyNumberFormat="1" applyFont="1" applyFill="1" applyBorder="1" applyAlignment="1">
      <alignment horizontal="center" vertical="center"/>
    </xf>
    <xf numFmtId="165" fontId="25990" fillId="8" borderId="1" xfId="0" applyNumberFormat="1" applyFont="1" applyFill="1" applyBorder="1" applyAlignment="1">
      <alignment horizontal="center" vertical="center"/>
    </xf>
    <xf numFmtId="1" fontId="25991" fillId="8" borderId="1" xfId="0" applyNumberFormat="1" applyFont="1" applyFill="1" applyBorder="1" applyAlignment="1">
      <alignment horizontal="center" vertical="center"/>
    </xf>
    <xf numFmtId="165" fontId="25992" fillId="8" borderId="1" xfId="0" applyNumberFormat="1" applyFont="1" applyFill="1" applyBorder="1" applyAlignment="1">
      <alignment horizontal="center" vertical="center"/>
    </xf>
    <xf numFmtId="1" fontId="25993" fillId="8" borderId="1" xfId="0" applyNumberFormat="1" applyFont="1" applyFill="1" applyBorder="1" applyAlignment="1">
      <alignment horizontal="center" vertical="center"/>
    </xf>
    <xf numFmtId="165" fontId="25994" fillId="8" borderId="1" xfId="0" applyNumberFormat="1" applyFont="1" applyFill="1" applyBorder="1" applyAlignment="1">
      <alignment horizontal="center" vertical="center"/>
    </xf>
    <xf numFmtId="1" fontId="25995" fillId="8" borderId="1" xfId="0" applyNumberFormat="1" applyFont="1" applyFill="1" applyBorder="1" applyAlignment="1">
      <alignment horizontal="center" vertical="center"/>
    </xf>
    <xf numFmtId="165" fontId="25996" fillId="8" borderId="1" xfId="0" applyNumberFormat="1" applyFont="1" applyFill="1" applyBorder="1" applyAlignment="1">
      <alignment horizontal="center" vertical="center"/>
    </xf>
    <xf numFmtId="165" fontId="25997" fillId="8" borderId="1" xfId="0" applyNumberFormat="1" applyFont="1" applyFill="1" applyBorder="1" applyAlignment="1">
      <alignment horizontal="center" vertical="center"/>
    </xf>
    <xf numFmtId="1" fontId="25998" fillId="8" borderId="1" xfId="0" applyNumberFormat="1" applyFont="1" applyFill="1" applyBorder="1" applyAlignment="1">
      <alignment horizontal="center" vertical="center"/>
    </xf>
    <xf numFmtId="1" fontId="25999" fillId="8" borderId="1" xfId="0" applyNumberFormat="1" applyFont="1" applyFill="1" applyBorder="1" applyAlignment="1">
      <alignment horizontal="center" vertical="center"/>
    </xf>
    <xf numFmtId="1" fontId="26000" fillId="8" borderId="1" xfId="0" applyNumberFormat="1" applyFont="1" applyFill="1" applyBorder="1" applyAlignment="1">
      <alignment horizontal="center" vertical="center"/>
    </xf>
    <xf numFmtId="165" fontId="26001" fillId="8" borderId="1" xfId="0" applyNumberFormat="1" applyFont="1" applyFill="1" applyBorder="1" applyAlignment="1">
      <alignment horizontal="center" vertical="center"/>
    </xf>
    <xf numFmtId="164" fontId="26002" fillId="8" borderId="1" xfId="0" applyNumberFormat="1" applyFont="1" applyFill="1" applyBorder="1" applyAlignment="1">
      <alignment horizontal="center" vertical="center"/>
    </xf>
    <xf numFmtId="164" fontId="26003" fillId="8" borderId="1" xfId="0" applyNumberFormat="1" applyFont="1" applyFill="1" applyBorder="1" applyAlignment="1">
      <alignment horizontal="center" vertical="center"/>
    </xf>
    <xf numFmtId="1" fontId="26004" fillId="8" borderId="1" xfId="0" applyNumberFormat="1" applyFont="1" applyFill="1" applyBorder="1" applyAlignment="1">
      <alignment horizontal="center" vertical="center"/>
    </xf>
    <xf numFmtId="1" fontId="26005" fillId="8" borderId="1" xfId="0" applyNumberFormat="1" applyFont="1" applyFill="1" applyBorder="1" applyAlignment="1">
      <alignment horizontal="center" vertical="center"/>
    </xf>
    <xf numFmtId="1" fontId="26006" fillId="8" borderId="1" xfId="0" applyNumberFormat="1" applyFont="1" applyFill="1" applyBorder="1" applyAlignment="1">
      <alignment horizontal="center" vertical="center"/>
    </xf>
    <xf numFmtId="165" fontId="26007" fillId="8" borderId="1" xfId="0" applyNumberFormat="1" applyFont="1" applyFill="1" applyBorder="1" applyAlignment="1">
      <alignment horizontal="center" vertical="center"/>
    </xf>
    <xf numFmtId="1" fontId="26008" fillId="8" borderId="1" xfId="0" applyNumberFormat="1" applyFont="1" applyFill="1" applyBorder="1" applyAlignment="1">
      <alignment horizontal="center" vertical="center"/>
    </xf>
    <xf numFmtId="165" fontId="26009" fillId="8" borderId="1" xfId="0" applyNumberFormat="1" applyFont="1" applyFill="1" applyBorder="1" applyAlignment="1">
      <alignment horizontal="center" vertical="center"/>
    </xf>
    <xf numFmtId="1" fontId="26010" fillId="8" borderId="1" xfId="0" applyNumberFormat="1" applyFont="1" applyFill="1" applyBorder="1" applyAlignment="1">
      <alignment horizontal="center" vertical="center"/>
    </xf>
    <xf numFmtId="1" fontId="26011" fillId="8" borderId="1" xfId="0" applyNumberFormat="1" applyFont="1" applyFill="1" applyBorder="1" applyAlignment="1">
      <alignment horizontal="center" vertical="center"/>
    </xf>
    <xf numFmtId="1" fontId="26012" fillId="8" borderId="1" xfId="0" applyNumberFormat="1" applyFont="1" applyFill="1" applyBorder="1" applyAlignment="1">
      <alignment horizontal="center" vertical="center"/>
    </xf>
    <xf numFmtId="1" fontId="26013" fillId="8" borderId="1" xfId="0" applyNumberFormat="1" applyFont="1" applyFill="1" applyBorder="1" applyAlignment="1">
      <alignment horizontal="center" vertical="center"/>
    </xf>
    <xf numFmtId="165" fontId="26014" fillId="8" borderId="1" xfId="0" applyNumberFormat="1" applyFont="1" applyFill="1" applyBorder="1" applyAlignment="1">
      <alignment horizontal="center" vertical="center"/>
    </xf>
    <xf numFmtId="1" fontId="26015" fillId="8" borderId="1" xfId="0" applyNumberFormat="1" applyFont="1" applyFill="1" applyBorder="1" applyAlignment="1">
      <alignment horizontal="center" vertical="center"/>
    </xf>
    <xf numFmtId="165" fontId="26016" fillId="8" borderId="1" xfId="0" applyNumberFormat="1" applyFont="1" applyFill="1" applyBorder="1" applyAlignment="1">
      <alignment horizontal="center" vertical="center"/>
    </xf>
    <xf numFmtId="1" fontId="26017" fillId="8" borderId="1" xfId="0" applyNumberFormat="1" applyFont="1" applyFill="1" applyBorder="1" applyAlignment="1">
      <alignment horizontal="center" vertical="center"/>
    </xf>
    <xf numFmtId="165" fontId="26018" fillId="8" borderId="1" xfId="0" applyNumberFormat="1" applyFont="1" applyFill="1" applyBorder="1" applyAlignment="1">
      <alignment horizontal="center" vertical="center"/>
    </xf>
    <xf numFmtId="2" fontId="26019" fillId="8" borderId="1" xfId="0" applyNumberFormat="1" applyFont="1" applyFill="1" applyBorder="1" applyAlignment="1">
      <alignment horizontal="center" vertical="center"/>
    </xf>
    <xf numFmtId="2" fontId="26020" fillId="8" borderId="1" xfId="0" applyNumberFormat="1" applyFont="1" applyFill="1" applyBorder="1" applyAlignment="1">
      <alignment horizontal="center" vertical="center"/>
    </xf>
    <xf numFmtId="2" fontId="26021" fillId="8" borderId="1" xfId="0" applyNumberFormat="1" applyFont="1" applyFill="1" applyBorder="1" applyAlignment="1">
      <alignment horizontal="center" vertical="center"/>
    </xf>
    <xf numFmtId="2" fontId="26022" fillId="8" borderId="1" xfId="0" applyNumberFormat="1" applyFont="1" applyFill="1" applyBorder="1" applyAlignment="1">
      <alignment horizontal="center" vertical="center"/>
    </xf>
    <xf numFmtId="2" fontId="26023" fillId="8" borderId="1" xfId="0" applyNumberFormat="1" applyFont="1" applyFill="1" applyBorder="1" applyAlignment="1">
      <alignment horizontal="center" vertical="center"/>
    </xf>
    <xf numFmtId="2" fontId="26024" fillId="8" borderId="1" xfId="0" applyNumberFormat="1" applyFont="1" applyFill="1" applyBorder="1" applyAlignment="1">
      <alignment horizontal="center" vertical="center"/>
    </xf>
    <xf numFmtId="2" fontId="26025" fillId="8" borderId="1" xfId="0" applyNumberFormat="1" applyFont="1" applyFill="1" applyBorder="1" applyAlignment="1">
      <alignment horizontal="center" vertical="center"/>
    </xf>
    <xf numFmtId="2" fontId="26026" fillId="8" borderId="1" xfId="0" applyNumberFormat="1" applyFont="1" applyFill="1" applyBorder="1" applyAlignment="1">
      <alignment horizontal="center" vertical="center"/>
    </xf>
    <xf numFmtId="2" fontId="26027" fillId="8" borderId="1" xfId="0" applyNumberFormat="1" applyFont="1" applyFill="1" applyBorder="1" applyAlignment="1">
      <alignment horizontal="center" vertical="center"/>
    </xf>
    <xf numFmtId="2" fontId="26028" fillId="8" borderId="1" xfId="0" applyNumberFormat="1" applyFont="1" applyFill="1" applyBorder="1" applyAlignment="1">
      <alignment horizontal="center" vertical="center"/>
    </xf>
    <xf numFmtId="2" fontId="26029" fillId="8" borderId="1" xfId="0" applyNumberFormat="1" applyFont="1" applyFill="1" applyBorder="1" applyAlignment="1">
      <alignment horizontal="center" vertical="center"/>
    </xf>
    <xf numFmtId="2" fontId="26030" fillId="8" borderId="1" xfId="0" applyNumberFormat="1" applyFont="1" applyFill="1" applyBorder="1" applyAlignment="1">
      <alignment horizontal="center" vertical="center"/>
    </xf>
    <xf numFmtId="2" fontId="26031" fillId="8" borderId="1" xfId="0" applyNumberFormat="1" applyFont="1" applyFill="1" applyBorder="1" applyAlignment="1">
      <alignment horizontal="center" vertical="center"/>
    </xf>
    <xf numFmtId="2" fontId="26032" fillId="8" borderId="1" xfId="0" applyNumberFormat="1" applyFont="1" applyFill="1" applyBorder="1" applyAlignment="1">
      <alignment horizontal="center" vertical="center"/>
    </xf>
    <xf numFmtId="2" fontId="26033" fillId="8" borderId="1" xfId="0" applyNumberFormat="1" applyFont="1" applyFill="1" applyBorder="1" applyAlignment="1">
      <alignment horizontal="center" vertical="center"/>
    </xf>
    <xf numFmtId="2" fontId="26034" fillId="8" borderId="1" xfId="0" applyNumberFormat="1" applyFont="1" applyFill="1" applyBorder="1" applyAlignment="1">
      <alignment horizontal="center" vertical="center"/>
    </xf>
    <xf numFmtId="2" fontId="26035" fillId="8" borderId="1" xfId="0" applyNumberFormat="1" applyFont="1" applyFill="1" applyBorder="1" applyAlignment="1">
      <alignment horizontal="center" vertical="center"/>
    </xf>
    <xf numFmtId="2" fontId="26036" fillId="8" borderId="1" xfId="0" applyNumberFormat="1" applyFont="1" applyFill="1" applyBorder="1" applyAlignment="1">
      <alignment horizontal="center" vertical="center"/>
    </xf>
    <xf numFmtId="2" fontId="26037" fillId="8" borderId="1" xfId="0" applyNumberFormat="1" applyFont="1" applyFill="1" applyBorder="1" applyAlignment="1">
      <alignment horizontal="center" vertical="center"/>
    </xf>
    <xf numFmtId="2" fontId="26038" fillId="8" borderId="1" xfId="0" applyNumberFormat="1" applyFont="1" applyFill="1" applyBorder="1" applyAlignment="1">
      <alignment horizontal="center" vertical="center"/>
    </xf>
    <xf numFmtId="2" fontId="26039" fillId="8" borderId="1" xfId="0" applyNumberFormat="1" applyFont="1" applyFill="1" applyBorder="1" applyAlignment="1">
      <alignment horizontal="center" vertical="center"/>
    </xf>
    <xf numFmtId="2" fontId="26040" fillId="8" borderId="1" xfId="0" applyNumberFormat="1" applyFont="1" applyFill="1" applyBorder="1" applyAlignment="1">
      <alignment horizontal="center" vertical="center"/>
    </xf>
    <xf numFmtId="2" fontId="26041" fillId="8" borderId="1" xfId="0" applyNumberFormat="1" applyFont="1" applyFill="1" applyBorder="1" applyAlignment="1">
      <alignment horizontal="center" vertical="center"/>
    </xf>
    <xf numFmtId="2" fontId="26042" fillId="8" borderId="1" xfId="0" applyNumberFormat="1" applyFont="1" applyFill="1" applyBorder="1" applyAlignment="1">
      <alignment horizontal="center" vertical="center"/>
    </xf>
    <xf numFmtId="2" fontId="26043" fillId="8" borderId="1" xfId="0" applyNumberFormat="1" applyFont="1" applyFill="1" applyBorder="1" applyAlignment="1">
      <alignment horizontal="center" vertical="center"/>
    </xf>
    <xf numFmtId="2" fontId="26044" fillId="8" borderId="1" xfId="0" applyNumberFormat="1" applyFont="1" applyFill="1" applyBorder="1" applyAlignment="1">
      <alignment horizontal="center" vertical="center"/>
    </xf>
    <xf numFmtId="2" fontId="26045" fillId="8" borderId="1" xfId="0" applyNumberFormat="1" applyFont="1" applyFill="1" applyBorder="1" applyAlignment="1">
      <alignment horizontal="center" vertical="center"/>
    </xf>
    <xf numFmtId="2" fontId="26046" fillId="8" borderId="1" xfId="0" applyNumberFormat="1" applyFont="1" applyFill="1" applyBorder="1" applyAlignment="1">
      <alignment horizontal="center" vertical="center"/>
    </xf>
    <xf numFmtId="2" fontId="26047" fillId="8" borderId="1" xfId="0" applyNumberFormat="1" applyFont="1" applyFill="1" applyBorder="1" applyAlignment="1">
      <alignment horizontal="center" vertical="center"/>
    </xf>
    <xf numFmtId="2" fontId="26048" fillId="8" borderId="1" xfId="0" applyNumberFormat="1" applyFont="1" applyFill="1" applyBorder="1" applyAlignment="1">
      <alignment horizontal="center" vertical="center"/>
    </xf>
    <xf numFmtId="2" fontId="26049" fillId="8" borderId="1" xfId="0" applyNumberFormat="1" applyFont="1" applyFill="1" applyBorder="1" applyAlignment="1">
      <alignment horizontal="center" vertical="center"/>
    </xf>
    <xf numFmtId="2" fontId="26050" fillId="8" borderId="1" xfId="0" applyNumberFormat="1" applyFont="1" applyFill="1" applyBorder="1" applyAlignment="1">
      <alignment horizontal="center" vertical="center"/>
    </xf>
    <xf numFmtId="2" fontId="26051" fillId="8" borderId="1" xfId="0" applyNumberFormat="1" applyFont="1" applyFill="1" applyBorder="1" applyAlignment="1">
      <alignment horizontal="center" vertical="center"/>
    </xf>
    <xf numFmtId="2" fontId="26052" fillId="8" borderId="1" xfId="0" applyNumberFormat="1" applyFont="1" applyFill="1" applyBorder="1" applyAlignment="1">
      <alignment horizontal="center" vertical="center"/>
    </xf>
    <xf numFmtId="0" fontId="26053" fillId="7" borderId="1" xfId="0" applyNumberFormat="1" applyFont="1" applyFill="1" applyBorder="1" applyAlignment="1">
      <alignment horizontal="left" vertical="center"/>
    </xf>
    <xf numFmtId="0" fontId="26054" fillId="8" borderId="1" xfId="0" applyNumberFormat="1" applyFont="1" applyFill="1" applyBorder="1" applyAlignment="1">
      <alignment horizontal="center" vertical="center"/>
    </xf>
    <xf numFmtId="164" fontId="26055" fillId="8" borderId="1" xfId="0" applyNumberFormat="1" applyFont="1" applyFill="1" applyBorder="1" applyAlignment="1">
      <alignment horizontal="center" vertical="center"/>
    </xf>
    <xf numFmtId="1" fontId="26056" fillId="8" borderId="1" xfId="0" applyNumberFormat="1" applyFont="1" applyFill="1" applyBorder="1" applyAlignment="1">
      <alignment horizontal="center" vertical="center"/>
    </xf>
    <xf numFmtId="1" fontId="26057" fillId="8" borderId="1" xfId="0" applyNumberFormat="1" applyFont="1" applyFill="1" applyBorder="1" applyAlignment="1">
      <alignment horizontal="center" vertical="center"/>
    </xf>
    <xf numFmtId="1" fontId="26058" fillId="8" borderId="1" xfId="0" applyNumberFormat="1" applyFont="1" applyFill="1" applyBorder="1" applyAlignment="1">
      <alignment horizontal="center" vertical="center"/>
    </xf>
    <xf numFmtId="1" fontId="26059" fillId="8" borderId="1" xfId="0" applyNumberFormat="1" applyFont="1" applyFill="1" applyBorder="1" applyAlignment="1">
      <alignment horizontal="center" vertical="center"/>
    </xf>
    <xf numFmtId="1" fontId="26060" fillId="8" borderId="1" xfId="0" applyNumberFormat="1" applyFont="1" applyFill="1" applyBorder="1" applyAlignment="1">
      <alignment horizontal="center" vertical="center"/>
    </xf>
    <xf numFmtId="1" fontId="26061" fillId="8" borderId="1" xfId="0" applyNumberFormat="1" applyFont="1" applyFill="1" applyBorder="1" applyAlignment="1">
      <alignment horizontal="center" vertical="center"/>
    </xf>
    <xf numFmtId="1" fontId="26062" fillId="8" borderId="1" xfId="0" applyNumberFormat="1" applyFont="1" applyFill="1" applyBorder="1" applyAlignment="1">
      <alignment horizontal="center" vertical="center"/>
    </xf>
    <xf numFmtId="0" fontId="26063" fillId="8" borderId="1" xfId="0" applyNumberFormat="1" applyFont="1" applyFill="1" applyBorder="1" applyAlignment="1">
      <alignment horizontal="center" vertical="center"/>
    </xf>
    <xf numFmtId="0" fontId="26064" fillId="8" borderId="1" xfId="0" applyNumberFormat="1" applyFont="1" applyFill="1" applyBorder="1" applyAlignment="1">
      <alignment horizontal="center" vertical="center"/>
    </xf>
    <xf numFmtId="1" fontId="26065" fillId="8" borderId="1" xfId="0" applyNumberFormat="1" applyFont="1" applyFill="1" applyBorder="1" applyAlignment="1">
      <alignment horizontal="center" vertical="center"/>
    </xf>
    <xf numFmtId="1" fontId="26066" fillId="8" borderId="1" xfId="0" applyNumberFormat="1" applyFont="1" applyFill="1" applyBorder="1" applyAlignment="1">
      <alignment horizontal="center" vertical="center"/>
    </xf>
    <xf numFmtId="1" fontId="26067" fillId="8" borderId="1" xfId="0" applyNumberFormat="1" applyFont="1" applyFill="1" applyBorder="1" applyAlignment="1">
      <alignment horizontal="center" vertical="center"/>
    </xf>
    <xf numFmtId="165" fontId="26068" fillId="8" borderId="1" xfId="0" applyNumberFormat="1" applyFont="1" applyFill="1" applyBorder="1" applyAlignment="1">
      <alignment horizontal="center" vertical="center"/>
    </xf>
    <xf numFmtId="1" fontId="26069" fillId="8" borderId="1" xfId="0" applyNumberFormat="1" applyFont="1" applyFill="1" applyBorder="1" applyAlignment="1">
      <alignment horizontal="center" vertical="center"/>
    </xf>
    <xf numFmtId="165" fontId="26070" fillId="8" borderId="1" xfId="0" applyNumberFormat="1" applyFont="1" applyFill="1" applyBorder="1" applyAlignment="1">
      <alignment horizontal="center" vertical="center"/>
    </xf>
    <xf numFmtId="1" fontId="26071" fillId="8" borderId="1" xfId="0" applyNumberFormat="1" applyFont="1" applyFill="1" applyBorder="1" applyAlignment="1">
      <alignment horizontal="center" vertical="center"/>
    </xf>
    <xf numFmtId="165" fontId="26072" fillId="8" borderId="1" xfId="0" applyNumberFormat="1" applyFont="1" applyFill="1" applyBorder="1" applyAlignment="1">
      <alignment horizontal="center" vertical="center"/>
    </xf>
    <xf numFmtId="1" fontId="26073" fillId="8" borderId="1" xfId="0" applyNumberFormat="1" applyFont="1" applyFill="1" applyBorder="1" applyAlignment="1">
      <alignment horizontal="center" vertical="center"/>
    </xf>
    <xf numFmtId="165" fontId="26074" fillId="8" borderId="1" xfId="0" applyNumberFormat="1" applyFont="1" applyFill="1" applyBorder="1" applyAlignment="1">
      <alignment horizontal="center" vertical="center"/>
    </xf>
    <xf numFmtId="165" fontId="26075" fillId="8" borderId="1" xfId="0" applyNumberFormat="1" applyFont="1" applyFill="1" applyBorder="1" applyAlignment="1">
      <alignment horizontal="center" vertical="center"/>
    </xf>
    <xf numFmtId="1" fontId="26076" fillId="8" borderId="1" xfId="0" applyNumberFormat="1" applyFont="1" applyFill="1" applyBorder="1" applyAlignment="1">
      <alignment horizontal="center" vertical="center"/>
    </xf>
    <xf numFmtId="1" fontId="26077" fillId="8" borderId="1" xfId="0" applyNumberFormat="1" applyFont="1" applyFill="1" applyBorder="1" applyAlignment="1">
      <alignment horizontal="center" vertical="center"/>
    </xf>
    <xf numFmtId="1" fontId="26078" fillId="8" borderId="1" xfId="0" applyNumberFormat="1" applyFont="1" applyFill="1" applyBorder="1" applyAlignment="1">
      <alignment horizontal="center" vertical="center"/>
    </xf>
    <xf numFmtId="165" fontId="26079" fillId="8" borderId="1" xfId="0" applyNumberFormat="1" applyFont="1" applyFill="1" applyBorder="1" applyAlignment="1">
      <alignment horizontal="center" vertical="center"/>
    </xf>
    <xf numFmtId="164" fontId="26080" fillId="8" borderId="1" xfId="0" applyNumberFormat="1" applyFont="1" applyFill="1" applyBorder="1" applyAlignment="1">
      <alignment horizontal="center" vertical="center"/>
    </xf>
    <xf numFmtId="164" fontId="26081" fillId="8" borderId="1" xfId="0" applyNumberFormat="1" applyFont="1" applyFill="1" applyBorder="1" applyAlignment="1">
      <alignment horizontal="center" vertical="center"/>
    </xf>
    <xf numFmtId="1" fontId="26082" fillId="8" borderId="1" xfId="0" applyNumberFormat="1" applyFont="1" applyFill="1" applyBorder="1" applyAlignment="1">
      <alignment horizontal="center" vertical="center"/>
    </xf>
    <xf numFmtId="1" fontId="26083" fillId="8" borderId="1" xfId="0" applyNumberFormat="1" applyFont="1" applyFill="1" applyBorder="1" applyAlignment="1">
      <alignment horizontal="center" vertical="center"/>
    </xf>
    <xf numFmtId="1" fontId="26084" fillId="8" borderId="1" xfId="0" applyNumberFormat="1" applyFont="1" applyFill="1" applyBorder="1" applyAlignment="1">
      <alignment horizontal="center" vertical="center"/>
    </xf>
    <xf numFmtId="165" fontId="26085" fillId="8" borderId="1" xfId="0" applyNumberFormat="1" applyFont="1" applyFill="1" applyBorder="1" applyAlignment="1">
      <alignment horizontal="center" vertical="center"/>
    </xf>
    <xf numFmtId="1" fontId="26086" fillId="8" borderId="1" xfId="0" applyNumberFormat="1" applyFont="1" applyFill="1" applyBorder="1" applyAlignment="1">
      <alignment horizontal="center" vertical="center"/>
    </xf>
    <xf numFmtId="165" fontId="26087" fillId="8" borderId="1" xfId="0" applyNumberFormat="1" applyFont="1" applyFill="1" applyBorder="1" applyAlignment="1">
      <alignment horizontal="center" vertical="center"/>
    </xf>
    <xf numFmtId="1" fontId="26088" fillId="8" borderId="1" xfId="0" applyNumberFormat="1" applyFont="1" applyFill="1" applyBorder="1" applyAlignment="1">
      <alignment horizontal="center" vertical="center"/>
    </xf>
    <xf numFmtId="1" fontId="26089" fillId="8" borderId="1" xfId="0" applyNumberFormat="1" applyFont="1" applyFill="1" applyBorder="1" applyAlignment="1">
      <alignment horizontal="center" vertical="center"/>
    </xf>
    <xf numFmtId="1" fontId="26090" fillId="8" borderId="1" xfId="0" applyNumberFormat="1" applyFont="1" applyFill="1" applyBorder="1" applyAlignment="1">
      <alignment horizontal="center" vertical="center"/>
    </xf>
    <xf numFmtId="1" fontId="26091" fillId="8" borderId="1" xfId="0" applyNumberFormat="1" applyFont="1" applyFill="1" applyBorder="1" applyAlignment="1">
      <alignment horizontal="center" vertical="center"/>
    </xf>
    <xf numFmtId="165" fontId="26092" fillId="8" borderId="1" xfId="0" applyNumberFormat="1" applyFont="1" applyFill="1" applyBorder="1" applyAlignment="1">
      <alignment horizontal="center" vertical="center"/>
    </xf>
    <xf numFmtId="1" fontId="26093" fillId="8" borderId="1" xfId="0" applyNumberFormat="1" applyFont="1" applyFill="1" applyBorder="1" applyAlignment="1">
      <alignment horizontal="center" vertical="center"/>
    </xf>
    <xf numFmtId="165" fontId="26094" fillId="8" borderId="1" xfId="0" applyNumberFormat="1" applyFont="1" applyFill="1" applyBorder="1" applyAlignment="1">
      <alignment horizontal="center" vertical="center"/>
    </xf>
    <xf numFmtId="1" fontId="26095" fillId="8" borderId="1" xfId="0" applyNumberFormat="1" applyFont="1" applyFill="1" applyBorder="1" applyAlignment="1">
      <alignment horizontal="center" vertical="center"/>
    </xf>
    <xf numFmtId="165" fontId="26096" fillId="8" borderId="1" xfId="0" applyNumberFormat="1" applyFont="1" applyFill="1" applyBorder="1" applyAlignment="1">
      <alignment horizontal="center" vertical="center"/>
    </xf>
    <xf numFmtId="2" fontId="26097" fillId="8" borderId="1" xfId="0" applyNumberFormat="1" applyFont="1" applyFill="1" applyBorder="1" applyAlignment="1">
      <alignment horizontal="center" vertical="center"/>
    </xf>
    <xf numFmtId="2" fontId="26098" fillId="8" borderId="1" xfId="0" applyNumberFormat="1" applyFont="1" applyFill="1" applyBorder="1" applyAlignment="1">
      <alignment horizontal="center" vertical="center"/>
    </xf>
    <xf numFmtId="2" fontId="26099" fillId="8" borderId="1" xfId="0" applyNumberFormat="1" applyFont="1" applyFill="1" applyBorder="1" applyAlignment="1">
      <alignment horizontal="center" vertical="center"/>
    </xf>
    <xf numFmtId="2" fontId="26100" fillId="8" borderId="1" xfId="0" applyNumberFormat="1" applyFont="1" applyFill="1" applyBorder="1" applyAlignment="1">
      <alignment horizontal="center" vertical="center"/>
    </xf>
    <xf numFmtId="2" fontId="26101" fillId="8" borderId="1" xfId="0" applyNumberFormat="1" applyFont="1" applyFill="1" applyBorder="1" applyAlignment="1">
      <alignment horizontal="center" vertical="center"/>
    </xf>
    <xf numFmtId="2" fontId="26102" fillId="8" borderId="1" xfId="0" applyNumberFormat="1" applyFont="1" applyFill="1" applyBorder="1" applyAlignment="1">
      <alignment horizontal="center" vertical="center"/>
    </xf>
    <xf numFmtId="2" fontId="26103" fillId="8" borderId="1" xfId="0" applyNumberFormat="1" applyFont="1" applyFill="1" applyBorder="1" applyAlignment="1">
      <alignment horizontal="center" vertical="center"/>
    </xf>
    <xf numFmtId="2" fontId="26104" fillId="8" borderId="1" xfId="0" applyNumberFormat="1" applyFont="1" applyFill="1" applyBorder="1" applyAlignment="1">
      <alignment horizontal="center" vertical="center"/>
    </xf>
    <xf numFmtId="2" fontId="26105" fillId="8" borderId="1" xfId="0" applyNumberFormat="1" applyFont="1" applyFill="1" applyBorder="1" applyAlignment="1">
      <alignment horizontal="center" vertical="center"/>
    </xf>
    <xf numFmtId="2" fontId="26106" fillId="8" borderId="1" xfId="0" applyNumberFormat="1" applyFont="1" applyFill="1" applyBorder="1" applyAlignment="1">
      <alignment horizontal="center" vertical="center"/>
    </xf>
    <xf numFmtId="2" fontId="26107" fillId="8" borderId="1" xfId="0" applyNumberFormat="1" applyFont="1" applyFill="1" applyBorder="1" applyAlignment="1">
      <alignment horizontal="center" vertical="center"/>
    </xf>
    <xf numFmtId="2" fontId="26108" fillId="8" borderId="1" xfId="0" applyNumberFormat="1" applyFont="1" applyFill="1" applyBorder="1" applyAlignment="1">
      <alignment horizontal="center" vertical="center"/>
    </xf>
    <xf numFmtId="2" fontId="26109" fillId="8" borderId="1" xfId="0" applyNumberFormat="1" applyFont="1" applyFill="1" applyBorder="1" applyAlignment="1">
      <alignment horizontal="center" vertical="center"/>
    </xf>
    <xf numFmtId="2" fontId="26110" fillId="8" borderId="1" xfId="0" applyNumberFormat="1" applyFont="1" applyFill="1" applyBorder="1" applyAlignment="1">
      <alignment horizontal="center" vertical="center"/>
    </xf>
    <xf numFmtId="2" fontId="26111" fillId="8" borderId="1" xfId="0" applyNumberFormat="1" applyFont="1" applyFill="1" applyBorder="1" applyAlignment="1">
      <alignment horizontal="center" vertical="center"/>
    </xf>
    <xf numFmtId="2" fontId="26112" fillId="8" borderId="1" xfId="0" applyNumberFormat="1" applyFont="1" applyFill="1" applyBorder="1" applyAlignment="1">
      <alignment horizontal="center" vertical="center"/>
    </xf>
    <xf numFmtId="2" fontId="26113" fillId="8" borderId="1" xfId="0" applyNumberFormat="1" applyFont="1" applyFill="1" applyBorder="1" applyAlignment="1">
      <alignment horizontal="center" vertical="center"/>
    </xf>
    <xf numFmtId="2" fontId="26114" fillId="8" borderId="1" xfId="0" applyNumberFormat="1" applyFont="1" applyFill="1" applyBorder="1" applyAlignment="1">
      <alignment horizontal="center" vertical="center"/>
    </xf>
    <xf numFmtId="2" fontId="26115" fillId="8" borderId="1" xfId="0" applyNumberFormat="1" applyFont="1" applyFill="1" applyBorder="1" applyAlignment="1">
      <alignment horizontal="center" vertical="center"/>
    </xf>
    <xf numFmtId="2" fontId="26116" fillId="8" borderId="1" xfId="0" applyNumberFormat="1" applyFont="1" applyFill="1" applyBorder="1" applyAlignment="1">
      <alignment horizontal="center" vertical="center"/>
    </xf>
    <xf numFmtId="2" fontId="26117" fillId="8" borderId="1" xfId="0" applyNumberFormat="1" applyFont="1" applyFill="1" applyBorder="1" applyAlignment="1">
      <alignment horizontal="center" vertical="center"/>
    </xf>
    <xf numFmtId="2" fontId="26118" fillId="8" borderId="1" xfId="0" applyNumberFormat="1" applyFont="1" applyFill="1" applyBorder="1" applyAlignment="1">
      <alignment horizontal="center" vertical="center"/>
    </xf>
    <xf numFmtId="2" fontId="26119" fillId="8" borderId="1" xfId="0" applyNumberFormat="1" applyFont="1" applyFill="1" applyBorder="1" applyAlignment="1">
      <alignment horizontal="center" vertical="center"/>
    </xf>
    <xf numFmtId="2" fontId="26120" fillId="8" borderId="1" xfId="0" applyNumberFormat="1" applyFont="1" applyFill="1" applyBorder="1" applyAlignment="1">
      <alignment horizontal="center" vertical="center"/>
    </xf>
    <xf numFmtId="2" fontId="26121" fillId="8" borderId="1" xfId="0" applyNumberFormat="1" applyFont="1" applyFill="1" applyBorder="1" applyAlignment="1">
      <alignment horizontal="center" vertical="center"/>
    </xf>
    <xf numFmtId="2" fontId="26122" fillId="8" borderId="1" xfId="0" applyNumberFormat="1" applyFont="1" applyFill="1" applyBorder="1" applyAlignment="1">
      <alignment horizontal="center" vertical="center"/>
    </xf>
    <xf numFmtId="2" fontId="26123" fillId="8" borderId="1" xfId="0" applyNumberFormat="1" applyFont="1" applyFill="1" applyBorder="1" applyAlignment="1">
      <alignment horizontal="center" vertical="center"/>
    </xf>
    <xf numFmtId="2" fontId="26124" fillId="8" borderId="1" xfId="0" applyNumberFormat="1" applyFont="1" applyFill="1" applyBorder="1" applyAlignment="1">
      <alignment horizontal="center" vertical="center"/>
    </xf>
    <xf numFmtId="2" fontId="26125" fillId="8" borderId="1" xfId="0" applyNumberFormat="1" applyFont="1" applyFill="1" applyBorder="1" applyAlignment="1">
      <alignment horizontal="center" vertical="center"/>
    </xf>
    <xf numFmtId="2" fontId="26126" fillId="8" borderId="1" xfId="0" applyNumberFormat="1" applyFont="1" applyFill="1" applyBorder="1" applyAlignment="1">
      <alignment horizontal="center" vertical="center"/>
    </xf>
    <xf numFmtId="2" fontId="26127" fillId="8" borderId="1" xfId="0" applyNumberFormat="1" applyFont="1" applyFill="1" applyBorder="1" applyAlignment="1">
      <alignment horizontal="center" vertical="center"/>
    </xf>
    <xf numFmtId="2" fontId="26128" fillId="8" borderId="1" xfId="0" applyNumberFormat="1" applyFont="1" applyFill="1" applyBorder="1" applyAlignment="1">
      <alignment horizontal="center" vertical="center"/>
    </xf>
    <xf numFmtId="2" fontId="26129" fillId="8" borderId="1" xfId="0" applyNumberFormat="1" applyFont="1" applyFill="1" applyBorder="1" applyAlignment="1">
      <alignment horizontal="center" vertical="center"/>
    </xf>
    <xf numFmtId="2" fontId="26130" fillId="8" borderId="1" xfId="0" applyNumberFormat="1" applyFont="1" applyFill="1" applyBorder="1" applyAlignment="1">
      <alignment horizontal="center" vertical="center"/>
    </xf>
    <xf numFmtId="0" fontId="26131" fillId="7" borderId="1" xfId="0" applyNumberFormat="1" applyFont="1" applyFill="1" applyBorder="1" applyAlignment="1">
      <alignment horizontal="left" vertical="center"/>
    </xf>
    <xf numFmtId="0" fontId="26132" fillId="8" borderId="1" xfId="0" applyNumberFormat="1" applyFont="1" applyFill="1" applyBorder="1" applyAlignment="1">
      <alignment horizontal="center" vertical="center"/>
    </xf>
    <xf numFmtId="164" fontId="26133" fillId="8" borderId="1" xfId="0" applyNumberFormat="1" applyFont="1" applyFill="1" applyBorder="1" applyAlignment="1">
      <alignment horizontal="center" vertical="center"/>
    </xf>
    <xf numFmtId="1" fontId="26134" fillId="8" borderId="1" xfId="0" applyNumberFormat="1" applyFont="1" applyFill="1" applyBorder="1" applyAlignment="1">
      <alignment horizontal="center" vertical="center"/>
    </xf>
    <xf numFmtId="1" fontId="26135" fillId="8" borderId="1" xfId="0" applyNumberFormat="1" applyFont="1" applyFill="1" applyBorder="1" applyAlignment="1">
      <alignment horizontal="center" vertical="center"/>
    </xf>
    <xf numFmtId="1" fontId="26136" fillId="8" borderId="1" xfId="0" applyNumberFormat="1" applyFont="1" applyFill="1" applyBorder="1" applyAlignment="1">
      <alignment horizontal="center" vertical="center"/>
    </xf>
    <xf numFmtId="1" fontId="26137" fillId="8" borderId="1" xfId="0" applyNumberFormat="1" applyFont="1" applyFill="1" applyBorder="1" applyAlignment="1">
      <alignment horizontal="center" vertical="center"/>
    </xf>
    <xf numFmtId="1" fontId="26138" fillId="8" borderId="1" xfId="0" applyNumberFormat="1" applyFont="1" applyFill="1" applyBorder="1" applyAlignment="1">
      <alignment horizontal="center" vertical="center"/>
    </xf>
    <xf numFmtId="1" fontId="26139" fillId="8" borderId="1" xfId="0" applyNumberFormat="1" applyFont="1" applyFill="1" applyBorder="1" applyAlignment="1">
      <alignment horizontal="center" vertical="center"/>
    </xf>
    <xf numFmtId="1" fontId="26140" fillId="8" borderId="1" xfId="0" applyNumberFormat="1" applyFont="1" applyFill="1" applyBorder="1" applyAlignment="1">
      <alignment horizontal="center" vertical="center"/>
    </xf>
    <xf numFmtId="0" fontId="26141" fillId="8" borderId="1" xfId="0" applyNumberFormat="1" applyFont="1" applyFill="1" applyBorder="1" applyAlignment="1">
      <alignment horizontal="center" vertical="center"/>
    </xf>
    <xf numFmtId="0" fontId="26142" fillId="8" borderId="1" xfId="0" applyNumberFormat="1" applyFont="1" applyFill="1" applyBorder="1" applyAlignment="1">
      <alignment horizontal="center" vertical="center"/>
    </xf>
    <xf numFmtId="1" fontId="26143" fillId="8" borderId="1" xfId="0" applyNumberFormat="1" applyFont="1" applyFill="1" applyBorder="1" applyAlignment="1">
      <alignment horizontal="center" vertical="center"/>
    </xf>
    <xf numFmtId="1" fontId="26144" fillId="8" borderId="1" xfId="0" applyNumberFormat="1" applyFont="1" applyFill="1" applyBorder="1" applyAlignment="1">
      <alignment horizontal="center" vertical="center"/>
    </xf>
    <xf numFmtId="1" fontId="26145" fillId="8" borderId="1" xfId="0" applyNumberFormat="1" applyFont="1" applyFill="1" applyBorder="1" applyAlignment="1">
      <alignment horizontal="center" vertical="center"/>
    </xf>
    <xf numFmtId="165" fontId="26146" fillId="8" borderId="1" xfId="0" applyNumberFormat="1" applyFont="1" applyFill="1" applyBorder="1" applyAlignment="1">
      <alignment horizontal="center" vertical="center"/>
    </xf>
    <xf numFmtId="1" fontId="26147" fillId="8" borderId="1" xfId="0" applyNumberFormat="1" applyFont="1" applyFill="1" applyBorder="1" applyAlignment="1">
      <alignment horizontal="center" vertical="center"/>
    </xf>
    <xf numFmtId="165" fontId="26148" fillId="8" borderId="1" xfId="0" applyNumberFormat="1" applyFont="1" applyFill="1" applyBorder="1" applyAlignment="1">
      <alignment horizontal="center" vertical="center"/>
    </xf>
    <xf numFmtId="1" fontId="26149" fillId="8" borderId="1" xfId="0" applyNumberFormat="1" applyFont="1" applyFill="1" applyBorder="1" applyAlignment="1">
      <alignment horizontal="center" vertical="center"/>
    </xf>
    <xf numFmtId="165" fontId="26150" fillId="8" borderId="1" xfId="0" applyNumberFormat="1" applyFont="1" applyFill="1" applyBorder="1" applyAlignment="1">
      <alignment horizontal="center" vertical="center"/>
    </xf>
    <xf numFmtId="1" fontId="26151" fillId="8" borderId="1" xfId="0" applyNumberFormat="1" applyFont="1" applyFill="1" applyBorder="1" applyAlignment="1">
      <alignment horizontal="center" vertical="center"/>
    </xf>
    <xf numFmtId="165" fontId="26152" fillId="8" borderId="1" xfId="0" applyNumberFormat="1" applyFont="1" applyFill="1" applyBorder="1" applyAlignment="1">
      <alignment horizontal="center" vertical="center"/>
    </xf>
    <xf numFmtId="165" fontId="26153" fillId="8" borderId="1" xfId="0" applyNumberFormat="1" applyFont="1" applyFill="1" applyBorder="1" applyAlignment="1">
      <alignment horizontal="center" vertical="center"/>
    </xf>
    <xf numFmtId="1" fontId="26154" fillId="8" borderId="1" xfId="0" applyNumberFormat="1" applyFont="1" applyFill="1" applyBorder="1" applyAlignment="1">
      <alignment horizontal="center" vertical="center"/>
    </xf>
    <xf numFmtId="1" fontId="26155" fillId="8" borderId="1" xfId="0" applyNumberFormat="1" applyFont="1" applyFill="1" applyBorder="1" applyAlignment="1">
      <alignment horizontal="center" vertical="center"/>
    </xf>
    <xf numFmtId="1" fontId="26156" fillId="8" borderId="1" xfId="0" applyNumberFormat="1" applyFont="1" applyFill="1" applyBorder="1" applyAlignment="1">
      <alignment horizontal="center" vertical="center"/>
    </xf>
    <xf numFmtId="165" fontId="26157" fillId="8" borderId="1" xfId="0" applyNumberFormat="1" applyFont="1" applyFill="1" applyBorder="1" applyAlignment="1">
      <alignment horizontal="center" vertical="center"/>
    </xf>
    <xf numFmtId="164" fontId="26158" fillId="8" borderId="1" xfId="0" applyNumberFormat="1" applyFont="1" applyFill="1" applyBorder="1" applyAlignment="1">
      <alignment horizontal="center" vertical="center"/>
    </xf>
    <xf numFmtId="164" fontId="26159" fillId="8" borderId="1" xfId="0" applyNumberFormat="1" applyFont="1" applyFill="1" applyBorder="1" applyAlignment="1">
      <alignment horizontal="center" vertical="center"/>
    </xf>
    <xf numFmtId="1" fontId="26160" fillId="8" borderId="1" xfId="0" applyNumberFormat="1" applyFont="1" applyFill="1" applyBorder="1" applyAlignment="1">
      <alignment horizontal="center" vertical="center"/>
    </xf>
    <xf numFmtId="1" fontId="26161" fillId="8" borderId="1" xfId="0" applyNumberFormat="1" applyFont="1" applyFill="1" applyBorder="1" applyAlignment="1">
      <alignment horizontal="center" vertical="center"/>
    </xf>
    <xf numFmtId="1" fontId="26162" fillId="8" borderId="1" xfId="0" applyNumberFormat="1" applyFont="1" applyFill="1" applyBorder="1" applyAlignment="1">
      <alignment horizontal="center" vertical="center"/>
    </xf>
    <xf numFmtId="165" fontId="26163" fillId="8" borderId="1" xfId="0" applyNumberFormat="1" applyFont="1" applyFill="1" applyBorder="1" applyAlignment="1">
      <alignment horizontal="center" vertical="center"/>
    </xf>
    <xf numFmtId="1" fontId="26164" fillId="8" borderId="1" xfId="0" applyNumberFormat="1" applyFont="1" applyFill="1" applyBorder="1" applyAlignment="1">
      <alignment horizontal="center" vertical="center"/>
    </xf>
    <xf numFmtId="165" fontId="26165" fillId="8" borderId="1" xfId="0" applyNumberFormat="1" applyFont="1" applyFill="1" applyBorder="1" applyAlignment="1">
      <alignment horizontal="center" vertical="center"/>
    </xf>
    <xf numFmtId="1" fontId="26166" fillId="8" borderId="1" xfId="0" applyNumberFormat="1" applyFont="1" applyFill="1" applyBorder="1" applyAlignment="1">
      <alignment horizontal="center" vertical="center"/>
    </xf>
    <xf numFmtId="1" fontId="26167" fillId="8" borderId="1" xfId="0" applyNumberFormat="1" applyFont="1" applyFill="1" applyBorder="1" applyAlignment="1">
      <alignment horizontal="center" vertical="center"/>
    </xf>
    <xf numFmtId="1" fontId="26168" fillId="8" borderId="1" xfId="0" applyNumberFormat="1" applyFont="1" applyFill="1" applyBorder="1" applyAlignment="1">
      <alignment horizontal="center" vertical="center"/>
    </xf>
    <xf numFmtId="1" fontId="26169" fillId="8" borderId="1" xfId="0" applyNumberFormat="1" applyFont="1" applyFill="1" applyBorder="1" applyAlignment="1">
      <alignment horizontal="center" vertical="center"/>
    </xf>
    <xf numFmtId="165" fontId="26170" fillId="8" borderId="1" xfId="0" applyNumberFormat="1" applyFont="1" applyFill="1" applyBorder="1" applyAlignment="1">
      <alignment horizontal="center" vertical="center"/>
    </xf>
    <xf numFmtId="1" fontId="26171" fillId="8" borderId="1" xfId="0" applyNumberFormat="1" applyFont="1" applyFill="1" applyBorder="1" applyAlignment="1">
      <alignment horizontal="center" vertical="center"/>
    </xf>
    <xf numFmtId="165" fontId="26172" fillId="8" borderId="1" xfId="0" applyNumberFormat="1" applyFont="1" applyFill="1" applyBorder="1" applyAlignment="1">
      <alignment horizontal="center" vertical="center"/>
    </xf>
    <xf numFmtId="1" fontId="26173" fillId="8" borderId="1" xfId="0" applyNumberFormat="1" applyFont="1" applyFill="1" applyBorder="1" applyAlignment="1">
      <alignment horizontal="center" vertical="center"/>
    </xf>
    <xf numFmtId="165" fontId="26174" fillId="8" borderId="1" xfId="0" applyNumberFormat="1" applyFont="1" applyFill="1" applyBorder="1" applyAlignment="1">
      <alignment horizontal="center" vertical="center"/>
    </xf>
    <xf numFmtId="2" fontId="26175" fillId="8" borderId="1" xfId="0" applyNumberFormat="1" applyFont="1" applyFill="1" applyBorder="1" applyAlignment="1">
      <alignment horizontal="center" vertical="center"/>
    </xf>
    <xf numFmtId="2" fontId="26176" fillId="8" borderId="1" xfId="0" applyNumberFormat="1" applyFont="1" applyFill="1" applyBorder="1" applyAlignment="1">
      <alignment horizontal="center" vertical="center"/>
    </xf>
    <xf numFmtId="2" fontId="26177" fillId="8" borderId="1" xfId="0" applyNumberFormat="1" applyFont="1" applyFill="1" applyBorder="1" applyAlignment="1">
      <alignment horizontal="center" vertical="center"/>
    </xf>
    <xf numFmtId="2" fontId="26178" fillId="8" borderId="1" xfId="0" applyNumberFormat="1" applyFont="1" applyFill="1" applyBorder="1" applyAlignment="1">
      <alignment horizontal="center" vertical="center"/>
    </xf>
    <xf numFmtId="2" fontId="26179" fillId="8" borderId="1" xfId="0" applyNumberFormat="1" applyFont="1" applyFill="1" applyBorder="1" applyAlignment="1">
      <alignment horizontal="center" vertical="center"/>
    </xf>
    <xf numFmtId="2" fontId="26180" fillId="8" borderId="1" xfId="0" applyNumberFormat="1" applyFont="1" applyFill="1" applyBorder="1" applyAlignment="1">
      <alignment horizontal="center" vertical="center"/>
    </xf>
    <xf numFmtId="2" fontId="26181" fillId="8" borderId="1" xfId="0" applyNumberFormat="1" applyFont="1" applyFill="1" applyBorder="1" applyAlignment="1">
      <alignment horizontal="center" vertical="center"/>
    </xf>
    <xf numFmtId="2" fontId="26182" fillId="8" borderId="1" xfId="0" applyNumberFormat="1" applyFont="1" applyFill="1" applyBorder="1" applyAlignment="1">
      <alignment horizontal="center" vertical="center"/>
    </xf>
    <xf numFmtId="2" fontId="26183" fillId="8" borderId="1" xfId="0" applyNumberFormat="1" applyFont="1" applyFill="1" applyBorder="1" applyAlignment="1">
      <alignment horizontal="center" vertical="center"/>
    </xf>
    <xf numFmtId="2" fontId="26184" fillId="8" borderId="1" xfId="0" applyNumberFormat="1" applyFont="1" applyFill="1" applyBorder="1" applyAlignment="1">
      <alignment horizontal="center" vertical="center"/>
    </xf>
    <xf numFmtId="2" fontId="26185" fillId="8" borderId="1" xfId="0" applyNumberFormat="1" applyFont="1" applyFill="1" applyBorder="1" applyAlignment="1">
      <alignment horizontal="center" vertical="center"/>
    </xf>
    <xf numFmtId="2" fontId="26186" fillId="8" borderId="1" xfId="0" applyNumberFormat="1" applyFont="1" applyFill="1" applyBorder="1" applyAlignment="1">
      <alignment horizontal="center" vertical="center"/>
    </xf>
    <xf numFmtId="2" fontId="26187" fillId="8" borderId="1" xfId="0" applyNumberFormat="1" applyFont="1" applyFill="1" applyBorder="1" applyAlignment="1">
      <alignment horizontal="center" vertical="center"/>
    </xf>
    <xf numFmtId="2" fontId="26188" fillId="8" borderId="1" xfId="0" applyNumberFormat="1" applyFont="1" applyFill="1" applyBorder="1" applyAlignment="1">
      <alignment horizontal="center" vertical="center"/>
    </xf>
    <xf numFmtId="2" fontId="26189" fillId="8" borderId="1" xfId="0" applyNumberFormat="1" applyFont="1" applyFill="1" applyBorder="1" applyAlignment="1">
      <alignment horizontal="center" vertical="center"/>
    </xf>
    <xf numFmtId="2" fontId="26190" fillId="8" borderId="1" xfId="0" applyNumberFormat="1" applyFont="1" applyFill="1" applyBorder="1" applyAlignment="1">
      <alignment horizontal="center" vertical="center"/>
    </xf>
    <xf numFmtId="2" fontId="26191" fillId="8" borderId="1" xfId="0" applyNumberFormat="1" applyFont="1" applyFill="1" applyBorder="1" applyAlignment="1">
      <alignment horizontal="center" vertical="center"/>
    </xf>
    <xf numFmtId="2" fontId="26192" fillId="8" borderId="1" xfId="0" applyNumberFormat="1" applyFont="1" applyFill="1" applyBorder="1" applyAlignment="1">
      <alignment horizontal="center" vertical="center"/>
    </xf>
    <xf numFmtId="2" fontId="26193" fillId="8" borderId="1" xfId="0" applyNumberFormat="1" applyFont="1" applyFill="1" applyBorder="1" applyAlignment="1">
      <alignment horizontal="center" vertical="center"/>
    </xf>
    <xf numFmtId="2" fontId="26194" fillId="8" borderId="1" xfId="0" applyNumberFormat="1" applyFont="1" applyFill="1" applyBorder="1" applyAlignment="1">
      <alignment horizontal="center" vertical="center"/>
    </xf>
    <xf numFmtId="2" fontId="26195" fillId="8" borderId="1" xfId="0" applyNumberFormat="1" applyFont="1" applyFill="1" applyBorder="1" applyAlignment="1">
      <alignment horizontal="center" vertical="center"/>
    </xf>
    <xf numFmtId="2" fontId="26196" fillId="8" borderId="1" xfId="0" applyNumberFormat="1" applyFont="1" applyFill="1" applyBorder="1" applyAlignment="1">
      <alignment horizontal="center" vertical="center"/>
    </xf>
    <xf numFmtId="2" fontId="26197" fillId="8" borderId="1" xfId="0" applyNumberFormat="1" applyFont="1" applyFill="1" applyBorder="1" applyAlignment="1">
      <alignment horizontal="center" vertical="center"/>
    </xf>
    <xf numFmtId="2" fontId="26198" fillId="8" borderId="1" xfId="0" applyNumberFormat="1" applyFont="1" applyFill="1" applyBorder="1" applyAlignment="1">
      <alignment horizontal="center" vertical="center"/>
    </xf>
    <xf numFmtId="2" fontId="26199" fillId="8" borderId="1" xfId="0" applyNumberFormat="1" applyFont="1" applyFill="1" applyBorder="1" applyAlignment="1">
      <alignment horizontal="center" vertical="center"/>
    </xf>
    <xf numFmtId="2" fontId="26200" fillId="8" borderId="1" xfId="0" applyNumberFormat="1" applyFont="1" applyFill="1" applyBorder="1" applyAlignment="1">
      <alignment horizontal="center" vertical="center"/>
    </xf>
    <xf numFmtId="2" fontId="26201" fillId="8" borderId="1" xfId="0" applyNumberFormat="1" applyFont="1" applyFill="1" applyBorder="1" applyAlignment="1">
      <alignment horizontal="center" vertical="center"/>
    </xf>
    <xf numFmtId="2" fontId="26202" fillId="8" borderId="1" xfId="0" applyNumberFormat="1" applyFont="1" applyFill="1" applyBorder="1" applyAlignment="1">
      <alignment horizontal="center" vertical="center"/>
    </xf>
    <xf numFmtId="2" fontId="26203" fillId="8" borderId="1" xfId="0" applyNumberFormat="1" applyFont="1" applyFill="1" applyBorder="1" applyAlignment="1">
      <alignment horizontal="center" vertical="center"/>
    </xf>
    <xf numFmtId="2" fontId="26204" fillId="8" borderId="1" xfId="0" applyNumberFormat="1" applyFont="1" applyFill="1" applyBorder="1" applyAlignment="1">
      <alignment horizontal="center" vertical="center"/>
    </xf>
    <xf numFmtId="2" fontId="26205" fillId="8" borderId="1" xfId="0" applyNumberFormat="1" applyFont="1" applyFill="1" applyBorder="1" applyAlignment="1">
      <alignment horizontal="center" vertical="center"/>
    </xf>
    <xf numFmtId="2" fontId="26206" fillId="8" borderId="1" xfId="0" applyNumberFormat="1" applyFont="1" applyFill="1" applyBorder="1" applyAlignment="1">
      <alignment horizontal="center" vertical="center"/>
    </xf>
    <xf numFmtId="2" fontId="26207" fillId="8" borderId="1" xfId="0" applyNumberFormat="1" applyFont="1" applyFill="1" applyBorder="1" applyAlignment="1">
      <alignment horizontal="center" vertical="center"/>
    </xf>
    <xf numFmtId="2" fontId="26208" fillId="8" borderId="1" xfId="0" applyNumberFormat="1" applyFont="1" applyFill="1" applyBorder="1" applyAlignment="1">
      <alignment horizontal="center" vertical="center"/>
    </xf>
    <xf numFmtId="0" fontId="26209" fillId="7" borderId="1" xfId="0" applyNumberFormat="1" applyFont="1" applyFill="1" applyBorder="1" applyAlignment="1">
      <alignment horizontal="left" vertical="center"/>
    </xf>
    <xf numFmtId="0" fontId="26210" fillId="8" borderId="1" xfId="0" applyNumberFormat="1" applyFont="1" applyFill="1" applyBorder="1" applyAlignment="1">
      <alignment horizontal="center" vertical="center"/>
    </xf>
    <xf numFmtId="164" fontId="26211" fillId="8" borderId="1" xfId="0" applyNumberFormat="1" applyFont="1" applyFill="1" applyBorder="1" applyAlignment="1">
      <alignment horizontal="center" vertical="center"/>
    </xf>
    <xf numFmtId="1" fontId="26212" fillId="8" borderId="1" xfId="0" applyNumberFormat="1" applyFont="1" applyFill="1" applyBorder="1" applyAlignment="1">
      <alignment horizontal="center" vertical="center"/>
    </xf>
    <xf numFmtId="1" fontId="26213" fillId="8" borderId="1" xfId="0" applyNumberFormat="1" applyFont="1" applyFill="1" applyBorder="1" applyAlignment="1">
      <alignment horizontal="center" vertical="center"/>
    </xf>
    <xf numFmtId="1" fontId="26214" fillId="8" borderId="1" xfId="0" applyNumberFormat="1" applyFont="1" applyFill="1" applyBorder="1" applyAlignment="1">
      <alignment horizontal="center" vertical="center"/>
    </xf>
    <xf numFmtId="1" fontId="26215" fillId="8" borderId="1" xfId="0" applyNumberFormat="1" applyFont="1" applyFill="1" applyBorder="1" applyAlignment="1">
      <alignment horizontal="center" vertical="center"/>
    </xf>
    <xf numFmtId="1" fontId="26216" fillId="8" borderId="1" xfId="0" applyNumberFormat="1" applyFont="1" applyFill="1" applyBorder="1" applyAlignment="1">
      <alignment horizontal="center" vertical="center"/>
    </xf>
    <xf numFmtId="1" fontId="26217" fillId="8" borderId="1" xfId="0" applyNumberFormat="1" applyFont="1" applyFill="1" applyBorder="1" applyAlignment="1">
      <alignment horizontal="center" vertical="center"/>
    </xf>
    <xf numFmtId="1" fontId="26218" fillId="8" borderId="1" xfId="0" applyNumberFormat="1" applyFont="1" applyFill="1" applyBorder="1" applyAlignment="1">
      <alignment horizontal="center" vertical="center"/>
    </xf>
    <xf numFmtId="0" fontId="26219" fillId="8" borderId="1" xfId="0" applyNumberFormat="1" applyFont="1" applyFill="1" applyBorder="1" applyAlignment="1">
      <alignment horizontal="center" vertical="center"/>
    </xf>
    <xf numFmtId="0" fontId="26220" fillId="8" borderId="1" xfId="0" applyNumberFormat="1" applyFont="1" applyFill="1" applyBorder="1" applyAlignment="1">
      <alignment horizontal="center" vertical="center"/>
    </xf>
    <xf numFmtId="1" fontId="26221" fillId="8" borderId="1" xfId="0" applyNumberFormat="1" applyFont="1" applyFill="1" applyBorder="1" applyAlignment="1">
      <alignment horizontal="center" vertical="center"/>
    </xf>
    <xf numFmtId="1" fontId="26222" fillId="8" borderId="1" xfId="0" applyNumberFormat="1" applyFont="1" applyFill="1" applyBorder="1" applyAlignment="1">
      <alignment horizontal="center" vertical="center"/>
    </xf>
    <xf numFmtId="1" fontId="26223" fillId="8" borderId="1" xfId="0" applyNumberFormat="1" applyFont="1" applyFill="1" applyBorder="1" applyAlignment="1">
      <alignment horizontal="center" vertical="center"/>
    </xf>
    <xf numFmtId="165" fontId="26224" fillId="8" borderId="1" xfId="0" applyNumberFormat="1" applyFont="1" applyFill="1" applyBorder="1" applyAlignment="1">
      <alignment horizontal="center" vertical="center"/>
    </xf>
    <xf numFmtId="1" fontId="26225" fillId="8" borderId="1" xfId="0" applyNumberFormat="1" applyFont="1" applyFill="1" applyBorder="1" applyAlignment="1">
      <alignment horizontal="center" vertical="center"/>
    </xf>
    <xf numFmtId="165" fontId="26226" fillId="8" borderId="1" xfId="0" applyNumberFormat="1" applyFont="1" applyFill="1" applyBorder="1" applyAlignment="1">
      <alignment horizontal="center" vertical="center"/>
    </xf>
    <xf numFmtId="1" fontId="26227" fillId="8" borderId="1" xfId="0" applyNumberFormat="1" applyFont="1" applyFill="1" applyBorder="1" applyAlignment="1">
      <alignment horizontal="center" vertical="center"/>
    </xf>
    <xf numFmtId="165" fontId="26228" fillId="8" borderId="1" xfId="0" applyNumberFormat="1" applyFont="1" applyFill="1" applyBorder="1" applyAlignment="1">
      <alignment horizontal="center" vertical="center"/>
    </xf>
    <xf numFmtId="1" fontId="26229" fillId="8" borderId="1" xfId="0" applyNumberFormat="1" applyFont="1" applyFill="1" applyBorder="1" applyAlignment="1">
      <alignment horizontal="center" vertical="center"/>
    </xf>
    <xf numFmtId="165" fontId="26230" fillId="8" borderId="1" xfId="0" applyNumberFormat="1" applyFont="1" applyFill="1" applyBorder="1" applyAlignment="1">
      <alignment horizontal="center" vertical="center"/>
    </xf>
    <xf numFmtId="165" fontId="26231" fillId="8" borderId="1" xfId="0" applyNumberFormat="1" applyFont="1" applyFill="1" applyBorder="1" applyAlignment="1">
      <alignment horizontal="center" vertical="center"/>
    </xf>
    <xf numFmtId="1" fontId="26232" fillId="8" borderId="1" xfId="0" applyNumberFormat="1" applyFont="1" applyFill="1" applyBorder="1" applyAlignment="1">
      <alignment horizontal="center" vertical="center"/>
    </xf>
    <xf numFmtId="1" fontId="26233" fillId="8" borderId="1" xfId="0" applyNumberFormat="1" applyFont="1" applyFill="1" applyBorder="1" applyAlignment="1">
      <alignment horizontal="center" vertical="center"/>
    </xf>
    <xf numFmtId="1" fontId="26234" fillId="8" borderId="1" xfId="0" applyNumberFormat="1" applyFont="1" applyFill="1" applyBorder="1" applyAlignment="1">
      <alignment horizontal="center" vertical="center"/>
    </xf>
    <xf numFmtId="165" fontId="26235" fillId="8" borderId="1" xfId="0" applyNumberFormat="1" applyFont="1" applyFill="1" applyBorder="1" applyAlignment="1">
      <alignment horizontal="center" vertical="center"/>
    </xf>
    <xf numFmtId="164" fontId="26236" fillId="8" borderId="1" xfId="0" applyNumberFormat="1" applyFont="1" applyFill="1" applyBorder="1" applyAlignment="1">
      <alignment horizontal="center" vertical="center"/>
    </xf>
    <xf numFmtId="164" fontId="26237" fillId="8" borderId="1" xfId="0" applyNumberFormat="1" applyFont="1" applyFill="1" applyBorder="1" applyAlignment="1">
      <alignment horizontal="center" vertical="center"/>
    </xf>
    <xf numFmtId="1" fontId="26238" fillId="8" borderId="1" xfId="0" applyNumberFormat="1" applyFont="1" applyFill="1" applyBorder="1" applyAlignment="1">
      <alignment horizontal="center" vertical="center"/>
    </xf>
    <xf numFmtId="1" fontId="26239" fillId="8" borderId="1" xfId="0" applyNumberFormat="1" applyFont="1" applyFill="1" applyBorder="1" applyAlignment="1">
      <alignment horizontal="center" vertical="center"/>
    </xf>
    <xf numFmtId="1" fontId="26240" fillId="8" borderId="1" xfId="0" applyNumberFormat="1" applyFont="1" applyFill="1" applyBorder="1" applyAlignment="1">
      <alignment horizontal="center" vertical="center"/>
    </xf>
    <xf numFmtId="165" fontId="26241" fillId="8" borderId="1" xfId="0" applyNumberFormat="1" applyFont="1" applyFill="1" applyBorder="1" applyAlignment="1">
      <alignment horizontal="center" vertical="center"/>
    </xf>
    <xf numFmtId="1" fontId="26242" fillId="8" borderId="1" xfId="0" applyNumberFormat="1" applyFont="1" applyFill="1" applyBorder="1" applyAlignment="1">
      <alignment horizontal="center" vertical="center"/>
    </xf>
    <xf numFmtId="165" fontId="26243" fillId="8" borderId="1" xfId="0" applyNumberFormat="1" applyFont="1" applyFill="1" applyBorder="1" applyAlignment="1">
      <alignment horizontal="center" vertical="center"/>
    </xf>
    <xf numFmtId="1" fontId="26244" fillId="8" borderId="1" xfId="0" applyNumberFormat="1" applyFont="1" applyFill="1" applyBorder="1" applyAlignment="1">
      <alignment horizontal="center" vertical="center"/>
    </xf>
    <xf numFmtId="1" fontId="26245" fillId="8" borderId="1" xfId="0" applyNumberFormat="1" applyFont="1" applyFill="1" applyBorder="1" applyAlignment="1">
      <alignment horizontal="center" vertical="center"/>
    </xf>
    <xf numFmtId="1" fontId="26246" fillId="8" borderId="1" xfId="0" applyNumberFormat="1" applyFont="1" applyFill="1" applyBorder="1" applyAlignment="1">
      <alignment horizontal="center" vertical="center"/>
    </xf>
    <xf numFmtId="1" fontId="26247" fillId="8" borderId="1" xfId="0" applyNumberFormat="1" applyFont="1" applyFill="1" applyBorder="1" applyAlignment="1">
      <alignment horizontal="center" vertical="center"/>
    </xf>
    <xf numFmtId="165" fontId="26248" fillId="8" borderId="1" xfId="0" applyNumberFormat="1" applyFont="1" applyFill="1" applyBorder="1" applyAlignment="1">
      <alignment horizontal="center" vertical="center"/>
    </xf>
    <xf numFmtId="1" fontId="26249" fillId="8" borderId="1" xfId="0" applyNumberFormat="1" applyFont="1" applyFill="1" applyBorder="1" applyAlignment="1">
      <alignment horizontal="center" vertical="center"/>
    </xf>
    <xf numFmtId="165" fontId="26250" fillId="8" borderId="1" xfId="0" applyNumberFormat="1" applyFont="1" applyFill="1" applyBorder="1" applyAlignment="1">
      <alignment horizontal="center" vertical="center"/>
    </xf>
    <xf numFmtId="1" fontId="26251" fillId="8" borderId="1" xfId="0" applyNumberFormat="1" applyFont="1" applyFill="1" applyBorder="1" applyAlignment="1">
      <alignment horizontal="center" vertical="center"/>
    </xf>
    <xf numFmtId="165" fontId="26252" fillId="8" borderId="1" xfId="0" applyNumberFormat="1" applyFont="1" applyFill="1" applyBorder="1" applyAlignment="1">
      <alignment horizontal="center" vertical="center"/>
    </xf>
    <xf numFmtId="2" fontId="26253" fillId="8" borderId="1" xfId="0" applyNumberFormat="1" applyFont="1" applyFill="1" applyBorder="1" applyAlignment="1">
      <alignment horizontal="center" vertical="center"/>
    </xf>
    <xf numFmtId="2" fontId="26254" fillId="8" borderId="1" xfId="0" applyNumberFormat="1" applyFont="1" applyFill="1" applyBorder="1" applyAlignment="1">
      <alignment horizontal="center" vertical="center"/>
    </xf>
    <xf numFmtId="2" fontId="26255" fillId="8" borderId="1" xfId="0" applyNumberFormat="1" applyFont="1" applyFill="1" applyBorder="1" applyAlignment="1">
      <alignment horizontal="center" vertical="center"/>
    </xf>
    <xf numFmtId="2" fontId="26256" fillId="8" borderId="1" xfId="0" applyNumberFormat="1" applyFont="1" applyFill="1" applyBorder="1" applyAlignment="1">
      <alignment horizontal="center" vertical="center"/>
    </xf>
    <xf numFmtId="2" fontId="26257" fillId="8" borderId="1" xfId="0" applyNumberFormat="1" applyFont="1" applyFill="1" applyBorder="1" applyAlignment="1">
      <alignment horizontal="center" vertical="center"/>
    </xf>
    <xf numFmtId="2" fontId="26258" fillId="8" borderId="1" xfId="0" applyNumberFormat="1" applyFont="1" applyFill="1" applyBorder="1" applyAlignment="1">
      <alignment horizontal="center" vertical="center"/>
    </xf>
    <xf numFmtId="2" fontId="26259" fillId="8" borderId="1" xfId="0" applyNumberFormat="1" applyFont="1" applyFill="1" applyBorder="1" applyAlignment="1">
      <alignment horizontal="center" vertical="center"/>
    </xf>
    <xf numFmtId="2" fontId="26260" fillId="8" borderId="1" xfId="0" applyNumberFormat="1" applyFont="1" applyFill="1" applyBorder="1" applyAlignment="1">
      <alignment horizontal="center" vertical="center"/>
    </xf>
    <xf numFmtId="2" fontId="26261" fillId="8" borderId="1" xfId="0" applyNumberFormat="1" applyFont="1" applyFill="1" applyBorder="1" applyAlignment="1">
      <alignment horizontal="center" vertical="center"/>
    </xf>
    <xf numFmtId="2" fontId="26262" fillId="8" borderId="1" xfId="0" applyNumberFormat="1" applyFont="1" applyFill="1" applyBorder="1" applyAlignment="1">
      <alignment horizontal="center" vertical="center"/>
    </xf>
    <xf numFmtId="2" fontId="26263" fillId="8" borderId="1" xfId="0" applyNumberFormat="1" applyFont="1" applyFill="1" applyBorder="1" applyAlignment="1">
      <alignment horizontal="center" vertical="center"/>
    </xf>
    <xf numFmtId="2" fontId="26264" fillId="8" borderId="1" xfId="0" applyNumberFormat="1" applyFont="1" applyFill="1" applyBorder="1" applyAlignment="1">
      <alignment horizontal="center" vertical="center"/>
    </xf>
    <xf numFmtId="2" fontId="26265" fillId="8" borderId="1" xfId="0" applyNumberFormat="1" applyFont="1" applyFill="1" applyBorder="1" applyAlignment="1">
      <alignment horizontal="center" vertical="center"/>
    </xf>
    <xf numFmtId="2" fontId="26266" fillId="8" borderId="1" xfId="0" applyNumberFormat="1" applyFont="1" applyFill="1" applyBorder="1" applyAlignment="1">
      <alignment horizontal="center" vertical="center"/>
    </xf>
    <xf numFmtId="2" fontId="26267" fillId="8" borderId="1" xfId="0" applyNumberFormat="1" applyFont="1" applyFill="1" applyBorder="1" applyAlignment="1">
      <alignment horizontal="center" vertical="center"/>
    </xf>
    <xf numFmtId="2" fontId="26268" fillId="8" borderId="1" xfId="0" applyNumberFormat="1" applyFont="1" applyFill="1" applyBorder="1" applyAlignment="1">
      <alignment horizontal="center" vertical="center"/>
    </xf>
    <xf numFmtId="2" fontId="26269" fillId="8" borderId="1" xfId="0" applyNumberFormat="1" applyFont="1" applyFill="1" applyBorder="1" applyAlignment="1">
      <alignment horizontal="center" vertical="center"/>
    </xf>
    <xf numFmtId="2" fontId="26270" fillId="8" borderId="1" xfId="0" applyNumberFormat="1" applyFont="1" applyFill="1" applyBorder="1" applyAlignment="1">
      <alignment horizontal="center" vertical="center"/>
    </xf>
    <xf numFmtId="2" fontId="26271" fillId="8" borderId="1" xfId="0" applyNumberFormat="1" applyFont="1" applyFill="1" applyBorder="1" applyAlignment="1">
      <alignment horizontal="center" vertical="center"/>
    </xf>
    <xf numFmtId="2" fontId="26272" fillId="8" borderId="1" xfId="0" applyNumberFormat="1" applyFont="1" applyFill="1" applyBorder="1" applyAlignment="1">
      <alignment horizontal="center" vertical="center"/>
    </xf>
    <xf numFmtId="2" fontId="26273" fillId="8" borderId="1" xfId="0" applyNumberFormat="1" applyFont="1" applyFill="1" applyBorder="1" applyAlignment="1">
      <alignment horizontal="center" vertical="center"/>
    </xf>
    <xf numFmtId="2" fontId="26274" fillId="8" borderId="1" xfId="0" applyNumberFormat="1" applyFont="1" applyFill="1" applyBorder="1" applyAlignment="1">
      <alignment horizontal="center" vertical="center"/>
    </xf>
    <xf numFmtId="2" fontId="26275" fillId="8" borderId="1" xfId="0" applyNumberFormat="1" applyFont="1" applyFill="1" applyBorder="1" applyAlignment="1">
      <alignment horizontal="center" vertical="center"/>
    </xf>
    <xf numFmtId="2" fontId="26276" fillId="8" borderId="1" xfId="0" applyNumberFormat="1" applyFont="1" applyFill="1" applyBorder="1" applyAlignment="1">
      <alignment horizontal="center" vertical="center"/>
    </xf>
    <xf numFmtId="2" fontId="26277" fillId="8" borderId="1" xfId="0" applyNumberFormat="1" applyFont="1" applyFill="1" applyBorder="1" applyAlignment="1">
      <alignment horizontal="center" vertical="center"/>
    </xf>
    <xf numFmtId="2" fontId="26278" fillId="8" borderId="1" xfId="0" applyNumberFormat="1" applyFont="1" applyFill="1" applyBorder="1" applyAlignment="1">
      <alignment horizontal="center" vertical="center"/>
    </xf>
    <xf numFmtId="2" fontId="26279" fillId="8" borderId="1" xfId="0" applyNumberFormat="1" applyFont="1" applyFill="1" applyBorder="1" applyAlignment="1">
      <alignment horizontal="center" vertical="center"/>
    </xf>
    <xf numFmtId="2" fontId="26280" fillId="8" borderId="1" xfId="0" applyNumberFormat="1" applyFont="1" applyFill="1" applyBorder="1" applyAlignment="1">
      <alignment horizontal="center" vertical="center"/>
    </xf>
    <xf numFmtId="2" fontId="26281" fillId="8" borderId="1" xfId="0" applyNumberFormat="1" applyFont="1" applyFill="1" applyBorder="1" applyAlignment="1">
      <alignment horizontal="center" vertical="center"/>
    </xf>
    <xf numFmtId="2" fontId="26282" fillId="8" borderId="1" xfId="0" applyNumberFormat="1" applyFont="1" applyFill="1" applyBorder="1" applyAlignment="1">
      <alignment horizontal="center" vertical="center"/>
    </xf>
    <xf numFmtId="2" fontId="26283" fillId="8" borderId="1" xfId="0" applyNumberFormat="1" applyFont="1" applyFill="1" applyBorder="1" applyAlignment="1">
      <alignment horizontal="center" vertical="center"/>
    </xf>
    <xf numFmtId="2" fontId="26284" fillId="8" borderId="1" xfId="0" applyNumberFormat="1" applyFont="1" applyFill="1" applyBorder="1" applyAlignment="1">
      <alignment horizontal="center" vertical="center"/>
    </xf>
    <xf numFmtId="2" fontId="26285" fillId="8" borderId="1" xfId="0" applyNumberFormat="1" applyFont="1" applyFill="1" applyBorder="1" applyAlignment="1">
      <alignment horizontal="center" vertical="center"/>
    </xf>
    <xf numFmtId="2" fontId="26286" fillId="8" borderId="1" xfId="0" applyNumberFormat="1" applyFont="1" applyFill="1" applyBorder="1" applyAlignment="1">
      <alignment horizontal="center" vertical="center"/>
    </xf>
    <xf numFmtId="0" fontId="26287" fillId="7" borderId="1" xfId="0" applyNumberFormat="1" applyFont="1" applyFill="1" applyBorder="1" applyAlignment="1">
      <alignment horizontal="left" vertical="center"/>
    </xf>
    <xf numFmtId="0" fontId="26288" fillId="8" borderId="1" xfId="0" applyNumberFormat="1" applyFont="1" applyFill="1" applyBorder="1" applyAlignment="1">
      <alignment horizontal="center" vertical="center"/>
    </xf>
    <xf numFmtId="164" fontId="26289" fillId="8" borderId="1" xfId="0" applyNumberFormat="1" applyFont="1" applyFill="1" applyBorder="1" applyAlignment="1">
      <alignment horizontal="center" vertical="center"/>
    </xf>
    <xf numFmtId="1" fontId="26290" fillId="8" borderId="1" xfId="0" applyNumberFormat="1" applyFont="1" applyFill="1" applyBorder="1" applyAlignment="1">
      <alignment horizontal="center" vertical="center"/>
    </xf>
    <xf numFmtId="1" fontId="26291" fillId="8" borderId="1" xfId="0" applyNumberFormat="1" applyFont="1" applyFill="1" applyBorder="1" applyAlignment="1">
      <alignment horizontal="center" vertical="center"/>
    </xf>
    <xf numFmtId="1" fontId="26292" fillId="8" borderId="1" xfId="0" applyNumberFormat="1" applyFont="1" applyFill="1" applyBorder="1" applyAlignment="1">
      <alignment horizontal="center" vertical="center"/>
    </xf>
    <xf numFmtId="1" fontId="26293" fillId="8" borderId="1" xfId="0" applyNumberFormat="1" applyFont="1" applyFill="1" applyBorder="1" applyAlignment="1">
      <alignment horizontal="center" vertical="center"/>
    </xf>
    <xf numFmtId="1" fontId="26294" fillId="8" borderId="1" xfId="0" applyNumberFormat="1" applyFont="1" applyFill="1" applyBorder="1" applyAlignment="1">
      <alignment horizontal="center" vertical="center"/>
    </xf>
    <xf numFmtId="1" fontId="26295" fillId="8" borderId="1" xfId="0" applyNumberFormat="1" applyFont="1" applyFill="1" applyBorder="1" applyAlignment="1">
      <alignment horizontal="center" vertical="center"/>
    </xf>
    <xf numFmtId="1" fontId="26296" fillId="8" borderId="1" xfId="0" applyNumberFormat="1" applyFont="1" applyFill="1" applyBorder="1" applyAlignment="1">
      <alignment horizontal="center" vertical="center"/>
    </xf>
    <xf numFmtId="0" fontId="26297" fillId="8" borderId="1" xfId="0" applyNumberFormat="1" applyFont="1" applyFill="1" applyBorder="1" applyAlignment="1">
      <alignment horizontal="center" vertical="center"/>
    </xf>
    <xf numFmtId="0" fontId="26298" fillId="8" borderId="1" xfId="0" applyNumberFormat="1" applyFont="1" applyFill="1" applyBorder="1" applyAlignment="1">
      <alignment horizontal="center" vertical="center"/>
    </xf>
    <xf numFmtId="1" fontId="26299" fillId="8" borderId="1" xfId="0" applyNumberFormat="1" applyFont="1" applyFill="1" applyBorder="1" applyAlignment="1">
      <alignment horizontal="center" vertical="center"/>
    </xf>
    <xf numFmtId="1" fontId="26300" fillId="8" borderId="1" xfId="0" applyNumberFormat="1" applyFont="1" applyFill="1" applyBorder="1" applyAlignment="1">
      <alignment horizontal="center" vertical="center"/>
    </xf>
    <xf numFmtId="1" fontId="26301" fillId="8" borderId="1" xfId="0" applyNumberFormat="1" applyFont="1" applyFill="1" applyBorder="1" applyAlignment="1">
      <alignment horizontal="center" vertical="center"/>
    </xf>
    <xf numFmtId="165" fontId="26302" fillId="8" borderId="1" xfId="0" applyNumberFormat="1" applyFont="1" applyFill="1" applyBorder="1" applyAlignment="1">
      <alignment horizontal="center" vertical="center"/>
    </xf>
    <xf numFmtId="1" fontId="26303" fillId="8" borderId="1" xfId="0" applyNumberFormat="1" applyFont="1" applyFill="1" applyBorder="1" applyAlignment="1">
      <alignment horizontal="center" vertical="center"/>
    </xf>
    <xf numFmtId="165" fontId="26304" fillId="8" borderId="1" xfId="0" applyNumberFormat="1" applyFont="1" applyFill="1" applyBorder="1" applyAlignment="1">
      <alignment horizontal="center" vertical="center"/>
    </xf>
    <xf numFmtId="1" fontId="26305" fillId="8" borderId="1" xfId="0" applyNumberFormat="1" applyFont="1" applyFill="1" applyBorder="1" applyAlignment="1">
      <alignment horizontal="center" vertical="center"/>
    </xf>
    <xf numFmtId="165" fontId="26306" fillId="8" borderId="1" xfId="0" applyNumberFormat="1" applyFont="1" applyFill="1" applyBorder="1" applyAlignment="1">
      <alignment horizontal="center" vertical="center"/>
    </xf>
    <xf numFmtId="1" fontId="26307" fillId="8" borderId="1" xfId="0" applyNumberFormat="1" applyFont="1" applyFill="1" applyBorder="1" applyAlignment="1">
      <alignment horizontal="center" vertical="center"/>
    </xf>
    <xf numFmtId="165" fontId="26308" fillId="8" borderId="1" xfId="0" applyNumberFormat="1" applyFont="1" applyFill="1" applyBorder="1" applyAlignment="1">
      <alignment horizontal="center" vertical="center"/>
    </xf>
    <xf numFmtId="165" fontId="26309" fillId="8" borderId="1" xfId="0" applyNumberFormat="1" applyFont="1" applyFill="1" applyBorder="1" applyAlignment="1">
      <alignment horizontal="center" vertical="center"/>
    </xf>
    <xf numFmtId="1" fontId="26310" fillId="8" borderId="1" xfId="0" applyNumberFormat="1" applyFont="1" applyFill="1" applyBorder="1" applyAlignment="1">
      <alignment horizontal="center" vertical="center"/>
    </xf>
    <xf numFmtId="1" fontId="26311" fillId="8" borderId="1" xfId="0" applyNumberFormat="1" applyFont="1" applyFill="1" applyBorder="1" applyAlignment="1">
      <alignment horizontal="center" vertical="center"/>
    </xf>
    <xf numFmtId="1" fontId="26312" fillId="8" borderId="1" xfId="0" applyNumberFormat="1" applyFont="1" applyFill="1" applyBorder="1" applyAlignment="1">
      <alignment horizontal="center" vertical="center"/>
    </xf>
    <xf numFmtId="165" fontId="26313" fillId="8" borderId="1" xfId="0" applyNumberFormat="1" applyFont="1" applyFill="1" applyBorder="1" applyAlignment="1">
      <alignment horizontal="center" vertical="center"/>
    </xf>
    <xf numFmtId="164" fontId="26314" fillId="8" borderId="1" xfId="0" applyNumberFormat="1" applyFont="1" applyFill="1" applyBorder="1" applyAlignment="1">
      <alignment horizontal="center" vertical="center"/>
    </xf>
    <xf numFmtId="164" fontId="26315" fillId="8" borderId="1" xfId="0" applyNumberFormat="1" applyFont="1" applyFill="1" applyBorder="1" applyAlignment="1">
      <alignment horizontal="center" vertical="center"/>
    </xf>
    <xf numFmtId="1" fontId="26316" fillId="8" borderId="1" xfId="0" applyNumberFormat="1" applyFont="1" applyFill="1" applyBorder="1" applyAlignment="1">
      <alignment horizontal="center" vertical="center"/>
    </xf>
    <xf numFmtId="1" fontId="26317" fillId="8" borderId="1" xfId="0" applyNumberFormat="1" applyFont="1" applyFill="1" applyBorder="1" applyAlignment="1">
      <alignment horizontal="center" vertical="center"/>
    </xf>
    <xf numFmtId="1" fontId="26318" fillId="8" borderId="1" xfId="0" applyNumberFormat="1" applyFont="1" applyFill="1" applyBorder="1" applyAlignment="1">
      <alignment horizontal="center" vertical="center"/>
    </xf>
    <xf numFmtId="165" fontId="26319" fillId="8" borderId="1" xfId="0" applyNumberFormat="1" applyFont="1" applyFill="1" applyBorder="1" applyAlignment="1">
      <alignment horizontal="center" vertical="center"/>
    </xf>
    <xf numFmtId="1" fontId="26320" fillId="8" borderId="1" xfId="0" applyNumberFormat="1" applyFont="1" applyFill="1" applyBorder="1" applyAlignment="1">
      <alignment horizontal="center" vertical="center"/>
    </xf>
    <xf numFmtId="165" fontId="26321" fillId="8" borderId="1" xfId="0" applyNumberFormat="1" applyFont="1" applyFill="1" applyBorder="1" applyAlignment="1">
      <alignment horizontal="center" vertical="center"/>
    </xf>
    <xf numFmtId="1" fontId="26322" fillId="8" borderId="1" xfId="0" applyNumberFormat="1" applyFont="1" applyFill="1" applyBorder="1" applyAlignment="1">
      <alignment horizontal="center" vertical="center"/>
    </xf>
    <xf numFmtId="1" fontId="26323" fillId="8" borderId="1" xfId="0" applyNumberFormat="1" applyFont="1" applyFill="1" applyBorder="1" applyAlignment="1">
      <alignment horizontal="center" vertical="center"/>
    </xf>
    <xf numFmtId="1" fontId="26324" fillId="8" borderId="1" xfId="0" applyNumberFormat="1" applyFont="1" applyFill="1" applyBorder="1" applyAlignment="1">
      <alignment horizontal="center" vertical="center"/>
    </xf>
    <xf numFmtId="1" fontId="26325" fillId="8" borderId="1" xfId="0" applyNumberFormat="1" applyFont="1" applyFill="1" applyBorder="1" applyAlignment="1">
      <alignment horizontal="center" vertical="center"/>
    </xf>
    <xf numFmtId="165" fontId="26326" fillId="8" borderId="1" xfId="0" applyNumberFormat="1" applyFont="1" applyFill="1" applyBorder="1" applyAlignment="1">
      <alignment horizontal="center" vertical="center"/>
    </xf>
    <xf numFmtId="1" fontId="26327" fillId="8" borderId="1" xfId="0" applyNumberFormat="1" applyFont="1" applyFill="1" applyBorder="1" applyAlignment="1">
      <alignment horizontal="center" vertical="center"/>
    </xf>
    <xf numFmtId="165" fontId="26328" fillId="8" borderId="1" xfId="0" applyNumberFormat="1" applyFont="1" applyFill="1" applyBorder="1" applyAlignment="1">
      <alignment horizontal="center" vertical="center"/>
    </xf>
    <xf numFmtId="1" fontId="26329" fillId="8" borderId="1" xfId="0" applyNumberFormat="1" applyFont="1" applyFill="1" applyBorder="1" applyAlignment="1">
      <alignment horizontal="center" vertical="center"/>
    </xf>
    <xf numFmtId="165" fontId="26330" fillId="8" borderId="1" xfId="0" applyNumberFormat="1" applyFont="1" applyFill="1" applyBorder="1" applyAlignment="1">
      <alignment horizontal="center" vertical="center"/>
    </xf>
    <xf numFmtId="2" fontId="26331" fillId="8" borderId="1" xfId="0" applyNumberFormat="1" applyFont="1" applyFill="1" applyBorder="1" applyAlignment="1">
      <alignment horizontal="center" vertical="center"/>
    </xf>
    <xf numFmtId="2" fontId="26332" fillId="8" borderId="1" xfId="0" applyNumberFormat="1" applyFont="1" applyFill="1" applyBorder="1" applyAlignment="1">
      <alignment horizontal="center" vertical="center"/>
    </xf>
    <xf numFmtId="2" fontId="26333" fillId="8" borderId="1" xfId="0" applyNumberFormat="1" applyFont="1" applyFill="1" applyBorder="1" applyAlignment="1">
      <alignment horizontal="center" vertical="center"/>
    </xf>
    <xf numFmtId="2" fontId="26334" fillId="8" borderId="1" xfId="0" applyNumberFormat="1" applyFont="1" applyFill="1" applyBorder="1" applyAlignment="1">
      <alignment horizontal="center" vertical="center"/>
    </xf>
    <xf numFmtId="2" fontId="26335" fillId="8" borderId="1" xfId="0" applyNumberFormat="1" applyFont="1" applyFill="1" applyBorder="1" applyAlignment="1">
      <alignment horizontal="center" vertical="center"/>
    </xf>
    <xf numFmtId="2" fontId="26336" fillId="8" borderId="1" xfId="0" applyNumberFormat="1" applyFont="1" applyFill="1" applyBorder="1" applyAlignment="1">
      <alignment horizontal="center" vertical="center"/>
    </xf>
    <xf numFmtId="2" fontId="26337" fillId="8" borderId="1" xfId="0" applyNumberFormat="1" applyFont="1" applyFill="1" applyBorder="1" applyAlignment="1">
      <alignment horizontal="center" vertical="center"/>
    </xf>
    <xf numFmtId="2" fontId="26338" fillId="8" borderId="1" xfId="0" applyNumberFormat="1" applyFont="1" applyFill="1" applyBorder="1" applyAlignment="1">
      <alignment horizontal="center" vertical="center"/>
    </xf>
    <xf numFmtId="2" fontId="26339" fillId="8" borderId="1" xfId="0" applyNumberFormat="1" applyFont="1" applyFill="1" applyBorder="1" applyAlignment="1">
      <alignment horizontal="center" vertical="center"/>
    </xf>
    <xf numFmtId="2" fontId="26340" fillId="8" borderId="1" xfId="0" applyNumberFormat="1" applyFont="1" applyFill="1" applyBorder="1" applyAlignment="1">
      <alignment horizontal="center" vertical="center"/>
    </xf>
    <xf numFmtId="2" fontId="26341" fillId="8" borderId="1" xfId="0" applyNumberFormat="1" applyFont="1" applyFill="1" applyBorder="1" applyAlignment="1">
      <alignment horizontal="center" vertical="center"/>
    </xf>
    <xf numFmtId="2" fontId="26342" fillId="8" borderId="1" xfId="0" applyNumberFormat="1" applyFont="1" applyFill="1" applyBorder="1" applyAlignment="1">
      <alignment horizontal="center" vertical="center"/>
    </xf>
    <xf numFmtId="2" fontId="26343" fillId="8" borderId="1" xfId="0" applyNumberFormat="1" applyFont="1" applyFill="1" applyBorder="1" applyAlignment="1">
      <alignment horizontal="center" vertical="center"/>
    </xf>
    <xf numFmtId="2" fontId="26344" fillId="8" borderId="1" xfId="0" applyNumberFormat="1" applyFont="1" applyFill="1" applyBorder="1" applyAlignment="1">
      <alignment horizontal="center" vertical="center"/>
    </xf>
    <xf numFmtId="2" fontId="26345" fillId="8" borderId="1" xfId="0" applyNumberFormat="1" applyFont="1" applyFill="1" applyBorder="1" applyAlignment="1">
      <alignment horizontal="center" vertical="center"/>
    </xf>
    <xf numFmtId="2" fontId="26346" fillId="8" borderId="1" xfId="0" applyNumberFormat="1" applyFont="1" applyFill="1" applyBorder="1" applyAlignment="1">
      <alignment horizontal="center" vertical="center"/>
    </xf>
    <xf numFmtId="2" fontId="26347" fillId="8" borderId="1" xfId="0" applyNumberFormat="1" applyFont="1" applyFill="1" applyBorder="1" applyAlignment="1">
      <alignment horizontal="center" vertical="center"/>
    </xf>
    <xf numFmtId="2" fontId="26348" fillId="8" borderId="1" xfId="0" applyNumberFormat="1" applyFont="1" applyFill="1" applyBorder="1" applyAlignment="1">
      <alignment horizontal="center" vertical="center"/>
    </xf>
    <xf numFmtId="2" fontId="26349" fillId="8" borderId="1" xfId="0" applyNumberFormat="1" applyFont="1" applyFill="1" applyBorder="1" applyAlignment="1">
      <alignment horizontal="center" vertical="center"/>
    </xf>
    <xf numFmtId="2" fontId="26350" fillId="8" borderId="1" xfId="0" applyNumberFormat="1" applyFont="1" applyFill="1" applyBorder="1" applyAlignment="1">
      <alignment horizontal="center" vertical="center"/>
    </xf>
    <xf numFmtId="2" fontId="26351" fillId="8" borderId="1" xfId="0" applyNumberFormat="1" applyFont="1" applyFill="1" applyBorder="1" applyAlignment="1">
      <alignment horizontal="center" vertical="center"/>
    </xf>
    <xf numFmtId="2" fontId="26352" fillId="8" borderId="1" xfId="0" applyNumberFormat="1" applyFont="1" applyFill="1" applyBorder="1" applyAlignment="1">
      <alignment horizontal="center" vertical="center"/>
    </xf>
    <xf numFmtId="2" fontId="26353" fillId="8" borderId="1" xfId="0" applyNumberFormat="1" applyFont="1" applyFill="1" applyBorder="1" applyAlignment="1">
      <alignment horizontal="center" vertical="center"/>
    </xf>
    <xf numFmtId="2" fontId="26354" fillId="8" borderId="1" xfId="0" applyNumberFormat="1" applyFont="1" applyFill="1" applyBorder="1" applyAlignment="1">
      <alignment horizontal="center" vertical="center"/>
    </xf>
    <xf numFmtId="2" fontId="26355" fillId="8" borderId="1" xfId="0" applyNumberFormat="1" applyFont="1" applyFill="1" applyBorder="1" applyAlignment="1">
      <alignment horizontal="center" vertical="center"/>
    </xf>
    <xf numFmtId="2" fontId="26356" fillId="8" borderId="1" xfId="0" applyNumberFormat="1" applyFont="1" applyFill="1" applyBorder="1" applyAlignment="1">
      <alignment horizontal="center" vertical="center"/>
    </xf>
    <xf numFmtId="2" fontId="26357" fillId="8" borderId="1" xfId="0" applyNumberFormat="1" applyFont="1" applyFill="1" applyBorder="1" applyAlignment="1">
      <alignment horizontal="center" vertical="center"/>
    </xf>
    <xf numFmtId="2" fontId="26358" fillId="8" borderId="1" xfId="0" applyNumberFormat="1" applyFont="1" applyFill="1" applyBorder="1" applyAlignment="1">
      <alignment horizontal="center" vertical="center"/>
    </xf>
    <xf numFmtId="2" fontId="26359" fillId="8" borderId="1" xfId="0" applyNumberFormat="1" applyFont="1" applyFill="1" applyBorder="1" applyAlignment="1">
      <alignment horizontal="center" vertical="center"/>
    </xf>
    <xf numFmtId="2" fontId="26360" fillId="8" borderId="1" xfId="0" applyNumberFormat="1" applyFont="1" applyFill="1" applyBorder="1" applyAlignment="1">
      <alignment horizontal="center" vertical="center"/>
    </xf>
    <xf numFmtId="2" fontId="26361" fillId="8" borderId="1" xfId="0" applyNumberFormat="1" applyFont="1" applyFill="1" applyBorder="1" applyAlignment="1">
      <alignment horizontal="center" vertical="center"/>
    </xf>
    <xf numFmtId="2" fontId="26362" fillId="8" borderId="1" xfId="0" applyNumberFormat="1" applyFont="1" applyFill="1" applyBorder="1" applyAlignment="1">
      <alignment horizontal="center" vertical="center"/>
    </xf>
    <xf numFmtId="2" fontId="26363" fillId="8" borderId="1" xfId="0" applyNumberFormat="1" applyFont="1" applyFill="1" applyBorder="1" applyAlignment="1">
      <alignment horizontal="center" vertical="center"/>
    </xf>
    <xf numFmtId="2" fontId="26364" fillId="8" borderId="1" xfId="0" applyNumberFormat="1" applyFont="1" applyFill="1" applyBorder="1" applyAlignment="1">
      <alignment horizontal="center" vertical="center"/>
    </xf>
    <xf numFmtId="0" fontId="26365" fillId="7" borderId="1" xfId="0" applyNumberFormat="1" applyFont="1" applyFill="1" applyBorder="1" applyAlignment="1">
      <alignment horizontal="left" vertical="center"/>
    </xf>
    <xf numFmtId="0" fontId="26366" fillId="8" borderId="1" xfId="0" applyNumberFormat="1" applyFont="1" applyFill="1" applyBorder="1" applyAlignment="1">
      <alignment horizontal="center" vertical="center"/>
    </xf>
    <xf numFmtId="164" fontId="26367" fillId="8" borderId="1" xfId="0" applyNumberFormat="1" applyFont="1" applyFill="1" applyBorder="1" applyAlignment="1">
      <alignment horizontal="center" vertical="center"/>
    </xf>
    <xf numFmtId="1" fontId="26368" fillId="8" borderId="1" xfId="0" applyNumberFormat="1" applyFont="1" applyFill="1" applyBorder="1" applyAlignment="1">
      <alignment horizontal="center" vertical="center"/>
    </xf>
    <xf numFmtId="1" fontId="26369" fillId="8" borderId="1" xfId="0" applyNumberFormat="1" applyFont="1" applyFill="1" applyBorder="1" applyAlignment="1">
      <alignment horizontal="center" vertical="center"/>
    </xf>
    <xf numFmtId="1" fontId="26370" fillId="8" borderId="1" xfId="0" applyNumberFormat="1" applyFont="1" applyFill="1" applyBorder="1" applyAlignment="1">
      <alignment horizontal="center" vertical="center"/>
    </xf>
    <xf numFmtId="1" fontId="26371" fillId="8" borderId="1" xfId="0" applyNumberFormat="1" applyFont="1" applyFill="1" applyBorder="1" applyAlignment="1">
      <alignment horizontal="center" vertical="center"/>
    </xf>
    <xf numFmtId="1" fontId="26372" fillId="8" borderId="1" xfId="0" applyNumberFormat="1" applyFont="1" applyFill="1" applyBorder="1" applyAlignment="1">
      <alignment horizontal="center" vertical="center"/>
    </xf>
    <xf numFmtId="1" fontId="26373" fillId="8" borderId="1" xfId="0" applyNumberFormat="1" applyFont="1" applyFill="1" applyBorder="1" applyAlignment="1">
      <alignment horizontal="center" vertical="center"/>
    </xf>
    <xf numFmtId="1" fontId="26374" fillId="8" borderId="1" xfId="0" applyNumberFormat="1" applyFont="1" applyFill="1" applyBorder="1" applyAlignment="1">
      <alignment horizontal="center" vertical="center"/>
    </xf>
    <xf numFmtId="0" fontId="26375" fillId="8" borderId="1" xfId="0" applyNumberFormat="1" applyFont="1" applyFill="1" applyBorder="1" applyAlignment="1">
      <alignment horizontal="center" vertical="center"/>
    </xf>
    <xf numFmtId="0" fontId="26376" fillId="8" borderId="1" xfId="0" applyNumberFormat="1" applyFont="1" applyFill="1" applyBorder="1" applyAlignment="1">
      <alignment horizontal="center" vertical="center"/>
    </xf>
    <xf numFmtId="1" fontId="26377" fillId="8" borderId="1" xfId="0" applyNumberFormat="1" applyFont="1" applyFill="1" applyBorder="1" applyAlignment="1">
      <alignment horizontal="center" vertical="center"/>
    </xf>
    <xf numFmtId="1" fontId="26378" fillId="8" borderId="1" xfId="0" applyNumberFormat="1" applyFont="1" applyFill="1" applyBorder="1" applyAlignment="1">
      <alignment horizontal="center" vertical="center"/>
    </xf>
    <xf numFmtId="1" fontId="26379" fillId="8" borderId="1" xfId="0" applyNumberFormat="1" applyFont="1" applyFill="1" applyBorder="1" applyAlignment="1">
      <alignment horizontal="center" vertical="center"/>
    </xf>
    <xf numFmtId="165" fontId="26380" fillId="8" borderId="1" xfId="0" applyNumberFormat="1" applyFont="1" applyFill="1" applyBorder="1" applyAlignment="1">
      <alignment horizontal="center" vertical="center"/>
    </xf>
    <xf numFmtId="1" fontId="26381" fillId="8" borderId="1" xfId="0" applyNumberFormat="1" applyFont="1" applyFill="1" applyBorder="1" applyAlignment="1">
      <alignment horizontal="center" vertical="center"/>
    </xf>
    <xf numFmtId="165" fontId="26382" fillId="8" borderId="1" xfId="0" applyNumberFormat="1" applyFont="1" applyFill="1" applyBorder="1" applyAlignment="1">
      <alignment horizontal="center" vertical="center"/>
    </xf>
    <xf numFmtId="1" fontId="26383" fillId="8" borderId="1" xfId="0" applyNumberFormat="1" applyFont="1" applyFill="1" applyBorder="1" applyAlignment="1">
      <alignment horizontal="center" vertical="center"/>
    </xf>
    <xf numFmtId="165" fontId="26384" fillId="8" borderId="1" xfId="0" applyNumberFormat="1" applyFont="1" applyFill="1" applyBorder="1" applyAlignment="1">
      <alignment horizontal="center" vertical="center"/>
    </xf>
    <xf numFmtId="1" fontId="26385" fillId="8" borderId="1" xfId="0" applyNumberFormat="1" applyFont="1" applyFill="1" applyBorder="1" applyAlignment="1">
      <alignment horizontal="center" vertical="center"/>
    </xf>
    <xf numFmtId="165" fontId="26386" fillId="8" borderId="1" xfId="0" applyNumberFormat="1" applyFont="1" applyFill="1" applyBorder="1" applyAlignment="1">
      <alignment horizontal="center" vertical="center"/>
    </xf>
    <xf numFmtId="165" fontId="26387" fillId="8" borderId="1" xfId="0" applyNumberFormat="1" applyFont="1" applyFill="1" applyBorder="1" applyAlignment="1">
      <alignment horizontal="center" vertical="center"/>
    </xf>
    <xf numFmtId="1" fontId="26388" fillId="8" borderId="1" xfId="0" applyNumberFormat="1" applyFont="1" applyFill="1" applyBorder="1" applyAlignment="1">
      <alignment horizontal="center" vertical="center"/>
    </xf>
    <xf numFmtId="1" fontId="26389" fillId="8" borderId="1" xfId="0" applyNumberFormat="1" applyFont="1" applyFill="1" applyBorder="1" applyAlignment="1">
      <alignment horizontal="center" vertical="center"/>
    </xf>
    <xf numFmtId="1" fontId="26390" fillId="8" borderId="1" xfId="0" applyNumberFormat="1" applyFont="1" applyFill="1" applyBorder="1" applyAlignment="1">
      <alignment horizontal="center" vertical="center"/>
    </xf>
    <xf numFmtId="165" fontId="26391" fillId="8" borderId="1" xfId="0" applyNumberFormat="1" applyFont="1" applyFill="1" applyBorder="1" applyAlignment="1">
      <alignment horizontal="center" vertical="center"/>
    </xf>
    <xf numFmtId="164" fontId="26392" fillId="8" borderId="1" xfId="0" applyNumberFormat="1" applyFont="1" applyFill="1" applyBorder="1" applyAlignment="1">
      <alignment horizontal="center" vertical="center"/>
    </xf>
    <xf numFmtId="164" fontId="26393" fillId="8" borderId="1" xfId="0" applyNumberFormat="1" applyFont="1" applyFill="1" applyBorder="1" applyAlignment="1">
      <alignment horizontal="center" vertical="center"/>
    </xf>
    <xf numFmtId="1" fontId="26394" fillId="8" borderId="1" xfId="0" applyNumberFormat="1" applyFont="1" applyFill="1" applyBorder="1" applyAlignment="1">
      <alignment horizontal="center" vertical="center"/>
    </xf>
    <xf numFmtId="1" fontId="26395" fillId="8" borderId="1" xfId="0" applyNumberFormat="1" applyFont="1" applyFill="1" applyBorder="1" applyAlignment="1">
      <alignment horizontal="center" vertical="center"/>
    </xf>
    <xf numFmtId="1" fontId="26396" fillId="8" borderId="1" xfId="0" applyNumberFormat="1" applyFont="1" applyFill="1" applyBorder="1" applyAlignment="1">
      <alignment horizontal="center" vertical="center"/>
    </xf>
    <xf numFmtId="165" fontId="26397" fillId="8" borderId="1" xfId="0" applyNumberFormat="1" applyFont="1" applyFill="1" applyBorder="1" applyAlignment="1">
      <alignment horizontal="center" vertical="center"/>
    </xf>
    <xf numFmtId="1" fontId="26398" fillId="8" borderId="1" xfId="0" applyNumberFormat="1" applyFont="1" applyFill="1" applyBorder="1" applyAlignment="1">
      <alignment horizontal="center" vertical="center"/>
    </xf>
    <xf numFmtId="165" fontId="26399" fillId="8" borderId="1" xfId="0" applyNumberFormat="1" applyFont="1" applyFill="1" applyBorder="1" applyAlignment="1">
      <alignment horizontal="center" vertical="center"/>
    </xf>
    <xf numFmtId="1" fontId="26400" fillId="8" borderId="1" xfId="0" applyNumberFormat="1" applyFont="1" applyFill="1" applyBorder="1" applyAlignment="1">
      <alignment horizontal="center" vertical="center"/>
    </xf>
    <xf numFmtId="1" fontId="26401" fillId="8" borderId="1" xfId="0" applyNumberFormat="1" applyFont="1" applyFill="1" applyBorder="1" applyAlignment="1">
      <alignment horizontal="center" vertical="center"/>
    </xf>
    <xf numFmtId="1" fontId="26402" fillId="8" borderId="1" xfId="0" applyNumberFormat="1" applyFont="1" applyFill="1" applyBorder="1" applyAlignment="1">
      <alignment horizontal="center" vertical="center"/>
    </xf>
    <xf numFmtId="1" fontId="26403" fillId="8" borderId="1" xfId="0" applyNumberFormat="1" applyFont="1" applyFill="1" applyBorder="1" applyAlignment="1">
      <alignment horizontal="center" vertical="center"/>
    </xf>
    <xf numFmtId="165" fontId="26404" fillId="8" borderId="1" xfId="0" applyNumberFormat="1" applyFont="1" applyFill="1" applyBorder="1" applyAlignment="1">
      <alignment horizontal="center" vertical="center"/>
    </xf>
    <xf numFmtId="1" fontId="26405" fillId="8" borderId="1" xfId="0" applyNumberFormat="1" applyFont="1" applyFill="1" applyBorder="1" applyAlignment="1">
      <alignment horizontal="center" vertical="center"/>
    </xf>
    <xf numFmtId="165" fontId="26406" fillId="8" borderId="1" xfId="0" applyNumberFormat="1" applyFont="1" applyFill="1" applyBorder="1" applyAlignment="1">
      <alignment horizontal="center" vertical="center"/>
    </xf>
    <xf numFmtId="1" fontId="26407" fillId="8" borderId="1" xfId="0" applyNumberFormat="1" applyFont="1" applyFill="1" applyBorder="1" applyAlignment="1">
      <alignment horizontal="center" vertical="center"/>
    </xf>
    <xf numFmtId="165" fontId="26408" fillId="8" borderId="1" xfId="0" applyNumberFormat="1" applyFont="1" applyFill="1" applyBorder="1" applyAlignment="1">
      <alignment horizontal="center" vertical="center"/>
    </xf>
    <xf numFmtId="2" fontId="26409" fillId="8" borderId="1" xfId="0" applyNumberFormat="1" applyFont="1" applyFill="1" applyBorder="1" applyAlignment="1">
      <alignment horizontal="center" vertical="center"/>
    </xf>
    <xf numFmtId="2" fontId="26410" fillId="8" borderId="1" xfId="0" applyNumberFormat="1" applyFont="1" applyFill="1" applyBorder="1" applyAlignment="1">
      <alignment horizontal="center" vertical="center"/>
    </xf>
    <xf numFmtId="2" fontId="26411" fillId="8" borderId="1" xfId="0" applyNumberFormat="1" applyFont="1" applyFill="1" applyBorder="1" applyAlignment="1">
      <alignment horizontal="center" vertical="center"/>
    </xf>
    <xf numFmtId="2" fontId="26412" fillId="8" borderId="1" xfId="0" applyNumberFormat="1" applyFont="1" applyFill="1" applyBorder="1" applyAlignment="1">
      <alignment horizontal="center" vertical="center"/>
    </xf>
    <xf numFmtId="2" fontId="26413" fillId="8" borderId="1" xfId="0" applyNumberFormat="1" applyFont="1" applyFill="1" applyBorder="1" applyAlignment="1">
      <alignment horizontal="center" vertical="center"/>
    </xf>
    <xf numFmtId="2" fontId="26414" fillId="8" borderId="1" xfId="0" applyNumberFormat="1" applyFont="1" applyFill="1" applyBorder="1" applyAlignment="1">
      <alignment horizontal="center" vertical="center"/>
    </xf>
    <xf numFmtId="2" fontId="26415" fillId="8" borderId="1" xfId="0" applyNumberFormat="1" applyFont="1" applyFill="1" applyBorder="1" applyAlignment="1">
      <alignment horizontal="center" vertical="center"/>
    </xf>
    <xf numFmtId="2" fontId="26416" fillId="8" borderId="1" xfId="0" applyNumberFormat="1" applyFont="1" applyFill="1" applyBorder="1" applyAlignment="1">
      <alignment horizontal="center" vertical="center"/>
    </xf>
    <xf numFmtId="2" fontId="26417" fillId="8" borderId="1" xfId="0" applyNumberFormat="1" applyFont="1" applyFill="1" applyBorder="1" applyAlignment="1">
      <alignment horizontal="center" vertical="center"/>
    </xf>
    <xf numFmtId="2" fontId="26418" fillId="8" borderId="1" xfId="0" applyNumberFormat="1" applyFont="1" applyFill="1" applyBorder="1" applyAlignment="1">
      <alignment horizontal="center" vertical="center"/>
    </xf>
    <xf numFmtId="2" fontId="26419" fillId="8" borderId="1" xfId="0" applyNumberFormat="1" applyFont="1" applyFill="1" applyBorder="1" applyAlignment="1">
      <alignment horizontal="center" vertical="center"/>
    </xf>
    <xf numFmtId="2" fontId="26420" fillId="8" borderId="1" xfId="0" applyNumberFormat="1" applyFont="1" applyFill="1" applyBorder="1" applyAlignment="1">
      <alignment horizontal="center" vertical="center"/>
    </xf>
    <xf numFmtId="2" fontId="26421" fillId="8" borderId="1" xfId="0" applyNumberFormat="1" applyFont="1" applyFill="1" applyBorder="1" applyAlignment="1">
      <alignment horizontal="center" vertical="center"/>
    </xf>
    <xf numFmtId="2" fontId="26422" fillId="8" borderId="1" xfId="0" applyNumberFormat="1" applyFont="1" applyFill="1" applyBorder="1" applyAlignment="1">
      <alignment horizontal="center" vertical="center"/>
    </xf>
    <xf numFmtId="2" fontId="26423" fillId="8" borderId="1" xfId="0" applyNumberFormat="1" applyFont="1" applyFill="1" applyBorder="1" applyAlignment="1">
      <alignment horizontal="center" vertical="center"/>
    </xf>
    <xf numFmtId="2" fontId="26424" fillId="8" borderId="1" xfId="0" applyNumberFormat="1" applyFont="1" applyFill="1" applyBorder="1" applyAlignment="1">
      <alignment horizontal="center" vertical="center"/>
    </xf>
    <xf numFmtId="2" fontId="26425" fillId="8" borderId="1" xfId="0" applyNumberFormat="1" applyFont="1" applyFill="1" applyBorder="1" applyAlignment="1">
      <alignment horizontal="center" vertical="center"/>
    </xf>
    <xf numFmtId="2" fontId="26426" fillId="8" borderId="1" xfId="0" applyNumberFormat="1" applyFont="1" applyFill="1" applyBorder="1" applyAlignment="1">
      <alignment horizontal="center" vertical="center"/>
    </xf>
    <xf numFmtId="2" fontId="26427" fillId="8" borderId="1" xfId="0" applyNumberFormat="1" applyFont="1" applyFill="1" applyBorder="1" applyAlignment="1">
      <alignment horizontal="center" vertical="center"/>
    </xf>
    <xf numFmtId="2" fontId="26428" fillId="8" borderId="1" xfId="0" applyNumberFormat="1" applyFont="1" applyFill="1" applyBorder="1" applyAlignment="1">
      <alignment horizontal="center" vertical="center"/>
    </xf>
    <xf numFmtId="2" fontId="26429" fillId="8" borderId="1" xfId="0" applyNumberFormat="1" applyFont="1" applyFill="1" applyBorder="1" applyAlignment="1">
      <alignment horizontal="center" vertical="center"/>
    </xf>
    <xf numFmtId="2" fontId="26430" fillId="8" borderId="1" xfId="0" applyNumberFormat="1" applyFont="1" applyFill="1" applyBorder="1" applyAlignment="1">
      <alignment horizontal="center" vertical="center"/>
    </xf>
    <xf numFmtId="2" fontId="26431" fillId="8" borderId="1" xfId="0" applyNumberFormat="1" applyFont="1" applyFill="1" applyBorder="1" applyAlignment="1">
      <alignment horizontal="center" vertical="center"/>
    </xf>
    <xf numFmtId="2" fontId="26432" fillId="8" borderId="1" xfId="0" applyNumberFormat="1" applyFont="1" applyFill="1" applyBorder="1" applyAlignment="1">
      <alignment horizontal="center" vertical="center"/>
    </xf>
    <xf numFmtId="2" fontId="26433" fillId="8" borderId="1" xfId="0" applyNumberFormat="1" applyFont="1" applyFill="1" applyBorder="1" applyAlignment="1">
      <alignment horizontal="center" vertical="center"/>
    </xf>
    <xf numFmtId="2" fontId="26434" fillId="8" borderId="1" xfId="0" applyNumberFormat="1" applyFont="1" applyFill="1" applyBorder="1" applyAlignment="1">
      <alignment horizontal="center" vertical="center"/>
    </xf>
    <xf numFmtId="2" fontId="26435" fillId="8" borderId="1" xfId="0" applyNumberFormat="1" applyFont="1" applyFill="1" applyBorder="1" applyAlignment="1">
      <alignment horizontal="center" vertical="center"/>
    </xf>
    <xf numFmtId="2" fontId="26436" fillId="8" borderId="1" xfId="0" applyNumberFormat="1" applyFont="1" applyFill="1" applyBorder="1" applyAlignment="1">
      <alignment horizontal="center" vertical="center"/>
    </xf>
    <xf numFmtId="2" fontId="26437" fillId="8" borderId="1" xfId="0" applyNumberFormat="1" applyFont="1" applyFill="1" applyBorder="1" applyAlignment="1">
      <alignment horizontal="center" vertical="center"/>
    </xf>
    <xf numFmtId="2" fontId="26438" fillId="8" borderId="1" xfId="0" applyNumberFormat="1" applyFont="1" applyFill="1" applyBorder="1" applyAlignment="1">
      <alignment horizontal="center" vertical="center"/>
    </xf>
    <xf numFmtId="2" fontId="26439" fillId="8" borderId="1" xfId="0" applyNumberFormat="1" applyFont="1" applyFill="1" applyBorder="1" applyAlignment="1">
      <alignment horizontal="center" vertical="center"/>
    </xf>
    <xf numFmtId="2" fontId="26440" fillId="8" borderId="1" xfId="0" applyNumberFormat="1" applyFont="1" applyFill="1" applyBorder="1" applyAlignment="1">
      <alignment horizontal="center" vertical="center"/>
    </xf>
    <xf numFmtId="2" fontId="26441" fillId="8" borderId="1" xfId="0" applyNumberFormat="1" applyFont="1" applyFill="1" applyBorder="1" applyAlignment="1">
      <alignment horizontal="center" vertical="center"/>
    </xf>
    <xf numFmtId="2" fontId="26442" fillId="8" borderId="1" xfId="0" applyNumberFormat="1" applyFont="1" applyFill="1" applyBorder="1" applyAlignment="1">
      <alignment horizontal="center" vertical="center"/>
    </xf>
    <xf numFmtId="0" fontId="26443" fillId="7" borderId="1" xfId="0" applyNumberFormat="1" applyFont="1" applyFill="1" applyBorder="1" applyAlignment="1">
      <alignment horizontal="left" vertical="center"/>
    </xf>
    <xf numFmtId="0" fontId="26444" fillId="8" borderId="1" xfId="0" applyNumberFormat="1" applyFont="1" applyFill="1" applyBorder="1" applyAlignment="1">
      <alignment horizontal="center" vertical="center"/>
    </xf>
    <xf numFmtId="164" fontId="26445" fillId="8" borderId="1" xfId="0" applyNumberFormat="1" applyFont="1" applyFill="1" applyBorder="1" applyAlignment="1">
      <alignment horizontal="center" vertical="center"/>
    </xf>
    <xf numFmtId="1" fontId="26446" fillId="8" borderId="1" xfId="0" applyNumberFormat="1" applyFont="1" applyFill="1" applyBorder="1" applyAlignment="1">
      <alignment horizontal="center" vertical="center"/>
    </xf>
    <xf numFmtId="1" fontId="26447" fillId="8" borderId="1" xfId="0" applyNumberFormat="1" applyFont="1" applyFill="1" applyBorder="1" applyAlignment="1">
      <alignment horizontal="center" vertical="center"/>
    </xf>
    <xf numFmtId="1" fontId="26448" fillId="8" borderId="1" xfId="0" applyNumberFormat="1" applyFont="1" applyFill="1" applyBorder="1" applyAlignment="1">
      <alignment horizontal="center" vertical="center"/>
    </xf>
    <xf numFmtId="1" fontId="26449" fillId="8" borderId="1" xfId="0" applyNumberFormat="1" applyFont="1" applyFill="1" applyBorder="1" applyAlignment="1">
      <alignment horizontal="center" vertical="center"/>
    </xf>
    <xf numFmtId="1" fontId="26450" fillId="8" borderId="1" xfId="0" applyNumberFormat="1" applyFont="1" applyFill="1" applyBorder="1" applyAlignment="1">
      <alignment horizontal="center" vertical="center"/>
    </xf>
    <xf numFmtId="1" fontId="26451" fillId="8" borderId="1" xfId="0" applyNumberFormat="1" applyFont="1" applyFill="1" applyBorder="1" applyAlignment="1">
      <alignment horizontal="center" vertical="center"/>
    </xf>
    <xf numFmtId="1" fontId="26452" fillId="8" borderId="1" xfId="0" applyNumberFormat="1" applyFont="1" applyFill="1" applyBorder="1" applyAlignment="1">
      <alignment horizontal="center" vertical="center"/>
    </xf>
    <xf numFmtId="0" fontId="26453" fillId="8" borderId="1" xfId="0" applyNumberFormat="1" applyFont="1" applyFill="1" applyBorder="1" applyAlignment="1">
      <alignment horizontal="center" vertical="center"/>
    </xf>
    <xf numFmtId="0" fontId="26454" fillId="8" borderId="1" xfId="0" applyNumberFormat="1" applyFont="1" applyFill="1" applyBorder="1" applyAlignment="1">
      <alignment horizontal="center" vertical="center"/>
    </xf>
    <xf numFmtId="1" fontId="26455" fillId="8" borderId="1" xfId="0" applyNumberFormat="1" applyFont="1" applyFill="1" applyBorder="1" applyAlignment="1">
      <alignment horizontal="center" vertical="center"/>
    </xf>
    <xf numFmtId="1" fontId="26456" fillId="8" borderId="1" xfId="0" applyNumberFormat="1" applyFont="1" applyFill="1" applyBorder="1" applyAlignment="1">
      <alignment horizontal="center" vertical="center"/>
    </xf>
    <xf numFmtId="1" fontId="26457" fillId="8" borderId="1" xfId="0" applyNumberFormat="1" applyFont="1" applyFill="1" applyBorder="1" applyAlignment="1">
      <alignment horizontal="center" vertical="center"/>
    </xf>
    <xf numFmtId="165" fontId="26458" fillId="8" borderId="1" xfId="0" applyNumberFormat="1" applyFont="1" applyFill="1" applyBorder="1" applyAlignment="1">
      <alignment horizontal="center" vertical="center"/>
    </xf>
    <xf numFmtId="1" fontId="26459" fillId="8" borderId="1" xfId="0" applyNumberFormat="1" applyFont="1" applyFill="1" applyBorder="1" applyAlignment="1">
      <alignment horizontal="center" vertical="center"/>
    </xf>
    <xf numFmtId="165" fontId="26460" fillId="8" borderId="1" xfId="0" applyNumberFormat="1" applyFont="1" applyFill="1" applyBorder="1" applyAlignment="1">
      <alignment horizontal="center" vertical="center"/>
    </xf>
    <xf numFmtId="1" fontId="26461" fillId="8" borderId="1" xfId="0" applyNumberFormat="1" applyFont="1" applyFill="1" applyBorder="1" applyAlignment="1">
      <alignment horizontal="center" vertical="center"/>
    </xf>
    <xf numFmtId="165" fontId="26462" fillId="8" borderId="1" xfId="0" applyNumberFormat="1" applyFont="1" applyFill="1" applyBorder="1" applyAlignment="1">
      <alignment horizontal="center" vertical="center"/>
    </xf>
    <xf numFmtId="1" fontId="26463" fillId="8" borderId="1" xfId="0" applyNumberFormat="1" applyFont="1" applyFill="1" applyBorder="1" applyAlignment="1">
      <alignment horizontal="center" vertical="center"/>
    </xf>
    <xf numFmtId="165" fontId="26464" fillId="8" borderId="1" xfId="0" applyNumberFormat="1" applyFont="1" applyFill="1" applyBorder="1" applyAlignment="1">
      <alignment horizontal="center" vertical="center"/>
    </xf>
    <xf numFmtId="165" fontId="26465" fillId="8" borderId="1" xfId="0" applyNumberFormat="1" applyFont="1" applyFill="1" applyBorder="1" applyAlignment="1">
      <alignment horizontal="center" vertical="center"/>
    </xf>
    <xf numFmtId="1" fontId="26466" fillId="8" borderId="1" xfId="0" applyNumberFormat="1" applyFont="1" applyFill="1" applyBorder="1" applyAlignment="1">
      <alignment horizontal="center" vertical="center"/>
    </xf>
    <xf numFmtId="1" fontId="26467" fillId="8" borderId="1" xfId="0" applyNumberFormat="1" applyFont="1" applyFill="1" applyBorder="1" applyAlignment="1">
      <alignment horizontal="center" vertical="center"/>
    </xf>
    <xf numFmtId="1" fontId="26468" fillId="8" borderId="1" xfId="0" applyNumberFormat="1" applyFont="1" applyFill="1" applyBorder="1" applyAlignment="1">
      <alignment horizontal="center" vertical="center"/>
    </xf>
    <xf numFmtId="165" fontId="26469" fillId="8" borderId="1" xfId="0" applyNumberFormat="1" applyFont="1" applyFill="1" applyBorder="1" applyAlignment="1">
      <alignment horizontal="center" vertical="center"/>
    </xf>
    <xf numFmtId="164" fontId="26470" fillId="8" borderId="1" xfId="0" applyNumberFormat="1" applyFont="1" applyFill="1" applyBorder="1" applyAlignment="1">
      <alignment horizontal="center" vertical="center"/>
    </xf>
    <xf numFmtId="164" fontId="26471" fillId="8" borderId="1" xfId="0" applyNumberFormat="1" applyFont="1" applyFill="1" applyBorder="1" applyAlignment="1">
      <alignment horizontal="center" vertical="center"/>
    </xf>
    <xf numFmtId="1" fontId="26472" fillId="8" borderId="1" xfId="0" applyNumberFormat="1" applyFont="1" applyFill="1" applyBorder="1" applyAlignment="1">
      <alignment horizontal="center" vertical="center"/>
    </xf>
    <xf numFmtId="1" fontId="26473" fillId="8" borderId="1" xfId="0" applyNumberFormat="1" applyFont="1" applyFill="1" applyBorder="1" applyAlignment="1">
      <alignment horizontal="center" vertical="center"/>
    </xf>
    <xf numFmtId="1" fontId="26474" fillId="8" borderId="1" xfId="0" applyNumberFormat="1" applyFont="1" applyFill="1" applyBorder="1" applyAlignment="1">
      <alignment horizontal="center" vertical="center"/>
    </xf>
    <xf numFmtId="165" fontId="26475" fillId="8" borderId="1" xfId="0" applyNumberFormat="1" applyFont="1" applyFill="1" applyBorder="1" applyAlignment="1">
      <alignment horizontal="center" vertical="center"/>
    </xf>
    <xf numFmtId="1" fontId="26476" fillId="8" borderId="1" xfId="0" applyNumberFormat="1" applyFont="1" applyFill="1" applyBorder="1" applyAlignment="1">
      <alignment horizontal="center" vertical="center"/>
    </xf>
    <xf numFmtId="165" fontId="26477" fillId="8" borderId="1" xfId="0" applyNumberFormat="1" applyFont="1" applyFill="1" applyBorder="1" applyAlignment="1">
      <alignment horizontal="center" vertical="center"/>
    </xf>
    <xf numFmtId="1" fontId="26478" fillId="8" borderId="1" xfId="0" applyNumberFormat="1" applyFont="1" applyFill="1" applyBorder="1" applyAlignment="1">
      <alignment horizontal="center" vertical="center"/>
    </xf>
    <xf numFmtId="1" fontId="26479" fillId="8" borderId="1" xfId="0" applyNumberFormat="1" applyFont="1" applyFill="1" applyBorder="1" applyAlignment="1">
      <alignment horizontal="center" vertical="center"/>
    </xf>
    <xf numFmtId="1" fontId="26480" fillId="8" borderId="1" xfId="0" applyNumberFormat="1" applyFont="1" applyFill="1" applyBorder="1" applyAlignment="1">
      <alignment horizontal="center" vertical="center"/>
    </xf>
    <xf numFmtId="1" fontId="26481" fillId="8" borderId="1" xfId="0" applyNumberFormat="1" applyFont="1" applyFill="1" applyBorder="1" applyAlignment="1">
      <alignment horizontal="center" vertical="center"/>
    </xf>
    <xf numFmtId="165" fontId="26482" fillId="8" borderId="1" xfId="0" applyNumberFormat="1" applyFont="1" applyFill="1" applyBorder="1" applyAlignment="1">
      <alignment horizontal="center" vertical="center"/>
    </xf>
    <xf numFmtId="1" fontId="26483" fillId="8" borderId="1" xfId="0" applyNumberFormat="1" applyFont="1" applyFill="1" applyBorder="1" applyAlignment="1">
      <alignment horizontal="center" vertical="center"/>
    </xf>
    <xf numFmtId="165" fontId="26484" fillId="8" borderId="1" xfId="0" applyNumberFormat="1" applyFont="1" applyFill="1" applyBorder="1" applyAlignment="1">
      <alignment horizontal="center" vertical="center"/>
    </xf>
    <xf numFmtId="1" fontId="26485" fillId="8" borderId="1" xfId="0" applyNumberFormat="1" applyFont="1" applyFill="1" applyBorder="1" applyAlignment="1">
      <alignment horizontal="center" vertical="center"/>
    </xf>
    <xf numFmtId="165" fontId="26486" fillId="8" borderId="1" xfId="0" applyNumberFormat="1" applyFont="1" applyFill="1" applyBorder="1" applyAlignment="1">
      <alignment horizontal="center" vertical="center"/>
    </xf>
    <xf numFmtId="2" fontId="26487" fillId="8" borderId="1" xfId="0" applyNumberFormat="1" applyFont="1" applyFill="1" applyBorder="1" applyAlignment="1">
      <alignment horizontal="center" vertical="center"/>
    </xf>
    <xf numFmtId="2" fontId="26488" fillId="8" borderId="1" xfId="0" applyNumberFormat="1" applyFont="1" applyFill="1" applyBorder="1" applyAlignment="1">
      <alignment horizontal="center" vertical="center"/>
    </xf>
    <xf numFmtId="2" fontId="26489" fillId="8" borderId="1" xfId="0" applyNumberFormat="1" applyFont="1" applyFill="1" applyBorder="1" applyAlignment="1">
      <alignment horizontal="center" vertical="center"/>
    </xf>
    <xf numFmtId="2" fontId="26490" fillId="8" borderId="1" xfId="0" applyNumberFormat="1" applyFont="1" applyFill="1" applyBorder="1" applyAlignment="1">
      <alignment horizontal="center" vertical="center"/>
    </xf>
    <xf numFmtId="2" fontId="26491" fillId="8" borderId="1" xfId="0" applyNumberFormat="1" applyFont="1" applyFill="1" applyBorder="1" applyAlignment="1">
      <alignment horizontal="center" vertical="center"/>
    </xf>
    <xf numFmtId="2" fontId="26492" fillId="8" borderId="1" xfId="0" applyNumberFormat="1" applyFont="1" applyFill="1" applyBorder="1" applyAlignment="1">
      <alignment horizontal="center" vertical="center"/>
    </xf>
    <xf numFmtId="2" fontId="26493" fillId="8" borderId="1" xfId="0" applyNumberFormat="1" applyFont="1" applyFill="1" applyBorder="1" applyAlignment="1">
      <alignment horizontal="center" vertical="center"/>
    </xf>
    <xf numFmtId="2" fontId="26494" fillId="8" borderId="1" xfId="0" applyNumberFormat="1" applyFont="1" applyFill="1" applyBorder="1" applyAlignment="1">
      <alignment horizontal="center" vertical="center"/>
    </xf>
    <xf numFmtId="2" fontId="26495" fillId="8" borderId="1" xfId="0" applyNumberFormat="1" applyFont="1" applyFill="1" applyBorder="1" applyAlignment="1">
      <alignment horizontal="center" vertical="center"/>
    </xf>
    <xf numFmtId="2" fontId="26496" fillId="8" borderId="1" xfId="0" applyNumberFormat="1" applyFont="1" applyFill="1" applyBorder="1" applyAlignment="1">
      <alignment horizontal="center" vertical="center"/>
    </xf>
    <xf numFmtId="2" fontId="26497" fillId="8" borderId="1" xfId="0" applyNumberFormat="1" applyFont="1" applyFill="1" applyBorder="1" applyAlignment="1">
      <alignment horizontal="center" vertical="center"/>
    </xf>
    <xf numFmtId="2" fontId="26498" fillId="8" borderId="1" xfId="0" applyNumberFormat="1" applyFont="1" applyFill="1" applyBorder="1" applyAlignment="1">
      <alignment horizontal="center" vertical="center"/>
    </xf>
    <xf numFmtId="2" fontId="26499" fillId="8" borderId="1" xfId="0" applyNumberFormat="1" applyFont="1" applyFill="1" applyBorder="1" applyAlignment="1">
      <alignment horizontal="center" vertical="center"/>
    </xf>
    <xf numFmtId="2" fontId="26500" fillId="8" borderId="1" xfId="0" applyNumberFormat="1" applyFont="1" applyFill="1" applyBorder="1" applyAlignment="1">
      <alignment horizontal="center" vertical="center"/>
    </xf>
    <xf numFmtId="2" fontId="26501" fillId="8" borderId="1" xfId="0" applyNumberFormat="1" applyFont="1" applyFill="1" applyBorder="1" applyAlignment="1">
      <alignment horizontal="center" vertical="center"/>
    </xf>
    <xf numFmtId="2" fontId="26502" fillId="8" borderId="1" xfId="0" applyNumberFormat="1" applyFont="1" applyFill="1" applyBorder="1" applyAlignment="1">
      <alignment horizontal="center" vertical="center"/>
    </xf>
    <xf numFmtId="2" fontId="26503" fillId="8" borderId="1" xfId="0" applyNumberFormat="1" applyFont="1" applyFill="1" applyBorder="1" applyAlignment="1">
      <alignment horizontal="center" vertical="center"/>
    </xf>
    <xf numFmtId="2" fontId="26504" fillId="8" borderId="1" xfId="0" applyNumberFormat="1" applyFont="1" applyFill="1" applyBorder="1" applyAlignment="1">
      <alignment horizontal="center" vertical="center"/>
    </xf>
    <xf numFmtId="2" fontId="26505" fillId="8" borderId="1" xfId="0" applyNumberFormat="1" applyFont="1" applyFill="1" applyBorder="1" applyAlignment="1">
      <alignment horizontal="center" vertical="center"/>
    </xf>
    <xf numFmtId="2" fontId="26506" fillId="8" borderId="1" xfId="0" applyNumberFormat="1" applyFont="1" applyFill="1" applyBorder="1" applyAlignment="1">
      <alignment horizontal="center" vertical="center"/>
    </xf>
    <xf numFmtId="2" fontId="26507" fillId="8" borderId="1" xfId="0" applyNumberFormat="1" applyFont="1" applyFill="1" applyBorder="1" applyAlignment="1">
      <alignment horizontal="center" vertical="center"/>
    </xf>
    <xf numFmtId="2" fontId="26508" fillId="8" borderId="1" xfId="0" applyNumberFormat="1" applyFont="1" applyFill="1" applyBorder="1" applyAlignment="1">
      <alignment horizontal="center" vertical="center"/>
    </xf>
    <xf numFmtId="2" fontId="26509" fillId="8" borderId="1" xfId="0" applyNumberFormat="1" applyFont="1" applyFill="1" applyBorder="1" applyAlignment="1">
      <alignment horizontal="center" vertical="center"/>
    </xf>
    <xf numFmtId="2" fontId="26510" fillId="8" borderId="1" xfId="0" applyNumberFormat="1" applyFont="1" applyFill="1" applyBorder="1" applyAlignment="1">
      <alignment horizontal="center" vertical="center"/>
    </xf>
    <xf numFmtId="2" fontId="26511" fillId="8" borderId="1" xfId="0" applyNumberFormat="1" applyFont="1" applyFill="1" applyBorder="1" applyAlignment="1">
      <alignment horizontal="center" vertical="center"/>
    </xf>
    <xf numFmtId="2" fontId="26512" fillId="8" borderId="1" xfId="0" applyNumberFormat="1" applyFont="1" applyFill="1" applyBorder="1" applyAlignment="1">
      <alignment horizontal="center" vertical="center"/>
    </xf>
    <xf numFmtId="2" fontId="26513" fillId="8" borderId="1" xfId="0" applyNumberFormat="1" applyFont="1" applyFill="1" applyBorder="1" applyAlignment="1">
      <alignment horizontal="center" vertical="center"/>
    </xf>
    <xf numFmtId="2" fontId="26514" fillId="8" borderId="1" xfId="0" applyNumberFormat="1" applyFont="1" applyFill="1" applyBorder="1" applyAlignment="1">
      <alignment horizontal="center" vertical="center"/>
    </xf>
    <xf numFmtId="2" fontId="26515" fillId="8" borderId="1" xfId="0" applyNumberFormat="1" applyFont="1" applyFill="1" applyBorder="1" applyAlignment="1">
      <alignment horizontal="center" vertical="center"/>
    </xf>
    <xf numFmtId="2" fontId="26516" fillId="8" borderId="1" xfId="0" applyNumberFormat="1" applyFont="1" applyFill="1" applyBorder="1" applyAlignment="1">
      <alignment horizontal="center" vertical="center"/>
    </xf>
    <xf numFmtId="2" fontId="26517" fillId="8" borderId="1" xfId="0" applyNumberFormat="1" applyFont="1" applyFill="1" applyBorder="1" applyAlignment="1">
      <alignment horizontal="center" vertical="center"/>
    </xf>
    <xf numFmtId="2" fontId="26518" fillId="8" borderId="1" xfId="0" applyNumberFormat="1" applyFont="1" applyFill="1" applyBorder="1" applyAlignment="1">
      <alignment horizontal="center" vertical="center"/>
    </xf>
    <xf numFmtId="2" fontId="26519" fillId="8" borderId="1" xfId="0" applyNumberFormat="1" applyFont="1" applyFill="1" applyBorder="1" applyAlignment="1">
      <alignment horizontal="center" vertical="center"/>
    </xf>
    <xf numFmtId="2" fontId="26520" fillId="8" borderId="1" xfId="0" applyNumberFormat="1" applyFont="1" applyFill="1" applyBorder="1" applyAlignment="1">
      <alignment horizontal="center" vertical="center"/>
    </xf>
    <xf numFmtId="0" fontId="26521" fillId="7" borderId="1" xfId="0" applyNumberFormat="1" applyFont="1" applyFill="1" applyBorder="1" applyAlignment="1">
      <alignment horizontal="left" vertical="center"/>
    </xf>
    <xf numFmtId="0" fontId="26522" fillId="8" borderId="1" xfId="0" applyNumberFormat="1" applyFont="1" applyFill="1" applyBorder="1" applyAlignment="1">
      <alignment horizontal="center" vertical="center"/>
    </xf>
    <xf numFmtId="0" fontId="26523" fillId="7" borderId="1" xfId="0" applyNumberFormat="1" applyFont="1" applyFill="1" applyBorder="1" applyAlignment="1">
      <alignment horizontal="left" vertical="center"/>
    </xf>
    <xf numFmtId="0" fontId="26524" fillId="8" borderId="1" xfId="0" applyNumberFormat="1" applyFont="1" applyFill="1" applyBorder="1" applyAlignment="1">
      <alignment horizontal="center" vertical="center"/>
    </xf>
    <xf numFmtId="164" fontId="26525" fillId="8" borderId="1" xfId="0" applyNumberFormat="1" applyFont="1" applyFill="1" applyBorder="1" applyAlignment="1">
      <alignment horizontal="center" vertical="center"/>
    </xf>
    <xf numFmtId="1" fontId="26526" fillId="8" borderId="1" xfId="0" applyNumberFormat="1" applyFont="1" applyFill="1" applyBorder="1" applyAlignment="1">
      <alignment horizontal="center" vertical="center"/>
    </xf>
    <xf numFmtId="1" fontId="26527" fillId="8" borderId="1" xfId="0" applyNumberFormat="1" applyFont="1" applyFill="1" applyBorder="1" applyAlignment="1">
      <alignment horizontal="center" vertical="center"/>
    </xf>
    <xf numFmtId="1" fontId="26528" fillId="8" borderId="1" xfId="0" applyNumberFormat="1" applyFont="1" applyFill="1" applyBorder="1" applyAlignment="1">
      <alignment horizontal="center" vertical="center"/>
    </xf>
    <xf numFmtId="1" fontId="26529" fillId="8" borderId="1" xfId="0" applyNumberFormat="1" applyFont="1" applyFill="1" applyBorder="1" applyAlignment="1">
      <alignment horizontal="center" vertical="center"/>
    </xf>
    <xf numFmtId="1" fontId="26530" fillId="8" borderId="1" xfId="0" applyNumberFormat="1" applyFont="1" applyFill="1" applyBorder="1" applyAlignment="1">
      <alignment horizontal="center" vertical="center"/>
    </xf>
    <xf numFmtId="1" fontId="26531" fillId="8" borderId="1" xfId="0" applyNumberFormat="1" applyFont="1" applyFill="1" applyBorder="1" applyAlignment="1">
      <alignment horizontal="center" vertical="center"/>
    </xf>
    <xf numFmtId="1" fontId="26532" fillId="8" borderId="1" xfId="0" applyNumberFormat="1" applyFont="1" applyFill="1" applyBorder="1" applyAlignment="1">
      <alignment horizontal="center" vertical="center"/>
    </xf>
    <xf numFmtId="0" fontId="26533" fillId="8" borderId="1" xfId="0" applyNumberFormat="1" applyFont="1" applyFill="1" applyBorder="1" applyAlignment="1">
      <alignment horizontal="center" vertical="center"/>
    </xf>
    <xf numFmtId="0" fontId="26534" fillId="8" borderId="1" xfId="0" applyNumberFormat="1" applyFont="1" applyFill="1" applyBorder="1" applyAlignment="1">
      <alignment horizontal="center" vertical="center"/>
    </xf>
    <xf numFmtId="1" fontId="26535" fillId="8" borderId="1" xfId="0" applyNumberFormat="1" applyFont="1" applyFill="1" applyBorder="1" applyAlignment="1">
      <alignment horizontal="center" vertical="center"/>
    </xf>
    <xf numFmtId="1" fontId="26536" fillId="8" borderId="1" xfId="0" applyNumberFormat="1" applyFont="1" applyFill="1" applyBorder="1" applyAlignment="1">
      <alignment horizontal="center" vertical="center"/>
    </xf>
    <xf numFmtId="1" fontId="26537" fillId="8" borderId="1" xfId="0" applyNumberFormat="1" applyFont="1" applyFill="1" applyBorder="1" applyAlignment="1">
      <alignment horizontal="center" vertical="center"/>
    </xf>
    <xf numFmtId="165" fontId="26538" fillId="8" borderId="1" xfId="0" applyNumberFormat="1" applyFont="1" applyFill="1" applyBorder="1" applyAlignment="1">
      <alignment horizontal="center" vertical="center"/>
    </xf>
    <xf numFmtId="1" fontId="26539" fillId="8" borderId="1" xfId="0" applyNumberFormat="1" applyFont="1" applyFill="1" applyBorder="1" applyAlignment="1">
      <alignment horizontal="center" vertical="center"/>
    </xf>
    <xf numFmtId="165" fontId="26540" fillId="8" borderId="1" xfId="0" applyNumberFormat="1" applyFont="1" applyFill="1" applyBorder="1" applyAlignment="1">
      <alignment horizontal="center" vertical="center"/>
    </xf>
    <xf numFmtId="1" fontId="26541" fillId="8" borderId="1" xfId="0" applyNumberFormat="1" applyFont="1" applyFill="1" applyBorder="1" applyAlignment="1">
      <alignment horizontal="center" vertical="center"/>
    </xf>
    <xf numFmtId="165" fontId="26542" fillId="8" borderId="1" xfId="0" applyNumberFormat="1" applyFont="1" applyFill="1" applyBorder="1" applyAlignment="1">
      <alignment horizontal="center" vertical="center"/>
    </xf>
    <xf numFmtId="1" fontId="26543" fillId="8" borderId="1" xfId="0" applyNumberFormat="1" applyFont="1" applyFill="1" applyBorder="1" applyAlignment="1">
      <alignment horizontal="center" vertical="center"/>
    </xf>
    <xf numFmtId="165" fontId="26544" fillId="8" borderId="1" xfId="0" applyNumberFormat="1" applyFont="1" applyFill="1" applyBorder="1" applyAlignment="1">
      <alignment horizontal="center" vertical="center"/>
    </xf>
    <xf numFmtId="165" fontId="26545" fillId="8" borderId="1" xfId="0" applyNumberFormat="1" applyFont="1" applyFill="1" applyBorder="1" applyAlignment="1">
      <alignment horizontal="center" vertical="center"/>
    </xf>
    <xf numFmtId="1" fontId="26546" fillId="8" borderId="1" xfId="0" applyNumberFormat="1" applyFont="1" applyFill="1" applyBorder="1" applyAlignment="1">
      <alignment horizontal="center" vertical="center"/>
    </xf>
    <xf numFmtId="1" fontId="26547" fillId="8" borderId="1" xfId="0" applyNumberFormat="1" applyFont="1" applyFill="1" applyBorder="1" applyAlignment="1">
      <alignment horizontal="center" vertical="center"/>
    </xf>
    <xf numFmtId="1" fontId="26548" fillId="8" borderId="1" xfId="0" applyNumberFormat="1" applyFont="1" applyFill="1" applyBorder="1" applyAlignment="1">
      <alignment horizontal="center" vertical="center"/>
    </xf>
    <xf numFmtId="165" fontId="26549" fillId="8" borderId="1" xfId="0" applyNumberFormat="1" applyFont="1" applyFill="1" applyBorder="1" applyAlignment="1">
      <alignment horizontal="center" vertical="center"/>
    </xf>
    <xf numFmtId="164" fontId="26550" fillId="8" borderId="1" xfId="0" applyNumberFormat="1" applyFont="1" applyFill="1" applyBorder="1" applyAlignment="1">
      <alignment horizontal="center" vertical="center"/>
    </xf>
    <xf numFmtId="164" fontId="26551" fillId="8" borderId="1" xfId="0" applyNumberFormat="1" applyFont="1" applyFill="1" applyBorder="1" applyAlignment="1">
      <alignment horizontal="center" vertical="center"/>
    </xf>
    <xf numFmtId="1" fontId="26552" fillId="8" borderId="1" xfId="0" applyNumberFormat="1" applyFont="1" applyFill="1" applyBorder="1" applyAlignment="1">
      <alignment horizontal="center" vertical="center"/>
    </xf>
    <xf numFmtId="1" fontId="26553" fillId="8" borderId="1" xfId="0" applyNumberFormat="1" applyFont="1" applyFill="1" applyBorder="1" applyAlignment="1">
      <alignment horizontal="center" vertical="center"/>
    </xf>
    <xf numFmtId="1" fontId="26554" fillId="8" borderId="1" xfId="0" applyNumberFormat="1" applyFont="1" applyFill="1" applyBorder="1" applyAlignment="1">
      <alignment horizontal="center" vertical="center"/>
    </xf>
    <xf numFmtId="165" fontId="26555" fillId="8" borderId="1" xfId="0" applyNumberFormat="1" applyFont="1" applyFill="1" applyBorder="1" applyAlignment="1">
      <alignment horizontal="center" vertical="center"/>
    </xf>
    <xf numFmtId="1" fontId="26556" fillId="8" borderId="1" xfId="0" applyNumberFormat="1" applyFont="1" applyFill="1" applyBorder="1" applyAlignment="1">
      <alignment horizontal="center" vertical="center"/>
    </xf>
    <xf numFmtId="165" fontId="26557" fillId="8" borderId="1" xfId="0" applyNumberFormat="1" applyFont="1" applyFill="1" applyBorder="1" applyAlignment="1">
      <alignment horizontal="center" vertical="center"/>
    </xf>
    <xf numFmtId="1" fontId="26558" fillId="8" borderId="1" xfId="0" applyNumberFormat="1" applyFont="1" applyFill="1" applyBorder="1" applyAlignment="1">
      <alignment horizontal="center" vertical="center"/>
    </xf>
    <xf numFmtId="1" fontId="26559" fillId="8" borderId="1" xfId="0" applyNumberFormat="1" applyFont="1" applyFill="1" applyBorder="1" applyAlignment="1">
      <alignment horizontal="center" vertical="center"/>
    </xf>
    <xf numFmtId="1" fontId="26560" fillId="8" borderId="1" xfId="0" applyNumberFormat="1" applyFont="1" applyFill="1" applyBorder="1" applyAlignment="1">
      <alignment horizontal="center" vertical="center"/>
    </xf>
    <xf numFmtId="1" fontId="26561" fillId="8" borderId="1" xfId="0" applyNumberFormat="1" applyFont="1" applyFill="1" applyBorder="1" applyAlignment="1">
      <alignment horizontal="center" vertical="center"/>
    </xf>
    <xf numFmtId="165" fontId="26562" fillId="8" borderId="1" xfId="0" applyNumberFormat="1" applyFont="1" applyFill="1" applyBorder="1" applyAlignment="1">
      <alignment horizontal="center" vertical="center"/>
    </xf>
    <xf numFmtId="1" fontId="26563" fillId="8" borderId="1" xfId="0" applyNumberFormat="1" applyFont="1" applyFill="1" applyBorder="1" applyAlignment="1">
      <alignment horizontal="center" vertical="center"/>
    </xf>
    <xf numFmtId="165" fontId="26564" fillId="8" borderId="1" xfId="0" applyNumberFormat="1" applyFont="1" applyFill="1" applyBorder="1" applyAlignment="1">
      <alignment horizontal="center" vertical="center"/>
    </xf>
    <xf numFmtId="1" fontId="26565" fillId="8" borderId="1" xfId="0" applyNumberFormat="1" applyFont="1" applyFill="1" applyBorder="1" applyAlignment="1">
      <alignment horizontal="center" vertical="center"/>
    </xf>
    <xf numFmtId="165" fontId="26566" fillId="8" borderId="1" xfId="0" applyNumberFormat="1" applyFont="1" applyFill="1" applyBorder="1" applyAlignment="1">
      <alignment horizontal="center" vertical="center"/>
    </xf>
    <xf numFmtId="2" fontId="26567" fillId="8" borderId="1" xfId="0" applyNumberFormat="1" applyFont="1" applyFill="1" applyBorder="1" applyAlignment="1">
      <alignment horizontal="center" vertical="center"/>
    </xf>
    <xf numFmtId="2" fontId="26568" fillId="8" borderId="1" xfId="0" applyNumberFormat="1" applyFont="1" applyFill="1" applyBorder="1" applyAlignment="1">
      <alignment horizontal="center" vertical="center"/>
    </xf>
    <xf numFmtId="2" fontId="26569" fillId="8" borderId="1" xfId="0" applyNumberFormat="1" applyFont="1" applyFill="1" applyBorder="1" applyAlignment="1">
      <alignment horizontal="center" vertical="center"/>
    </xf>
    <xf numFmtId="2" fontId="26570" fillId="8" borderId="1" xfId="0" applyNumberFormat="1" applyFont="1" applyFill="1" applyBorder="1" applyAlignment="1">
      <alignment horizontal="center" vertical="center"/>
    </xf>
    <xf numFmtId="2" fontId="26571" fillId="8" borderId="1" xfId="0" applyNumberFormat="1" applyFont="1" applyFill="1" applyBorder="1" applyAlignment="1">
      <alignment horizontal="center" vertical="center"/>
    </xf>
    <xf numFmtId="2" fontId="26572" fillId="8" borderId="1" xfId="0" applyNumberFormat="1" applyFont="1" applyFill="1" applyBorder="1" applyAlignment="1">
      <alignment horizontal="center" vertical="center"/>
    </xf>
    <xf numFmtId="2" fontId="26573" fillId="8" borderId="1" xfId="0" applyNumberFormat="1" applyFont="1" applyFill="1" applyBorder="1" applyAlignment="1">
      <alignment horizontal="center" vertical="center"/>
    </xf>
    <xf numFmtId="2" fontId="26574" fillId="8" borderId="1" xfId="0" applyNumberFormat="1" applyFont="1" applyFill="1" applyBorder="1" applyAlignment="1">
      <alignment horizontal="center" vertical="center"/>
    </xf>
    <xf numFmtId="2" fontId="26575" fillId="8" borderId="1" xfId="0" applyNumberFormat="1" applyFont="1" applyFill="1" applyBorder="1" applyAlignment="1">
      <alignment horizontal="center" vertical="center"/>
    </xf>
    <xf numFmtId="2" fontId="26576" fillId="8" borderId="1" xfId="0" applyNumberFormat="1" applyFont="1" applyFill="1" applyBorder="1" applyAlignment="1">
      <alignment horizontal="center" vertical="center"/>
    </xf>
    <xf numFmtId="2" fontId="26577" fillId="8" borderId="1" xfId="0" applyNumberFormat="1" applyFont="1" applyFill="1" applyBorder="1" applyAlignment="1">
      <alignment horizontal="center" vertical="center"/>
    </xf>
    <xf numFmtId="2" fontId="26578" fillId="8" borderId="1" xfId="0" applyNumberFormat="1" applyFont="1" applyFill="1" applyBorder="1" applyAlignment="1">
      <alignment horizontal="center" vertical="center"/>
    </xf>
    <xf numFmtId="2" fontId="26579" fillId="8" borderId="1" xfId="0" applyNumberFormat="1" applyFont="1" applyFill="1" applyBorder="1" applyAlignment="1">
      <alignment horizontal="center" vertical="center"/>
    </xf>
    <xf numFmtId="2" fontId="26580" fillId="8" borderId="1" xfId="0" applyNumberFormat="1" applyFont="1" applyFill="1" applyBorder="1" applyAlignment="1">
      <alignment horizontal="center" vertical="center"/>
    </xf>
    <xf numFmtId="2" fontId="26581" fillId="8" borderId="1" xfId="0" applyNumberFormat="1" applyFont="1" applyFill="1" applyBorder="1" applyAlignment="1">
      <alignment horizontal="center" vertical="center"/>
    </xf>
    <xf numFmtId="2" fontId="26582" fillId="8" borderId="1" xfId="0" applyNumberFormat="1" applyFont="1" applyFill="1" applyBorder="1" applyAlignment="1">
      <alignment horizontal="center" vertical="center"/>
    </xf>
    <xf numFmtId="2" fontId="26583" fillId="8" borderId="1" xfId="0" applyNumberFormat="1" applyFont="1" applyFill="1" applyBorder="1" applyAlignment="1">
      <alignment horizontal="center" vertical="center"/>
    </xf>
    <xf numFmtId="2" fontId="26584" fillId="8" borderId="1" xfId="0" applyNumberFormat="1" applyFont="1" applyFill="1" applyBorder="1" applyAlignment="1">
      <alignment horizontal="center" vertical="center"/>
    </xf>
    <xf numFmtId="2" fontId="26585" fillId="8" borderId="1" xfId="0" applyNumberFormat="1" applyFont="1" applyFill="1" applyBorder="1" applyAlignment="1">
      <alignment horizontal="center" vertical="center"/>
    </xf>
    <xf numFmtId="2" fontId="26586" fillId="8" borderId="1" xfId="0" applyNumberFormat="1" applyFont="1" applyFill="1" applyBorder="1" applyAlignment="1">
      <alignment horizontal="center" vertical="center"/>
    </xf>
    <xf numFmtId="2" fontId="26587" fillId="8" borderId="1" xfId="0" applyNumberFormat="1" applyFont="1" applyFill="1" applyBorder="1" applyAlignment="1">
      <alignment horizontal="center" vertical="center"/>
    </xf>
    <xf numFmtId="2" fontId="26588" fillId="8" borderId="1" xfId="0" applyNumberFormat="1" applyFont="1" applyFill="1" applyBorder="1" applyAlignment="1">
      <alignment horizontal="center" vertical="center"/>
    </xf>
    <xf numFmtId="2" fontId="26589" fillId="8" borderId="1" xfId="0" applyNumberFormat="1" applyFont="1" applyFill="1" applyBorder="1" applyAlignment="1">
      <alignment horizontal="center" vertical="center"/>
    </xf>
    <xf numFmtId="2" fontId="26590" fillId="8" borderId="1" xfId="0" applyNumberFormat="1" applyFont="1" applyFill="1" applyBorder="1" applyAlignment="1">
      <alignment horizontal="center" vertical="center"/>
    </xf>
    <xf numFmtId="2" fontId="26591" fillId="8" borderId="1" xfId="0" applyNumberFormat="1" applyFont="1" applyFill="1" applyBorder="1" applyAlignment="1">
      <alignment horizontal="center" vertical="center"/>
    </xf>
    <xf numFmtId="2" fontId="26592" fillId="8" borderId="1" xfId="0" applyNumberFormat="1" applyFont="1" applyFill="1" applyBorder="1" applyAlignment="1">
      <alignment horizontal="center" vertical="center"/>
    </xf>
    <xf numFmtId="2" fontId="26593" fillId="8" borderId="1" xfId="0" applyNumberFormat="1" applyFont="1" applyFill="1" applyBorder="1" applyAlignment="1">
      <alignment horizontal="center" vertical="center"/>
    </xf>
    <xf numFmtId="2" fontId="26594" fillId="8" borderId="1" xfId="0" applyNumberFormat="1" applyFont="1" applyFill="1" applyBorder="1" applyAlignment="1">
      <alignment horizontal="center" vertical="center"/>
    </xf>
    <xf numFmtId="2" fontId="26595" fillId="8" borderId="1" xfId="0" applyNumberFormat="1" applyFont="1" applyFill="1" applyBorder="1" applyAlignment="1">
      <alignment horizontal="center" vertical="center"/>
    </xf>
    <xf numFmtId="2" fontId="26596" fillId="8" borderId="1" xfId="0" applyNumberFormat="1" applyFont="1" applyFill="1" applyBorder="1" applyAlignment="1">
      <alignment horizontal="center" vertical="center"/>
    </xf>
    <xf numFmtId="2" fontId="26597" fillId="8" borderId="1" xfId="0" applyNumberFormat="1" applyFont="1" applyFill="1" applyBorder="1" applyAlignment="1">
      <alignment horizontal="center" vertical="center"/>
    </xf>
    <xf numFmtId="2" fontId="26598" fillId="8" borderId="1" xfId="0" applyNumberFormat="1" applyFont="1" applyFill="1" applyBorder="1" applyAlignment="1">
      <alignment horizontal="center" vertical="center"/>
    </xf>
    <xf numFmtId="2" fontId="26599" fillId="8" borderId="1" xfId="0" applyNumberFormat="1" applyFont="1" applyFill="1" applyBorder="1" applyAlignment="1">
      <alignment horizontal="center" vertical="center"/>
    </xf>
    <xf numFmtId="2" fontId="26600" fillId="8" borderId="1" xfId="0" applyNumberFormat="1" applyFont="1" applyFill="1" applyBorder="1" applyAlignment="1">
      <alignment horizontal="center" vertical="center"/>
    </xf>
    <xf numFmtId="0" fontId="26601" fillId="7" borderId="1" xfId="0" applyNumberFormat="1" applyFont="1" applyFill="1" applyBorder="1" applyAlignment="1">
      <alignment horizontal="left" vertical="center"/>
    </xf>
    <xf numFmtId="0" fontId="26602" fillId="8" borderId="1" xfId="0" applyNumberFormat="1" applyFont="1" applyFill="1" applyBorder="1" applyAlignment="1">
      <alignment horizontal="center" vertical="center"/>
    </xf>
    <xf numFmtId="164" fontId="26603" fillId="8" borderId="1" xfId="0" applyNumberFormat="1" applyFont="1" applyFill="1" applyBorder="1" applyAlignment="1">
      <alignment horizontal="center" vertical="center"/>
    </xf>
    <xf numFmtId="1" fontId="26604" fillId="8" borderId="1" xfId="0" applyNumberFormat="1" applyFont="1" applyFill="1" applyBorder="1" applyAlignment="1">
      <alignment horizontal="center" vertical="center"/>
    </xf>
    <xf numFmtId="1" fontId="26605" fillId="8" borderId="1" xfId="0" applyNumberFormat="1" applyFont="1" applyFill="1" applyBorder="1" applyAlignment="1">
      <alignment horizontal="center" vertical="center"/>
    </xf>
    <xf numFmtId="1" fontId="26606" fillId="8" borderId="1" xfId="0" applyNumberFormat="1" applyFont="1" applyFill="1" applyBorder="1" applyAlignment="1">
      <alignment horizontal="center" vertical="center"/>
    </xf>
    <xf numFmtId="1" fontId="26607" fillId="8" borderId="1" xfId="0" applyNumberFormat="1" applyFont="1" applyFill="1" applyBorder="1" applyAlignment="1">
      <alignment horizontal="center" vertical="center"/>
    </xf>
    <xf numFmtId="1" fontId="26608" fillId="8" borderId="1" xfId="0" applyNumberFormat="1" applyFont="1" applyFill="1" applyBorder="1" applyAlignment="1">
      <alignment horizontal="center" vertical="center"/>
    </xf>
    <xf numFmtId="1" fontId="26609" fillId="8" borderId="1" xfId="0" applyNumberFormat="1" applyFont="1" applyFill="1" applyBorder="1" applyAlignment="1">
      <alignment horizontal="center" vertical="center"/>
    </xf>
    <xf numFmtId="1" fontId="26610" fillId="8" borderId="1" xfId="0" applyNumberFormat="1" applyFont="1" applyFill="1" applyBorder="1" applyAlignment="1">
      <alignment horizontal="center" vertical="center"/>
    </xf>
    <xf numFmtId="0" fontId="26611" fillId="8" borderId="1" xfId="0" applyNumberFormat="1" applyFont="1" applyFill="1" applyBorder="1" applyAlignment="1">
      <alignment horizontal="center" vertical="center"/>
    </xf>
    <xf numFmtId="0" fontId="26612" fillId="8" borderId="1" xfId="0" applyNumberFormat="1" applyFont="1" applyFill="1" applyBorder="1" applyAlignment="1">
      <alignment horizontal="center" vertical="center"/>
    </xf>
    <xf numFmtId="1" fontId="26613" fillId="8" borderId="1" xfId="0" applyNumberFormat="1" applyFont="1" applyFill="1" applyBorder="1" applyAlignment="1">
      <alignment horizontal="center" vertical="center"/>
    </xf>
    <xf numFmtId="1" fontId="26614" fillId="8" borderId="1" xfId="0" applyNumberFormat="1" applyFont="1" applyFill="1" applyBorder="1" applyAlignment="1">
      <alignment horizontal="center" vertical="center"/>
    </xf>
    <xf numFmtId="1" fontId="26615" fillId="8" borderId="1" xfId="0" applyNumberFormat="1" applyFont="1" applyFill="1" applyBorder="1" applyAlignment="1">
      <alignment horizontal="center" vertical="center"/>
    </xf>
    <xf numFmtId="165" fontId="26616" fillId="8" borderId="1" xfId="0" applyNumberFormat="1" applyFont="1" applyFill="1" applyBorder="1" applyAlignment="1">
      <alignment horizontal="center" vertical="center"/>
    </xf>
    <xf numFmtId="1" fontId="26617" fillId="8" borderId="1" xfId="0" applyNumberFormat="1" applyFont="1" applyFill="1" applyBorder="1" applyAlignment="1">
      <alignment horizontal="center" vertical="center"/>
    </xf>
    <xf numFmtId="165" fontId="26618" fillId="8" borderId="1" xfId="0" applyNumberFormat="1" applyFont="1" applyFill="1" applyBorder="1" applyAlignment="1">
      <alignment horizontal="center" vertical="center"/>
    </xf>
    <xf numFmtId="1" fontId="26619" fillId="8" borderId="1" xfId="0" applyNumberFormat="1" applyFont="1" applyFill="1" applyBorder="1" applyAlignment="1">
      <alignment horizontal="center" vertical="center"/>
    </xf>
    <xf numFmtId="165" fontId="26620" fillId="8" borderId="1" xfId="0" applyNumberFormat="1" applyFont="1" applyFill="1" applyBorder="1" applyAlignment="1">
      <alignment horizontal="center" vertical="center"/>
    </xf>
    <xf numFmtId="1" fontId="26621" fillId="8" borderId="1" xfId="0" applyNumberFormat="1" applyFont="1" applyFill="1" applyBorder="1" applyAlignment="1">
      <alignment horizontal="center" vertical="center"/>
    </xf>
    <xf numFmtId="165" fontId="26622" fillId="8" borderId="1" xfId="0" applyNumberFormat="1" applyFont="1" applyFill="1" applyBorder="1" applyAlignment="1">
      <alignment horizontal="center" vertical="center"/>
    </xf>
    <xf numFmtId="165" fontId="26623" fillId="8" borderId="1" xfId="0" applyNumberFormat="1" applyFont="1" applyFill="1" applyBorder="1" applyAlignment="1">
      <alignment horizontal="center" vertical="center"/>
    </xf>
    <xf numFmtId="1" fontId="26624" fillId="8" borderId="1" xfId="0" applyNumberFormat="1" applyFont="1" applyFill="1" applyBorder="1" applyAlignment="1">
      <alignment horizontal="center" vertical="center"/>
    </xf>
    <xf numFmtId="1" fontId="26625" fillId="8" borderId="1" xfId="0" applyNumberFormat="1" applyFont="1" applyFill="1" applyBorder="1" applyAlignment="1">
      <alignment horizontal="center" vertical="center"/>
    </xf>
    <xf numFmtId="1" fontId="26626" fillId="8" borderId="1" xfId="0" applyNumberFormat="1" applyFont="1" applyFill="1" applyBorder="1" applyAlignment="1">
      <alignment horizontal="center" vertical="center"/>
    </xf>
    <xf numFmtId="165" fontId="26627" fillId="8" borderId="1" xfId="0" applyNumberFormat="1" applyFont="1" applyFill="1" applyBorder="1" applyAlignment="1">
      <alignment horizontal="center" vertical="center"/>
    </xf>
    <xf numFmtId="164" fontId="26628" fillId="8" borderId="1" xfId="0" applyNumberFormat="1" applyFont="1" applyFill="1" applyBorder="1" applyAlignment="1">
      <alignment horizontal="center" vertical="center"/>
    </xf>
    <xf numFmtId="164" fontId="26629" fillId="8" borderId="1" xfId="0" applyNumberFormat="1" applyFont="1" applyFill="1" applyBorder="1" applyAlignment="1">
      <alignment horizontal="center" vertical="center"/>
    </xf>
    <xf numFmtId="1" fontId="26630" fillId="8" borderId="1" xfId="0" applyNumberFormat="1" applyFont="1" applyFill="1" applyBorder="1" applyAlignment="1">
      <alignment horizontal="center" vertical="center"/>
    </xf>
    <xf numFmtId="1" fontId="26631" fillId="8" borderId="1" xfId="0" applyNumberFormat="1" applyFont="1" applyFill="1" applyBorder="1" applyAlignment="1">
      <alignment horizontal="center" vertical="center"/>
    </xf>
    <xf numFmtId="1" fontId="26632" fillId="8" borderId="1" xfId="0" applyNumberFormat="1" applyFont="1" applyFill="1" applyBorder="1" applyAlignment="1">
      <alignment horizontal="center" vertical="center"/>
    </xf>
    <xf numFmtId="165" fontId="26633" fillId="8" borderId="1" xfId="0" applyNumberFormat="1" applyFont="1" applyFill="1" applyBorder="1" applyAlignment="1">
      <alignment horizontal="center" vertical="center"/>
    </xf>
    <xf numFmtId="1" fontId="26634" fillId="8" borderId="1" xfId="0" applyNumberFormat="1" applyFont="1" applyFill="1" applyBorder="1" applyAlignment="1">
      <alignment horizontal="center" vertical="center"/>
    </xf>
    <xf numFmtId="165" fontId="26635" fillId="8" borderId="1" xfId="0" applyNumberFormat="1" applyFont="1" applyFill="1" applyBorder="1" applyAlignment="1">
      <alignment horizontal="center" vertical="center"/>
    </xf>
    <xf numFmtId="1" fontId="26636" fillId="8" borderId="1" xfId="0" applyNumberFormat="1" applyFont="1" applyFill="1" applyBorder="1" applyAlignment="1">
      <alignment horizontal="center" vertical="center"/>
    </xf>
    <xf numFmtId="1" fontId="26637" fillId="8" borderId="1" xfId="0" applyNumberFormat="1" applyFont="1" applyFill="1" applyBorder="1" applyAlignment="1">
      <alignment horizontal="center" vertical="center"/>
    </xf>
    <xf numFmtId="1" fontId="26638" fillId="8" borderId="1" xfId="0" applyNumberFormat="1" applyFont="1" applyFill="1" applyBorder="1" applyAlignment="1">
      <alignment horizontal="center" vertical="center"/>
    </xf>
    <xf numFmtId="1" fontId="26639" fillId="8" borderId="1" xfId="0" applyNumberFormat="1" applyFont="1" applyFill="1" applyBorder="1" applyAlignment="1">
      <alignment horizontal="center" vertical="center"/>
    </xf>
    <xf numFmtId="165" fontId="26640" fillId="8" borderId="1" xfId="0" applyNumberFormat="1" applyFont="1" applyFill="1" applyBorder="1" applyAlignment="1">
      <alignment horizontal="center" vertical="center"/>
    </xf>
    <xf numFmtId="1" fontId="26641" fillId="8" borderId="1" xfId="0" applyNumberFormat="1" applyFont="1" applyFill="1" applyBorder="1" applyAlignment="1">
      <alignment horizontal="center" vertical="center"/>
    </xf>
    <xf numFmtId="165" fontId="26642" fillId="8" borderId="1" xfId="0" applyNumberFormat="1" applyFont="1" applyFill="1" applyBorder="1" applyAlignment="1">
      <alignment horizontal="center" vertical="center"/>
    </xf>
    <xf numFmtId="1" fontId="26643" fillId="8" borderId="1" xfId="0" applyNumberFormat="1" applyFont="1" applyFill="1" applyBorder="1" applyAlignment="1">
      <alignment horizontal="center" vertical="center"/>
    </xf>
    <xf numFmtId="165" fontId="26644" fillId="8" borderId="1" xfId="0" applyNumberFormat="1" applyFont="1" applyFill="1" applyBorder="1" applyAlignment="1">
      <alignment horizontal="center" vertical="center"/>
    </xf>
    <xf numFmtId="2" fontId="26645" fillId="8" borderId="1" xfId="0" applyNumberFormat="1" applyFont="1" applyFill="1" applyBorder="1" applyAlignment="1">
      <alignment horizontal="center" vertical="center"/>
    </xf>
    <xf numFmtId="2" fontId="26646" fillId="8" borderId="1" xfId="0" applyNumberFormat="1" applyFont="1" applyFill="1" applyBorder="1" applyAlignment="1">
      <alignment horizontal="center" vertical="center"/>
    </xf>
    <xf numFmtId="2" fontId="26647" fillId="8" borderId="1" xfId="0" applyNumberFormat="1" applyFont="1" applyFill="1" applyBorder="1" applyAlignment="1">
      <alignment horizontal="center" vertical="center"/>
    </xf>
    <xf numFmtId="2" fontId="26648" fillId="8" borderId="1" xfId="0" applyNumberFormat="1" applyFont="1" applyFill="1" applyBorder="1" applyAlignment="1">
      <alignment horizontal="center" vertical="center"/>
    </xf>
    <xf numFmtId="2" fontId="26649" fillId="8" borderId="1" xfId="0" applyNumberFormat="1" applyFont="1" applyFill="1" applyBorder="1" applyAlignment="1">
      <alignment horizontal="center" vertical="center"/>
    </xf>
    <xf numFmtId="2" fontId="26650" fillId="8" borderId="1" xfId="0" applyNumberFormat="1" applyFont="1" applyFill="1" applyBorder="1" applyAlignment="1">
      <alignment horizontal="center" vertical="center"/>
    </xf>
    <xf numFmtId="2" fontId="26651" fillId="8" borderId="1" xfId="0" applyNumberFormat="1" applyFont="1" applyFill="1" applyBorder="1" applyAlignment="1">
      <alignment horizontal="center" vertical="center"/>
    </xf>
    <xf numFmtId="2" fontId="26652" fillId="8" borderId="1" xfId="0" applyNumberFormat="1" applyFont="1" applyFill="1" applyBorder="1" applyAlignment="1">
      <alignment horizontal="center" vertical="center"/>
    </xf>
    <xf numFmtId="2" fontId="26653" fillId="8" borderId="1" xfId="0" applyNumberFormat="1" applyFont="1" applyFill="1" applyBorder="1" applyAlignment="1">
      <alignment horizontal="center" vertical="center"/>
    </xf>
    <xf numFmtId="2" fontId="26654" fillId="8" borderId="1" xfId="0" applyNumberFormat="1" applyFont="1" applyFill="1" applyBorder="1" applyAlignment="1">
      <alignment horizontal="center" vertical="center"/>
    </xf>
    <xf numFmtId="2" fontId="26655" fillId="8" borderId="1" xfId="0" applyNumberFormat="1" applyFont="1" applyFill="1" applyBorder="1" applyAlignment="1">
      <alignment horizontal="center" vertical="center"/>
    </xf>
    <xf numFmtId="2" fontId="26656" fillId="8" borderId="1" xfId="0" applyNumberFormat="1" applyFont="1" applyFill="1" applyBorder="1" applyAlignment="1">
      <alignment horizontal="center" vertical="center"/>
    </xf>
    <xf numFmtId="2" fontId="26657" fillId="8" borderId="1" xfId="0" applyNumberFormat="1" applyFont="1" applyFill="1" applyBorder="1" applyAlignment="1">
      <alignment horizontal="center" vertical="center"/>
    </xf>
    <xf numFmtId="2" fontId="26658" fillId="8" borderId="1" xfId="0" applyNumberFormat="1" applyFont="1" applyFill="1" applyBorder="1" applyAlignment="1">
      <alignment horizontal="center" vertical="center"/>
    </xf>
    <xf numFmtId="2" fontId="26659" fillId="8" borderId="1" xfId="0" applyNumberFormat="1" applyFont="1" applyFill="1" applyBorder="1" applyAlignment="1">
      <alignment horizontal="center" vertical="center"/>
    </xf>
    <xf numFmtId="2" fontId="26660" fillId="8" borderId="1" xfId="0" applyNumberFormat="1" applyFont="1" applyFill="1" applyBorder="1" applyAlignment="1">
      <alignment horizontal="center" vertical="center"/>
    </xf>
    <xf numFmtId="2" fontId="26661" fillId="8" borderId="1" xfId="0" applyNumberFormat="1" applyFont="1" applyFill="1" applyBorder="1" applyAlignment="1">
      <alignment horizontal="center" vertical="center"/>
    </xf>
    <xf numFmtId="2" fontId="26662" fillId="8" borderId="1" xfId="0" applyNumberFormat="1" applyFont="1" applyFill="1" applyBorder="1" applyAlignment="1">
      <alignment horizontal="center" vertical="center"/>
    </xf>
    <xf numFmtId="2" fontId="26663" fillId="8" borderId="1" xfId="0" applyNumberFormat="1" applyFont="1" applyFill="1" applyBorder="1" applyAlignment="1">
      <alignment horizontal="center" vertical="center"/>
    </xf>
    <xf numFmtId="2" fontId="26664" fillId="8" borderId="1" xfId="0" applyNumberFormat="1" applyFont="1" applyFill="1" applyBorder="1" applyAlignment="1">
      <alignment horizontal="center" vertical="center"/>
    </xf>
    <xf numFmtId="2" fontId="26665" fillId="8" borderId="1" xfId="0" applyNumberFormat="1" applyFont="1" applyFill="1" applyBorder="1" applyAlignment="1">
      <alignment horizontal="center" vertical="center"/>
    </xf>
    <xf numFmtId="2" fontId="26666" fillId="8" borderId="1" xfId="0" applyNumberFormat="1" applyFont="1" applyFill="1" applyBorder="1" applyAlignment="1">
      <alignment horizontal="center" vertical="center"/>
    </xf>
    <xf numFmtId="2" fontId="26667" fillId="8" borderId="1" xfId="0" applyNumberFormat="1" applyFont="1" applyFill="1" applyBorder="1" applyAlignment="1">
      <alignment horizontal="center" vertical="center"/>
    </xf>
    <xf numFmtId="2" fontId="26668" fillId="8" borderId="1" xfId="0" applyNumberFormat="1" applyFont="1" applyFill="1" applyBorder="1" applyAlignment="1">
      <alignment horizontal="center" vertical="center"/>
    </xf>
    <xf numFmtId="2" fontId="26669" fillId="8" borderId="1" xfId="0" applyNumberFormat="1" applyFont="1" applyFill="1" applyBorder="1" applyAlignment="1">
      <alignment horizontal="center" vertical="center"/>
    </xf>
    <xf numFmtId="2" fontId="26670" fillId="8" borderId="1" xfId="0" applyNumberFormat="1" applyFont="1" applyFill="1" applyBorder="1" applyAlignment="1">
      <alignment horizontal="center" vertical="center"/>
    </xf>
    <xf numFmtId="2" fontId="26671" fillId="8" borderId="1" xfId="0" applyNumberFormat="1" applyFont="1" applyFill="1" applyBorder="1" applyAlignment="1">
      <alignment horizontal="center" vertical="center"/>
    </xf>
    <xf numFmtId="2" fontId="26672" fillId="8" borderId="1" xfId="0" applyNumberFormat="1" applyFont="1" applyFill="1" applyBorder="1" applyAlignment="1">
      <alignment horizontal="center" vertical="center"/>
    </xf>
    <xf numFmtId="2" fontId="26673" fillId="8" borderId="1" xfId="0" applyNumberFormat="1" applyFont="1" applyFill="1" applyBorder="1" applyAlignment="1">
      <alignment horizontal="center" vertical="center"/>
    </xf>
    <xf numFmtId="2" fontId="26674" fillId="8" borderId="1" xfId="0" applyNumberFormat="1" applyFont="1" applyFill="1" applyBorder="1" applyAlignment="1">
      <alignment horizontal="center" vertical="center"/>
    </xf>
    <xf numFmtId="2" fontId="26675" fillId="8" borderId="1" xfId="0" applyNumberFormat="1" applyFont="1" applyFill="1" applyBorder="1" applyAlignment="1">
      <alignment horizontal="center" vertical="center"/>
    </xf>
    <xf numFmtId="2" fontId="26676" fillId="8" borderId="1" xfId="0" applyNumberFormat="1" applyFont="1" applyFill="1" applyBorder="1" applyAlignment="1">
      <alignment horizontal="center" vertical="center"/>
    </xf>
    <xf numFmtId="2" fontId="26677" fillId="8" borderId="1" xfId="0" applyNumberFormat="1" applyFont="1" applyFill="1" applyBorder="1" applyAlignment="1">
      <alignment horizontal="center" vertical="center"/>
    </xf>
    <xf numFmtId="2" fontId="26678" fillId="8" borderId="1" xfId="0" applyNumberFormat="1" applyFont="1" applyFill="1" applyBorder="1" applyAlignment="1">
      <alignment horizontal="center" vertical="center"/>
    </xf>
    <xf numFmtId="0" fontId="26679" fillId="7" borderId="1" xfId="0" applyNumberFormat="1" applyFont="1" applyFill="1" applyBorder="1" applyAlignment="1">
      <alignment horizontal="left" vertical="center"/>
    </xf>
    <xf numFmtId="0" fontId="26680" fillId="8" borderId="1" xfId="0" applyNumberFormat="1" applyFont="1" applyFill="1" applyBorder="1" applyAlignment="1">
      <alignment horizontal="center" vertical="center"/>
    </xf>
    <xf numFmtId="164" fontId="26681" fillId="8" borderId="1" xfId="0" applyNumberFormat="1" applyFont="1" applyFill="1" applyBorder="1" applyAlignment="1">
      <alignment horizontal="center" vertical="center"/>
    </xf>
    <xf numFmtId="1" fontId="26682" fillId="8" borderId="1" xfId="0" applyNumberFormat="1" applyFont="1" applyFill="1" applyBorder="1" applyAlignment="1">
      <alignment horizontal="center" vertical="center"/>
    </xf>
    <xf numFmtId="1" fontId="26683" fillId="8" borderId="1" xfId="0" applyNumberFormat="1" applyFont="1" applyFill="1" applyBorder="1" applyAlignment="1">
      <alignment horizontal="center" vertical="center"/>
    </xf>
    <xf numFmtId="1" fontId="26684" fillId="8" borderId="1" xfId="0" applyNumberFormat="1" applyFont="1" applyFill="1" applyBorder="1" applyAlignment="1">
      <alignment horizontal="center" vertical="center"/>
    </xf>
    <xf numFmtId="1" fontId="26685" fillId="8" borderId="1" xfId="0" applyNumberFormat="1" applyFont="1" applyFill="1" applyBorder="1" applyAlignment="1">
      <alignment horizontal="center" vertical="center"/>
    </xf>
    <xf numFmtId="1" fontId="26686" fillId="8" borderId="1" xfId="0" applyNumberFormat="1" applyFont="1" applyFill="1" applyBorder="1" applyAlignment="1">
      <alignment horizontal="center" vertical="center"/>
    </xf>
    <xf numFmtId="1" fontId="26687" fillId="8" borderId="1" xfId="0" applyNumberFormat="1" applyFont="1" applyFill="1" applyBorder="1" applyAlignment="1">
      <alignment horizontal="center" vertical="center"/>
    </xf>
    <xf numFmtId="1" fontId="26688" fillId="8" borderId="1" xfId="0" applyNumberFormat="1" applyFont="1" applyFill="1" applyBorder="1" applyAlignment="1">
      <alignment horizontal="center" vertical="center"/>
    </xf>
    <xf numFmtId="0" fontId="26689" fillId="8" borderId="1" xfId="0" applyNumberFormat="1" applyFont="1" applyFill="1" applyBorder="1" applyAlignment="1">
      <alignment horizontal="center" vertical="center"/>
    </xf>
    <xf numFmtId="0" fontId="26690" fillId="8" borderId="1" xfId="0" applyNumberFormat="1" applyFont="1" applyFill="1" applyBorder="1" applyAlignment="1">
      <alignment horizontal="center" vertical="center"/>
    </xf>
    <xf numFmtId="1" fontId="26691" fillId="8" borderId="1" xfId="0" applyNumberFormat="1" applyFont="1" applyFill="1" applyBorder="1" applyAlignment="1">
      <alignment horizontal="center" vertical="center"/>
    </xf>
    <xf numFmtId="1" fontId="26692" fillId="8" borderId="1" xfId="0" applyNumberFormat="1" applyFont="1" applyFill="1" applyBorder="1" applyAlignment="1">
      <alignment horizontal="center" vertical="center"/>
    </xf>
    <xf numFmtId="1" fontId="26693" fillId="8" borderId="1" xfId="0" applyNumberFormat="1" applyFont="1" applyFill="1" applyBorder="1" applyAlignment="1">
      <alignment horizontal="center" vertical="center"/>
    </xf>
    <xf numFmtId="165" fontId="26694" fillId="8" borderId="1" xfId="0" applyNumberFormat="1" applyFont="1" applyFill="1" applyBorder="1" applyAlignment="1">
      <alignment horizontal="center" vertical="center"/>
    </xf>
    <xf numFmtId="1" fontId="26695" fillId="8" borderId="1" xfId="0" applyNumberFormat="1" applyFont="1" applyFill="1" applyBorder="1" applyAlignment="1">
      <alignment horizontal="center" vertical="center"/>
    </xf>
    <xf numFmtId="165" fontId="26696" fillId="8" borderId="1" xfId="0" applyNumberFormat="1" applyFont="1" applyFill="1" applyBorder="1" applyAlignment="1">
      <alignment horizontal="center" vertical="center"/>
    </xf>
    <xf numFmtId="1" fontId="26697" fillId="8" borderId="1" xfId="0" applyNumberFormat="1" applyFont="1" applyFill="1" applyBorder="1" applyAlignment="1">
      <alignment horizontal="center" vertical="center"/>
    </xf>
    <xf numFmtId="165" fontId="26698" fillId="8" borderId="1" xfId="0" applyNumberFormat="1" applyFont="1" applyFill="1" applyBorder="1" applyAlignment="1">
      <alignment horizontal="center" vertical="center"/>
    </xf>
    <xf numFmtId="1" fontId="26699" fillId="8" borderId="1" xfId="0" applyNumberFormat="1" applyFont="1" applyFill="1" applyBorder="1" applyAlignment="1">
      <alignment horizontal="center" vertical="center"/>
    </xf>
    <xf numFmtId="165" fontId="26700" fillId="8" borderId="1" xfId="0" applyNumberFormat="1" applyFont="1" applyFill="1" applyBorder="1" applyAlignment="1">
      <alignment horizontal="center" vertical="center"/>
    </xf>
    <xf numFmtId="165" fontId="26701" fillId="8" borderId="1" xfId="0" applyNumberFormat="1" applyFont="1" applyFill="1" applyBorder="1" applyAlignment="1">
      <alignment horizontal="center" vertical="center"/>
    </xf>
    <xf numFmtId="1" fontId="26702" fillId="8" borderId="1" xfId="0" applyNumberFormat="1" applyFont="1" applyFill="1" applyBorder="1" applyAlignment="1">
      <alignment horizontal="center" vertical="center"/>
    </xf>
    <xf numFmtId="1" fontId="26703" fillId="8" borderId="1" xfId="0" applyNumberFormat="1" applyFont="1" applyFill="1" applyBorder="1" applyAlignment="1">
      <alignment horizontal="center" vertical="center"/>
    </xf>
    <xf numFmtId="1" fontId="26704" fillId="8" borderId="1" xfId="0" applyNumberFormat="1" applyFont="1" applyFill="1" applyBorder="1" applyAlignment="1">
      <alignment horizontal="center" vertical="center"/>
    </xf>
    <xf numFmtId="165" fontId="26705" fillId="8" borderId="1" xfId="0" applyNumberFormat="1" applyFont="1" applyFill="1" applyBorder="1" applyAlignment="1">
      <alignment horizontal="center" vertical="center"/>
    </xf>
    <xf numFmtId="164" fontId="26706" fillId="8" borderId="1" xfId="0" applyNumberFormat="1" applyFont="1" applyFill="1" applyBorder="1" applyAlignment="1">
      <alignment horizontal="center" vertical="center"/>
    </xf>
    <xf numFmtId="164" fontId="26707" fillId="8" borderId="1" xfId="0" applyNumberFormat="1" applyFont="1" applyFill="1" applyBorder="1" applyAlignment="1">
      <alignment horizontal="center" vertical="center"/>
    </xf>
    <xf numFmtId="1" fontId="26708" fillId="8" borderId="1" xfId="0" applyNumberFormat="1" applyFont="1" applyFill="1" applyBorder="1" applyAlignment="1">
      <alignment horizontal="center" vertical="center"/>
    </xf>
    <xf numFmtId="1" fontId="26709" fillId="8" borderId="1" xfId="0" applyNumberFormat="1" applyFont="1" applyFill="1" applyBorder="1" applyAlignment="1">
      <alignment horizontal="center" vertical="center"/>
    </xf>
    <xf numFmtId="1" fontId="26710" fillId="8" borderId="1" xfId="0" applyNumberFormat="1" applyFont="1" applyFill="1" applyBorder="1" applyAlignment="1">
      <alignment horizontal="center" vertical="center"/>
    </xf>
    <xf numFmtId="165" fontId="26711" fillId="8" borderId="1" xfId="0" applyNumberFormat="1" applyFont="1" applyFill="1" applyBorder="1" applyAlignment="1">
      <alignment horizontal="center" vertical="center"/>
    </xf>
    <xf numFmtId="1" fontId="26712" fillId="8" borderId="1" xfId="0" applyNumberFormat="1" applyFont="1" applyFill="1" applyBorder="1" applyAlignment="1">
      <alignment horizontal="center" vertical="center"/>
    </xf>
    <xf numFmtId="165" fontId="26713" fillId="8" borderId="1" xfId="0" applyNumberFormat="1" applyFont="1" applyFill="1" applyBorder="1" applyAlignment="1">
      <alignment horizontal="center" vertical="center"/>
    </xf>
    <xf numFmtId="1" fontId="26714" fillId="8" borderId="1" xfId="0" applyNumberFormat="1" applyFont="1" applyFill="1" applyBorder="1" applyAlignment="1">
      <alignment horizontal="center" vertical="center"/>
    </xf>
    <xf numFmtId="1" fontId="26715" fillId="8" borderId="1" xfId="0" applyNumberFormat="1" applyFont="1" applyFill="1" applyBorder="1" applyAlignment="1">
      <alignment horizontal="center" vertical="center"/>
    </xf>
    <xf numFmtId="1" fontId="26716" fillId="8" borderId="1" xfId="0" applyNumberFormat="1" applyFont="1" applyFill="1" applyBorder="1" applyAlignment="1">
      <alignment horizontal="center" vertical="center"/>
    </xf>
    <xf numFmtId="1" fontId="26717" fillId="8" borderId="1" xfId="0" applyNumberFormat="1" applyFont="1" applyFill="1" applyBorder="1" applyAlignment="1">
      <alignment horizontal="center" vertical="center"/>
    </xf>
    <xf numFmtId="165" fontId="26718" fillId="8" borderId="1" xfId="0" applyNumberFormat="1" applyFont="1" applyFill="1" applyBorder="1" applyAlignment="1">
      <alignment horizontal="center" vertical="center"/>
    </xf>
    <xf numFmtId="1" fontId="26719" fillId="8" borderId="1" xfId="0" applyNumberFormat="1" applyFont="1" applyFill="1" applyBorder="1" applyAlignment="1">
      <alignment horizontal="center" vertical="center"/>
    </xf>
    <xf numFmtId="165" fontId="26720" fillId="8" borderId="1" xfId="0" applyNumberFormat="1" applyFont="1" applyFill="1" applyBorder="1" applyAlignment="1">
      <alignment horizontal="center" vertical="center"/>
    </xf>
    <xf numFmtId="1" fontId="26721" fillId="8" borderId="1" xfId="0" applyNumberFormat="1" applyFont="1" applyFill="1" applyBorder="1" applyAlignment="1">
      <alignment horizontal="center" vertical="center"/>
    </xf>
    <xf numFmtId="165" fontId="26722" fillId="8" borderId="1" xfId="0" applyNumberFormat="1" applyFont="1" applyFill="1" applyBorder="1" applyAlignment="1">
      <alignment horizontal="center" vertical="center"/>
    </xf>
    <xf numFmtId="2" fontId="26723" fillId="8" borderId="1" xfId="0" applyNumberFormat="1" applyFont="1" applyFill="1" applyBorder="1" applyAlignment="1">
      <alignment horizontal="center" vertical="center"/>
    </xf>
    <xf numFmtId="2" fontId="26724" fillId="8" borderId="1" xfId="0" applyNumberFormat="1" applyFont="1" applyFill="1" applyBorder="1" applyAlignment="1">
      <alignment horizontal="center" vertical="center"/>
    </xf>
    <xf numFmtId="2" fontId="26725" fillId="8" borderId="1" xfId="0" applyNumberFormat="1" applyFont="1" applyFill="1" applyBorder="1" applyAlignment="1">
      <alignment horizontal="center" vertical="center"/>
    </xf>
    <xf numFmtId="2" fontId="26726" fillId="8" borderId="1" xfId="0" applyNumberFormat="1" applyFont="1" applyFill="1" applyBorder="1" applyAlignment="1">
      <alignment horizontal="center" vertical="center"/>
    </xf>
    <xf numFmtId="2" fontId="26727" fillId="8" borderId="1" xfId="0" applyNumberFormat="1" applyFont="1" applyFill="1" applyBorder="1" applyAlignment="1">
      <alignment horizontal="center" vertical="center"/>
    </xf>
    <xf numFmtId="2" fontId="26728" fillId="8" borderId="1" xfId="0" applyNumberFormat="1" applyFont="1" applyFill="1" applyBorder="1" applyAlignment="1">
      <alignment horizontal="center" vertical="center"/>
    </xf>
    <xf numFmtId="2" fontId="26729" fillId="8" borderId="1" xfId="0" applyNumberFormat="1" applyFont="1" applyFill="1" applyBorder="1" applyAlignment="1">
      <alignment horizontal="center" vertical="center"/>
    </xf>
    <xf numFmtId="2" fontId="26730" fillId="8" borderId="1" xfId="0" applyNumberFormat="1" applyFont="1" applyFill="1" applyBorder="1" applyAlignment="1">
      <alignment horizontal="center" vertical="center"/>
    </xf>
    <xf numFmtId="2" fontId="26731" fillId="8" borderId="1" xfId="0" applyNumberFormat="1" applyFont="1" applyFill="1" applyBorder="1" applyAlignment="1">
      <alignment horizontal="center" vertical="center"/>
    </xf>
    <xf numFmtId="2" fontId="26732" fillId="8" borderId="1" xfId="0" applyNumberFormat="1" applyFont="1" applyFill="1" applyBorder="1" applyAlignment="1">
      <alignment horizontal="center" vertical="center"/>
    </xf>
    <xf numFmtId="2" fontId="26733" fillId="8" borderId="1" xfId="0" applyNumberFormat="1" applyFont="1" applyFill="1" applyBorder="1" applyAlignment="1">
      <alignment horizontal="center" vertical="center"/>
    </xf>
    <xf numFmtId="2" fontId="26734" fillId="8" borderId="1" xfId="0" applyNumberFormat="1" applyFont="1" applyFill="1" applyBorder="1" applyAlignment="1">
      <alignment horizontal="center" vertical="center"/>
    </xf>
    <xf numFmtId="2" fontId="26735" fillId="8" borderId="1" xfId="0" applyNumberFormat="1" applyFont="1" applyFill="1" applyBorder="1" applyAlignment="1">
      <alignment horizontal="center" vertical="center"/>
    </xf>
    <xf numFmtId="2" fontId="26736" fillId="8" borderId="1" xfId="0" applyNumberFormat="1" applyFont="1" applyFill="1" applyBorder="1" applyAlignment="1">
      <alignment horizontal="center" vertical="center"/>
    </xf>
    <xf numFmtId="2" fontId="26737" fillId="8" borderId="1" xfId="0" applyNumberFormat="1" applyFont="1" applyFill="1" applyBorder="1" applyAlignment="1">
      <alignment horizontal="center" vertical="center"/>
    </xf>
    <xf numFmtId="2" fontId="26738" fillId="8" borderId="1" xfId="0" applyNumberFormat="1" applyFont="1" applyFill="1" applyBorder="1" applyAlignment="1">
      <alignment horizontal="center" vertical="center"/>
    </xf>
    <xf numFmtId="2" fontId="26739" fillId="8" borderId="1" xfId="0" applyNumberFormat="1" applyFont="1" applyFill="1" applyBorder="1" applyAlignment="1">
      <alignment horizontal="center" vertical="center"/>
    </xf>
    <xf numFmtId="2" fontId="26740" fillId="8" borderId="1" xfId="0" applyNumberFormat="1" applyFont="1" applyFill="1" applyBorder="1" applyAlignment="1">
      <alignment horizontal="center" vertical="center"/>
    </xf>
    <xf numFmtId="2" fontId="26741" fillId="8" borderId="1" xfId="0" applyNumberFormat="1" applyFont="1" applyFill="1" applyBorder="1" applyAlignment="1">
      <alignment horizontal="center" vertical="center"/>
    </xf>
    <xf numFmtId="2" fontId="26742" fillId="8" borderId="1" xfId="0" applyNumberFormat="1" applyFont="1" applyFill="1" applyBorder="1" applyAlignment="1">
      <alignment horizontal="center" vertical="center"/>
    </xf>
    <xf numFmtId="2" fontId="26743" fillId="8" borderId="1" xfId="0" applyNumberFormat="1" applyFont="1" applyFill="1" applyBorder="1" applyAlignment="1">
      <alignment horizontal="center" vertical="center"/>
    </xf>
    <xf numFmtId="2" fontId="26744" fillId="8" borderId="1" xfId="0" applyNumberFormat="1" applyFont="1" applyFill="1" applyBorder="1" applyAlignment="1">
      <alignment horizontal="center" vertical="center"/>
    </xf>
    <xf numFmtId="2" fontId="26745" fillId="8" borderId="1" xfId="0" applyNumberFormat="1" applyFont="1" applyFill="1" applyBorder="1" applyAlignment="1">
      <alignment horizontal="center" vertical="center"/>
    </xf>
    <xf numFmtId="2" fontId="26746" fillId="8" borderId="1" xfId="0" applyNumberFormat="1" applyFont="1" applyFill="1" applyBorder="1" applyAlignment="1">
      <alignment horizontal="center" vertical="center"/>
    </xf>
    <xf numFmtId="2" fontId="26747" fillId="8" borderId="1" xfId="0" applyNumberFormat="1" applyFont="1" applyFill="1" applyBorder="1" applyAlignment="1">
      <alignment horizontal="center" vertical="center"/>
    </xf>
    <xf numFmtId="2" fontId="26748" fillId="8" borderId="1" xfId="0" applyNumberFormat="1" applyFont="1" applyFill="1" applyBorder="1" applyAlignment="1">
      <alignment horizontal="center" vertical="center"/>
    </xf>
    <xf numFmtId="2" fontId="26749" fillId="8" borderId="1" xfId="0" applyNumberFormat="1" applyFont="1" applyFill="1" applyBorder="1" applyAlignment="1">
      <alignment horizontal="center" vertical="center"/>
    </xf>
    <xf numFmtId="2" fontId="26750" fillId="8" borderId="1" xfId="0" applyNumberFormat="1" applyFont="1" applyFill="1" applyBorder="1" applyAlignment="1">
      <alignment horizontal="center" vertical="center"/>
    </xf>
    <xf numFmtId="2" fontId="26751" fillId="8" borderId="1" xfId="0" applyNumberFormat="1" applyFont="1" applyFill="1" applyBorder="1" applyAlignment="1">
      <alignment horizontal="center" vertical="center"/>
    </xf>
    <xf numFmtId="2" fontId="26752" fillId="8" borderId="1" xfId="0" applyNumberFormat="1" applyFont="1" applyFill="1" applyBorder="1" applyAlignment="1">
      <alignment horizontal="center" vertical="center"/>
    </xf>
    <xf numFmtId="2" fontId="26753" fillId="8" borderId="1" xfId="0" applyNumberFormat="1" applyFont="1" applyFill="1" applyBorder="1" applyAlignment="1">
      <alignment horizontal="center" vertical="center"/>
    </xf>
    <xf numFmtId="2" fontId="26754" fillId="8" borderId="1" xfId="0" applyNumberFormat="1" applyFont="1" applyFill="1" applyBorder="1" applyAlignment="1">
      <alignment horizontal="center" vertical="center"/>
    </xf>
    <xf numFmtId="2" fontId="26755" fillId="8" borderId="1" xfId="0" applyNumberFormat="1" applyFont="1" applyFill="1" applyBorder="1" applyAlignment="1">
      <alignment horizontal="center" vertical="center"/>
    </xf>
    <xf numFmtId="2" fontId="26756" fillId="8" borderId="1" xfId="0" applyNumberFormat="1" applyFont="1" applyFill="1" applyBorder="1" applyAlignment="1">
      <alignment horizontal="center" vertical="center"/>
    </xf>
    <xf numFmtId="0" fontId="26757" fillId="7" borderId="1" xfId="0" applyNumberFormat="1" applyFont="1" applyFill="1" applyBorder="1" applyAlignment="1">
      <alignment horizontal="left" vertical="center"/>
    </xf>
    <xf numFmtId="0" fontId="26758" fillId="8" borderId="1" xfId="0" applyNumberFormat="1" applyFont="1" applyFill="1" applyBorder="1" applyAlignment="1">
      <alignment horizontal="center" vertical="center"/>
    </xf>
    <xf numFmtId="164" fontId="26759" fillId="8" borderId="1" xfId="0" applyNumberFormat="1" applyFont="1" applyFill="1" applyBorder="1" applyAlignment="1">
      <alignment horizontal="center" vertical="center"/>
    </xf>
    <xf numFmtId="1" fontId="26760" fillId="8" borderId="1" xfId="0" applyNumberFormat="1" applyFont="1" applyFill="1" applyBorder="1" applyAlignment="1">
      <alignment horizontal="center" vertical="center"/>
    </xf>
    <xf numFmtId="1" fontId="26761" fillId="8" borderId="1" xfId="0" applyNumberFormat="1" applyFont="1" applyFill="1" applyBorder="1" applyAlignment="1">
      <alignment horizontal="center" vertical="center"/>
    </xf>
    <xf numFmtId="1" fontId="26762" fillId="8" borderId="1" xfId="0" applyNumberFormat="1" applyFont="1" applyFill="1" applyBorder="1" applyAlignment="1">
      <alignment horizontal="center" vertical="center"/>
    </xf>
    <xf numFmtId="1" fontId="26763" fillId="8" borderId="1" xfId="0" applyNumberFormat="1" applyFont="1" applyFill="1" applyBorder="1" applyAlignment="1">
      <alignment horizontal="center" vertical="center"/>
    </xf>
    <xf numFmtId="1" fontId="26764" fillId="8" borderId="1" xfId="0" applyNumberFormat="1" applyFont="1" applyFill="1" applyBorder="1" applyAlignment="1">
      <alignment horizontal="center" vertical="center"/>
    </xf>
    <xf numFmtId="1" fontId="26765" fillId="8" borderId="1" xfId="0" applyNumberFormat="1" applyFont="1" applyFill="1" applyBorder="1" applyAlignment="1">
      <alignment horizontal="center" vertical="center"/>
    </xf>
    <xf numFmtId="1" fontId="26766" fillId="8" borderId="1" xfId="0" applyNumberFormat="1" applyFont="1" applyFill="1" applyBorder="1" applyAlignment="1">
      <alignment horizontal="center" vertical="center"/>
    </xf>
    <xf numFmtId="0" fontId="26767" fillId="8" borderId="1" xfId="0" applyNumberFormat="1" applyFont="1" applyFill="1" applyBorder="1" applyAlignment="1">
      <alignment horizontal="center" vertical="center"/>
    </xf>
    <xf numFmtId="0" fontId="26768" fillId="8" borderId="1" xfId="0" applyNumberFormat="1" applyFont="1" applyFill="1" applyBorder="1" applyAlignment="1">
      <alignment horizontal="center" vertical="center"/>
    </xf>
    <xf numFmtId="1" fontId="26769" fillId="8" borderId="1" xfId="0" applyNumberFormat="1" applyFont="1" applyFill="1" applyBorder="1" applyAlignment="1">
      <alignment horizontal="center" vertical="center"/>
    </xf>
    <xf numFmtId="1" fontId="26770" fillId="8" borderId="1" xfId="0" applyNumberFormat="1" applyFont="1" applyFill="1" applyBorder="1" applyAlignment="1">
      <alignment horizontal="center" vertical="center"/>
    </xf>
    <xf numFmtId="1" fontId="26771" fillId="8" borderId="1" xfId="0" applyNumberFormat="1" applyFont="1" applyFill="1" applyBorder="1" applyAlignment="1">
      <alignment horizontal="center" vertical="center"/>
    </xf>
    <xf numFmtId="165" fontId="26772" fillId="8" borderId="1" xfId="0" applyNumberFormat="1" applyFont="1" applyFill="1" applyBorder="1" applyAlignment="1">
      <alignment horizontal="center" vertical="center"/>
    </xf>
    <xf numFmtId="1" fontId="26773" fillId="8" borderId="1" xfId="0" applyNumberFormat="1" applyFont="1" applyFill="1" applyBorder="1" applyAlignment="1">
      <alignment horizontal="center" vertical="center"/>
    </xf>
    <xf numFmtId="165" fontId="26774" fillId="8" borderId="1" xfId="0" applyNumberFormat="1" applyFont="1" applyFill="1" applyBorder="1" applyAlignment="1">
      <alignment horizontal="center" vertical="center"/>
    </xf>
    <xf numFmtId="1" fontId="26775" fillId="8" borderId="1" xfId="0" applyNumberFormat="1" applyFont="1" applyFill="1" applyBorder="1" applyAlignment="1">
      <alignment horizontal="center" vertical="center"/>
    </xf>
    <xf numFmtId="165" fontId="26776" fillId="8" borderId="1" xfId="0" applyNumberFormat="1" applyFont="1" applyFill="1" applyBorder="1" applyAlignment="1">
      <alignment horizontal="center" vertical="center"/>
    </xf>
    <xf numFmtId="1" fontId="26777" fillId="8" borderId="1" xfId="0" applyNumberFormat="1" applyFont="1" applyFill="1" applyBorder="1" applyAlignment="1">
      <alignment horizontal="center" vertical="center"/>
    </xf>
    <xf numFmtId="165" fontId="26778" fillId="8" borderId="1" xfId="0" applyNumberFormat="1" applyFont="1" applyFill="1" applyBorder="1" applyAlignment="1">
      <alignment horizontal="center" vertical="center"/>
    </xf>
    <xf numFmtId="165" fontId="26779" fillId="8" borderId="1" xfId="0" applyNumberFormat="1" applyFont="1" applyFill="1" applyBorder="1" applyAlignment="1">
      <alignment horizontal="center" vertical="center"/>
    </xf>
    <xf numFmtId="1" fontId="26780" fillId="8" borderId="1" xfId="0" applyNumberFormat="1" applyFont="1" applyFill="1" applyBorder="1" applyAlignment="1">
      <alignment horizontal="center" vertical="center"/>
    </xf>
    <xf numFmtId="1" fontId="26781" fillId="8" borderId="1" xfId="0" applyNumberFormat="1" applyFont="1" applyFill="1" applyBorder="1" applyAlignment="1">
      <alignment horizontal="center" vertical="center"/>
    </xf>
    <xf numFmtId="1" fontId="26782" fillId="8" borderId="1" xfId="0" applyNumberFormat="1" applyFont="1" applyFill="1" applyBorder="1" applyAlignment="1">
      <alignment horizontal="center" vertical="center"/>
    </xf>
    <xf numFmtId="165" fontId="26783" fillId="8" borderId="1" xfId="0" applyNumberFormat="1" applyFont="1" applyFill="1" applyBorder="1" applyAlignment="1">
      <alignment horizontal="center" vertical="center"/>
    </xf>
    <xf numFmtId="164" fontId="26784" fillId="8" borderId="1" xfId="0" applyNumberFormat="1" applyFont="1" applyFill="1" applyBorder="1" applyAlignment="1">
      <alignment horizontal="center" vertical="center"/>
    </xf>
    <xf numFmtId="164" fontId="26785" fillId="8" borderId="1" xfId="0" applyNumberFormat="1" applyFont="1" applyFill="1" applyBorder="1" applyAlignment="1">
      <alignment horizontal="center" vertical="center"/>
    </xf>
    <xf numFmtId="1" fontId="26786" fillId="8" borderId="1" xfId="0" applyNumberFormat="1" applyFont="1" applyFill="1" applyBorder="1" applyAlignment="1">
      <alignment horizontal="center" vertical="center"/>
    </xf>
    <xf numFmtId="1" fontId="26787" fillId="8" borderId="1" xfId="0" applyNumberFormat="1" applyFont="1" applyFill="1" applyBorder="1" applyAlignment="1">
      <alignment horizontal="center" vertical="center"/>
    </xf>
    <xf numFmtId="1" fontId="26788" fillId="8" borderId="1" xfId="0" applyNumberFormat="1" applyFont="1" applyFill="1" applyBorder="1" applyAlignment="1">
      <alignment horizontal="center" vertical="center"/>
    </xf>
    <xf numFmtId="165" fontId="26789" fillId="8" borderId="1" xfId="0" applyNumberFormat="1" applyFont="1" applyFill="1" applyBorder="1" applyAlignment="1">
      <alignment horizontal="center" vertical="center"/>
    </xf>
    <xf numFmtId="1" fontId="26790" fillId="8" borderId="1" xfId="0" applyNumberFormat="1" applyFont="1" applyFill="1" applyBorder="1" applyAlignment="1">
      <alignment horizontal="center" vertical="center"/>
    </xf>
    <xf numFmtId="165" fontId="26791" fillId="8" borderId="1" xfId="0" applyNumberFormat="1" applyFont="1" applyFill="1" applyBorder="1" applyAlignment="1">
      <alignment horizontal="center" vertical="center"/>
    </xf>
    <xf numFmtId="1" fontId="26792" fillId="8" borderId="1" xfId="0" applyNumberFormat="1" applyFont="1" applyFill="1" applyBorder="1" applyAlignment="1">
      <alignment horizontal="center" vertical="center"/>
    </xf>
    <xf numFmtId="1" fontId="26793" fillId="8" borderId="1" xfId="0" applyNumberFormat="1" applyFont="1" applyFill="1" applyBorder="1" applyAlignment="1">
      <alignment horizontal="center" vertical="center"/>
    </xf>
    <xf numFmtId="1" fontId="26794" fillId="8" borderId="1" xfId="0" applyNumberFormat="1" applyFont="1" applyFill="1" applyBorder="1" applyAlignment="1">
      <alignment horizontal="center" vertical="center"/>
    </xf>
    <xf numFmtId="1" fontId="26795" fillId="8" borderId="1" xfId="0" applyNumberFormat="1" applyFont="1" applyFill="1" applyBorder="1" applyAlignment="1">
      <alignment horizontal="center" vertical="center"/>
    </xf>
    <xf numFmtId="165" fontId="26796" fillId="8" borderId="1" xfId="0" applyNumberFormat="1" applyFont="1" applyFill="1" applyBorder="1" applyAlignment="1">
      <alignment horizontal="center" vertical="center"/>
    </xf>
    <xf numFmtId="1" fontId="26797" fillId="8" borderId="1" xfId="0" applyNumberFormat="1" applyFont="1" applyFill="1" applyBorder="1" applyAlignment="1">
      <alignment horizontal="center" vertical="center"/>
    </xf>
    <xf numFmtId="165" fontId="26798" fillId="8" borderId="1" xfId="0" applyNumberFormat="1" applyFont="1" applyFill="1" applyBorder="1" applyAlignment="1">
      <alignment horizontal="center" vertical="center"/>
    </xf>
    <xf numFmtId="1" fontId="26799" fillId="8" borderId="1" xfId="0" applyNumberFormat="1" applyFont="1" applyFill="1" applyBorder="1" applyAlignment="1">
      <alignment horizontal="center" vertical="center"/>
    </xf>
    <xf numFmtId="165" fontId="26800" fillId="8" borderId="1" xfId="0" applyNumberFormat="1" applyFont="1" applyFill="1" applyBorder="1" applyAlignment="1">
      <alignment horizontal="center" vertical="center"/>
    </xf>
    <xf numFmtId="2" fontId="26801" fillId="8" borderId="1" xfId="0" applyNumberFormat="1" applyFont="1" applyFill="1" applyBorder="1" applyAlignment="1">
      <alignment horizontal="center" vertical="center"/>
    </xf>
    <xf numFmtId="2" fontId="26802" fillId="8" borderId="1" xfId="0" applyNumberFormat="1" applyFont="1" applyFill="1" applyBorder="1" applyAlignment="1">
      <alignment horizontal="center" vertical="center"/>
    </xf>
    <xf numFmtId="2" fontId="26803" fillId="8" borderId="1" xfId="0" applyNumberFormat="1" applyFont="1" applyFill="1" applyBorder="1" applyAlignment="1">
      <alignment horizontal="center" vertical="center"/>
    </xf>
    <xf numFmtId="2" fontId="26804" fillId="8" borderId="1" xfId="0" applyNumberFormat="1" applyFont="1" applyFill="1" applyBorder="1" applyAlignment="1">
      <alignment horizontal="center" vertical="center"/>
    </xf>
    <xf numFmtId="2" fontId="26805" fillId="8" borderId="1" xfId="0" applyNumberFormat="1" applyFont="1" applyFill="1" applyBorder="1" applyAlignment="1">
      <alignment horizontal="center" vertical="center"/>
    </xf>
    <xf numFmtId="2" fontId="26806" fillId="8" borderId="1" xfId="0" applyNumberFormat="1" applyFont="1" applyFill="1" applyBorder="1" applyAlignment="1">
      <alignment horizontal="center" vertical="center"/>
    </xf>
    <xf numFmtId="2" fontId="26807" fillId="8" borderId="1" xfId="0" applyNumberFormat="1" applyFont="1" applyFill="1" applyBorder="1" applyAlignment="1">
      <alignment horizontal="center" vertical="center"/>
    </xf>
    <xf numFmtId="2" fontId="26808" fillId="8" borderId="1" xfId="0" applyNumberFormat="1" applyFont="1" applyFill="1" applyBorder="1" applyAlignment="1">
      <alignment horizontal="center" vertical="center"/>
    </xf>
    <xf numFmtId="2" fontId="26809" fillId="8" borderId="1" xfId="0" applyNumberFormat="1" applyFont="1" applyFill="1" applyBorder="1" applyAlignment="1">
      <alignment horizontal="center" vertical="center"/>
    </xf>
    <xf numFmtId="2" fontId="26810" fillId="8" borderId="1" xfId="0" applyNumberFormat="1" applyFont="1" applyFill="1" applyBorder="1" applyAlignment="1">
      <alignment horizontal="center" vertical="center"/>
    </xf>
    <xf numFmtId="2" fontId="26811" fillId="8" borderId="1" xfId="0" applyNumberFormat="1" applyFont="1" applyFill="1" applyBorder="1" applyAlignment="1">
      <alignment horizontal="center" vertical="center"/>
    </xf>
    <xf numFmtId="2" fontId="26812" fillId="8" borderId="1" xfId="0" applyNumberFormat="1" applyFont="1" applyFill="1" applyBorder="1" applyAlignment="1">
      <alignment horizontal="center" vertical="center"/>
    </xf>
    <xf numFmtId="2" fontId="26813" fillId="8" borderId="1" xfId="0" applyNumberFormat="1" applyFont="1" applyFill="1" applyBorder="1" applyAlignment="1">
      <alignment horizontal="center" vertical="center"/>
    </xf>
    <xf numFmtId="2" fontId="26814" fillId="8" borderId="1" xfId="0" applyNumberFormat="1" applyFont="1" applyFill="1" applyBorder="1" applyAlignment="1">
      <alignment horizontal="center" vertical="center"/>
    </xf>
    <xf numFmtId="2" fontId="26815" fillId="8" borderId="1" xfId="0" applyNumberFormat="1" applyFont="1" applyFill="1" applyBorder="1" applyAlignment="1">
      <alignment horizontal="center" vertical="center"/>
    </xf>
    <xf numFmtId="2" fontId="26816" fillId="8" borderId="1" xfId="0" applyNumberFormat="1" applyFont="1" applyFill="1" applyBorder="1" applyAlignment="1">
      <alignment horizontal="center" vertical="center"/>
    </xf>
    <xf numFmtId="2" fontId="26817" fillId="8" borderId="1" xfId="0" applyNumberFormat="1" applyFont="1" applyFill="1" applyBorder="1" applyAlignment="1">
      <alignment horizontal="center" vertical="center"/>
    </xf>
    <xf numFmtId="2" fontId="26818" fillId="8" borderId="1" xfId="0" applyNumberFormat="1" applyFont="1" applyFill="1" applyBorder="1" applyAlignment="1">
      <alignment horizontal="center" vertical="center"/>
    </xf>
    <xf numFmtId="2" fontId="26819" fillId="8" borderId="1" xfId="0" applyNumberFormat="1" applyFont="1" applyFill="1" applyBorder="1" applyAlignment="1">
      <alignment horizontal="center" vertical="center"/>
    </xf>
    <xf numFmtId="2" fontId="26820" fillId="8" borderId="1" xfId="0" applyNumberFormat="1" applyFont="1" applyFill="1" applyBorder="1" applyAlignment="1">
      <alignment horizontal="center" vertical="center"/>
    </xf>
    <xf numFmtId="2" fontId="26821" fillId="8" borderId="1" xfId="0" applyNumberFormat="1" applyFont="1" applyFill="1" applyBorder="1" applyAlignment="1">
      <alignment horizontal="center" vertical="center"/>
    </xf>
    <xf numFmtId="2" fontId="26822" fillId="8" borderId="1" xfId="0" applyNumberFormat="1" applyFont="1" applyFill="1" applyBorder="1" applyAlignment="1">
      <alignment horizontal="center" vertical="center"/>
    </xf>
    <xf numFmtId="2" fontId="26823" fillId="8" borderId="1" xfId="0" applyNumberFormat="1" applyFont="1" applyFill="1" applyBorder="1" applyAlignment="1">
      <alignment horizontal="center" vertical="center"/>
    </xf>
    <xf numFmtId="2" fontId="26824" fillId="8" borderId="1" xfId="0" applyNumberFormat="1" applyFont="1" applyFill="1" applyBorder="1" applyAlignment="1">
      <alignment horizontal="center" vertical="center"/>
    </xf>
    <xf numFmtId="2" fontId="26825" fillId="8" borderId="1" xfId="0" applyNumberFormat="1" applyFont="1" applyFill="1" applyBorder="1" applyAlignment="1">
      <alignment horizontal="center" vertical="center"/>
    </xf>
    <xf numFmtId="2" fontId="26826" fillId="8" borderId="1" xfId="0" applyNumberFormat="1" applyFont="1" applyFill="1" applyBorder="1" applyAlignment="1">
      <alignment horizontal="center" vertical="center"/>
    </xf>
    <xf numFmtId="2" fontId="26827" fillId="8" borderId="1" xfId="0" applyNumberFormat="1" applyFont="1" applyFill="1" applyBorder="1" applyAlignment="1">
      <alignment horizontal="center" vertical="center"/>
    </xf>
    <xf numFmtId="2" fontId="26828" fillId="8" borderId="1" xfId="0" applyNumberFormat="1" applyFont="1" applyFill="1" applyBorder="1" applyAlignment="1">
      <alignment horizontal="center" vertical="center"/>
    </xf>
    <xf numFmtId="2" fontId="26829" fillId="8" borderId="1" xfId="0" applyNumberFormat="1" applyFont="1" applyFill="1" applyBorder="1" applyAlignment="1">
      <alignment horizontal="center" vertical="center"/>
    </xf>
    <xf numFmtId="2" fontId="26830" fillId="8" borderId="1" xfId="0" applyNumberFormat="1" applyFont="1" applyFill="1" applyBorder="1" applyAlignment="1">
      <alignment horizontal="center" vertical="center"/>
    </xf>
    <xf numFmtId="2" fontId="26831" fillId="8" borderId="1" xfId="0" applyNumberFormat="1" applyFont="1" applyFill="1" applyBorder="1" applyAlignment="1">
      <alignment horizontal="center" vertical="center"/>
    </xf>
    <xf numFmtId="2" fontId="26832" fillId="8" borderId="1" xfId="0" applyNumberFormat="1" applyFont="1" applyFill="1" applyBorder="1" applyAlignment="1">
      <alignment horizontal="center" vertical="center"/>
    </xf>
    <xf numFmtId="2" fontId="26833" fillId="8" borderId="1" xfId="0" applyNumberFormat="1" applyFont="1" applyFill="1" applyBorder="1" applyAlignment="1">
      <alignment horizontal="center" vertical="center"/>
    </xf>
    <xf numFmtId="2" fontId="26834" fillId="8" borderId="1" xfId="0" applyNumberFormat="1" applyFont="1" applyFill="1" applyBorder="1" applyAlignment="1">
      <alignment horizontal="center" vertical="center"/>
    </xf>
    <xf numFmtId="0" fontId="26835" fillId="7" borderId="1" xfId="0" applyNumberFormat="1" applyFont="1" applyFill="1" applyBorder="1" applyAlignment="1">
      <alignment horizontal="left" vertical="center"/>
    </xf>
    <xf numFmtId="0" fontId="26836" fillId="8" borderId="1" xfId="0" applyNumberFormat="1" applyFont="1" applyFill="1" applyBorder="1" applyAlignment="1">
      <alignment horizontal="center" vertical="center"/>
    </xf>
    <xf numFmtId="164" fontId="26837" fillId="8" borderId="1" xfId="0" applyNumberFormat="1" applyFont="1" applyFill="1" applyBorder="1" applyAlignment="1">
      <alignment horizontal="center" vertical="center"/>
    </xf>
    <xf numFmtId="1" fontId="26838" fillId="8" borderId="1" xfId="0" applyNumberFormat="1" applyFont="1" applyFill="1" applyBorder="1" applyAlignment="1">
      <alignment horizontal="center" vertical="center"/>
    </xf>
    <xf numFmtId="1" fontId="26839" fillId="8" borderId="1" xfId="0" applyNumberFormat="1" applyFont="1" applyFill="1" applyBorder="1" applyAlignment="1">
      <alignment horizontal="center" vertical="center"/>
    </xf>
    <xf numFmtId="1" fontId="26840" fillId="8" borderId="1" xfId="0" applyNumberFormat="1" applyFont="1" applyFill="1" applyBorder="1" applyAlignment="1">
      <alignment horizontal="center" vertical="center"/>
    </xf>
    <xf numFmtId="1" fontId="26841" fillId="8" borderId="1" xfId="0" applyNumberFormat="1" applyFont="1" applyFill="1" applyBorder="1" applyAlignment="1">
      <alignment horizontal="center" vertical="center"/>
    </xf>
    <xf numFmtId="1" fontId="26842" fillId="8" borderId="1" xfId="0" applyNumberFormat="1" applyFont="1" applyFill="1" applyBorder="1" applyAlignment="1">
      <alignment horizontal="center" vertical="center"/>
    </xf>
    <xf numFmtId="1" fontId="26843" fillId="8" borderId="1" xfId="0" applyNumberFormat="1" applyFont="1" applyFill="1" applyBorder="1" applyAlignment="1">
      <alignment horizontal="center" vertical="center"/>
    </xf>
    <xf numFmtId="1" fontId="26844" fillId="8" borderId="1" xfId="0" applyNumberFormat="1" applyFont="1" applyFill="1" applyBorder="1" applyAlignment="1">
      <alignment horizontal="center" vertical="center"/>
    </xf>
    <xf numFmtId="0" fontId="26845" fillId="8" borderId="1" xfId="0" applyNumberFormat="1" applyFont="1" applyFill="1" applyBorder="1" applyAlignment="1">
      <alignment horizontal="center" vertical="center"/>
    </xf>
    <xf numFmtId="0" fontId="26846" fillId="8" borderId="1" xfId="0" applyNumberFormat="1" applyFont="1" applyFill="1" applyBorder="1" applyAlignment="1">
      <alignment horizontal="center" vertical="center"/>
    </xf>
    <xf numFmtId="1" fontId="26847" fillId="8" borderId="1" xfId="0" applyNumberFormat="1" applyFont="1" applyFill="1" applyBorder="1" applyAlignment="1">
      <alignment horizontal="center" vertical="center"/>
    </xf>
    <xf numFmtId="1" fontId="26848" fillId="8" borderId="1" xfId="0" applyNumberFormat="1" applyFont="1" applyFill="1" applyBorder="1" applyAlignment="1">
      <alignment horizontal="center" vertical="center"/>
    </xf>
    <xf numFmtId="1" fontId="26849" fillId="8" borderId="1" xfId="0" applyNumberFormat="1" applyFont="1" applyFill="1" applyBorder="1" applyAlignment="1">
      <alignment horizontal="center" vertical="center"/>
    </xf>
    <xf numFmtId="165" fontId="26850" fillId="8" borderId="1" xfId="0" applyNumberFormat="1" applyFont="1" applyFill="1" applyBorder="1" applyAlignment="1">
      <alignment horizontal="center" vertical="center"/>
    </xf>
    <xf numFmtId="1" fontId="26851" fillId="8" borderId="1" xfId="0" applyNumberFormat="1" applyFont="1" applyFill="1" applyBorder="1" applyAlignment="1">
      <alignment horizontal="center" vertical="center"/>
    </xf>
    <xf numFmtId="165" fontId="26852" fillId="8" borderId="1" xfId="0" applyNumberFormat="1" applyFont="1" applyFill="1" applyBorder="1" applyAlignment="1">
      <alignment horizontal="center" vertical="center"/>
    </xf>
    <xf numFmtId="1" fontId="26853" fillId="8" borderId="1" xfId="0" applyNumberFormat="1" applyFont="1" applyFill="1" applyBorder="1" applyAlignment="1">
      <alignment horizontal="center" vertical="center"/>
    </xf>
    <xf numFmtId="165" fontId="26854" fillId="8" borderId="1" xfId="0" applyNumberFormat="1" applyFont="1" applyFill="1" applyBorder="1" applyAlignment="1">
      <alignment horizontal="center" vertical="center"/>
    </xf>
    <xf numFmtId="1" fontId="26855" fillId="8" borderId="1" xfId="0" applyNumberFormat="1" applyFont="1" applyFill="1" applyBorder="1" applyAlignment="1">
      <alignment horizontal="center" vertical="center"/>
    </xf>
    <xf numFmtId="165" fontId="26856" fillId="8" borderId="1" xfId="0" applyNumberFormat="1" applyFont="1" applyFill="1" applyBorder="1" applyAlignment="1">
      <alignment horizontal="center" vertical="center"/>
    </xf>
    <xf numFmtId="165" fontId="26857" fillId="8" borderId="1" xfId="0" applyNumberFormat="1" applyFont="1" applyFill="1" applyBorder="1" applyAlignment="1">
      <alignment horizontal="center" vertical="center"/>
    </xf>
    <xf numFmtId="1" fontId="26858" fillId="8" borderId="1" xfId="0" applyNumberFormat="1" applyFont="1" applyFill="1" applyBorder="1" applyAlignment="1">
      <alignment horizontal="center" vertical="center"/>
    </xf>
    <xf numFmtId="1" fontId="26859" fillId="8" borderId="1" xfId="0" applyNumberFormat="1" applyFont="1" applyFill="1" applyBorder="1" applyAlignment="1">
      <alignment horizontal="center" vertical="center"/>
    </xf>
    <xf numFmtId="1" fontId="26860" fillId="8" borderId="1" xfId="0" applyNumberFormat="1" applyFont="1" applyFill="1" applyBorder="1" applyAlignment="1">
      <alignment horizontal="center" vertical="center"/>
    </xf>
    <xf numFmtId="165" fontId="26861" fillId="8" borderId="1" xfId="0" applyNumberFormat="1" applyFont="1" applyFill="1" applyBorder="1" applyAlignment="1">
      <alignment horizontal="center" vertical="center"/>
    </xf>
    <xf numFmtId="164" fontId="26862" fillId="8" borderId="1" xfId="0" applyNumberFormat="1" applyFont="1" applyFill="1" applyBorder="1" applyAlignment="1">
      <alignment horizontal="center" vertical="center"/>
    </xf>
    <xf numFmtId="164" fontId="26863" fillId="8" borderId="1" xfId="0" applyNumberFormat="1" applyFont="1" applyFill="1" applyBorder="1" applyAlignment="1">
      <alignment horizontal="center" vertical="center"/>
    </xf>
    <xf numFmtId="1" fontId="26864" fillId="8" borderId="1" xfId="0" applyNumberFormat="1" applyFont="1" applyFill="1" applyBorder="1" applyAlignment="1">
      <alignment horizontal="center" vertical="center"/>
    </xf>
    <xf numFmtId="1" fontId="26865" fillId="8" borderId="1" xfId="0" applyNumberFormat="1" applyFont="1" applyFill="1" applyBorder="1" applyAlignment="1">
      <alignment horizontal="center" vertical="center"/>
    </xf>
    <xf numFmtId="1" fontId="26866" fillId="8" borderId="1" xfId="0" applyNumberFormat="1" applyFont="1" applyFill="1" applyBorder="1" applyAlignment="1">
      <alignment horizontal="center" vertical="center"/>
    </xf>
    <xf numFmtId="165" fontId="26867" fillId="8" borderId="1" xfId="0" applyNumberFormat="1" applyFont="1" applyFill="1" applyBorder="1" applyAlignment="1">
      <alignment horizontal="center" vertical="center"/>
    </xf>
    <xf numFmtId="1" fontId="26868" fillId="8" borderId="1" xfId="0" applyNumberFormat="1" applyFont="1" applyFill="1" applyBorder="1" applyAlignment="1">
      <alignment horizontal="center" vertical="center"/>
    </xf>
    <xf numFmtId="165" fontId="26869" fillId="8" borderId="1" xfId="0" applyNumberFormat="1" applyFont="1" applyFill="1" applyBorder="1" applyAlignment="1">
      <alignment horizontal="center" vertical="center"/>
    </xf>
    <xf numFmtId="1" fontId="26870" fillId="8" borderId="1" xfId="0" applyNumberFormat="1" applyFont="1" applyFill="1" applyBorder="1" applyAlignment="1">
      <alignment horizontal="center" vertical="center"/>
    </xf>
    <xf numFmtId="1" fontId="26871" fillId="8" borderId="1" xfId="0" applyNumberFormat="1" applyFont="1" applyFill="1" applyBorder="1" applyAlignment="1">
      <alignment horizontal="center" vertical="center"/>
    </xf>
    <xf numFmtId="1" fontId="26872" fillId="8" borderId="1" xfId="0" applyNumberFormat="1" applyFont="1" applyFill="1" applyBorder="1" applyAlignment="1">
      <alignment horizontal="center" vertical="center"/>
    </xf>
    <xf numFmtId="1" fontId="26873" fillId="8" borderId="1" xfId="0" applyNumberFormat="1" applyFont="1" applyFill="1" applyBorder="1" applyAlignment="1">
      <alignment horizontal="center" vertical="center"/>
    </xf>
    <xf numFmtId="165" fontId="26874" fillId="8" borderId="1" xfId="0" applyNumberFormat="1" applyFont="1" applyFill="1" applyBorder="1" applyAlignment="1">
      <alignment horizontal="center" vertical="center"/>
    </xf>
    <xf numFmtId="1" fontId="26875" fillId="8" borderId="1" xfId="0" applyNumberFormat="1" applyFont="1" applyFill="1" applyBorder="1" applyAlignment="1">
      <alignment horizontal="center" vertical="center"/>
    </xf>
    <xf numFmtId="165" fontId="26876" fillId="8" borderId="1" xfId="0" applyNumberFormat="1" applyFont="1" applyFill="1" applyBorder="1" applyAlignment="1">
      <alignment horizontal="center" vertical="center"/>
    </xf>
    <xf numFmtId="1" fontId="26877" fillId="8" borderId="1" xfId="0" applyNumberFormat="1" applyFont="1" applyFill="1" applyBorder="1" applyAlignment="1">
      <alignment horizontal="center" vertical="center"/>
    </xf>
    <xf numFmtId="165" fontId="26878" fillId="8" borderId="1" xfId="0" applyNumberFormat="1" applyFont="1" applyFill="1" applyBorder="1" applyAlignment="1">
      <alignment horizontal="center" vertical="center"/>
    </xf>
    <xf numFmtId="2" fontId="26879" fillId="8" borderId="1" xfId="0" applyNumberFormat="1" applyFont="1" applyFill="1" applyBorder="1" applyAlignment="1">
      <alignment horizontal="center" vertical="center"/>
    </xf>
    <xf numFmtId="2" fontId="26880" fillId="8" borderId="1" xfId="0" applyNumberFormat="1" applyFont="1" applyFill="1" applyBorder="1" applyAlignment="1">
      <alignment horizontal="center" vertical="center"/>
    </xf>
    <xf numFmtId="2" fontId="26881" fillId="8" borderId="1" xfId="0" applyNumberFormat="1" applyFont="1" applyFill="1" applyBorder="1" applyAlignment="1">
      <alignment horizontal="center" vertical="center"/>
    </xf>
    <xf numFmtId="2" fontId="26882" fillId="8" borderId="1" xfId="0" applyNumberFormat="1" applyFont="1" applyFill="1" applyBorder="1" applyAlignment="1">
      <alignment horizontal="center" vertical="center"/>
    </xf>
    <xf numFmtId="2" fontId="26883" fillId="8" borderId="1" xfId="0" applyNumberFormat="1" applyFont="1" applyFill="1" applyBorder="1" applyAlignment="1">
      <alignment horizontal="center" vertical="center"/>
    </xf>
    <xf numFmtId="2" fontId="26884" fillId="8" borderId="1" xfId="0" applyNumberFormat="1" applyFont="1" applyFill="1" applyBorder="1" applyAlignment="1">
      <alignment horizontal="center" vertical="center"/>
    </xf>
    <xf numFmtId="2" fontId="26885" fillId="8" borderId="1" xfId="0" applyNumberFormat="1" applyFont="1" applyFill="1" applyBorder="1" applyAlignment="1">
      <alignment horizontal="center" vertical="center"/>
    </xf>
    <xf numFmtId="2" fontId="26886" fillId="8" borderId="1" xfId="0" applyNumberFormat="1" applyFont="1" applyFill="1" applyBorder="1" applyAlignment="1">
      <alignment horizontal="center" vertical="center"/>
    </xf>
    <xf numFmtId="2" fontId="26887" fillId="8" borderId="1" xfId="0" applyNumberFormat="1" applyFont="1" applyFill="1" applyBorder="1" applyAlignment="1">
      <alignment horizontal="center" vertical="center"/>
    </xf>
    <xf numFmtId="2" fontId="26888" fillId="8" borderId="1" xfId="0" applyNumberFormat="1" applyFont="1" applyFill="1" applyBorder="1" applyAlignment="1">
      <alignment horizontal="center" vertical="center"/>
    </xf>
    <xf numFmtId="2" fontId="26889" fillId="8" borderId="1" xfId="0" applyNumberFormat="1" applyFont="1" applyFill="1" applyBorder="1" applyAlignment="1">
      <alignment horizontal="center" vertical="center"/>
    </xf>
    <xf numFmtId="2" fontId="26890" fillId="8" borderId="1" xfId="0" applyNumberFormat="1" applyFont="1" applyFill="1" applyBorder="1" applyAlignment="1">
      <alignment horizontal="center" vertical="center"/>
    </xf>
    <xf numFmtId="2" fontId="26891" fillId="8" borderId="1" xfId="0" applyNumberFormat="1" applyFont="1" applyFill="1" applyBorder="1" applyAlignment="1">
      <alignment horizontal="center" vertical="center"/>
    </xf>
    <xf numFmtId="2" fontId="26892" fillId="8" borderId="1" xfId="0" applyNumberFormat="1" applyFont="1" applyFill="1" applyBorder="1" applyAlignment="1">
      <alignment horizontal="center" vertical="center"/>
    </xf>
    <xf numFmtId="2" fontId="26893" fillId="8" borderId="1" xfId="0" applyNumberFormat="1" applyFont="1" applyFill="1" applyBorder="1" applyAlignment="1">
      <alignment horizontal="center" vertical="center"/>
    </xf>
    <xf numFmtId="2" fontId="26894" fillId="8" borderId="1" xfId="0" applyNumberFormat="1" applyFont="1" applyFill="1" applyBorder="1" applyAlignment="1">
      <alignment horizontal="center" vertical="center"/>
    </xf>
    <xf numFmtId="2" fontId="26895" fillId="8" borderId="1" xfId="0" applyNumberFormat="1" applyFont="1" applyFill="1" applyBorder="1" applyAlignment="1">
      <alignment horizontal="center" vertical="center"/>
    </xf>
    <xf numFmtId="2" fontId="26896" fillId="8" borderId="1" xfId="0" applyNumberFormat="1" applyFont="1" applyFill="1" applyBorder="1" applyAlignment="1">
      <alignment horizontal="center" vertical="center"/>
    </xf>
    <xf numFmtId="2" fontId="26897" fillId="8" borderId="1" xfId="0" applyNumberFormat="1" applyFont="1" applyFill="1" applyBorder="1" applyAlignment="1">
      <alignment horizontal="center" vertical="center"/>
    </xf>
    <xf numFmtId="2" fontId="26898" fillId="8" borderId="1" xfId="0" applyNumberFormat="1" applyFont="1" applyFill="1" applyBorder="1" applyAlignment="1">
      <alignment horizontal="center" vertical="center"/>
    </xf>
    <xf numFmtId="2" fontId="26899" fillId="8" borderId="1" xfId="0" applyNumberFormat="1" applyFont="1" applyFill="1" applyBorder="1" applyAlignment="1">
      <alignment horizontal="center" vertical="center"/>
    </xf>
    <xf numFmtId="2" fontId="26900" fillId="8" borderId="1" xfId="0" applyNumberFormat="1" applyFont="1" applyFill="1" applyBorder="1" applyAlignment="1">
      <alignment horizontal="center" vertical="center"/>
    </xf>
    <xf numFmtId="2" fontId="26901" fillId="8" borderId="1" xfId="0" applyNumberFormat="1" applyFont="1" applyFill="1" applyBorder="1" applyAlignment="1">
      <alignment horizontal="center" vertical="center"/>
    </xf>
    <xf numFmtId="2" fontId="26902" fillId="8" borderId="1" xfId="0" applyNumberFormat="1" applyFont="1" applyFill="1" applyBorder="1" applyAlignment="1">
      <alignment horizontal="center" vertical="center"/>
    </xf>
    <xf numFmtId="2" fontId="26903" fillId="8" borderId="1" xfId="0" applyNumberFormat="1" applyFont="1" applyFill="1" applyBorder="1" applyAlignment="1">
      <alignment horizontal="center" vertical="center"/>
    </xf>
    <xf numFmtId="2" fontId="26904" fillId="8" borderId="1" xfId="0" applyNumberFormat="1" applyFont="1" applyFill="1" applyBorder="1" applyAlignment="1">
      <alignment horizontal="center" vertical="center"/>
    </xf>
    <xf numFmtId="2" fontId="26905" fillId="8" borderId="1" xfId="0" applyNumberFormat="1" applyFont="1" applyFill="1" applyBorder="1" applyAlignment="1">
      <alignment horizontal="center" vertical="center"/>
    </xf>
    <xf numFmtId="2" fontId="26906" fillId="8" borderId="1" xfId="0" applyNumberFormat="1" applyFont="1" applyFill="1" applyBorder="1" applyAlignment="1">
      <alignment horizontal="center" vertical="center"/>
    </xf>
    <xf numFmtId="2" fontId="26907" fillId="8" borderId="1" xfId="0" applyNumberFormat="1" applyFont="1" applyFill="1" applyBorder="1" applyAlignment="1">
      <alignment horizontal="center" vertical="center"/>
    </xf>
    <xf numFmtId="2" fontId="26908" fillId="8" borderId="1" xfId="0" applyNumberFormat="1" applyFont="1" applyFill="1" applyBorder="1" applyAlignment="1">
      <alignment horizontal="center" vertical="center"/>
    </xf>
    <xf numFmtId="2" fontId="26909" fillId="8" borderId="1" xfId="0" applyNumberFormat="1" applyFont="1" applyFill="1" applyBorder="1" applyAlignment="1">
      <alignment horizontal="center" vertical="center"/>
    </xf>
    <xf numFmtId="2" fontId="26910" fillId="8" borderId="1" xfId="0" applyNumberFormat="1" applyFont="1" applyFill="1" applyBorder="1" applyAlignment="1">
      <alignment horizontal="center" vertical="center"/>
    </xf>
    <xf numFmtId="2" fontId="26911" fillId="8" borderId="1" xfId="0" applyNumberFormat="1" applyFont="1" applyFill="1" applyBorder="1" applyAlignment="1">
      <alignment horizontal="center" vertical="center"/>
    </xf>
    <xf numFmtId="2" fontId="26912" fillId="8" borderId="1" xfId="0" applyNumberFormat="1" applyFont="1" applyFill="1" applyBorder="1" applyAlignment="1">
      <alignment horizontal="center" vertical="center"/>
    </xf>
    <xf numFmtId="0" fontId="26913" fillId="7" borderId="1" xfId="0" applyNumberFormat="1" applyFont="1" applyFill="1" applyBorder="1" applyAlignment="1">
      <alignment horizontal="left" vertical="center"/>
    </xf>
    <xf numFmtId="0" fontId="26914" fillId="8" borderId="1" xfId="0" applyNumberFormat="1" applyFont="1" applyFill="1" applyBorder="1" applyAlignment="1">
      <alignment horizontal="center" vertical="center"/>
    </xf>
    <xf numFmtId="164" fontId="26915" fillId="8" borderId="1" xfId="0" applyNumberFormat="1" applyFont="1" applyFill="1" applyBorder="1" applyAlignment="1">
      <alignment horizontal="center" vertical="center"/>
    </xf>
    <xf numFmtId="1" fontId="26916" fillId="8" borderId="1" xfId="0" applyNumberFormat="1" applyFont="1" applyFill="1" applyBorder="1" applyAlignment="1">
      <alignment horizontal="center" vertical="center"/>
    </xf>
    <xf numFmtId="1" fontId="26917" fillId="8" borderId="1" xfId="0" applyNumberFormat="1" applyFont="1" applyFill="1" applyBorder="1" applyAlignment="1">
      <alignment horizontal="center" vertical="center"/>
    </xf>
    <xf numFmtId="1" fontId="26918" fillId="8" borderId="1" xfId="0" applyNumberFormat="1" applyFont="1" applyFill="1" applyBorder="1" applyAlignment="1">
      <alignment horizontal="center" vertical="center"/>
    </xf>
    <xf numFmtId="1" fontId="26919" fillId="8" borderId="1" xfId="0" applyNumberFormat="1" applyFont="1" applyFill="1" applyBorder="1" applyAlignment="1">
      <alignment horizontal="center" vertical="center"/>
    </xf>
    <xf numFmtId="1" fontId="26920" fillId="8" borderId="1" xfId="0" applyNumberFormat="1" applyFont="1" applyFill="1" applyBorder="1" applyAlignment="1">
      <alignment horizontal="center" vertical="center"/>
    </xf>
    <xf numFmtId="1" fontId="26921" fillId="8" borderId="1" xfId="0" applyNumberFormat="1" applyFont="1" applyFill="1" applyBorder="1" applyAlignment="1">
      <alignment horizontal="center" vertical="center"/>
    </xf>
    <xf numFmtId="1" fontId="26922" fillId="8" borderId="1" xfId="0" applyNumberFormat="1" applyFont="1" applyFill="1" applyBorder="1" applyAlignment="1">
      <alignment horizontal="center" vertical="center"/>
    </xf>
    <xf numFmtId="0" fontId="26923" fillId="8" borderId="1" xfId="0" applyNumberFormat="1" applyFont="1" applyFill="1" applyBorder="1" applyAlignment="1">
      <alignment horizontal="center" vertical="center"/>
    </xf>
    <xf numFmtId="0" fontId="26924" fillId="8" borderId="1" xfId="0" applyNumberFormat="1" applyFont="1" applyFill="1" applyBorder="1" applyAlignment="1">
      <alignment horizontal="center" vertical="center"/>
    </xf>
    <xf numFmtId="1" fontId="26925" fillId="8" borderId="1" xfId="0" applyNumberFormat="1" applyFont="1" applyFill="1" applyBorder="1" applyAlignment="1">
      <alignment horizontal="center" vertical="center"/>
    </xf>
    <xf numFmtId="1" fontId="26926" fillId="8" borderId="1" xfId="0" applyNumberFormat="1" applyFont="1" applyFill="1" applyBorder="1" applyAlignment="1">
      <alignment horizontal="center" vertical="center"/>
    </xf>
    <xf numFmtId="1" fontId="26927" fillId="8" borderId="1" xfId="0" applyNumberFormat="1" applyFont="1" applyFill="1" applyBorder="1" applyAlignment="1">
      <alignment horizontal="center" vertical="center"/>
    </xf>
    <xf numFmtId="165" fontId="26928" fillId="8" borderId="1" xfId="0" applyNumberFormat="1" applyFont="1" applyFill="1" applyBorder="1" applyAlignment="1">
      <alignment horizontal="center" vertical="center"/>
    </xf>
    <xf numFmtId="1" fontId="26929" fillId="8" borderId="1" xfId="0" applyNumberFormat="1" applyFont="1" applyFill="1" applyBorder="1" applyAlignment="1">
      <alignment horizontal="center" vertical="center"/>
    </xf>
    <xf numFmtId="165" fontId="26930" fillId="8" borderId="1" xfId="0" applyNumberFormat="1" applyFont="1" applyFill="1" applyBorder="1" applyAlignment="1">
      <alignment horizontal="center" vertical="center"/>
    </xf>
    <xf numFmtId="1" fontId="26931" fillId="8" borderId="1" xfId="0" applyNumberFormat="1" applyFont="1" applyFill="1" applyBorder="1" applyAlignment="1">
      <alignment horizontal="center" vertical="center"/>
    </xf>
    <xf numFmtId="165" fontId="26932" fillId="8" borderId="1" xfId="0" applyNumberFormat="1" applyFont="1" applyFill="1" applyBorder="1" applyAlignment="1">
      <alignment horizontal="center" vertical="center"/>
    </xf>
    <xf numFmtId="1" fontId="26933" fillId="8" borderId="1" xfId="0" applyNumberFormat="1" applyFont="1" applyFill="1" applyBorder="1" applyAlignment="1">
      <alignment horizontal="center" vertical="center"/>
    </xf>
    <xf numFmtId="165" fontId="26934" fillId="8" borderId="1" xfId="0" applyNumberFormat="1" applyFont="1" applyFill="1" applyBorder="1" applyAlignment="1">
      <alignment horizontal="center" vertical="center"/>
    </xf>
    <xf numFmtId="165" fontId="26935" fillId="8" borderId="1" xfId="0" applyNumberFormat="1" applyFont="1" applyFill="1" applyBorder="1" applyAlignment="1">
      <alignment horizontal="center" vertical="center"/>
    </xf>
    <xf numFmtId="1" fontId="26936" fillId="8" borderId="1" xfId="0" applyNumberFormat="1" applyFont="1" applyFill="1" applyBorder="1" applyAlignment="1">
      <alignment horizontal="center" vertical="center"/>
    </xf>
    <xf numFmtId="1" fontId="26937" fillId="8" borderId="1" xfId="0" applyNumberFormat="1" applyFont="1" applyFill="1" applyBorder="1" applyAlignment="1">
      <alignment horizontal="center" vertical="center"/>
    </xf>
    <xf numFmtId="1" fontId="26938" fillId="8" borderId="1" xfId="0" applyNumberFormat="1" applyFont="1" applyFill="1" applyBorder="1" applyAlignment="1">
      <alignment horizontal="center" vertical="center"/>
    </xf>
    <xf numFmtId="165" fontId="26939" fillId="8" borderId="1" xfId="0" applyNumberFormat="1" applyFont="1" applyFill="1" applyBorder="1" applyAlignment="1">
      <alignment horizontal="center" vertical="center"/>
    </xf>
    <xf numFmtId="164" fontId="26940" fillId="8" borderId="1" xfId="0" applyNumberFormat="1" applyFont="1" applyFill="1" applyBorder="1" applyAlignment="1">
      <alignment horizontal="center" vertical="center"/>
    </xf>
    <xf numFmtId="164" fontId="26941" fillId="8" borderId="1" xfId="0" applyNumberFormat="1" applyFont="1" applyFill="1" applyBorder="1" applyAlignment="1">
      <alignment horizontal="center" vertical="center"/>
    </xf>
    <xf numFmtId="1" fontId="26942" fillId="8" borderId="1" xfId="0" applyNumberFormat="1" applyFont="1" applyFill="1" applyBorder="1" applyAlignment="1">
      <alignment horizontal="center" vertical="center"/>
    </xf>
    <xf numFmtId="1" fontId="26943" fillId="8" borderId="1" xfId="0" applyNumberFormat="1" applyFont="1" applyFill="1" applyBorder="1" applyAlignment="1">
      <alignment horizontal="center" vertical="center"/>
    </xf>
    <xf numFmtId="1" fontId="26944" fillId="8" borderId="1" xfId="0" applyNumberFormat="1" applyFont="1" applyFill="1" applyBorder="1" applyAlignment="1">
      <alignment horizontal="center" vertical="center"/>
    </xf>
    <xf numFmtId="165" fontId="26945" fillId="8" borderId="1" xfId="0" applyNumberFormat="1" applyFont="1" applyFill="1" applyBorder="1" applyAlignment="1">
      <alignment horizontal="center" vertical="center"/>
    </xf>
    <xf numFmtId="1" fontId="26946" fillId="8" borderId="1" xfId="0" applyNumberFormat="1" applyFont="1" applyFill="1" applyBorder="1" applyAlignment="1">
      <alignment horizontal="center" vertical="center"/>
    </xf>
    <xf numFmtId="165" fontId="26947" fillId="8" borderId="1" xfId="0" applyNumberFormat="1" applyFont="1" applyFill="1" applyBorder="1" applyAlignment="1">
      <alignment horizontal="center" vertical="center"/>
    </xf>
    <xf numFmtId="1" fontId="26948" fillId="8" borderId="1" xfId="0" applyNumberFormat="1" applyFont="1" applyFill="1" applyBorder="1" applyAlignment="1">
      <alignment horizontal="center" vertical="center"/>
    </xf>
    <xf numFmtId="1" fontId="26949" fillId="8" borderId="1" xfId="0" applyNumberFormat="1" applyFont="1" applyFill="1" applyBorder="1" applyAlignment="1">
      <alignment horizontal="center" vertical="center"/>
    </xf>
    <xf numFmtId="1" fontId="26950" fillId="8" borderId="1" xfId="0" applyNumberFormat="1" applyFont="1" applyFill="1" applyBorder="1" applyAlignment="1">
      <alignment horizontal="center" vertical="center"/>
    </xf>
    <xf numFmtId="1" fontId="26951" fillId="8" borderId="1" xfId="0" applyNumberFormat="1" applyFont="1" applyFill="1" applyBorder="1" applyAlignment="1">
      <alignment horizontal="center" vertical="center"/>
    </xf>
    <xf numFmtId="165" fontId="26952" fillId="8" borderId="1" xfId="0" applyNumberFormat="1" applyFont="1" applyFill="1" applyBorder="1" applyAlignment="1">
      <alignment horizontal="center" vertical="center"/>
    </xf>
    <xf numFmtId="1" fontId="26953" fillId="8" borderId="1" xfId="0" applyNumberFormat="1" applyFont="1" applyFill="1" applyBorder="1" applyAlignment="1">
      <alignment horizontal="center" vertical="center"/>
    </xf>
    <xf numFmtId="165" fontId="26954" fillId="8" borderId="1" xfId="0" applyNumberFormat="1" applyFont="1" applyFill="1" applyBorder="1" applyAlignment="1">
      <alignment horizontal="center" vertical="center"/>
    </xf>
    <xf numFmtId="1" fontId="26955" fillId="8" borderId="1" xfId="0" applyNumberFormat="1" applyFont="1" applyFill="1" applyBorder="1" applyAlignment="1">
      <alignment horizontal="center" vertical="center"/>
    </xf>
    <xf numFmtId="165" fontId="26956" fillId="8" borderId="1" xfId="0" applyNumberFormat="1" applyFont="1" applyFill="1" applyBorder="1" applyAlignment="1">
      <alignment horizontal="center" vertical="center"/>
    </xf>
    <xf numFmtId="2" fontId="26957" fillId="8" borderId="1" xfId="0" applyNumberFormat="1" applyFont="1" applyFill="1" applyBorder="1" applyAlignment="1">
      <alignment horizontal="center" vertical="center"/>
    </xf>
    <xf numFmtId="2" fontId="26958" fillId="8" borderId="1" xfId="0" applyNumberFormat="1" applyFont="1" applyFill="1" applyBorder="1" applyAlignment="1">
      <alignment horizontal="center" vertical="center"/>
    </xf>
    <xf numFmtId="2" fontId="26959" fillId="8" borderId="1" xfId="0" applyNumberFormat="1" applyFont="1" applyFill="1" applyBorder="1" applyAlignment="1">
      <alignment horizontal="center" vertical="center"/>
    </xf>
    <xf numFmtId="2" fontId="26960" fillId="8" borderId="1" xfId="0" applyNumberFormat="1" applyFont="1" applyFill="1" applyBorder="1" applyAlignment="1">
      <alignment horizontal="center" vertical="center"/>
    </xf>
    <xf numFmtId="2" fontId="26961" fillId="8" borderId="1" xfId="0" applyNumberFormat="1" applyFont="1" applyFill="1" applyBorder="1" applyAlignment="1">
      <alignment horizontal="center" vertical="center"/>
    </xf>
    <xf numFmtId="2" fontId="26962" fillId="8" borderId="1" xfId="0" applyNumberFormat="1" applyFont="1" applyFill="1" applyBorder="1" applyAlignment="1">
      <alignment horizontal="center" vertical="center"/>
    </xf>
    <xf numFmtId="2" fontId="26963" fillId="8" borderId="1" xfId="0" applyNumberFormat="1" applyFont="1" applyFill="1" applyBorder="1" applyAlignment="1">
      <alignment horizontal="center" vertical="center"/>
    </xf>
    <xf numFmtId="2" fontId="26964" fillId="8" borderId="1" xfId="0" applyNumberFormat="1" applyFont="1" applyFill="1" applyBorder="1" applyAlignment="1">
      <alignment horizontal="center" vertical="center"/>
    </xf>
    <xf numFmtId="2" fontId="26965" fillId="8" borderId="1" xfId="0" applyNumberFormat="1" applyFont="1" applyFill="1" applyBorder="1" applyAlignment="1">
      <alignment horizontal="center" vertical="center"/>
    </xf>
    <xf numFmtId="2" fontId="26966" fillId="8" borderId="1" xfId="0" applyNumberFormat="1" applyFont="1" applyFill="1" applyBorder="1" applyAlignment="1">
      <alignment horizontal="center" vertical="center"/>
    </xf>
    <xf numFmtId="2" fontId="26967" fillId="8" borderId="1" xfId="0" applyNumberFormat="1" applyFont="1" applyFill="1" applyBorder="1" applyAlignment="1">
      <alignment horizontal="center" vertical="center"/>
    </xf>
    <xf numFmtId="2" fontId="26968" fillId="8" borderId="1" xfId="0" applyNumberFormat="1" applyFont="1" applyFill="1" applyBorder="1" applyAlignment="1">
      <alignment horizontal="center" vertical="center"/>
    </xf>
    <xf numFmtId="2" fontId="26969" fillId="8" borderId="1" xfId="0" applyNumberFormat="1" applyFont="1" applyFill="1" applyBorder="1" applyAlignment="1">
      <alignment horizontal="center" vertical="center"/>
    </xf>
    <xf numFmtId="2" fontId="26970" fillId="8" borderId="1" xfId="0" applyNumberFormat="1" applyFont="1" applyFill="1" applyBorder="1" applyAlignment="1">
      <alignment horizontal="center" vertical="center"/>
    </xf>
    <xf numFmtId="2" fontId="26971" fillId="8" borderId="1" xfId="0" applyNumberFormat="1" applyFont="1" applyFill="1" applyBorder="1" applyAlignment="1">
      <alignment horizontal="center" vertical="center"/>
    </xf>
    <xf numFmtId="2" fontId="26972" fillId="8" borderId="1" xfId="0" applyNumberFormat="1" applyFont="1" applyFill="1" applyBorder="1" applyAlignment="1">
      <alignment horizontal="center" vertical="center"/>
    </xf>
    <xf numFmtId="2" fontId="26973" fillId="8" borderId="1" xfId="0" applyNumberFormat="1" applyFont="1" applyFill="1" applyBorder="1" applyAlignment="1">
      <alignment horizontal="center" vertical="center"/>
    </xf>
    <xf numFmtId="2" fontId="26974" fillId="8" borderId="1" xfId="0" applyNumberFormat="1" applyFont="1" applyFill="1" applyBorder="1" applyAlignment="1">
      <alignment horizontal="center" vertical="center"/>
    </xf>
    <xf numFmtId="2" fontId="26975" fillId="8" borderId="1" xfId="0" applyNumberFormat="1" applyFont="1" applyFill="1" applyBorder="1" applyAlignment="1">
      <alignment horizontal="center" vertical="center"/>
    </xf>
    <xf numFmtId="2" fontId="26976" fillId="8" borderId="1" xfId="0" applyNumberFormat="1" applyFont="1" applyFill="1" applyBorder="1" applyAlignment="1">
      <alignment horizontal="center" vertical="center"/>
    </xf>
    <xf numFmtId="2" fontId="26977" fillId="8" borderId="1" xfId="0" applyNumberFormat="1" applyFont="1" applyFill="1" applyBorder="1" applyAlignment="1">
      <alignment horizontal="center" vertical="center"/>
    </xf>
    <xf numFmtId="2" fontId="26978" fillId="8" borderId="1" xfId="0" applyNumberFormat="1" applyFont="1" applyFill="1" applyBorder="1" applyAlignment="1">
      <alignment horizontal="center" vertical="center"/>
    </xf>
    <xf numFmtId="2" fontId="26979" fillId="8" borderId="1" xfId="0" applyNumberFormat="1" applyFont="1" applyFill="1" applyBorder="1" applyAlignment="1">
      <alignment horizontal="center" vertical="center"/>
    </xf>
    <xf numFmtId="2" fontId="26980" fillId="8" borderId="1" xfId="0" applyNumberFormat="1" applyFont="1" applyFill="1" applyBorder="1" applyAlignment="1">
      <alignment horizontal="center" vertical="center"/>
    </xf>
    <xf numFmtId="2" fontId="26981" fillId="8" borderId="1" xfId="0" applyNumberFormat="1" applyFont="1" applyFill="1" applyBorder="1" applyAlignment="1">
      <alignment horizontal="center" vertical="center"/>
    </xf>
    <xf numFmtId="2" fontId="26982" fillId="8" borderId="1" xfId="0" applyNumberFormat="1" applyFont="1" applyFill="1" applyBorder="1" applyAlignment="1">
      <alignment horizontal="center" vertical="center"/>
    </xf>
    <xf numFmtId="2" fontId="26983" fillId="8" borderId="1" xfId="0" applyNumberFormat="1" applyFont="1" applyFill="1" applyBorder="1" applyAlignment="1">
      <alignment horizontal="center" vertical="center"/>
    </xf>
    <xf numFmtId="2" fontId="26984" fillId="8" borderId="1" xfId="0" applyNumberFormat="1" applyFont="1" applyFill="1" applyBorder="1" applyAlignment="1">
      <alignment horizontal="center" vertical="center"/>
    </xf>
    <xf numFmtId="2" fontId="26985" fillId="8" borderId="1" xfId="0" applyNumberFormat="1" applyFont="1" applyFill="1" applyBorder="1" applyAlignment="1">
      <alignment horizontal="center" vertical="center"/>
    </xf>
    <xf numFmtId="2" fontId="26986" fillId="8" borderId="1" xfId="0" applyNumberFormat="1" applyFont="1" applyFill="1" applyBorder="1" applyAlignment="1">
      <alignment horizontal="center" vertical="center"/>
    </xf>
    <xf numFmtId="2" fontId="26987" fillId="8" borderId="1" xfId="0" applyNumberFormat="1" applyFont="1" applyFill="1" applyBorder="1" applyAlignment="1">
      <alignment horizontal="center" vertical="center"/>
    </xf>
    <xf numFmtId="2" fontId="26988" fillId="8" borderId="1" xfId="0" applyNumberFormat="1" applyFont="1" applyFill="1" applyBorder="1" applyAlignment="1">
      <alignment horizontal="center" vertical="center"/>
    </xf>
    <xf numFmtId="2" fontId="26989" fillId="8" borderId="1" xfId="0" applyNumberFormat="1" applyFont="1" applyFill="1" applyBorder="1" applyAlignment="1">
      <alignment horizontal="center" vertical="center"/>
    </xf>
    <xf numFmtId="2" fontId="26990" fillId="8" borderId="1" xfId="0" applyNumberFormat="1" applyFont="1" applyFill="1" applyBorder="1" applyAlignment="1">
      <alignment horizontal="center" vertical="center"/>
    </xf>
    <xf numFmtId="0" fontId="26991" fillId="7" borderId="1" xfId="0" applyNumberFormat="1" applyFont="1" applyFill="1" applyBorder="1" applyAlignment="1">
      <alignment horizontal="left" vertical="center"/>
    </xf>
    <xf numFmtId="0" fontId="26992" fillId="8" borderId="1" xfId="0" applyNumberFormat="1" applyFont="1" applyFill="1" applyBorder="1" applyAlignment="1">
      <alignment horizontal="center" vertical="center"/>
    </xf>
    <xf numFmtId="164" fontId="26993" fillId="8" borderId="1" xfId="0" applyNumberFormat="1" applyFont="1" applyFill="1" applyBorder="1" applyAlignment="1">
      <alignment horizontal="center" vertical="center"/>
    </xf>
    <xf numFmtId="1" fontId="26994" fillId="8" borderId="1" xfId="0" applyNumberFormat="1" applyFont="1" applyFill="1" applyBorder="1" applyAlignment="1">
      <alignment horizontal="center" vertical="center"/>
    </xf>
    <xf numFmtId="1" fontId="26995" fillId="8" borderId="1" xfId="0" applyNumberFormat="1" applyFont="1" applyFill="1" applyBorder="1" applyAlignment="1">
      <alignment horizontal="center" vertical="center"/>
    </xf>
    <xf numFmtId="1" fontId="26996" fillId="8" borderId="1" xfId="0" applyNumberFormat="1" applyFont="1" applyFill="1" applyBorder="1" applyAlignment="1">
      <alignment horizontal="center" vertical="center"/>
    </xf>
    <xf numFmtId="1" fontId="26997" fillId="8" borderId="1" xfId="0" applyNumberFormat="1" applyFont="1" applyFill="1" applyBorder="1" applyAlignment="1">
      <alignment horizontal="center" vertical="center"/>
    </xf>
    <xf numFmtId="1" fontId="26998" fillId="8" borderId="1" xfId="0" applyNumberFormat="1" applyFont="1" applyFill="1" applyBorder="1" applyAlignment="1">
      <alignment horizontal="center" vertical="center"/>
    </xf>
    <xf numFmtId="1" fontId="26999" fillId="8" borderId="1" xfId="0" applyNumberFormat="1" applyFont="1" applyFill="1" applyBorder="1" applyAlignment="1">
      <alignment horizontal="center" vertical="center"/>
    </xf>
    <xf numFmtId="1" fontId="27000" fillId="8" borderId="1" xfId="0" applyNumberFormat="1" applyFont="1" applyFill="1" applyBorder="1" applyAlignment="1">
      <alignment horizontal="center" vertical="center"/>
    </xf>
    <xf numFmtId="0" fontId="27001" fillId="8" borderId="1" xfId="0" applyNumberFormat="1" applyFont="1" applyFill="1" applyBorder="1" applyAlignment="1">
      <alignment horizontal="center" vertical="center"/>
    </xf>
    <xf numFmtId="0" fontId="27002" fillId="8" borderId="1" xfId="0" applyNumberFormat="1" applyFont="1" applyFill="1" applyBorder="1" applyAlignment="1">
      <alignment horizontal="center" vertical="center"/>
    </xf>
    <xf numFmtId="1" fontId="27003" fillId="8" borderId="1" xfId="0" applyNumberFormat="1" applyFont="1" applyFill="1" applyBorder="1" applyAlignment="1">
      <alignment horizontal="center" vertical="center"/>
    </xf>
    <xf numFmtId="1" fontId="27004" fillId="8" borderId="1" xfId="0" applyNumberFormat="1" applyFont="1" applyFill="1" applyBorder="1" applyAlignment="1">
      <alignment horizontal="center" vertical="center"/>
    </xf>
    <xf numFmtId="1" fontId="27005" fillId="8" borderId="1" xfId="0" applyNumberFormat="1" applyFont="1" applyFill="1" applyBorder="1" applyAlignment="1">
      <alignment horizontal="center" vertical="center"/>
    </xf>
    <xf numFmtId="165" fontId="27006" fillId="8" borderId="1" xfId="0" applyNumberFormat="1" applyFont="1" applyFill="1" applyBorder="1" applyAlignment="1">
      <alignment horizontal="center" vertical="center"/>
    </xf>
    <xf numFmtId="1" fontId="27007" fillId="8" borderId="1" xfId="0" applyNumberFormat="1" applyFont="1" applyFill="1" applyBorder="1" applyAlignment="1">
      <alignment horizontal="center" vertical="center"/>
    </xf>
    <xf numFmtId="165" fontId="27008" fillId="8" borderId="1" xfId="0" applyNumberFormat="1" applyFont="1" applyFill="1" applyBorder="1" applyAlignment="1">
      <alignment horizontal="center" vertical="center"/>
    </xf>
    <xf numFmtId="1" fontId="27009" fillId="8" borderId="1" xfId="0" applyNumberFormat="1" applyFont="1" applyFill="1" applyBorder="1" applyAlignment="1">
      <alignment horizontal="center" vertical="center"/>
    </xf>
    <xf numFmtId="165" fontId="27010" fillId="8" borderId="1" xfId="0" applyNumberFormat="1" applyFont="1" applyFill="1" applyBorder="1" applyAlignment="1">
      <alignment horizontal="center" vertical="center"/>
    </xf>
    <xf numFmtId="1" fontId="27011" fillId="8" borderId="1" xfId="0" applyNumberFormat="1" applyFont="1" applyFill="1" applyBorder="1" applyAlignment="1">
      <alignment horizontal="center" vertical="center"/>
    </xf>
    <xf numFmtId="165" fontId="27012" fillId="8" borderId="1" xfId="0" applyNumberFormat="1" applyFont="1" applyFill="1" applyBorder="1" applyAlignment="1">
      <alignment horizontal="center" vertical="center"/>
    </xf>
    <xf numFmtId="165" fontId="27013" fillId="8" borderId="1" xfId="0" applyNumberFormat="1" applyFont="1" applyFill="1" applyBorder="1" applyAlignment="1">
      <alignment horizontal="center" vertical="center"/>
    </xf>
    <xf numFmtId="1" fontId="27014" fillId="8" borderId="1" xfId="0" applyNumberFormat="1" applyFont="1" applyFill="1" applyBorder="1" applyAlignment="1">
      <alignment horizontal="center" vertical="center"/>
    </xf>
    <xf numFmtId="1" fontId="27015" fillId="8" borderId="1" xfId="0" applyNumberFormat="1" applyFont="1" applyFill="1" applyBorder="1" applyAlignment="1">
      <alignment horizontal="center" vertical="center"/>
    </xf>
    <xf numFmtId="1" fontId="27016" fillId="8" borderId="1" xfId="0" applyNumberFormat="1" applyFont="1" applyFill="1" applyBorder="1" applyAlignment="1">
      <alignment horizontal="center" vertical="center"/>
    </xf>
    <xf numFmtId="165" fontId="27017" fillId="8" borderId="1" xfId="0" applyNumberFormat="1" applyFont="1" applyFill="1" applyBorder="1" applyAlignment="1">
      <alignment horizontal="center" vertical="center"/>
    </xf>
    <xf numFmtId="164" fontId="27018" fillId="8" borderId="1" xfId="0" applyNumberFormat="1" applyFont="1" applyFill="1" applyBorder="1" applyAlignment="1">
      <alignment horizontal="center" vertical="center"/>
    </xf>
    <xf numFmtId="164" fontId="27019" fillId="8" borderId="1" xfId="0" applyNumberFormat="1" applyFont="1" applyFill="1" applyBorder="1" applyAlignment="1">
      <alignment horizontal="center" vertical="center"/>
    </xf>
    <xf numFmtId="1" fontId="27020" fillId="8" borderId="1" xfId="0" applyNumberFormat="1" applyFont="1" applyFill="1" applyBorder="1" applyAlignment="1">
      <alignment horizontal="center" vertical="center"/>
    </xf>
    <xf numFmtId="1" fontId="27021" fillId="8" borderId="1" xfId="0" applyNumberFormat="1" applyFont="1" applyFill="1" applyBorder="1" applyAlignment="1">
      <alignment horizontal="center" vertical="center"/>
    </xf>
    <xf numFmtId="1" fontId="27022" fillId="8" borderId="1" xfId="0" applyNumberFormat="1" applyFont="1" applyFill="1" applyBorder="1" applyAlignment="1">
      <alignment horizontal="center" vertical="center"/>
    </xf>
    <xf numFmtId="165" fontId="27023" fillId="8" borderId="1" xfId="0" applyNumberFormat="1" applyFont="1" applyFill="1" applyBorder="1" applyAlignment="1">
      <alignment horizontal="center" vertical="center"/>
    </xf>
    <xf numFmtId="1" fontId="27024" fillId="8" borderId="1" xfId="0" applyNumberFormat="1" applyFont="1" applyFill="1" applyBorder="1" applyAlignment="1">
      <alignment horizontal="center" vertical="center"/>
    </xf>
    <xf numFmtId="165" fontId="27025" fillId="8" borderId="1" xfId="0" applyNumberFormat="1" applyFont="1" applyFill="1" applyBorder="1" applyAlignment="1">
      <alignment horizontal="center" vertical="center"/>
    </xf>
    <xf numFmtId="1" fontId="27026" fillId="8" borderId="1" xfId="0" applyNumberFormat="1" applyFont="1" applyFill="1" applyBorder="1" applyAlignment="1">
      <alignment horizontal="center" vertical="center"/>
    </xf>
    <xf numFmtId="1" fontId="27027" fillId="8" borderId="1" xfId="0" applyNumberFormat="1" applyFont="1" applyFill="1" applyBorder="1" applyAlignment="1">
      <alignment horizontal="center" vertical="center"/>
    </xf>
    <xf numFmtId="1" fontId="27028" fillId="8" borderId="1" xfId="0" applyNumberFormat="1" applyFont="1" applyFill="1" applyBorder="1" applyAlignment="1">
      <alignment horizontal="center" vertical="center"/>
    </xf>
    <xf numFmtId="1" fontId="27029" fillId="8" borderId="1" xfId="0" applyNumberFormat="1" applyFont="1" applyFill="1" applyBorder="1" applyAlignment="1">
      <alignment horizontal="center" vertical="center"/>
    </xf>
    <xf numFmtId="165" fontId="27030" fillId="8" borderId="1" xfId="0" applyNumberFormat="1" applyFont="1" applyFill="1" applyBorder="1" applyAlignment="1">
      <alignment horizontal="center" vertical="center"/>
    </xf>
    <xf numFmtId="1" fontId="27031" fillId="8" borderId="1" xfId="0" applyNumberFormat="1" applyFont="1" applyFill="1" applyBorder="1" applyAlignment="1">
      <alignment horizontal="center" vertical="center"/>
    </xf>
    <xf numFmtId="165" fontId="27032" fillId="8" borderId="1" xfId="0" applyNumberFormat="1" applyFont="1" applyFill="1" applyBorder="1" applyAlignment="1">
      <alignment horizontal="center" vertical="center"/>
    </xf>
    <xf numFmtId="1" fontId="27033" fillId="8" borderId="1" xfId="0" applyNumberFormat="1" applyFont="1" applyFill="1" applyBorder="1" applyAlignment="1">
      <alignment horizontal="center" vertical="center"/>
    </xf>
    <xf numFmtId="165" fontId="27034" fillId="8" borderId="1" xfId="0" applyNumberFormat="1" applyFont="1" applyFill="1" applyBorder="1" applyAlignment="1">
      <alignment horizontal="center" vertical="center"/>
    </xf>
    <xf numFmtId="2" fontId="27035" fillId="8" borderId="1" xfId="0" applyNumberFormat="1" applyFont="1" applyFill="1" applyBorder="1" applyAlignment="1">
      <alignment horizontal="center" vertical="center"/>
    </xf>
    <xf numFmtId="2" fontId="27036" fillId="8" borderId="1" xfId="0" applyNumberFormat="1" applyFont="1" applyFill="1" applyBorder="1" applyAlignment="1">
      <alignment horizontal="center" vertical="center"/>
    </xf>
    <xf numFmtId="2" fontId="27037" fillId="8" borderId="1" xfId="0" applyNumberFormat="1" applyFont="1" applyFill="1" applyBorder="1" applyAlignment="1">
      <alignment horizontal="center" vertical="center"/>
    </xf>
    <xf numFmtId="2" fontId="27038" fillId="8" borderId="1" xfId="0" applyNumberFormat="1" applyFont="1" applyFill="1" applyBorder="1" applyAlignment="1">
      <alignment horizontal="center" vertical="center"/>
    </xf>
    <xf numFmtId="2" fontId="27039" fillId="8" borderId="1" xfId="0" applyNumberFormat="1" applyFont="1" applyFill="1" applyBorder="1" applyAlignment="1">
      <alignment horizontal="center" vertical="center"/>
    </xf>
    <xf numFmtId="2" fontId="27040" fillId="8" borderId="1" xfId="0" applyNumberFormat="1" applyFont="1" applyFill="1" applyBorder="1" applyAlignment="1">
      <alignment horizontal="center" vertical="center"/>
    </xf>
    <xf numFmtId="2" fontId="27041" fillId="8" borderId="1" xfId="0" applyNumberFormat="1" applyFont="1" applyFill="1" applyBorder="1" applyAlignment="1">
      <alignment horizontal="center" vertical="center"/>
    </xf>
    <xf numFmtId="2" fontId="27042" fillId="8" borderId="1" xfId="0" applyNumberFormat="1" applyFont="1" applyFill="1" applyBorder="1" applyAlignment="1">
      <alignment horizontal="center" vertical="center"/>
    </xf>
    <xf numFmtId="2" fontId="27043" fillId="8" borderId="1" xfId="0" applyNumberFormat="1" applyFont="1" applyFill="1" applyBorder="1" applyAlignment="1">
      <alignment horizontal="center" vertical="center"/>
    </xf>
    <xf numFmtId="2" fontId="27044" fillId="8" borderId="1" xfId="0" applyNumberFormat="1" applyFont="1" applyFill="1" applyBorder="1" applyAlignment="1">
      <alignment horizontal="center" vertical="center"/>
    </xf>
    <xf numFmtId="2" fontId="27045" fillId="8" borderId="1" xfId="0" applyNumberFormat="1" applyFont="1" applyFill="1" applyBorder="1" applyAlignment="1">
      <alignment horizontal="center" vertical="center"/>
    </xf>
    <xf numFmtId="2" fontId="27046" fillId="8" borderId="1" xfId="0" applyNumberFormat="1" applyFont="1" applyFill="1" applyBorder="1" applyAlignment="1">
      <alignment horizontal="center" vertical="center"/>
    </xf>
    <xf numFmtId="2" fontId="27047" fillId="8" borderId="1" xfId="0" applyNumberFormat="1" applyFont="1" applyFill="1" applyBorder="1" applyAlignment="1">
      <alignment horizontal="center" vertical="center"/>
    </xf>
    <xf numFmtId="2" fontId="27048" fillId="8" borderId="1" xfId="0" applyNumberFormat="1" applyFont="1" applyFill="1" applyBorder="1" applyAlignment="1">
      <alignment horizontal="center" vertical="center"/>
    </xf>
    <xf numFmtId="2" fontId="27049" fillId="8" borderId="1" xfId="0" applyNumberFormat="1" applyFont="1" applyFill="1" applyBorder="1" applyAlignment="1">
      <alignment horizontal="center" vertical="center"/>
    </xf>
    <xf numFmtId="2" fontId="27050" fillId="8" borderId="1" xfId="0" applyNumberFormat="1" applyFont="1" applyFill="1" applyBorder="1" applyAlignment="1">
      <alignment horizontal="center" vertical="center"/>
    </xf>
    <xf numFmtId="2" fontId="27051" fillId="8" borderId="1" xfId="0" applyNumberFormat="1" applyFont="1" applyFill="1" applyBorder="1" applyAlignment="1">
      <alignment horizontal="center" vertical="center"/>
    </xf>
    <xf numFmtId="2" fontId="27052" fillId="8" borderId="1" xfId="0" applyNumberFormat="1" applyFont="1" applyFill="1" applyBorder="1" applyAlignment="1">
      <alignment horizontal="center" vertical="center"/>
    </xf>
    <xf numFmtId="2" fontId="27053" fillId="8" borderId="1" xfId="0" applyNumberFormat="1" applyFont="1" applyFill="1" applyBorder="1" applyAlignment="1">
      <alignment horizontal="center" vertical="center"/>
    </xf>
    <xf numFmtId="2" fontId="27054" fillId="8" borderId="1" xfId="0" applyNumberFormat="1" applyFont="1" applyFill="1" applyBorder="1" applyAlignment="1">
      <alignment horizontal="center" vertical="center"/>
    </xf>
    <xf numFmtId="2" fontId="27055" fillId="8" borderId="1" xfId="0" applyNumberFormat="1" applyFont="1" applyFill="1" applyBorder="1" applyAlignment="1">
      <alignment horizontal="center" vertical="center"/>
    </xf>
    <xf numFmtId="2" fontId="27056" fillId="8" borderId="1" xfId="0" applyNumberFormat="1" applyFont="1" applyFill="1" applyBorder="1" applyAlignment="1">
      <alignment horizontal="center" vertical="center"/>
    </xf>
    <xf numFmtId="2" fontId="27057" fillId="8" borderId="1" xfId="0" applyNumberFormat="1" applyFont="1" applyFill="1" applyBorder="1" applyAlignment="1">
      <alignment horizontal="center" vertical="center"/>
    </xf>
    <xf numFmtId="2" fontId="27058" fillId="8" borderId="1" xfId="0" applyNumberFormat="1" applyFont="1" applyFill="1" applyBorder="1" applyAlignment="1">
      <alignment horizontal="center" vertical="center"/>
    </xf>
    <xf numFmtId="2" fontId="27059" fillId="8" borderId="1" xfId="0" applyNumberFormat="1" applyFont="1" applyFill="1" applyBorder="1" applyAlignment="1">
      <alignment horizontal="center" vertical="center"/>
    </xf>
    <xf numFmtId="2" fontId="27060" fillId="8" borderId="1" xfId="0" applyNumberFormat="1" applyFont="1" applyFill="1" applyBorder="1" applyAlignment="1">
      <alignment horizontal="center" vertical="center"/>
    </xf>
    <xf numFmtId="2" fontId="27061" fillId="8" borderId="1" xfId="0" applyNumberFormat="1" applyFont="1" applyFill="1" applyBorder="1" applyAlignment="1">
      <alignment horizontal="center" vertical="center"/>
    </xf>
    <xf numFmtId="2" fontId="27062" fillId="8" borderId="1" xfId="0" applyNumberFormat="1" applyFont="1" applyFill="1" applyBorder="1" applyAlignment="1">
      <alignment horizontal="center" vertical="center"/>
    </xf>
    <xf numFmtId="2" fontId="27063" fillId="8" borderId="1" xfId="0" applyNumberFormat="1" applyFont="1" applyFill="1" applyBorder="1" applyAlignment="1">
      <alignment horizontal="center" vertical="center"/>
    </xf>
    <xf numFmtId="2" fontId="27064" fillId="8" borderId="1" xfId="0" applyNumberFormat="1" applyFont="1" applyFill="1" applyBorder="1" applyAlignment="1">
      <alignment horizontal="center" vertical="center"/>
    </xf>
    <xf numFmtId="2" fontId="27065" fillId="8" borderId="1" xfId="0" applyNumberFormat="1" applyFont="1" applyFill="1" applyBorder="1" applyAlignment="1">
      <alignment horizontal="center" vertical="center"/>
    </xf>
    <xf numFmtId="2" fontId="27066" fillId="8" borderId="1" xfId="0" applyNumberFormat="1" applyFont="1" applyFill="1" applyBorder="1" applyAlignment="1">
      <alignment horizontal="center" vertical="center"/>
    </xf>
    <xf numFmtId="2" fontId="27067" fillId="8" borderId="1" xfId="0" applyNumberFormat="1" applyFont="1" applyFill="1" applyBorder="1" applyAlignment="1">
      <alignment horizontal="center" vertical="center"/>
    </xf>
    <xf numFmtId="2" fontId="27068" fillId="8" borderId="1" xfId="0" applyNumberFormat="1" applyFont="1" applyFill="1" applyBorder="1" applyAlignment="1">
      <alignment horizontal="center" vertical="center"/>
    </xf>
    <xf numFmtId="0" fontId="27069" fillId="7" borderId="1" xfId="0" applyNumberFormat="1" applyFont="1" applyFill="1" applyBorder="1" applyAlignment="1">
      <alignment horizontal="left" vertical="center"/>
    </xf>
    <xf numFmtId="0" fontId="27070" fillId="8" borderId="1" xfId="0" applyNumberFormat="1" applyFont="1" applyFill="1" applyBorder="1" applyAlignment="1">
      <alignment horizontal="center" vertical="center"/>
    </xf>
    <xf numFmtId="164" fontId="27071" fillId="8" borderId="1" xfId="0" applyNumberFormat="1" applyFont="1" applyFill="1" applyBorder="1" applyAlignment="1">
      <alignment horizontal="center" vertical="center"/>
    </xf>
    <xf numFmtId="1" fontId="27072" fillId="8" borderId="1" xfId="0" applyNumberFormat="1" applyFont="1" applyFill="1" applyBorder="1" applyAlignment="1">
      <alignment horizontal="center" vertical="center"/>
    </xf>
    <xf numFmtId="1" fontId="27073" fillId="8" borderId="1" xfId="0" applyNumberFormat="1" applyFont="1" applyFill="1" applyBorder="1" applyAlignment="1">
      <alignment horizontal="center" vertical="center"/>
    </xf>
    <xf numFmtId="1" fontId="27074" fillId="8" borderId="1" xfId="0" applyNumberFormat="1" applyFont="1" applyFill="1" applyBorder="1" applyAlignment="1">
      <alignment horizontal="center" vertical="center"/>
    </xf>
    <xf numFmtId="1" fontId="27075" fillId="8" borderId="1" xfId="0" applyNumberFormat="1" applyFont="1" applyFill="1" applyBorder="1" applyAlignment="1">
      <alignment horizontal="center" vertical="center"/>
    </xf>
    <xf numFmtId="1" fontId="27076" fillId="8" borderId="1" xfId="0" applyNumberFormat="1" applyFont="1" applyFill="1" applyBorder="1" applyAlignment="1">
      <alignment horizontal="center" vertical="center"/>
    </xf>
    <xf numFmtId="1" fontId="27077" fillId="8" borderId="1" xfId="0" applyNumberFormat="1" applyFont="1" applyFill="1" applyBorder="1" applyAlignment="1">
      <alignment horizontal="center" vertical="center"/>
    </xf>
    <xf numFmtId="1" fontId="27078" fillId="8" borderId="1" xfId="0" applyNumberFormat="1" applyFont="1" applyFill="1" applyBorder="1" applyAlignment="1">
      <alignment horizontal="center" vertical="center"/>
    </xf>
    <xf numFmtId="0" fontId="27079" fillId="8" borderId="1" xfId="0" applyNumberFormat="1" applyFont="1" applyFill="1" applyBorder="1" applyAlignment="1">
      <alignment horizontal="center" vertical="center"/>
    </xf>
    <xf numFmtId="0" fontId="27080" fillId="8" borderId="1" xfId="0" applyNumberFormat="1" applyFont="1" applyFill="1" applyBorder="1" applyAlignment="1">
      <alignment horizontal="center" vertical="center"/>
    </xf>
    <xf numFmtId="1" fontId="27081" fillId="8" borderId="1" xfId="0" applyNumberFormat="1" applyFont="1" applyFill="1" applyBorder="1" applyAlignment="1">
      <alignment horizontal="center" vertical="center"/>
    </xf>
    <xf numFmtId="1" fontId="27082" fillId="8" borderId="1" xfId="0" applyNumberFormat="1" applyFont="1" applyFill="1" applyBorder="1" applyAlignment="1">
      <alignment horizontal="center" vertical="center"/>
    </xf>
    <xf numFmtId="1" fontId="27083" fillId="8" borderId="1" xfId="0" applyNumberFormat="1" applyFont="1" applyFill="1" applyBorder="1" applyAlignment="1">
      <alignment horizontal="center" vertical="center"/>
    </xf>
    <xf numFmtId="165" fontId="27084" fillId="8" borderId="1" xfId="0" applyNumberFormat="1" applyFont="1" applyFill="1" applyBorder="1" applyAlignment="1">
      <alignment horizontal="center" vertical="center"/>
    </xf>
    <xf numFmtId="1" fontId="27085" fillId="8" borderId="1" xfId="0" applyNumberFormat="1" applyFont="1" applyFill="1" applyBorder="1" applyAlignment="1">
      <alignment horizontal="center" vertical="center"/>
    </xf>
    <xf numFmtId="165" fontId="27086" fillId="8" borderId="1" xfId="0" applyNumberFormat="1" applyFont="1" applyFill="1" applyBorder="1" applyAlignment="1">
      <alignment horizontal="center" vertical="center"/>
    </xf>
    <xf numFmtId="1" fontId="27087" fillId="8" borderId="1" xfId="0" applyNumberFormat="1" applyFont="1" applyFill="1" applyBorder="1" applyAlignment="1">
      <alignment horizontal="center" vertical="center"/>
    </xf>
    <xf numFmtId="165" fontId="27088" fillId="8" borderId="1" xfId="0" applyNumberFormat="1" applyFont="1" applyFill="1" applyBorder="1" applyAlignment="1">
      <alignment horizontal="center" vertical="center"/>
    </xf>
    <xf numFmtId="1" fontId="27089" fillId="8" borderId="1" xfId="0" applyNumberFormat="1" applyFont="1" applyFill="1" applyBorder="1" applyAlignment="1">
      <alignment horizontal="center" vertical="center"/>
    </xf>
    <xf numFmtId="165" fontId="27090" fillId="8" borderId="1" xfId="0" applyNumberFormat="1" applyFont="1" applyFill="1" applyBorder="1" applyAlignment="1">
      <alignment horizontal="center" vertical="center"/>
    </xf>
    <xf numFmtId="165" fontId="27091" fillId="8" borderId="1" xfId="0" applyNumberFormat="1" applyFont="1" applyFill="1" applyBorder="1" applyAlignment="1">
      <alignment horizontal="center" vertical="center"/>
    </xf>
    <xf numFmtId="1" fontId="27092" fillId="8" borderId="1" xfId="0" applyNumberFormat="1" applyFont="1" applyFill="1" applyBorder="1" applyAlignment="1">
      <alignment horizontal="center" vertical="center"/>
    </xf>
    <xf numFmtId="1" fontId="27093" fillId="8" borderId="1" xfId="0" applyNumberFormat="1" applyFont="1" applyFill="1" applyBorder="1" applyAlignment="1">
      <alignment horizontal="center" vertical="center"/>
    </xf>
    <xf numFmtId="1" fontId="27094" fillId="8" borderId="1" xfId="0" applyNumberFormat="1" applyFont="1" applyFill="1" applyBorder="1" applyAlignment="1">
      <alignment horizontal="center" vertical="center"/>
    </xf>
    <xf numFmtId="165" fontId="27095" fillId="8" borderId="1" xfId="0" applyNumberFormat="1" applyFont="1" applyFill="1" applyBorder="1" applyAlignment="1">
      <alignment horizontal="center" vertical="center"/>
    </xf>
    <xf numFmtId="164" fontId="27096" fillId="8" borderId="1" xfId="0" applyNumberFormat="1" applyFont="1" applyFill="1" applyBorder="1" applyAlignment="1">
      <alignment horizontal="center" vertical="center"/>
    </xf>
    <xf numFmtId="164" fontId="27097" fillId="8" borderId="1" xfId="0" applyNumberFormat="1" applyFont="1" applyFill="1" applyBorder="1" applyAlignment="1">
      <alignment horizontal="center" vertical="center"/>
    </xf>
    <xf numFmtId="1" fontId="27098" fillId="8" borderId="1" xfId="0" applyNumberFormat="1" applyFont="1" applyFill="1" applyBorder="1" applyAlignment="1">
      <alignment horizontal="center" vertical="center"/>
    </xf>
    <xf numFmtId="1" fontId="27099" fillId="8" borderId="1" xfId="0" applyNumberFormat="1" applyFont="1" applyFill="1" applyBorder="1" applyAlignment="1">
      <alignment horizontal="center" vertical="center"/>
    </xf>
    <xf numFmtId="1" fontId="27100" fillId="8" borderId="1" xfId="0" applyNumberFormat="1" applyFont="1" applyFill="1" applyBorder="1" applyAlignment="1">
      <alignment horizontal="center" vertical="center"/>
    </xf>
    <xf numFmtId="165" fontId="27101" fillId="8" borderId="1" xfId="0" applyNumberFormat="1" applyFont="1" applyFill="1" applyBorder="1" applyAlignment="1">
      <alignment horizontal="center" vertical="center"/>
    </xf>
    <xf numFmtId="1" fontId="27102" fillId="8" borderId="1" xfId="0" applyNumberFormat="1" applyFont="1" applyFill="1" applyBorder="1" applyAlignment="1">
      <alignment horizontal="center" vertical="center"/>
    </xf>
    <xf numFmtId="165" fontId="27103" fillId="8" borderId="1" xfId="0" applyNumberFormat="1" applyFont="1" applyFill="1" applyBorder="1" applyAlignment="1">
      <alignment horizontal="center" vertical="center"/>
    </xf>
    <xf numFmtId="1" fontId="27104" fillId="8" borderId="1" xfId="0" applyNumberFormat="1" applyFont="1" applyFill="1" applyBorder="1" applyAlignment="1">
      <alignment horizontal="center" vertical="center"/>
    </xf>
    <xf numFmtId="1" fontId="27105" fillId="8" borderId="1" xfId="0" applyNumberFormat="1" applyFont="1" applyFill="1" applyBorder="1" applyAlignment="1">
      <alignment horizontal="center" vertical="center"/>
    </xf>
    <xf numFmtId="1" fontId="27106" fillId="8" borderId="1" xfId="0" applyNumberFormat="1" applyFont="1" applyFill="1" applyBorder="1" applyAlignment="1">
      <alignment horizontal="center" vertical="center"/>
    </xf>
    <xf numFmtId="1" fontId="27107" fillId="8" borderId="1" xfId="0" applyNumberFormat="1" applyFont="1" applyFill="1" applyBorder="1" applyAlignment="1">
      <alignment horizontal="center" vertical="center"/>
    </xf>
    <xf numFmtId="165" fontId="27108" fillId="8" borderId="1" xfId="0" applyNumberFormat="1" applyFont="1" applyFill="1" applyBorder="1" applyAlignment="1">
      <alignment horizontal="center" vertical="center"/>
    </xf>
    <xf numFmtId="1" fontId="27109" fillId="8" borderId="1" xfId="0" applyNumberFormat="1" applyFont="1" applyFill="1" applyBorder="1" applyAlignment="1">
      <alignment horizontal="center" vertical="center"/>
    </xf>
    <xf numFmtId="165" fontId="27110" fillId="8" borderId="1" xfId="0" applyNumberFormat="1" applyFont="1" applyFill="1" applyBorder="1" applyAlignment="1">
      <alignment horizontal="center" vertical="center"/>
    </xf>
    <xf numFmtId="1" fontId="27111" fillId="8" borderId="1" xfId="0" applyNumberFormat="1" applyFont="1" applyFill="1" applyBorder="1" applyAlignment="1">
      <alignment horizontal="center" vertical="center"/>
    </xf>
    <xf numFmtId="165" fontId="27112" fillId="8" borderId="1" xfId="0" applyNumberFormat="1" applyFont="1" applyFill="1" applyBorder="1" applyAlignment="1">
      <alignment horizontal="center" vertical="center"/>
    </xf>
    <xf numFmtId="2" fontId="27113" fillId="8" borderId="1" xfId="0" applyNumberFormat="1" applyFont="1" applyFill="1" applyBorder="1" applyAlignment="1">
      <alignment horizontal="center" vertical="center"/>
    </xf>
    <xf numFmtId="2" fontId="27114" fillId="8" borderId="1" xfId="0" applyNumberFormat="1" applyFont="1" applyFill="1" applyBorder="1" applyAlignment="1">
      <alignment horizontal="center" vertical="center"/>
    </xf>
    <xf numFmtId="2" fontId="27115" fillId="8" borderId="1" xfId="0" applyNumberFormat="1" applyFont="1" applyFill="1" applyBorder="1" applyAlignment="1">
      <alignment horizontal="center" vertical="center"/>
    </xf>
    <xf numFmtId="2" fontId="27116" fillId="8" borderId="1" xfId="0" applyNumberFormat="1" applyFont="1" applyFill="1" applyBorder="1" applyAlignment="1">
      <alignment horizontal="center" vertical="center"/>
    </xf>
    <xf numFmtId="2" fontId="27117" fillId="8" borderId="1" xfId="0" applyNumberFormat="1" applyFont="1" applyFill="1" applyBorder="1" applyAlignment="1">
      <alignment horizontal="center" vertical="center"/>
    </xf>
    <xf numFmtId="2" fontId="27118" fillId="8" borderId="1" xfId="0" applyNumberFormat="1" applyFont="1" applyFill="1" applyBorder="1" applyAlignment="1">
      <alignment horizontal="center" vertical="center"/>
    </xf>
    <xf numFmtId="2" fontId="27119" fillId="8" borderId="1" xfId="0" applyNumberFormat="1" applyFont="1" applyFill="1" applyBorder="1" applyAlignment="1">
      <alignment horizontal="center" vertical="center"/>
    </xf>
    <xf numFmtId="2" fontId="27120" fillId="8" borderId="1" xfId="0" applyNumberFormat="1" applyFont="1" applyFill="1" applyBorder="1" applyAlignment="1">
      <alignment horizontal="center" vertical="center"/>
    </xf>
    <xf numFmtId="2" fontId="27121" fillId="8" borderId="1" xfId="0" applyNumberFormat="1" applyFont="1" applyFill="1" applyBorder="1" applyAlignment="1">
      <alignment horizontal="center" vertical="center"/>
    </xf>
    <xf numFmtId="2" fontId="27122" fillId="8" borderId="1" xfId="0" applyNumberFormat="1" applyFont="1" applyFill="1" applyBorder="1" applyAlignment="1">
      <alignment horizontal="center" vertical="center"/>
    </xf>
    <xf numFmtId="2" fontId="27123" fillId="8" borderId="1" xfId="0" applyNumberFormat="1" applyFont="1" applyFill="1" applyBorder="1" applyAlignment="1">
      <alignment horizontal="center" vertical="center"/>
    </xf>
    <xf numFmtId="2" fontId="27124" fillId="8" borderId="1" xfId="0" applyNumberFormat="1" applyFont="1" applyFill="1" applyBorder="1" applyAlignment="1">
      <alignment horizontal="center" vertical="center"/>
    </xf>
    <xf numFmtId="2" fontId="27125" fillId="8" borderId="1" xfId="0" applyNumberFormat="1" applyFont="1" applyFill="1" applyBorder="1" applyAlignment="1">
      <alignment horizontal="center" vertical="center"/>
    </xf>
    <xf numFmtId="2" fontId="27126" fillId="8" borderId="1" xfId="0" applyNumberFormat="1" applyFont="1" applyFill="1" applyBorder="1" applyAlignment="1">
      <alignment horizontal="center" vertical="center"/>
    </xf>
    <xf numFmtId="2" fontId="27127" fillId="8" borderId="1" xfId="0" applyNumberFormat="1" applyFont="1" applyFill="1" applyBorder="1" applyAlignment="1">
      <alignment horizontal="center" vertical="center"/>
    </xf>
    <xf numFmtId="2" fontId="27128" fillId="8" borderId="1" xfId="0" applyNumberFormat="1" applyFont="1" applyFill="1" applyBorder="1" applyAlignment="1">
      <alignment horizontal="center" vertical="center"/>
    </xf>
    <xf numFmtId="2" fontId="27129" fillId="8" borderId="1" xfId="0" applyNumberFormat="1" applyFont="1" applyFill="1" applyBorder="1" applyAlignment="1">
      <alignment horizontal="center" vertical="center"/>
    </xf>
    <xf numFmtId="2" fontId="27130" fillId="8" borderId="1" xfId="0" applyNumberFormat="1" applyFont="1" applyFill="1" applyBorder="1" applyAlignment="1">
      <alignment horizontal="center" vertical="center"/>
    </xf>
    <xf numFmtId="2" fontId="27131" fillId="8" borderId="1" xfId="0" applyNumberFormat="1" applyFont="1" applyFill="1" applyBorder="1" applyAlignment="1">
      <alignment horizontal="center" vertical="center"/>
    </xf>
    <xf numFmtId="2" fontId="27132" fillId="8" borderId="1" xfId="0" applyNumberFormat="1" applyFont="1" applyFill="1" applyBorder="1" applyAlignment="1">
      <alignment horizontal="center" vertical="center"/>
    </xf>
    <xf numFmtId="2" fontId="27133" fillId="8" borderId="1" xfId="0" applyNumberFormat="1" applyFont="1" applyFill="1" applyBorder="1" applyAlignment="1">
      <alignment horizontal="center" vertical="center"/>
    </xf>
    <xf numFmtId="2" fontId="27134" fillId="8" borderId="1" xfId="0" applyNumberFormat="1" applyFont="1" applyFill="1" applyBorder="1" applyAlignment="1">
      <alignment horizontal="center" vertical="center"/>
    </xf>
    <xf numFmtId="2" fontId="27135" fillId="8" borderId="1" xfId="0" applyNumberFormat="1" applyFont="1" applyFill="1" applyBorder="1" applyAlignment="1">
      <alignment horizontal="center" vertical="center"/>
    </xf>
    <xf numFmtId="2" fontId="27136" fillId="8" borderId="1" xfId="0" applyNumberFormat="1" applyFont="1" applyFill="1" applyBorder="1" applyAlignment="1">
      <alignment horizontal="center" vertical="center"/>
    </xf>
    <xf numFmtId="2" fontId="27137" fillId="8" borderId="1" xfId="0" applyNumberFormat="1" applyFont="1" applyFill="1" applyBorder="1" applyAlignment="1">
      <alignment horizontal="center" vertical="center"/>
    </xf>
    <xf numFmtId="2" fontId="27138" fillId="8" borderId="1" xfId="0" applyNumberFormat="1" applyFont="1" applyFill="1" applyBorder="1" applyAlignment="1">
      <alignment horizontal="center" vertical="center"/>
    </xf>
    <xf numFmtId="2" fontId="27139" fillId="8" borderId="1" xfId="0" applyNumberFormat="1" applyFont="1" applyFill="1" applyBorder="1" applyAlignment="1">
      <alignment horizontal="center" vertical="center"/>
    </xf>
    <xf numFmtId="2" fontId="27140" fillId="8" borderId="1" xfId="0" applyNumberFormat="1" applyFont="1" applyFill="1" applyBorder="1" applyAlignment="1">
      <alignment horizontal="center" vertical="center"/>
    </xf>
    <xf numFmtId="2" fontId="27141" fillId="8" borderId="1" xfId="0" applyNumberFormat="1" applyFont="1" applyFill="1" applyBorder="1" applyAlignment="1">
      <alignment horizontal="center" vertical="center"/>
    </xf>
    <xf numFmtId="2" fontId="27142" fillId="8" borderId="1" xfId="0" applyNumberFormat="1" applyFont="1" applyFill="1" applyBorder="1" applyAlignment="1">
      <alignment horizontal="center" vertical="center"/>
    </xf>
    <xf numFmtId="2" fontId="27143" fillId="8" borderId="1" xfId="0" applyNumberFormat="1" applyFont="1" applyFill="1" applyBorder="1" applyAlignment="1">
      <alignment horizontal="center" vertical="center"/>
    </xf>
    <xf numFmtId="2" fontId="27144" fillId="8" borderId="1" xfId="0" applyNumberFormat="1" applyFont="1" applyFill="1" applyBorder="1" applyAlignment="1">
      <alignment horizontal="center" vertical="center"/>
    </xf>
    <xf numFmtId="2" fontId="27145" fillId="8" borderId="1" xfId="0" applyNumberFormat="1" applyFont="1" applyFill="1" applyBorder="1" applyAlignment="1">
      <alignment horizontal="center" vertical="center"/>
    </xf>
    <xf numFmtId="2" fontId="27146" fillId="8" borderId="1" xfId="0" applyNumberFormat="1" applyFont="1" applyFill="1" applyBorder="1" applyAlignment="1">
      <alignment horizontal="center" vertical="center"/>
    </xf>
    <xf numFmtId="0" fontId="27147" fillId="7" borderId="1" xfId="0" applyNumberFormat="1" applyFont="1" applyFill="1" applyBorder="1" applyAlignment="1">
      <alignment horizontal="left" vertical="center"/>
    </xf>
    <xf numFmtId="0" fontId="27148" fillId="8" borderId="1" xfId="0" applyNumberFormat="1" applyFont="1" applyFill="1" applyBorder="1" applyAlignment="1">
      <alignment horizontal="center" vertical="center"/>
    </xf>
    <xf numFmtId="164" fontId="27149" fillId="8" borderId="1" xfId="0" applyNumberFormat="1" applyFont="1" applyFill="1" applyBorder="1" applyAlignment="1">
      <alignment horizontal="center" vertical="center"/>
    </xf>
    <xf numFmtId="1" fontId="27150" fillId="8" borderId="1" xfId="0" applyNumberFormat="1" applyFont="1" applyFill="1" applyBorder="1" applyAlignment="1">
      <alignment horizontal="center" vertical="center"/>
    </xf>
    <xf numFmtId="1" fontId="27151" fillId="8" borderId="1" xfId="0" applyNumberFormat="1" applyFont="1" applyFill="1" applyBorder="1" applyAlignment="1">
      <alignment horizontal="center" vertical="center"/>
    </xf>
    <xf numFmtId="1" fontId="27152" fillId="8" borderId="1" xfId="0" applyNumberFormat="1" applyFont="1" applyFill="1" applyBorder="1" applyAlignment="1">
      <alignment horizontal="center" vertical="center"/>
    </xf>
    <xf numFmtId="1" fontId="27153" fillId="8" borderId="1" xfId="0" applyNumberFormat="1" applyFont="1" applyFill="1" applyBorder="1" applyAlignment="1">
      <alignment horizontal="center" vertical="center"/>
    </xf>
    <xf numFmtId="1" fontId="27154" fillId="8" borderId="1" xfId="0" applyNumberFormat="1" applyFont="1" applyFill="1" applyBorder="1" applyAlignment="1">
      <alignment horizontal="center" vertical="center"/>
    </xf>
    <xf numFmtId="1" fontId="27155" fillId="8" borderId="1" xfId="0" applyNumberFormat="1" applyFont="1" applyFill="1" applyBorder="1" applyAlignment="1">
      <alignment horizontal="center" vertical="center"/>
    </xf>
    <xf numFmtId="1" fontId="27156" fillId="8" borderId="1" xfId="0" applyNumberFormat="1" applyFont="1" applyFill="1" applyBorder="1" applyAlignment="1">
      <alignment horizontal="center" vertical="center"/>
    </xf>
    <xf numFmtId="0" fontId="27157" fillId="8" borderId="1" xfId="0" applyNumberFormat="1" applyFont="1" applyFill="1" applyBorder="1" applyAlignment="1">
      <alignment horizontal="center" vertical="center"/>
    </xf>
    <xf numFmtId="0" fontId="27158" fillId="8" borderId="1" xfId="0" applyNumberFormat="1" applyFont="1" applyFill="1" applyBorder="1" applyAlignment="1">
      <alignment horizontal="center" vertical="center"/>
    </xf>
    <xf numFmtId="1" fontId="27159" fillId="8" borderId="1" xfId="0" applyNumberFormat="1" applyFont="1" applyFill="1" applyBorder="1" applyAlignment="1">
      <alignment horizontal="center" vertical="center"/>
    </xf>
    <xf numFmtId="1" fontId="27160" fillId="8" borderId="1" xfId="0" applyNumberFormat="1" applyFont="1" applyFill="1" applyBorder="1" applyAlignment="1">
      <alignment horizontal="center" vertical="center"/>
    </xf>
    <xf numFmtId="1" fontId="27161" fillId="8" borderId="1" xfId="0" applyNumberFormat="1" applyFont="1" applyFill="1" applyBorder="1" applyAlignment="1">
      <alignment horizontal="center" vertical="center"/>
    </xf>
    <xf numFmtId="165" fontId="27162" fillId="8" borderId="1" xfId="0" applyNumberFormat="1" applyFont="1" applyFill="1" applyBorder="1" applyAlignment="1">
      <alignment horizontal="center" vertical="center"/>
    </xf>
    <xf numFmtId="1" fontId="27163" fillId="8" borderId="1" xfId="0" applyNumberFormat="1" applyFont="1" applyFill="1" applyBorder="1" applyAlignment="1">
      <alignment horizontal="center" vertical="center"/>
    </xf>
    <xf numFmtId="165" fontId="27164" fillId="8" borderId="1" xfId="0" applyNumberFormat="1" applyFont="1" applyFill="1" applyBorder="1" applyAlignment="1">
      <alignment horizontal="center" vertical="center"/>
    </xf>
    <xf numFmtId="1" fontId="27165" fillId="8" borderId="1" xfId="0" applyNumberFormat="1" applyFont="1" applyFill="1" applyBorder="1" applyAlignment="1">
      <alignment horizontal="center" vertical="center"/>
    </xf>
    <xf numFmtId="165" fontId="27166" fillId="8" borderId="1" xfId="0" applyNumberFormat="1" applyFont="1" applyFill="1" applyBorder="1" applyAlignment="1">
      <alignment horizontal="center" vertical="center"/>
    </xf>
    <xf numFmtId="1" fontId="27167" fillId="8" borderId="1" xfId="0" applyNumberFormat="1" applyFont="1" applyFill="1" applyBorder="1" applyAlignment="1">
      <alignment horizontal="center" vertical="center"/>
    </xf>
    <xf numFmtId="165" fontId="27168" fillId="8" borderId="1" xfId="0" applyNumberFormat="1" applyFont="1" applyFill="1" applyBorder="1" applyAlignment="1">
      <alignment horizontal="center" vertical="center"/>
    </xf>
    <xf numFmtId="165" fontId="27169" fillId="8" borderId="1" xfId="0" applyNumberFormat="1" applyFont="1" applyFill="1" applyBorder="1" applyAlignment="1">
      <alignment horizontal="center" vertical="center"/>
    </xf>
    <xf numFmtId="1" fontId="27170" fillId="8" borderId="1" xfId="0" applyNumberFormat="1" applyFont="1" applyFill="1" applyBorder="1" applyAlignment="1">
      <alignment horizontal="center" vertical="center"/>
    </xf>
    <xf numFmtId="1" fontId="27171" fillId="8" borderId="1" xfId="0" applyNumberFormat="1" applyFont="1" applyFill="1" applyBorder="1" applyAlignment="1">
      <alignment horizontal="center" vertical="center"/>
    </xf>
    <xf numFmtId="1" fontId="27172" fillId="8" borderId="1" xfId="0" applyNumberFormat="1" applyFont="1" applyFill="1" applyBorder="1" applyAlignment="1">
      <alignment horizontal="center" vertical="center"/>
    </xf>
    <xf numFmtId="165" fontId="27173" fillId="8" borderId="1" xfId="0" applyNumberFormat="1" applyFont="1" applyFill="1" applyBorder="1" applyAlignment="1">
      <alignment horizontal="center" vertical="center"/>
    </xf>
    <xf numFmtId="164" fontId="27174" fillId="8" borderId="1" xfId="0" applyNumberFormat="1" applyFont="1" applyFill="1" applyBorder="1" applyAlignment="1">
      <alignment horizontal="center" vertical="center"/>
    </xf>
    <xf numFmtId="164" fontId="27175" fillId="8" borderId="1" xfId="0" applyNumberFormat="1" applyFont="1" applyFill="1" applyBorder="1" applyAlignment="1">
      <alignment horizontal="center" vertical="center"/>
    </xf>
    <xf numFmtId="1" fontId="27176" fillId="8" borderId="1" xfId="0" applyNumberFormat="1" applyFont="1" applyFill="1" applyBorder="1" applyAlignment="1">
      <alignment horizontal="center" vertical="center"/>
    </xf>
    <xf numFmtId="1" fontId="27177" fillId="8" borderId="1" xfId="0" applyNumberFormat="1" applyFont="1" applyFill="1" applyBorder="1" applyAlignment="1">
      <alignment horizontal="center" vertical="center"/>
    </xf>
    <xf numFmtId="1" fontId="27178" fillId="8" borderId="1" xfId="0" applyNumberFormat="1" applyFont="1" applyFill="1" applyBorder="1" applyAlignment="1">
      <alignment horizontal="center" vertical="center"/>
    </xf>
    <xf numFmtId="165" fontId="27179" fillId="8" borderId="1" xfId="0" applyNumberFormat="1" applyFont="1" applyFill="1" applyBorder="1" applyAlignment="1">
      <alignment horizontal="center" vertical="center"/>
    </xf>
    <xf numFmtId="1" fontId="27180" fillId="8" borderId="1" xfId="0" applyNumberFormat="1" applyFont="1" applyFill="1" applyBorder="1" applyAlignment="1">
      <alignment horizontal="center" vertical="center"/>
    </xf>
    <xf numFmtId="165" fontId="27181" fillId="8" borderId="1" xfId="0" applyNumberFormat="1" applyFont="1" applyFill="1" applyBorder="1" applyAlignment="1">
      <alignment horizontal="center" vertical="center"/>
    </xf>
    <xf numFmtId="1" fontId="27182" fillId="8" borderId="1" xfId="0" applyNumberFormat="1" applyFont="1" applyFill="1" applyBorder="1" applyAlignment="1">
      <alignment horizontal="center" vertical="center"/>
    </xf>
    <xf numFmtId="1" fontId="27183" fillId="8" borderId="1" xfId="0" applyNumberFormat="1" applyFont="1" applyFill="1" applyBorder="1" applyAlignment="1">
      <alignment horizontal="center" vertical="center"/>
    </xf>
    <xf numFmtId="1" fontId="27184" fillId="8" borderId="1" xfId="0" applyNumberFormat="1" applyFont="1" applyFill="1" applyBorder="1" applyAlignment="1">
      <alignment horizontal="center" vertical="center"/>
    </xf>
    <xf numFmtId="1" fontId="27185" fillId="8" borderId="1" xfId="0" applyNumberFormat="1" applyFont="1" applyFill="1" applyBorder="1" applyAlignment="1">
      <alignment horizontal="center" vertical="center"/>
    </xf>
    <xf numFmtId="165" fontId="27186" fillId="8" borderId="1" xfId="0" applyNumberFormat="1" applyFont="1" applyFill="1" applyBorder="1" applyAlignment="1">
      <alignment horizontal="center" vertical="center"/>
    </xf>
    <xf numFmtId="1" fontId="27187" fillId="8" borderId="1" xfId="0" applyNumberFormat="1" applyFont="1" applyFill="1" applyBorder="1" applyAlignment="1">
      <alignment horizontal="center" vertical="center"/>
    </xf>
    <xf numFmtId="165" fontId="27188" fillId="8" borderId="1" xfId="0" applyNumberFormat="1" applyFont="1" applyFill="1" applyBorder="1" applyAlignment="1">
      <alignment horizontal="center" vertical="center"/>
    </xf>
    <xf numFmtId="1" fontId="27189" fillId="8" borderId="1" xfId="0" applyNumberFormat="1" applyFont="1" applyFill="1" applyBorder="1" applyAlignment="1">
      <alignment horizontal="center" vertical="center"/>
    </xf>
    <xf numFmtId="165" fontId="27190" fillId="8" borderId="1" xfId="0" applyNumberFormat="1" applyFont="1" applyFill="1" applyBorder="1" applyAlignment="1">
      <alignment horizontal="center" vertical="center"/>
    </xf>
    <xf numFmtId="2" fontId="27191" fillId="8" borderId="1" xfId="0" applyNumberFormat="1" applyFont="1" applyFill="1" applyBorder="1" applyAlignment="1">
      <alignment horizontal="center" vertical="center"/>
    </xf>
    <xf numFmtId="2" fontId="27192" fillId="8" borderId="1" xfId="0" applyNumberFormat="1" applyFont="1" applyFill="1" applyBorder="1" applyAlignment="1">
      <alignment horizontal="center" vertical="center"/>
    </xf>
    <xf numFmtId="2" fontId="27193" fillId="8" borderId="1" xfId="0" applyNumberFormat="1" applyFont="1" applyFill="1" applyBorder="1" applyAlignment="1">
      <alignment horizontal="center" vertical="center"/>
    </xf>
    <xf numFmtId="2" fontId="27194" fillId="8" borderId="1" xfId="0" applyNumberFormat="1" applyFont="1" applyFill="1" applyBorder="1" applyAlignment="1">
      <alignment horizontal="center" vertical="center"/>
    </xf>
    <xf numFmtId="2" fontId="27195" fillId="8" borderId="1" xfId="0" applyNumberFormat="1" applyFont="1" applyFill="1" applyBorder="1" applyAlignment="1">
      <alignment horizontal="center" vertical="center"/>
    </xf>
    <xf numFmtId="2" fontId="27196" fillId="8" borderId="1" xfId="0" applyNumberFormat="1" applyFont="1" applyFill="1" applyBorder="1" applyAlignment="1">
      <alignment horizontal="center" vertical="center"/>
    </xf>
    <xf numFmtId="2" fontId="27197" fillId="8" borderId="1" xfId="0" applyNumberFormat="1" applyFont="1" applyFill="1" applyBorder="1" applyAlignment="1">
      <alignment horizontal="center" vertical="center"/>
    </xf>
    <xf numFmtId="2" fontId="27198" fillId="8" borderId="1" xfId="0" applyNumberFormat="1" applyFont="1" applyFill="1" applyBorder="1" applyAlignment="1">
      <alignment horizontal="center" vertical="center"/>
    </xf>
    <xf numFmtId="2" fontId="27199" fillId="8" borderId="1" xfId="0" applyNumberFormat="1" applyFont="1" applyFill="1" applyBorder="1" applyAlignment="1">
      <alignment horizontal="center" vertical="center"/>
    </xf>
    <xf numFmtId="2" fontId="27200" fillId="8" borderId="1" xfId="0" applyNumberFormat="1" applyFont="1" applyFill="1" applyBorder="1" applyAlignment="1">
      <alignment horizontal="center" vertical="center"/>
    </xf>
    <xf numFmtId="2" fontId="27201" fillId="8" borderId="1" xfId="0" applyNumberFormat="1" applyFont="1" applyFill="1" applyBorder="1" applyAlignment="1">
      <alignment horizontal="center" vertical="center"/>
    </xf>
    <xf numFmtId="2" fontId="27202" fillId="8" borderId="1" xfId="0" applyNumberFormat="1" applyFont="1" applyFill="1" applyBorder="1" applyAlignment="1">
      <alignment horizontal="center" vertical="center"/>
    </xf>
    <xf numFmtId="2" fontId="27203" fillId="8" borderId="1" xfId="0" applyNumberFormat="1" applyFont="1" applyFill="1" applyBorder="1" applyAlignment="1">
      <alignment horizontal="center" vertical="center"/>
    </xf>
    <xf numFmtId="2" fontId="27204" fillId="8" borderId="1" xfId="0" applyNumberFormat="1" applyFont="1" applyFill="1" applyBorder="1" applyAlignment="1">
      <alignment horizontal="center" vertical="center"/>
    </xf>
    <xf numFmtId="2" fontId="27205" fillId="8" borderId="1" xfId="0" applyNumberFormat="1" applyFont="1" applyFill="1" applyBorder="1" applyAlignment="1">
      <alignment horizontal="center" vertical="center"/>
    </xf>
    <xf numFmtId="2" fontId="27206" fillId="8" borderId="1" xfId="0" applyNumberFormat="1" applyFont="1" applyFill="1" applyBorder="1" applyAlignment="1">
      <alignment horizontal="center" vertical="center"/>
    </xf>
    <xf numFmtId="2" fontId="27207" fillId="8" borderId="1" xfId="0" applyNumberFormat="1" applyFont="1" applyFill="1" applyBorder="1" applyAlignment="1">
      <alignment horizontal="center" vertical="center"/>
    </xf>
    <xf numFmtId="2" fontId="27208" fillId="8" borderId="1" xfId="0" applyNumberFormat="1" applyFont="1" applyFill="1" applyBorder="1" applyAlignment="1">
      <alignment horizontal="center" vertical="center"/>
    </xf>
    <xf numFmtId="2" fontId="27209" fillId="8" borderId="1" xfId="0" applyNumberFormat="1" applyFont="1" applyFill="1" applyBorder="1" applyAlignment="1">
      <alignment horizontal="center" vertical="center"/>
    </xf>
    <xf numFmtId="2" fontId="27210" fillId="8" borderId="1" xfId="0" applyNumberFormat="1" applyFont="1" applyFill="1" applyBorder="1" applyAlignment="1">
      <alignment horizontal="center" vertical="center"/>
    </xf>
    <xf numFmtId="2" fontId="27211" fillId="8" borderId="1" xfId="0" applyNumberFormat="1" applyFont="1" applyFill="1" applyBorder="1" applyAlignment="1">
      <alignment horizontal="center" vertical="center"/>
    </xf>
    <xf numFmtId="2" fontId="27212" fillId="8" borderId="1" xfId="0" applyNumberFormat="1" applyFont="1" applyFill="1" applyBorder="1" applyAlignment="1">
      <alignment horizontal="center" vertical="center"/>
    </xf>
    <xf numFmtId="2" fontId="27213" fillId="8" borderId="1" xfId="0" applyNumberFormat="1" applyFont="1" applyFill="1" applyBorder="1" applyAlignment="1">
      <alignment horizontal="center" vertical="center"/>
    </xf>
    <xf numFmtId="2" fontId="27214" fillId="8" borderId="1" xfId="0" applyNumberFormat="1" applyFont="1" applyFill="1" applyBorder="1" applyAlignment="1">
      <alignment horizontal="center" vertical="center"/>
    </xf>
    <xf numFmtId="2" fontId="27215" fillId="8" borderId="1" xfId="0" applyNumberFormat="1" applyFont="1" applyFill="1" applyBorder="1" applyAlignment="1">
      <alignment horizontal="center" vertical="center"/>
    </xf>
    <xf numFmtId="2" fontId="27216" fillId="8" borderId="1" xfId="0" applyNumberFormat="1" applyFont="1" applyFill="1" applyBorder="1" applyAlignment="1">
      <alignment horizontal="center" vertical="center"/>
    </xf>
    <xf numFmtId="2" fontId="27217" fillId="8" borderId="1" xfId="0" applyNumberFormat="1" applyFont="1" applyFill="1" applyBorder="1" applyAlignment="1">
      <alignment horizontal="center" vertical="center"/>
    </xf>
    <xf numFmtId="2" fontId="27218" fillId="8" borderId="1" xfId="0" applyNumberFormat="1" applyFont="1" applyFill="1" applyBorder="1" applyAlignment="1">
      <alignment horizontal="center" vertical="center"/>
    </xf>
    <xf numFmtId="2" fontId="27219" fillId="8" borderId="1" xfId="0" applyNumberFormat="1" applyFont="1" applyFill="1" applyBorder="1" applyAlignment="1">
      <alignment horizontal="center" vertical="center"/>
    </xf>
    <xf numFmtId="2" fontId="27220" fillId="8" borderId="1" xfId="0" applyNumberFormat="1" applyFont="1" applyFill="1" applyBorder="1" applyAlignment="1">
      <alignment horizontal="center" vertical="center"/>
    </xf>
    <xf numFmtId="2" fontId="27221" fillId="8" borderId="1" xfId="0" applyNumberFormat="1" applyFont="1" applyFill="1" applyBorder="1" applyAlignment="1">
      <alignment horizontal="center" vertical="center"/>
    </xf>
    <xf numFmtId="2" fontId="27222" fillId="8" borderId="1" xfId="0" applyNumberFormat="1" applyFont="1" applyFill="1" applyBorder="1" applyAlignment="1">
      <alignment horizontal="center" vertical="center"/>
    </xf>
    <xf numFmtId="2" fontId="27223" fillId="8" borderId="1" xfId="0" applyNumberFormat="1" applyFont="1" applyFill="1" applyBorder="1" applyAlignment="1">
      <alignment horizontal="center" vertical="center"/>
    </xf>
    <xf numFmtId="2" fontId="27224" fillId="8" borderId="1" xfId="0" applyNumberFormat="1" applyFont="1" applyFill="1" applyBorder="1" applyAlignment="1">
      <alignment horizontal="center" vertical="center"/>
    </xf>
    <xf numFmtId="0" fontId="27225" fillId="7" borderId="1" xfId="0" applyNumberFormat="1" applyFont="1" applyFill="1" applyBorder="1" applyAlignment="1">
      <alignment horizontal="left" vertical="center"/>
    </xf>
    <xf numFmtId="0" fontId="27226" fillId="8" borderId="1" xfId="0" applyNumberFormat="1" applyFont="1" applyFill="1" applyBorder="1" applyAlignment="1">
      <alignment horizontal="center" vertical="center"/>
    </xf>
    <xf numFmtId="164" fontId="27227" fillId="8" borderId="1" xfId="0" applyNumberFormat="1" applyFont="1" applyFill="1" applyBorder="1" applyAlignment="1">
      <alignment horizontal="center" vertical="center"/>
    </xf>
    <xf numFmtId="1" fontId="27228" fillId="8" borderId="1" xfId="0" applyNumberFormat="1" applyFont="1" applyFill="1" applyBorder="1" applyAlignment="1">
      <alignment horizontal="center" vertical="center"/>
    </xf>
    <xf numFmtId="1" fontId="27229" fillId="8" borderId="1" xfId="0" applyNumberFormat="1" applyFont="1" applyFill="1" applyBorder="1" applyAlignment="1">
      <alignment horizontal="center" vertical="center"/>
    </xf>
    <xf numFmtId="1" fontId="27230" fillId="8" borderId="1" xfId="0" applyNumberFormat="1" applyFont="1" applyFill="1" applyBorder="1" applyAlignment="1">
      <alignment horizontal="center" vertical="center"/>
    </xf>
    <xf numFmtId="1" fontId="27231" fillId="8" borderId="1" xfId="0" applyNumberFormat="1" applyFont="1" applyFill="1" applyBorder="1" applyAlignment="1">
      <alignment horizontal="center" vertical="center"/>
    </xf>
    <xf numFmtId="1" fontId="27232" fillId="8" borderId="1" xfId="0" applyNumberFormat="1" applyFont="1" applyFill="1" applyBorder="1" applyAlignment="1">
      <alignment horizontal="center" vertical="center"/>
    </xf>
    <xf numFmtId="1" fontId="27233" fillId="8" borderId="1" xfId="0" applyNumberFormat="1" applyFont="1" applyFill="1" applyBorder="1" applyAlignment="1">
      <alignment horizontal="center" vertical="center"/>
    </xf>
    <xf numFmtId="1" fontId="27234" fillId="8" borderId="1" xfId="0" applyNumberFormat="1" applyFont="1" applyFill="1" applyBorder="1" applyAlignment="1">
      <alignment horizontal="center" vertical="center"/>
    </xf>
    <xf numFmtId="0" fontId="27235" fillId="8" borderId="1" xfId="0" applyNumberFormat="1" applyFont="1" applyFill="1" applyBorder="1" applyAlignment="1">
      <alignment horizontal="center" vertical="center"/>
    </xf>
    <xf numFmtId="0" fontId="27236" fillId="8" borderId="1" xfId="0" applyNumberFormat="1" applyFont="1" applyFill="1" applyBorder="1" applyAlignment="1">
      <alignment horizontal="center" vertical="center"/>
    </xf>
    <xf numFmtId="1" fontId="27237" fillId="8" borderId="1" xfId="0" applyNumberFormat="1" applyFont="1" applyFill="1" applyBorder="1" applyAlignment="1">
      <alignment horizontal="center" vertical="center"/>
    </xf>
    <xf numFmtId="1" fontId="27238" fillId="8" borderId="1" xfId="0" applyNumberFormat="1" applyFont="1" applyFill="1" applyBorder="1" applyAlignment="1">
      <alignment horizontal="center" vertical="center"/>
    </xf>
    <xf numFmtId="1" fontId="27239" fillId="8" borderId="1" xfId="0" applyNumberFormat="1" applyFont="1" applyFill="1" applyBorder="1" applyAlignment="1">
      <alignment horizontal="center" vertical="center"/>
    </xf>
    <xf numFmtId="165" fontId="27240" fillId="8" borderId="1" xfId="0" applyNumberFormat="1" applyFont="1" applyFill="1" applyBorder="1" applyAlignment="1">
      <alignment horizontal="center" vertical="center"/>
    </xf>
    <xf numFmtId="1" fontId="27241" fillId="8" borderId="1" xfId="0" applyNumberFormat="1" applyFont="1" applyFill="1" applyBorder="1" applyAlignment="1">
      <alignment horizontal="center" vertical="center"/>
    </xf>
    <xf numFmtId="165" fontId="27242" fillId="8" borderId="1" xfId="0" applyNumberFormat="1" applyFont="1" applyFill="1" applyBorder="1" applyAlignment="1">
      <alignment horizontal="center" vertical="center"/>
    </xf>
    <xf numFmtId="1" fontId="27243" fillId="8" borderId="1" xfId="0" applyNumberFormat="1" applyFont="1" applyFill="1" applyBorder="1" applyAlignment="1">
      <alignment horizontal="center" vertical="center"/>
    </xf>
    <xf numFmtId="165" fontId="27244" fillId="8" borderId="1" xfId="0" applyNumberFormat="1" applyFont="1" applyFill="1" applyBorder="1" applyAlignment="1">
      <alignment horizontal="center" vertical="center"/>
    </xf>
    <xf numFmtId="1" fontId="27245" fillId="8" borderId="1" xfId="0" applyNumberFormat="1" applyFont="1" applyFill="1" applyBorder="1" applyAlignment="1">
      <alignment horizontal="center" vertical="center"/>
    </xf>
    <xf numFmtId="165" fontId="27246" fillId="8" borderId="1" xfId="0" applyNumberFormat="1" applyFont="1" applyFill="1" applyBorder="1" applyAlignment="1">
      <alignment horizontal="center" vertical="center"/>
    </xf>
    <xf numFmtId="165" fontId="27247" fillId="8" borderId="1" xfId="0" applyNumberFormat="1" applyFont="1" applyFill="1" applyBorder="1" applyAlignment="1">
      <alignment horizontal="center" vertical="center"/>
    </xf>
    <xf numFmtId="1" fontId="27248" fillId="8" borderId="1" xfId="0" applyNumberFormat="1" applyFont="1" applyFill="1" applyBorder="1" applyAlignment="1">
      <alignment horizontal="center" vertical="center"/>
    </xf>
    <xf numFmtId="1" fontId="27249" fillId="8" borderId="1" xfId="0" applyNumberFormat="1" applyFont="1" applyFill="1" applyBorder="1" applyAlignment="1">
      <alignment horizontal="center" vertical="center"/>
    </xf>
    <xf numFmtId="1" fontId="27250" fillId="8" borderId="1" xfId="0" applyNumberFormat="1" applyFont="1" applyFill="1" applyBorder="1" applyAlignment="1">
      <alignment horizontal="center" vertical="center"/>
    </xf>
    <xf numFmtId="165" fontId="27251" fillId="8" borderId="1" xfId="0" applyNumberFormat="1" applyFont="1" applyFill="1" applyBorder="1" applyAlignment="1">
      <alignment horizontal="center" vertical="center"/>
    </xf>
    <xf numFmtId="164" fontId="27252" fillId="8" borderId="1" xfId="0" applyNumberFormat="1" applyFont="1" applyFill="1" applyBorder="1" applyAlignment="1">
      <alignment horizontal="center" vertical="center"/>
    </xf>
    <xf numFmtId="164" fontId="27253" fillId="8" borderId="1" xfId="0" applyNumberFormat="1" applyFont="1" applyFill="1" applyBorder="1" applyAlignment="1">
      <alignment horizontal="center" vertical="center"/>
    </xf>
    <xf numFmtId="1" fontId="27254" fillId="8" borderId="1" xfId="0" applyNumberFormat="1" applyFont="1" applyFill="1" applyBorder="1" applyAlignment="1">
      <alignment horizontal="center" vertical="center"/>
    </xf>
    <xf numFmtId="1" fontId="27255" fillId="8" borderId="1" xfId="0" applyNumberFormat="1" applyFont="1" applyFill="1" applyBorder="1" applyAlignment="1">
      <alignment horizontal="center" vertical="center"/>
    </xf>
    <xf numFmtId="1" fontId="27256" fillId="8" borderId="1" xfId="0" applyNumberFormat="1" applyFont="1" applyFill="1" applyBorder="1" applyAlignment="1">
      <alignment horizontal="center" vertical="center"/>
    </xf>
    <xf numFmtId="165" fontId="27257" fillId="8" borderId="1" xfId="0" applyNumberFormat="1" applyFont="1" applyFill="1" applyBorder="1" applyAlignment="1">
      <alignment horizontal="center" vertical="center"/>
    </xf>
    <xf numFmtId="1" fontId="27258" fillId="8" borderId="1" xfId="0" applyNumberFormat="1" applyFont="1" applyFill="1" applyBorder="1" applyAlignment="1">
      <alignment horizontal="center" vertical="center"/>
    </xf>
    <xf numFmtId="165" fontId="27259" fillId="8" borderId="1" xfId="0" applyNumberFormat="1" applyFont="1" applyFill="1" applyBorder="1" applyAlignment="1">
      <alignment horizontal="center" vertical="center"/>
    </xf>
    <xf numFmtId="1" fontId="27260" fillId="8" borderId="1" xfId="0" applyNumberFormat="1" applyFont="1" applyFill="1" applyBorder="1" applyAlignment="1">
      <alignment horizontal="center" vertical="center"/>
    </xf>
    <xf numFmtId="1" fontId="27261" fillId="8" borderId="1" xfId="0" applyNumberFormat="1" applyFont="1" applyFill="1" applyBorder="1" applyAlignment="1">
      <alignment horizontal="center" vertical="center"/>
    </xf>
    <xf numFmtId="1" fontId="27262" fillId="8" borderId="1" xfId="0" applyNumberFormat="1" applyFont="1" applyFill="1" applyBorder="1" applyAlignment="1">
      <alignment horizontal="center" vertical="center"/>
    </xf>
    <xf numFmtId="1" fontId="27263" fillId="8" borderId="1" xfId="0" applyNumberFormat="1" applyFont="1" applyFill="1" applyBorder="1" applyAlignment="1">
      <alignment horizontal="center" vertical="center"/>
    </xf>
    <xf numFmtId="165" fontId="27264" fillId="8" borderId="1" xfId="0" applyNumberFormat="1" applyFont="1" applyFill="1" applyBorder="1" applyAlignment="1">
      <alignment horizontal="center" vertical="center"/>
    </xf>
    <xf numFmtId="1" fontId="27265" fillId="8" borderId="1" xfId="0" applyNumberFormat="1" applyFont="1" applyFill="1" applyBorder="1" applyAlignment="1">
      <alignment horizontal="center" vertical="center"/>
    </xf>
    <xf numFmtId="165" fontId="27266" fillId="8" borderId="1" xfId="0" applyNumberFormat="1" applyFont="1" applyFill="1" applyBorder="1" applyAlignment="1">
      <alignment horizontal="center" vertical="center"/>
    </xf>
    <xf numFmtId="1" fontId="27267" fillId="8" borderId="1" xfId="0" applyNumberFormat="1" applyFont="1" applyFill="1" applyBorder="1" applyAlignment="1">
      <alignment horizontal="center" vertical="center"/>
    </xf>
    <xf numFmtId="165" fontId="27268" fillId="8" borderId="1" xfId="0" applyNumberFormat="1" applyFont="1" applyFill="1" applyBorder="1" applyAlignment="1">
      <alignment horizontal="center" vertical="center"/>
    </xf>
    <xf numFmtId="2" fontId="27269" fillId="8" borderId="1" xfId="0" applyNumberFormat="1" applyFont="1" applyFill="1" applyBorder="1" applyAlignment="1">
      <alignment horizontal="center" vertical="center"/>
    </xf>
    <xf numFmtId="2" fontId="27270" fillId="8" borderId="1" xfId="0" applyNumberFormat="1" applyFont="1" applyFill="1" applyBorder="1" applyAlignment="1">
      <alignment horizontal="center" vertical="center"/>
    </xf>
    <xf numFmtId="2" fontId="27271" fillId="8" borderId="1" xfId="0" applyNumberFormat="1" applyFont="1" applyFill="1" applyBorder="1" applyAlignment="1">
      <alignment horizontal="center" vertical="center"/>
    </xf>
    <xf numFmtId="2" fontId="27272" fillId="8" borderId="1" xfId="0" applyNumberFormat="1" applyFont="1" applyFill="1" applyBorder="1" applyAlignment="1">
      <alignment horizontal="center" vertical="center"/>
    </xf>
    <xf numFmtId="2" fontId="27273" fillId="8" borderId="1" xfId="0" applyNumberFormat="1" applyFont="1" applyFill="1" applyBorder="1" applyAlignment="1">
      <alignment horizontal="center" vertical="center"/>
    </xf>
    <xf numFmtId="2" fontId="27274" fillId="8" borderId="1" xfId="0" applyNumberFormat="1" applyFont="1" applyFill="1" applyBorder="1" applyAlignment="1">
      <alignment horizontal="center" vertical="center"/>
    </xf>
    <xf numFmtId="2" fontId="27275" fillId="8" borderId="1" xfId="0" applyNumberFormat="1" applyFont="1" applyFill="1" applyBorder="1" applyAlignment="1">
      <alignment horizontal="center" vertical="center"/>
    </xf>
    <xf numFmtId="2" fontId="27276" fillId="8" borderId="1" xfId="0" applyNumberFormat="1" applyFont="1" applyFill="1" applyBorder="1" applyAlignment="1">
      <alignment horizontal="center" vertical="center"/>
    </xf>
    <xf numFmtId="2" fontId="27277" fillId="8" borderId="1" xfId="0" applyNumberFormat="1" applyFont="1" applyFill="1" applyBorder="1" applyAlignment="1">
      <alignment horizontal="center" vertical="center"/>
    </xf>
    <xf numFmtId="2" fontId="27278" fillId="8" borderId="1" xfId="0" applyNumberFormat="1" applyFont="1" applyFill="1" applyBorder="1" applyAlignment="1">
      <alignment horizontal="center" vertical="center"/>
    </xf>
    <xf numFmtId="2" fontId="27279" fillId="8" borderId="1" xfId="0" applyNumberFormat="1" applyFont="1" applyFill="1" applyBorder="1" applyAlignment="1">
      <alignment horizontal="center" vertical="center"/>
    </xf>
    <xf numFmtId="2" fontId="27280" fillId="8" borderId="1" xfId="0" applyNumberFormat="1" applyFont="1" applyFill="1" applyBorder="1" applyAlignment="1">
      <alignment horizontal="center" vertical="center"/>
    </xf>
    <xf numFmtId="2" fontId="27281" fillId="8" borderId="1" xfId="0" applyNumberFormat="1" applyFont="1" applyFill="1" applyBorder="1" applyAlignment="1">
      <alignment horizontal="center" vertical="center"/>
    </xf>
    <xf numFmtId="2" fontId="27282" fillId="8" borderId="1" xfId="0" applyNumberFormat="1" applyFont="1" applyFill="1" applyBorder="1" applyAlignment="1">
      <alignment horizontal="center" vertical="center"/>
    </xf>
    <xf numFmtId="2" fontId="27283" fillId="8" borderId="1" xfId="0" applyNumberFormat="1" applyFont="1" applyFill="1" applyBorder="1" applyAlignment="1">
      <alignment horizontal="center" vertical="center"/>
    </xf>
    <xf numFmtId="2" fontId="27284" fillId="8" borderId="1" xfId="0" applyNumberFormat="1" applyFont="1" applyFill="1" applyBorder="1" applyAlignment="1">
      <alignment horizontal="center" vertical="center"/>
    </xf>
    <xf numFmtId="2" fontId="27285" fillId="8" borderId="1" xfId="0" applyNumberFormat="1" applyFont="1" applyFill="1" applyBorder="1" applyAlignment="1">
      <alignment horizontal="center" vertical="center"/>
    </xf>
    <xf numFmtId="2" fontId="27286" fillId="8" borderId="1" xfId="0" applyNumberFormat="1" applyFont="1" applyFill="1" applyBorder="1" applyAlignment="1">
      <alignment horizontal="center" vertical="center"/>
    </xf>
    <xf numFmtId="2" fontId="27287" fillId="8" borderId="1" xfId="0" applyNumberFormat="1" applyFont="1" applyFill="1" applyBorder="1" applyAlignment="1">
      <alignment horizontal="center" vertical="center"/>
    </xf>
    <xf numFmtId="2" fontId="27288" fillId="8" borderId="1" xfId="0" applyNumberFormat="1" applyFont="1" applyFill="1" applyBorder="1" applyAlignment="1">
      <alignment horizontal="center" vertical="center"/>
    </xf>
    <xf numFmtId="2" fontId="27289" fillId="8" borderId="1" xfId="0" applyNumberFormat="1" applyFont="1" applyFill="1" applyBorder="1" applyAlignment="1">
      <alignment horizontal="center" vertical="center"/>
    </xf>
    <xf numFmtId="2" fontId="27290" fillId="8" borderId="1" xfId="0" applyNumberFormat="1" applyFont="1" applyFill="1" applyBorder="1" applyAlignment="1">
      <alignment horizontal="center" vertical="center"/>
    </xf>
    <xf numFmtId="2" fontId="27291" fillId="8" borderId="1" xfId="0" applyNumberFormat="1" applyFont="1" applyFill="1" applyBorder="1" applyAlignment="1">
      <alignment horizontal="center" vertical="center"/>
    </xf>
    <xf numFmtId="2" fontId="27292" fillId="8" borderId="1" xfId="0" applyNumberFormat="1" applyFont="1" applyFill="1" applyBorder="1" applyAlignment="1">
      <alignment horizontal="center" vertical="center"/>
    </xf>
    <xf numFmtId="2" fontId="27293" fillId="8" borderId="1" xfId="0" applyNumberFormat="1" applyFont="1" applyFill="1" applyBorder="1" applyAlignment="1">
      <alignment horizontal="center" vertical="center"/>
    </xf>
    <xf numFmtId="2" fontId="27294" fillId="8" borderId="1" xfId="0" applyNumberFormat="1" applyFont="1" applyFill="1" applyBorder="1" applyAlignment="1">
      <alignment horizontal="center" vertical="center"/>
    </xf>
    <xf numFmtId="2" fontId="27295" fillId="8" borderId="1" xfId="0" applyNumberFormat="1" applyFont="1" applyFill="1" applyBorder="1" applyAlignment="1">
      <alignment horizontal="center" vertical="center"/>
    </xf>
    <xf numFmtId="2" fontId="27296" fillId="8" borderId="1" xfId="0" applyNumberFormat="1" applyFont="1" applyFill="1" applyBorder="1" applyAlignment="1">
      <alignment horizontal="center" vertical="center"/>
    </xf>
    <xf numFmtId="2" fontId="27297" fillId="8" borderId="1" xfId="0" applyNumberFormat="1" applyFont="1" applyFill="1" applyBorder="1" applyAlignment="1">
      <alignment horizontal="center" vertical="center"/>
    </xf>
    <xf numFmtId="2" fontId="27298" fillId="8" borderId="1" xfId="0" applyNumberFormat="1" applyFont="1" applyFill="1" applyBorder="1" applyAlignment="1">
      <alignment horizontal="center" vertical="center"/>
    </xf>
    <xf numFmtId="2" fontId="27299" fillId="8" borderId="1" xfId="0" applyNumberFormat="1" applyFont="1" applyFill="1" applyBorder="1" applyAlignment="1">
      <alignment horizontal="center" vertical="center"/>
    </xf>
    <xf numFmtId="2" fontId="27300" fillId="8" borderId="1" xfId="0" applyNumberFormat="1" applyFont="1" applyFill="1" applyBorder="1" applyAlignment="1">
      <alignment horizontal="center" vertical="center"/>
    </xf>
    <xf numFmtId="2" fontId="27301" fillId="8" borderId="1" xfId="0" applyNumberFormat="1" applyFont="1" applyFill="1" applyBorder="1" applyAlignment="1">
      <alignment horizontal="center" vertical="center"/>
    </xf>
    <xf numFmtId="2" fontId="27302" fillId="8" borderId="1" xfId="0" applyNumberFormat="1" applyFont="1" applyFill="1" applyBorder="1" applyAlignment="1">
      <alignment horizontal="center" vertical="center"/>
    </xf>
    <xf numFmtId="0" fontId="27303" fillId="7" borderId="1" xfId="0" applyNumberFormat="1" applyFont="1" applyFill="1" applyBorder="1" applyAlignment="1">
      <alignment horizontal="left" vertical="center"/>
    </xf>
    <xf numFmtId="0" fontId="27304" fillId="8" borderId="1" xfId="0" applyNumberFormat="1" applyFont="1" applyFill="1" applyBorder="1" applyAlignment="1">
      <alignment horizontal="center" vertical="center"/>
    </xf>
    <xf numFmtId="164" fontId="27305" fillId="8" borderId="1" xfId="0" applyNumberFormat="1" applyFont="1" applyFill="1" applyBorder="1" applyAlignment="1">
      <alignment horizontal="center" vertical="center"/>
    </xf>
    <xf numFmtId="1" fontId="27306" fillId="8" borderId="1" xfId="0" applyNumberFormat="1" applyFont="1" applyFill="1" applyBorder="1" applyAlignment="1">
      <alignment horizontal="center" vertical="center"/>
    </xf>
    <xf numFmtId="1" fontId="27307" fillId="8" borderId="1" xfId="0" applyNumberFormat="1" applyFont="1" applyFill="1" applyBorder="1" applyAlignment="1">
      <alignment horizontal="center" vertical="center"/>
    </xf>
    <xf numFmtId="1" fontId="27308" fillId="8" borderId="1" xfId="0" applyNumberFormat="1" applyFont="1" applyFill="1" applyBorder="1" applyAlignment="1">
      <alignment horizontal="center" vertical="center"/>
    </xf>
    <xf numFmtId="1" fontId="27309" fillId="8" borderId="1" xfId="0" applyNumberFormat="1" applyFont="1" applyFill="1" applyBorder="1" applyAlignment="1">
      <alignment horizontal="center" vertical="center"/>
    </xf>
    <xf numFmtId="1" fontId="27310" fillId="8" borderId="1" xfId="0" applyNumberFormat="1" applyFont="1" applyFill="1" applyBorder="1" applyAlignment="1">
      <alignment horizontal="center" vertical="center"/>
    </xf>
    <xf numFmtId="1" fontId="27311" fillId="8" borderId="1" xfId="0" applyNumberFormat="1" applyFont="1" applyFill="1" applyBorder="1" applyAlignment="1">
      <alignment horizontal="center" vertical="center"/>
    </xf>
    <xf numFmtId="1" fontId="27312" fillId="8" borderId="1" xfId="0" applyNumberFormat="1" applyFont="1" applyFill="1" applyBorder="1" applyAlignment="1">
      <alignment horizontal="center" vertical="center"/>
    </xf>
    <xf numFmtId="0" fontId="27313" fillId="8" borderId="1" xfId="0" applyNumberFormat="1" applyFont="1" applyFill="1" applyBorder="1" applyAlignment="1">
      <alignment horizontal="center" vertical="center"/>
    </xf>
    <xf numFmtId="0" fontId="27314" fillId="8" borderId="1" xfId="0" applyNumberFormat="1" applyFont="1" applyFill="1" applyBorder="1" applyAlignment="1">
      <alignment horizontal="center" vertical="center"/>
    </xf>
    <xf numFmtId="1" fontId="27315" fillId="8" borderId="1" xfId="0" applyNumberFormat="1" applyFont="1" applyFill="1" applyBorder="1" applyAlignment="1">
      <alignment horizontal="center" vertical="center"/>
    </xf>
    <xf numFmtId="1" fontId="27316" fillId="8" borderId="1" xfId="0" applyNumberFormat="1" applyFont="1" applyFill="1" applyBorder="1" applyAlignment="1">
      <alignment horizontal="center" vertical="center"/>
    </xf>
    <xf numFmtId="1" fontId="27317" fillId="8" borderId="1" xfId="0" applyNumberFormat="1" applyFont="1" applyFill="1" applyBorder="1" applyAlignment="1">
      <alignment horizontal="center" vertical="center"/>
    </xf>
    <xf numFmtId="165" fontId="27318" fillId="8" borderId="1" xfId="0" applyNumberFormat="1" applyFont="1" applyFill="1" applyBorder="1" applyAlignment="1">
      <alignment horizontal="center" vertical="center"/>
    </xf>
    <xf numFmtId="1" fontId="27319" fillId="8" borderId="1" xfId="0" applyNumberFormat="1" applyFont="1" applyFill="1" applyBorder="1" applyAlignment="1">
      <alignment horizontal="center" vertical="center"/>
    </xf>
    <xf numFmtId="165" fontId="27320" fillId="8" borderId="1" xfId="0" applyNumberFormat="1" applyFont="1" applyFill="1" applyBorder="1" applyAlignment="1">
      <alignment horizontal="center" vertical="center"/>
    </xf>
    <xf numFmtId="1" fontId="27321" fillId="8" borderId="1" xfId="0" applyNumberFormat="1" applyFont="1" applyFill="1" applyBorder="1" applyAlignment="1">
      <alignment horizontal="center" vertical="center"/>
    </xf>
    <xf numFmtId="165" fontId="27322" fillId="8" borderId="1" xfId="0" applyNumberFormat="1" applyFont="1" applyFill="1" applyBorder="1" applyAlignment="1">
      <alignment horizontal="center" vertical="center"/>
    </xf>
    <xf numFmtId="1" fontId="27323" fillId="8" borderId="1" xfId="0" applyNumberFormat="1" applyFont="1" applyFill="1" applyBorder="1" applyAlignment="1">
      <alignment horizontal="center" vertical="center"/>
    </xf>
    <xf numFmtId="165" fontId="27324" fillId="8" borderId="1" xfId="0" applyNumberFormat="1" applyFont="1" applyFill="1" applyBorder="1" applyAlignment="1">
      <alignment horizontal="center" vertical="center"/>
    </xf>
    <xf numFmtId="165" fontId="27325" fillId="8" borderId="1" xfId="0" applyNumberFormat="1" applyFont="1" applyFill="1" applyBorder="1" applyAlignment="1">
      <alignment horizontal="center" vertical="center"/>
    </xf>
    <xf numFmtId="1" fontId="27326" fillId="8" borderId="1" xfId="0" applyNumberFormat="1" applyFont="1" applyFill="1" applyBorder="1" applyAlignment="1">
      <alignment horizontal="center" vertical="center"/>
    </xf>
    <xf numFmtId="1" fontId="27327" fillId="8" borderId="1" xfId="0" applyNumberFormat="1" applyFont="1" applyFill="1" applyBorder="1" applyAlignment="1">
      <alignment horizontal="center" vertical="center"/>
    </xf>
    <xf numFmtId="1" fontId="27328" fillId="8" borderId="1" xfId="0" applyNumberFormat="1" applyFont="1" applyFill="1" applyBorder="1" applyAlignment="1">
      <alignment horizontal="center" vertical="center"/>
    </xf>
    <xf numFmtId="165" fontId="27329" fillId="8" borderId="1" xfId="0" applyNumberFormat="1" applyFont="1" applyFill="1" applyBorder="1" applyAlignment="1">
      <alignment horizontal="center" vertical="center"/>
    </xf>
    <xf numFmtId="164" fontId="27330" fillId="8" borderId="1" xfId="0" applyNumberFormat="1" applyFont="1" applyFill="1" applyBorder="1" applyAlignment="1">
      <alignment horizontal="center" vertical="center"/>
    </xf>
    <xf numFmtId="164" fontId="27331" fillId="8" borderId="1" xfId="0" applyNumberFormat="1" applyFont="1" applyFill="1" applyBorder="1" applyAlignment="1">
      <alignment horizontal="center" vertical="center"/>
    </xf>
    <xf numFmtId="1" fontId="27332" fillId="8" borderId="1" xfId="0" applyNumberFormat="1" applyFont="1" applyFill="1" applyBorder="1" applyAlignment="1">
      <alignment horizontal="center" vertical="center"/>
    </xf>
    <xf numFmtId="1" fontId="27333" fillId="8" borderId="1" xfId="0" applyNumberFormat="1" applyFont="1" applyFill="1" applyBorder="1" applyAlignment="1">
      <alignment horizontal="center" vertical="center"/>
    </xf>
    <xf numFmtId="1" fontId="27334" fillId="8" borderId="1" xfId="0" applyNumberFormat="1" applyFont="1" applyFill="1" applyBorder="1" applyAlignment="1">
      <alignment horizontal="center" vertical="center"/>
    </xf>
    <xf numFmtId="165" fontId="27335" fillId="8" borderId="1" xfId="0" applyNumberFormat="1" applyFont="1" applyFill="1" applyBorder="1" applyAlignment="1">
      <alignment horizontal="center" vertical="center"/>
    </xf>
    <xf numFmtId="1" fontId="27336" fillId="8" borderId="1" xfId="0" applyNumberFormat="1" applyFont="1" applyFill="1" applyBorder="1" applyAlignment="1">
      <alignment horizontal="center" vertical="center"/>
    </xf>
    <xf numFmtId="165" fontId="27337" fillId="8" borderId="1" xfId="0" applyNumberFormat="1" applyFont="1" applyFill="1" applyBorder="1" applyAlignment="1">
      <alignment horizontal="center" vertical="center"/>
    </xf>
    <xf numFmtId="1" fontId="27338" fillId="8" borderId="1" xfId="0" applyNumberFormat="1" applyFont="1" applyFill="1" applyBorder="1" applyAlignment="1">
      <alignment horizontal="center" vertical="center"/>
    </xf>
    <xf numFmtId="1" fontId="27339" fillId="8" borderId="1" xfId="0" applyNumberFormat="1" applyFont="1" applyFill="1" applyBorder="1" applyAlignment="1">
      <alignment horizontal="center" vertical="center"/>
    </xf>
    <xf numFmtId="1" fontId="27340" fillId="8" borderId="1" xfId="0" applyNumberFormat="1" applyFont="1" applyFill="1" applyBorder="1" applyAlignment="1">
      <alignment horizontal="center" vertical="center"/>
    </xf>
    <xf numFmtId="1" fontId="27341" fillId="8" borderId="1" xfId="0" applyNumberFormat="1" applyFont="1" applyFill="1" applyBorder="1" applyAlignment="1">
      <alignment horizontal="center" vertical="center"/>
    </xf>
    <xf numFmtId="165" fontId="27342" fillId="8" borderId="1" xfId="0" applyNumberFormat="1" applyFont="1" applyFill="1" applyBorder="1" applyAlignment="1">
      <alignment horizontal="center" vertical="center"/>
    </xf>
    <xf numFmtId="1" fontId="27343" fillId="8" borderId="1" xfId="0" applyNumberFormat="1" applyFont="1" applyFill="1" applyBorder="1" applyAlignment="1">
      <alignment horizontal="center" vertical="center"/>
    </xf>
    <xf numFmtId="165" fontId="27344" fillId="8" borderId="1" xfId="0" applyNumberFormat="1" applyFont="1" applyFill="1" applyBorder="1" applyAlignment="1">
      <alignment horizontal="center" vertical="center"/>
    </xf>
    <xf numFmtId="1" fontId="27345" fillId="8" borderId="1" xfId="0" applyNumberFormat="1" applyFont="1" applyFill="1" applyBorder="1" applyAlignment="1">
      <alignment horizontal="center" vertical="center"/>
    </xf>
    <xf numFmtId="165" fontId="27346" fillId="8" borderId="1" xfId="0" applyNumberFormat="1" applyFont="1" applyFill="1" applyBorder="1" applyAlignment="1">
      <alignment horizontal="center" vertical="center"/>
    </xf>
    <xf numFmtId="2" fontId="27347" fillId="8" borderId="1" xfId="0" applyNumberFormat="1" applyFont="1" applyFill="1" applyBorder="1" applyAlignment="1">
      <alignment horizontal="center" vertical="center"/>
    </xf>
    <xf numFmtId="2" fontId="27348" fillId="8" borderId="1" xfId="0" applyNumberFormat="1" applyFont="1" applyFill="1" applyBorder="1" applyAlignment="1">
      <alignment horizontal="center" vertical="center"/>
    </xf>
    <xf numFmtId="2" fontId="27349" fillId="8" borderId="1" xfId="0" applyNumberFormat="1" applyFont="1" applyFill="1" applyBorder="1" applyAlignment="1">
      <alignment horizontal="center" vertical="center"/>
    </xf>
    <xf numFmtId="2" fontId="27350" fillId="8" borderId="1" xfId="0" applyNumberFormat="1" applyFont="1" applyFill="1" applyBorder="1" applyAlignment="1">
      <alignment horizontal="center" vertical="center"/>
    </xf>
    <xf numFmtId="2" fontId="27351" fillId="8" borderId="1" xfId="0" applyNumberFormat="1" applyFont="1" applyFill="1" applyBorder="1" applyAlignment="1">
      <alignment horizontal="center" vertical="center"/>
    </xf>
    <xf numFmtId="2" fontId="27352" fillId="8" borderId="1" xfId="0" applyNumberFormat="1" applyFont="1" applyFill="1" applyBorder="1" applyAlignment="1">
      <alignment horizontal="center" vertical="center"/>
    </xf>
    <xf numFmtId="2" fontId="27353" fillId="8" borderId="1" xfId="0" applyNumberFormat="1" applyFont="1" applyFill="1" applyBorder="1" applyAlignment="1">
      <alignment horizontal="center" vertical="center"/>
    </xf>
    <xf numFmtId="2" fontId="27354" fillId="8" borderId="1" xfId="0" applyNumberFormat="1" applyFont="1" applyFill="1" applyBorder="1" applyAlignment="1">
      <alignment horizontal="center" vertical="center"/>
    </xf>
    <xf numFmtId="2" fontId="27355" fillId="8" borderId="1" xfId="0" applyNumberFormat="1" applyFont="1" applyFill="1" applyBorder="1" applyAlignment="1">
      <alignment horizontal="center" vertical="center"/>
    </xf>
    <xf numFmtId="2" fontId="27356" fillId="8" borderId="1" xfId="0" applyNumberFormat="1" applyFont="1" applyFill="1" applyBorder="1" applyAlignment="1">
      <alignment horizontal="center" vertical="center"/>
    </xf>
    <xf numFmtId="2" fontId="27357" fillId="8" borderId="1" xfId="0" applyNumberFormat="1" applyFont="1" applyFill="1" applyBorder="1" applyAlignment="1">
      <alignment horizontal="center" vertical="center"/>
    </xf>
    <xf numFmtId="2" fontId="27358" fillId="8" borderId="1" xfId="0" applyNumberFormat="1" applyFont="1" applyFill="1" applyBorder="1" applyAlignment="1">
      <alignment horizontal="center" vertical="center"/>
    </xf>
    <xf numFmtId="2" fontId="27359" fillId="8" borderId="1" xfId="0" applyNumberFormat="1" applyFont="1" applyFill="1" applyBorder="1" applyAlignment="1">
      <alignment horizontal="center" vertical="center"/>
    </xf>
    <xf numFmtId="2" fontId="27360" fillId="8" borderId="1" xfId="0" applyNumberFormat="1" applyFont="1" applyFill="1" applyBorder="1" applyAlignment="1">
      <alignment horizontal="center" vertical="center"/>
    </xf>
    <xf numFmtId="2" fontId="27361" fillId="8" borderId="1" xfId="0" applyNumberFormat="1" applyFont="1" applyFill="1" applyBorder="1" applyAlignment="1">
      <alignment horizontal="center" vertical="center"/>
    </xf>
    <xf numFmtId="2" fontId="27362" fillId="8" borderId="1" xfId="0" applyNumberFormat="1" applyFont="1" applyFill="1" applyBorder="1" applyAlignment="1">
      <alignment horizontal="center" vertical="center"/>
    </xf>
    <xf numFmtId="2" fontId="27363" fillId="8" borderId="1" xfId="0" applyNumberFormat="1" applyFont="1" applyFill="1" applyBorder="1" applyAlignment="1">
      <alignment horizontal="center" vertical="center"/>
    </xf>
    <xf numFmtId="2" fontId="27364" fillId="8" borderId="1" xfId="0" applyNumberFormat="1" applyFont="1" applyFill="1" applyBorder="1" applyAlignment="1">
      <alignment horizontal="center" vertical="center"/>
    </xf>
    <xf numFmtId="2" fontId="27365" fillId="8" borderId="1" xfId="0" applyNumberFormat="1" applyFont="1" applyFill="1" applyBorder="1" applyAlignment="1">
      <alignment horizontal="center" vertical="center"/>
    </xf>
    <xf numFmtId="2" fontId="27366" fillId="8" borderId="1" xfId="0" applyNumberFormat="1" applyFont="1" applyFill="1" applyBorder="1" applyAlignment="1">
      <alignment horizontal="center" vertical="center"/>
    </xf>
    <xf numFmtId="2" fontId="27367" fillId="8" borderId="1" xfId="0" applyNumberFormat="1" applyFont="1" applyFill="1" applyBorder="1" applyAlignment="1">
      <alignment horizontal="center" vertical="center"/>
    </xf>
    <xf numFmtId="2" fontId="27368" fillId="8" borderId="1" xfId="0" applyNumberFormat="1" applyFont="1" applyFill="1" applyBorder="1" applyAlignment="1">
      <alignment horizontal="center" vertical="center"/>
    </xf>
    <xf numFmtId="2" fontId="27369" fillId="8" borderId="1" xfId="0" applyNumberFormat="1" applyFont="1" applyFill="1" applyBorder="1" applyAlignment="1">
      <alignment horizontal="center" vertical="center"/>
    </xf>
    <xf numFmtId="2" fontId="27370" fillId="8" borderId="1" xfId="0" applyNumberFormat="1" applyFont="1" applyFill="1" applyBorder="1" applyAlignment="1">
      <alignment horizontal="center" vertical="center"/>
    </xf>
    <xf numFmtId="2" fontId="27371" fillId="8" borderId="1" xfId="0" applyNumberFormat="1" applyFont="1" applyFill="1" applyBorder="1" applyAlignment="1">
      <alignment horizontal="center" vertical="center"/>
    </xf>
    <xf numFmtId="2" fontId="27372" fillId="8" borderId="1" xfId="0" applyNumberFormat="1" applyFont="1" applyFill="1" applyBorder="1" applyAlignment="1">
      <alignment horizontal="center" vertical="center"/>
    </xf>
    <xf numFmtId="2" fontId="27373" fillId="8" borderId="1" xfId="0" applyNumberFormat="1" applyFont="1" applyFill="1" applyBorder="1" applyAlignment="1">
      <alignment horizontal="center" vertical="center"/>
    </xf>
    <xf numFmtId="2" fontId="27374" fillId="8" borderId="1" xfId="0" applyNumberFormat="1" applyFont="1" applyFill="1" applyBorder="1" applyAlignment="1">
      <alignment horizontal="center" vertical="center"/>
    </xf>
    <xf numFmtId="2" fontId="27375" fillId="8" borderId="1" xfId="0" applyNumberFormat="1" applyFont="1" applyFill="1" applyBorder="1" applyAlignment="1">
      <alignment horizontal="center" vertical="center"/>
    </xf>
    <xf numFmtId="2" fontId="27376" fillId="8" borderId="1" xfId="0" applyNumberFormat="1" applyFont="1" applyFill="1" applyBorder="1" applyAlignment="1">
      <alignment horizontal="center" vertical="center"/>
    </xf>
    <xf numFmtId="2" fontId="27377" fillId="8" borderId="1" xfId="0" applyNumberFormat="1" applyFont="1" applyFill="1" applyBorder="1" applyAlignment="1">
      <alignment horizontal="center" vertical="center"/>
    </xf>
    <xf numFmtId="2" fontId="27378" fillId="8" borderId="1" xfId="0" applyNumberFormat="1" applyFont="1" applyFill="1" applyBorder="1" applyAlignment="1">
      <alignment horizontal="center" vertical="center"/>
    </xf>
    <xf numFmtId="2" fontId="27379" fillId="8" borderId="1" xfId="0" applyNumberFormat="1" applyFont="1" applyFill="1" applyBorder="1" applyAlignment="1">
      <alignment horizontal="center" vertical="center"/>
    </xf>
    <xf numFmtId="2" fontId="27380" fillId="8" borderId="1" xfId="0" applyNumberFormat="1" applyFont="1" applyFill="1" applyBorder="1" applyAlignment="1">
      <alignment horizontal="center" vertical="center"/>
    </xf>
    <xf numFmtId="0" fontId="27381" fillId="7" borderId="1" xfId="0" applyNumberFormat="1" applyFont="1" applyFill="1" applyBorder="1" applyAlignment="1">
      <alignment horizontal="left" vertical="center"/>
    </xf>
    <xf numFmtId="0" fontId="27382" fillId="8" borderId="1" xfId="0" applyNumberFormat="1" applyFont="1" applyFill="1" applyBorder="1" applyAlignment="1">
      <alignment horizontal="center" vertical="center"/>
    </xf>
    <xf numFmtId="164" fontId="27383" fillId="8" borderId="1" xfId="0" applyNumberFormat="1" applyFont="1" applyFill="1" applyBorder="1" applyAlignment="1">
      <alignment horizontal="center" vertical="center"/>
    </xf>
    <xf numFmtId="1" fontId="27384" fillId="8" borderId="1" xfId="0" applyNumberFormat="1" applyFont="1" applyFill="1" applyBorder="1" applyAlignment="1">
      <alignment horizontal="center" vertical="center"/>
    </xf>
    <xf numFmtId="1" fontId="27385" fillId="8" borderId="1" xfId="0" applyNumberFormat="1" applyFont="1" applyFill="1" applyBorder="1" applyAlignment="1">
      <alignment horizontal="center" vertical="center"/>
    </xf>
    <xf numFmtId="1" fontId="27386" fillId="8" borderId="1" xfId="0" applyNumberFormat="1" applyFont="1" applyFill="1" applyBorder="1" applyAlignment="1">
      <alignment horizontal="center" vertical="center"/>
    </xf>
    <xf numFmtId="1" fontId="27387" fillId="8" borderId="1" xfId="0" applyNumberFormat="1" applyFont="1" applyFill="1" applyBorder="1" applyAlignment="1">
      <alignment horizontal="center" vertical="center"/>
    </xf>
    <xf numFmtId="1" fontId="27388" fillId="8" borderId="1" xfId="0" applyNumberFormat="1" applyFont="1" applyFill="1" applyBorder="1" applyAlignment="1">
      <alignment horizontal="center" vertical="center"/>
    </xf>
    <xf numFmtId="1" fontId="27389" fillId="8" borderId="1" xfId="0" applyNumberFormat="1" applyFont="1" applyFill="1" applyBorder="1" applyAlignment="1">
      <alignment horizontal="center" vertical="center"/>
    </xf>
    <xf numFmtId="1" fontId="27390" fillId="8" borderId="1" xfId="0" applyNumberFormat="1" applyFont="1" applyFill="1" applyBorder="1" applyAlignment="1">
      <alignment horizontal="center" vertical="center"/>
    </xf>
    <xf numFmtId="0" fontId="27391" fillId="8" borderId="1" xfId="0" applyNumberFormat="1" applyFont="1" applyFill="1" applyBorder="1" applyAlignment="1">
      <alignment horizontal="center" vertical="center"/>
    </xf>
    <xf numFmtId="0" fontId="27392" fillId="8" borderId="1" xfId="0" applyNumberFormat="1" applyFont="1" applyFill="1" applyBorder="1" applyAlignment="1">
      <alignment horizontal="center" vertical="center"/>
    </xf>
    <xf numFmtId="1" fontId="27393" fillId="8" borderId="1" xfId="0" applyNumberFormat="1" applyFont="1" applyFill="1" applyBorder="1" applyAlignment="1">
      <alignment horizontal="center" vertical="center"/>
    </xf>
    <xf numFmtId="1" fontId="27394" fillId="8" borderId="1" xfId="0" applyNumberFormat="1" applyFont="1" applyFill="1" applyBorder="1" applyAlignment="1">
      <alignment horizontal="center" vertical="center"/>
    </xf>
    <xf numFmtId="1" fontId="27395" fillId="8" borderId="1" xfId="0" applyNumberFormat="1" applyFont="1" applyFill="1" applyBorder="1" applyAlignment="1">
      <alignment horizontal="center" vertical="center"/>
    </xf>
    <xf numFmtId="165" fontId="27396" fillId="8" borderId="1" xfId="0" applyNumberFormat="1" applyFont="1" applyFill="1" applyBorder="1" applyAlignment="1">
      <alignment horizontal="center" vertical="center"/>
    </xf>
    <xf numFmtId="1" fontId="27397" fillId="8" borderId="1" xfId="0" applyNumberFormat="1" applyFont="1" applyFill="1" applyBorder="1" applyAlignment="1">
      <alignment horizontal="center" vertical="center"/>
    </xf>
    <xf numFmtId="165" fontId="27398" fillId="8" borderId="1" xfId="0" applyNumberFormat="1" applyFont="1" applyFill="1" applyBorder="1" applyAlignment="1">
      <alignment horizontal="center" vertical="center"/>
    </xf>
    <xf numFmtId="1" fontId="27399" fillId="8" borderId="1" xfId="0" applyNumberFormat="1" applyFont="1" applyFill="1" applyBorder="1" applyAlignment="1">
      <alignment horizontal="center" vertical="center"/>
    </xf>
    <xf numFmtId="165" fontId="27400" fillId="8" borderId="1" xfId="0" applyNumberFormat="1" applyFont="1" applyFill="1" applyBorder="1" applyAlignment="1">
      <alignment horizontal="center" vertical="center"/>
    </xf>
    <xf numFmtId="1" fontId="27401" fillId="8" borderId="1" xfId="0" applyNumberFormat="1" applyFont="1" applyFill="1" applyBorder="1" applyAlignment="1">
      <alignment horizontal="center" vertical="center"/>
    </xf>
    <xf numFmtId="165" fontId="27402" fillId="8" borderId="1" xfId="0" applyNumberFormat="1" applyFont="1" applyFill="1" applyBorder="1" applyAlignment="1">
      <alignment horizontal="center" vertical="center"/>
    </xf>
    <xf numFmtId="165" fontId="27403" fillId="8" borderId="1" xfId="0" applyNumberFormat="1" applyFont="1" applyFill="1" applyBorder="1" applyAlignment="1">
      <alignment horizontal="center" vertical="center"/>
    </xf>
    <xf numFmtId="1" fontId="27404" fillId="8" borderId="1" xfId="0" applyNumberFormat="1" applyFont="1" applyFill="1" applyBorder="1" applyAlignment="1">
      <alignment horizontal="center" vertical="center"/>
    </xf>
    <xf numFmtId="1" fontId="27405" fillId="8" borderId="1" xfId="0" applyNumberFormat="1" applyFont="1" applyFill="1" applyBorder="1" applyAlignment="1">
      <alignment horizontal="center" vertical="center"/>
    </xf>
    <xf numFmtId="1" fontId="27406" fillId="8" borderId="1" xfId="0" applyNumberFormat="1" applyFont="1" applyFill="1" applyBorder="1" applyAlignment="1">
      <alignment horizontal="center" vertical="center"/>
    </xf>
    <xf numFmtId="165" fontId="27407" fillId="8" borderId="1" xfId="0" applyNumberFormat="1" applyFont="1" applyFill="1" applyBorder="1" applyAlignment="1">
      <alignment horizontal="center" vertical="center"/>
    </xf>
    <xf numFmtId="164" fontId="27408" fillId="8" borderId="1" xfId="0" applyNumberFormat="1" applyFont="1" applyFill="1" applyBorder="1" applyAlignment="1">
      <alignment horizontal="center" vertical="center"/>
    </xf>
    <xf numFmtId="164" fontId="27409" fillId="8" borderId="1" xfId="0" applyNumberFormat="1" applyFont="1" applyFill="1" applyBorder="1" applyAlignment="1">
      <alignment horizontal="center" vertical="center"/>
    </xf>
    <xf numFmtId="1" fontId="27410" fillId="8" borderId="1" xfId="0" applyNumberFormat="1" applyFont="1" applyFill="1" applyBorder="1" applyAlignment="1">
      <alignment horizontal="center" vertical="center"/>
    </xf>
    <xf numFmtId="1" fontId="27411" fillId="8" borderId="1" xfId="0" applyNumberFormat="1" applyFont="1" applyFill="1" applyBorder="1" applyAlignment="1">
      <alignment horizontal="center" vertical="center"/>
    </xf>
    <xf numFmtId="1" fontId="27412" fillId="8" borderId="1" xfId="0" applyNumberFormat="1" applyFont="1" applyFill="1" applyBorder="1" applyAlignment="1">
      <alignment horizontal="center" vertical="center"/>
    </xf>
    <xf numFmtId="165" fontId="27413" fillId="8" borderId="1" xfId="0" applyNumberFormat="1" applyFont="1" applyFill="1" applyBorder="1" applyAlignment="1">
      <alignment horizontal="center" vertical="center"/>
    </xf>
    <xf numFmtId="1" fontId="27414" fillId="8" borderId="1" xfId="0" applyNumberFormat="1" applyFont="1" applyFill="1" applyBorder="1" applyAlignment="1">
      <alignment horizontal="center" vertical="center"/>
    </xf>
    <xf numFmtId="165" fontId="27415" fillId="8" borderId="1" xfId="0" applyNumberFormat="1" applyFont="1" applyFill="1" applyBorder="1" applyAlignment="1">
      <alignment horizontal="center" vertical="center"/>
    </xf>
    <xf numFmtId="1" fontId="27416" fillId="8" borderId="1" xfId="0" applyNumberFormat="1" applyFont="1" applyFill="1" applyBorder="1" applyAlignment="1">
      <alignment horizontal="center" vertical="center"/>
    </xf>
    <xf numFmtId="1" fontId="27417" fillId="8" borderId="1" xfId="0" applyNumberFormat="1" applyFont="1" applyFill="1" applyBorder="1" applyAlignment="1">
      <alignment horizontal="center" vertical="center"/>
    </xf>
    <xf numFmtId="1" fontId="27418" fillId="8" borderId="1" xfId="0" applyNumberFormat="1" applyFont="1" applyFill="1" applyBorder="1" applyAlignment="1">
      <alignment horizontal="center" vertical="center"/>
    </xf>
    <xf numFmtId="1" fontId="27419" fillId="8" borderId="1" xfId="0" applyNumberFormat="1" applyFont="1" applyFill="1" applyBorder="1" applyAlignment="1">
      <alignment horizontal="center" vertical="center"/>
    </xf>
    <xf numFmtId="165" fontId="27420" fillId="8" borderId="1" xfId="0" applyNumberFormat="1" applyFont="1" applyFill="1" applyBorder="1" applyAlignment="1">
      <alignment horizontal="center" vertical="center"/>
    </xf>
    <xf numFmtId="1" fontId="27421" fillId="8" borderId="1" xfId="0" applyNumberFormat="1" applyFont="1" applyFill="1" applyBorder="1" applyAlignment="1">
      <alignment horizontal="center" vertical="center"/>
    </xf>
    <xf numFmtId="165" fontId="27422" fillId="8" borderId="1" xfId="0" applyNumberFormat="1" applyFont="1" applyFill="1" applyBorder="1" applyAlignment="1">
      <alignment horizontal="center" vertical="center"/>
    </xf>
    <xf numFmtId="1" fontId="27423" fillId="8" borderId="1" xfId="0" applyNumberFormat="1" applyFont="1" applyFill="1" applyBorder="1" applyAlignment="1">
      <alignment horizontal="center" vertical="center"/>
    </xf>
    <xf numFmtId="165" fontId="27424" fillId="8" borderId="1" xfId="0" applyNumberFormat="1" applyFont="1" applyFill="1" applyBorder="1" applyAlignment="1">
      <alignment horizontal="center" vertical="center"/>
    </xf>
    <xf numFmtId="2" fontId="27425" fillId="8" borderId="1" xfId="0" applyNumberFormat="1" applyFont="1" applyFill="1" applyBorder="1" applyAlignment="1">
      <alignment horizontal="center" vertical="center"/>
    </xf>
    <xf numFmtId="2" fontId="27426" fillId="8" borderId="1" xfId="0" applyNumberFormat="1" applyFont="1" applyFill="1" applyBorder="1" applyAlignment="1">
      <alignment horizontal="center" vertical="center"/>
    </xf>
    <xf numFmtId="2" fontId="27427" fillId="8" borderId="1" xfId="0" applyNumberFormat="1" applyFont="1" applyFill="1" applyBorder="1" applyAlignment="1">
      <alignment horizontal="center" vertical="center"/>
    </xf>
    <xf numFmtId="2" fontId="27428" fillId="8" borderId="1" xfId="0" applyNumberFormat="1" applyFont="1" applyFill="1" applyBorder="1" applyAlignment="1">
      <alignment horizontal="center" vertical="center"/>
    </xf>
    <xf numFmtId="2" fontId="27429" fillId="8" borderId="1" xfId="0" applyNumberFormat="1" applyFont="1" applyFill="1" applyBorder="1" applyAlignment="1">
      <alignment horizontal="center" vertical="center"/>
    </xf>
    <xf numFmtId="2" fontId="27430" fillId="8" borderId="1" xfId="0" applyNumberFormat="1" applyFont="1" applyFill="1" applyBorder="1" applyAlignment="1">
      <alignment horizontal="center" vertical="center"/>
    </xf>
    <xf numFmtId="2" fontId="27431" fillId="8" borderId="1" xfId="0" applyNumberFormat="1" applyFont="1" applyFill="1" applyBorder="1" applyAlignment="1">
      <alignment horizontal="center" vertical="center"/>
    </xf>
    <xf numFmtId="2" fontId="27432" fillId="8" borderId="1" xfId="0" applyNumberFormat="1" applyFont="1" applyFill="1" applyBorder="1" applyAlignment="1">
      <alignment horizontal="center" vertical="center"/>
    </xf>
    <xf numFmtId="2" fontId="27433" fillId="8" borderId="1" xfId="0" applyNumberFormat="1" applyFont="1" applyFill="1" applyBorder="1" applyAlignment="1">
      <alignment horizontal="center" vertical="center"/>
    </xf>
    <xf numFmtId="2" fontId="27434" fillId="8" borderId="1" xfId="0" applyNumberFormat="1" applyFont="1" applyFill="1" applyBorder="1" applyAlignment="1">
      <alignment horizontal="center" vertical="center"/>
    </xf>
    <xf numFmtId="2" fontId="27435" fillId="8" borderId="1" xfId="0" applyNumberFormat="1" applyFont="1" applyFill="1" applyBorder="1" applyAlignment="1">
      <alignment horizontal="center" vertical="center"/>
    </xf>
    <xf numFmtId="2" fontId="27436" fillId="8" borderId="1" xfId="0" applyNumberFormat="1" applyFont="1" applyFill="1" applyBorder="1" applyAlignment="1">
      <alignment horizontal="center" vertical="center"/>
    </xf>
    <xf numFmtId="2" fontId="27437" fillId="8" borderId="1" xfId="0" applyNumberFormat="1" applyFont="1" applyFill="1" applyBorder="1" applyAlignment="1">
      <alignment horizontal="center" vertical="center"/>
    </xf>
    <xf numFmtId="2" fontId="27438" fillId="8" borderId="1" xfId="0" applyNumberFormat="1" applyFont="1" applyFill="1" applyBorder="1" applyAlignment="1">
      <alignment horizontal="center" vertical="center"/>
    </xf>
    <xf numFmtId="2" fontId="27439" fillId="8" borderId="1" xfId="0" applyNumberFormat="1" applyFont="1" applyFill="1" applyBorder="1" applyAlignment="1">
      <alignment horizontal="center" vertical="center"/>
    </xf>
    <xf numFmtId="2" fontId="27440" fillId="8" borderId="1" xfId="0" applyNumberFormat="1" applyFont="1" applyFill="1" applyBorder="1" applyAlignment="1">
      <alignment horizontal="center" vertical="center"/>
    </xf>
    <xf numFmtId="2" fontId="27441" fillId="8" borderId="1" xfId="0" applyNumberFormat="1" applyFont="1" applyFill="1" applyBorder="1" applyAlignment="1">
      <alignment horizontal="center" vertical="center"/>
    </xf>
    <xf numFmtId="2" fontId="27442" fillId="8" borderId="1" xfId="0" applyNumberFormat="1" applyFont="1" applyFill="1" applyBorder="1" applyAlignment="1">
      <alignment horizontal="center" vertical="center"/>
    </xf>
    <xf numFmtId="2" fontId="27443" fillId="8" borderId="1" xfId="0" applyNumberFormat="1" applyFont="1" applyFill="1" applyBorder="1" applyAlignment="1">
      <alignment horizontal="center" vertical="center"/>
    </xf>
    <xf numFmtId="2" fontId="27444" fillId="8" borderId="1" xfId="0" applyNumberFormat="1" applyFont="1" applyFill="1" applyBorder="1" applyAlignment="1">
      <alignment horizontal="center" vertical="center"/>
    </xf>
    <xf numFmtId="2" fontId="27445" fillId="8" borderId="1" xfId="0" applyNumberFormat="1" applyFont="1" applyFill="1" applyBorder="1" applyAlignment="1">
      <alignment horizontal="center" vertical="center"/>
    </xf>
    <xf numFmtId="2" fontId="27446" fillId="8" borderId="1" xfId="0" applyNumberFormat="1" applyFont="1" applyFill="1" applyBorder="1" applyAlignment="1">
      <alignment horizontal="center" vertical="center"/>
    </xf>
    <xf numFmtId="2" fontId="27447" fillId="8" borderId="1" xfId="0" applyNumberFormat="1" applyFont="1" applyFill="1" applyBorder="1" applyAlignment="1">
      <alignment horizontal="center" vertical="center"/>
    </xf>
    <xf numFmtId="2" fontId="27448" fillId="8" borderId="1" xfId="0" applyNumberFormat="1" applyFont="1" applyFill="1" applyBorder="1" applyAlignment="1">
      <alignment horizontal="center" vertical="center"/>
    </xf>
    <xf numFmtId="2" fontId="27449" fillId="8" borderId="1" xfId="0" applyNumberFormat="1" applyFont="1" applyFill="1" applyBorder="1" applyAlignment="1">
      <alignment horizontal="center" vertical="center"/>
    </xf>
    <xf numFmtId="2" fontId="27450" fillId="8" borderId="1" xfId="0" applyNumberFormat="1" applyFont="1" applyFill="1" applyBorder="1" applyAlignment="1">
      <alignment horizontal="center" vertical="center"/>
    </xf>
    <xf numFmtId="2" fontId="27451" fillId="8" borderId="1" xfId="0" applyNumberFormat="1" applyFont="1" applyFill="1" applyBorder="1" applyAlignment="1">
      <alignment horizontal="center" vertical="center"/>
    </xf>
    <xf numFmtId="2" fontId="27452" fillId="8" borderId="1" xfId="0" applyNumberFormat="1" applyFont="1" applyFill="1" applyBorder="1" applyAlignment="1">
      <alignment horizontal="center" vertical="center"/>
    </xf>
    <xf numFmtId="2" fontId="27453" fillId="8" borderId="1" xfId="0" applyNumberFormat="1" applyFont="1" applyFill="1" applyBorder="1" applyAlignment="1">
      <alignment horizontal="center" vertical="center"/>
    </xf>
    <xf numFmtId="2" fontId="27454" fillId="8" borderId="1" xfId="0" applyNumberFormat="1" applyFont="1" applyFill="1" applyBorder="1" applyAlignment="1">
      <alignment horizontal="center" vertical="center"/>
    </xf>
    <xf numFmtId="2" fontId="27455" fillId="8" borderId="1" xfId="0" applyNumberFormat="1" applyFont="1" applyFill="1" applyBorder="1" applyAlignment="1">
      <alignment horizontal="center" vertical="center"/>
    </xf>
    <xf numFmtId="2" fontId="27456" fillId="8" borderId="1" xfId="0" applyNumberFormat="1" applyFont="1" applyFill="1" applyBorder="1" applyAlignment="1">
      <alignment horizontal="center" vertical="center"/>
    </xf>
    <xf numFmtId="2" fontId="27457" fillId="8" borderId="1" xfId="0" applyNumberFormat="1" applyFont="1" applyFill="1" applyBorder="1" applyAlignment="1">
      <alignment horizontal="center" vertical="center"/>
    </xf>
    <xf numFmtId="2" fontId="27458" fillId="8" borderId="1" xfId="0" applyNumberFormat="1" applyFont="1" applyFill="1" applyBorder="1" applyAlignment="1">
      <alignment horizontal="center" vertical="center"/>
    </xf>
    <xf numFmtId="0" fontId="27459" fillId="7" borderId="1" xfId="0" applyNumberFormat="1" applyFont="1" applyFill="1" applyBorder="1" applyAlignment="1">
      <alignment horizontal="left" vertical="center"/>
    </xf>
    <xf numFmtId="0" fontId="27460" fillId="8" borderId="1" xfId="0" applyNumberFormat="1" applyFont="1" applyFill="1" applyBorder="1" applyAlignment="1">
      <alignment horizontal="center" vertical="center"/>
    </xf>
    <xf numFmtId="164" fontId="27461" fillId="8" borderId="1" xfId="0" applyNumberFormat="1" applyFont="1" applyFill="1" applyBorder="1" applyAlignment="1">
      <alignment horizontal="center" vertical="center"/>
    </xf>
    <xf numFmtId="1" fontId="27462" fillId="8" borderId="1" xfId="0" applyNumberFormat="1" applyFont="1" applyFill="1" applyBorder="1" applyAlignment="1">
      <alignment horizontal="center" vertical="center"/>
    </xf>
    <xf numFmtId="1" fontId="27463" fillId="8" borderId="1" xfId="0" applyNumberFormat="1" applyFont="1" applyFill="1" applyBorder="1" applyAlignment="1">
      <alignment horizontal="center" vertical="center"/>
    </xf>
    <xf numFmtId="1" fontId="27464" fillId="8" borderId="1" xfId="0" applyNumberFormat="1" applyFont="1" applyFill="1" applyBorder="1" applyAlignment="1">
      <alignment horizontal="center" vertical="center"/>
    </xf>
    <xf numFmtId="1" fontId="27465" fillId="8" borderId="1" xfId="0" applyNumberFormat="1" applyFont="1" applyFill="1" applyBorder="1" applyAlignment="1">
      <alignment horizontal="center" vertical="center"/>
    </xf>
    <xf numFmtId="1" fontId="27466" fillId="8" borderId="1" xfId="0" applyNumberFormat="1" applyFont="1" applyFill="1" applyBorder="1" applyAlignment="1">
      <alignment horizontal="center" vertical="center"/>
    </xf>
    <xf numFmtId="1" fontId="27467" fillId="8" borderId="1" xfId="0" applyNumberFormat="1" applyFont="1" applyFill="1" applyBorder="1" applyAlignment="1">
      <alignment horizontal="center" vertical="center"/>
    </xf>
    <xf numFmtId="1" fontId="27468" fillId="8" borderId="1" xfId="0" applyNumberFormat="1" applyFont="1" applyFill="1" applyBorder="1" applyAlignment="1">
      <alignment horizontal="center" vertical="center"/>
    </xf>
    <xf numFmtId="0" fontId="27469" fillId="8" borderId="1" xfId="0" applyNumberFormat="1" applyFont="1" applyFill="1" applyBorder="1" applyAlignment="1">
      <alignment horizontal="center" vertical="center"/>
    </xf>
    <xf numFmtId="0" fontId="27470" fillId="8" borderId="1" xfId="0" applyNumberFormat="1" applyFont="1" applyFill="1" applyBorder="1" applyAlignment="1">
      <alignment horizontal="center" vertical="center"/>
    </xf>
    <xf numFmtId="1" fontId="27471" fillId="8" borderId="1" xfId="0" applyNumberFormat="1" applyFont="1" applyFill="1" applyBorder="1" applyAlignment="1">
      <alignment horizontal="center" vertical="center"/>
    </xf>
    <xf numFmtId="1" fontId="27472" fillId="8" borderId="1" xfId="0" applyNumberFormat="1" applyFont="1" applyFill="1" applyBorder="1" applyAlignment="1">
      <alignment horizontal="center" vertical="center"/>
    </xf>
    <xf numFmtId="1" fontId="27473" fillId="8" borderId="1" xfId="0" applyNumberFormat="1" applyFont="1" applyFill="1" applyBorder="1" applyAlignment="1">
      <alignment horizontal="center" vertical="center"/>
    </xf>
    <xf numFmtId="165" fontId="27474" fillId="8" borderId="1" xfId="0" applyNumberFormat="1" applyFont="1" applyFill="1" applyBorder="1" applyAlignment="1">
      <alignment horizontal="center" vertical="center"/>
    </xf>
    <xf numFmtId="1" fontId="27475" fillId="8" borderId="1" xfId="0" applyNumberFormat="1" applyFont="1" applyFill="1" applyBorder="1" applyAlignment="1">
      <alignment horizontal="center" vertical="center"/>
    </xf>
    <xf numFmtId="165" fontId="27476" fillId="8" borderId="1" xfId="0" applyNumberFormat="1" applyFont="1" applyFill="1" applyBorder="1" applyAlignment="1">
      <alignment horizontal="center" vertical="center"/>
    </xf>
    <xf numFmtId="1" fontId="27477" fillId="8" borderId="1" xfId="0" applyNumberFormat="1" applyFont="1" applyFill="1" applyBorder="1" applyAlignment="1">
      <alignment horizontal="center" vertical="center"/>
    </xf>
    <xf numFmtId="165" fontId="27478" fillId="8" borderId="1" xfId="0" applyNumberFormat="1" applyFont="1" applyFill="1" applyBorder="1" applyAlignment="1">
      <alignment horizontal="center" vertical="center"/>
    </xf>
    <xf numFmtId="1" fontId="27479" fillId="8" borderId="1" xfId="0" applyNumberFormat="1" applyFont="1" applyFill="1" applyBorder="1" applyAlignment="1">
      <alignment horizontal="center" vertical="center"/>
    </xf>
    <xf numFmtId="165" fontId="27480" fillId="8" borderId="1" xfId="0" applyNumberFormat="1" applyFont="1" applyFill="1" applyBorder="1" applyAlignment="1">
      <alignment horizontal="center" vertical="center"/>
    </xf>
    <xf numFmtId="165" fontId="27481" fillId="8" borderId="1" xfId="0" applyNumberFormat="1" applyFont="1" applyFill="1" applyBorder="1" applyAlignment="1">
      <alignment horizontal="center" vertical="center"/>
    </xf>
    <xf numFmtId="1" fontId="27482" fillId="8" borderId="1" xfId="0" applyNumberFormat="1" applyFont="1" applyFill="1" applyBorder="1" applyAlignment="1">
      <alignment horizontal="center" vertical="center"/>
    </xf>
    <xf numFmtId="1" fontId="27483" fillId="8" borderId="1" xfId="0" applyNumberFormat="1" applyFont="1" applyFill="1" applyBorder="1" applyAlignment="1">
      <alignment horizontal="center" vertical="center"/>
    </xf>
    <xf numFmtId="1" fontId="27484" fillId="8" borderId="1" xfId="0" applyNumberFormat="1" applyFont="1" applyFill="1" applyBorder="1" applyAlignment="1">
      <alignment horizontal="center" vertical="center"/>
    </xf>
    <xf numFmtId="165" fontId="27485" fillId="8" borderId="1" xfId="0" applyNumberFormat="1" applyFont="1" applyFill="1" applyBorder="1" applyAlignment="1">
      <alignment horizontal="center" vertical="center"/>
    </xf>
    <xf numFmtId="164" fontId="27486" fillId="8" borderId="1" xfId="0" applyNumberFormat="1" applyFont="1" applyFill="1" applyBorder="1" applyAlignment="1">
      <alignment horizontal="center" vertical="center"/>
    </xf>
    <xf numFmtId="164" fontId="27487" fillId="8" borderId="1" xfId="0" applyNumberFormat="1" applyFont="1" applyFill="1" applyBorder="1" applyAlignment="1">
      <alignment horizontal="center" vertical="center"/>
    </xf>
    <xf numFmtId="1" fontId="27488" fillId="8" borderId="1" xfId="0" applyNumberFormat="1" applyFont="1" applyFill="1" applyBorder="1" applyAlignment="1">
      <alignment horizontal="center" vertical="center"/>
    </xf>
    <xf numFmtId="1" fontId="27489" fillId="8" borderId="1" xfId="0" applyNumberFormat="1" applyFont="1" applyFill="1" applyBorder="1" applyAlignment="1">
      <alignment horizontal="center" vertical="center"/>
    </xf>
    <xf numFmtId="1" fontId="27490" fillId="8" borderId="1" xfId="0" applyNumberFormat="1" applyFont="1" applyFill="1" applyBorder="1" applyAlignment="1">
      <alignment horizontal="center" vertical="center"/>
    </xf>
    <xf numFmtId="165" fontId="27491" fillId="8" borderId="1" xfId="0" applyNumberFormat="1" applyFont="1" applyFill="1" applyBorder="1" applyAlignment="1">
      <alignment horizontal="center" vertical="center"/>
    </xf>
    <xf numFmtId="1" fontId="27492" fillId="8" borderId="1" xfId="0" applyNumberFormat="1" applyFont="1" applyFill="1" applyBorder="1" applyAlignment="1">
      <alignment horizontal="center" vertical="center"/>
    </xf>
    <xf numFmtId="165" fontId="27493" fillId="8" borderId="1" xfId="0" applyNumberFormat="1" applyFont="1" applyFill="1" applyBorder="1" applyAlignment="1">
      <alignment horizontal="center" vertical="center"/>
    </xf>
    <xf numFmtId="1" fontId="27494" fillId="8" borderId="1" xfId="0" applyNumberFormat="1" applyFont="1" applyFill="1" applyBorder="1" applyAlignment="1">
      <alignment horizontal="center" vertical="center"/>
    </xf>
    <xf numFmtId="1" fontId="27495" fillId="8" borderId="1" xfId="0" applyNumberFormat="1" applyFont="1" applyFill="1" applyBorder="1" applyAlignment="1">
      <alignment horizontal="center" vertical="center"/>
    </xf>
    <xf numFmtId="1" fontId="27496" fillId="8" borderId="1" xfId="0" applyNumberFormat="1" applyFont="1" applyFill="1" applyBorder="1" applyAlignment="1">
      <alignment horizontal="center" vertical="center"/>
    </xf>
    <xf numFmtId="1" fontId="27497" fillId="8" borderId="1" xfId="0" applyNumberFormat="1" applyFont="1" applyFill="1" applyBorder="1" applyAlignment="1">
      <alignment horizontal="center" vertical="center"/>
    </xf>
    <xf numFmtId="165" fontId="27498" fillId="8" borderId="1" xfId="0" applyNumberFormat="1" applyFont="1" applyFill="1" applyBorder="1" applyAlignment="1">
      <alignment horizontal="center" vertical="center"/>
    </xf>
    <xf numFmtId="1" fontId="27499" fillId="8" borderId="1" xfId="0" applyNumberFormat="1" applyFont="1" applyFill="1" applyBorder="1" applyAlignment="1">
      <alignment horizontal="center" vertical="center"/>
    </xf>
    <xf numFmtId="165" fontId="27500" fillId="8" borderId="1" xfId="0" applyNumberFormat="1" applyFont="1" applyFill="1" applyBorder="1" applyAlignment="1">
      <alignment horizontal="center" vertical="center"/>
    </xf>
    <xf numFmtId="1" fontId="27501" fillId="8" borderId="1" xfId="0" applyNumberFormat="1" applyFont="1" applyFill="1" applyBorder="1" applyAlignment="1">
      <alignment horizontal="center" vertical="center"/>
    </xf>
    <xf numFmtId="165" fontId="27502" fillId="8" borderId="1" xfId="0" applyNumberFormat="1" applyFont="1" applyFill="1" applyBorder="1" applyAlignment="1">
      <alignment horizontal="center" vertical="center"/>
    </xf>
    <xf numFmtId="2" fontId="27503" fillId="8" borderId="1" xfId="0" applyNumberFormat="1" applyFont="1" applyFill="1" applyBorder="1" applyAlignment="1">
      <alignment horizontal="center" vertical="center"/>
    </xf>
    <xf numFmtId="2" fontId="27504" fillId="8" borderId="1" xfId="0" applyNumberFormat="1" applyFont="1" applyFill="1" applyBorder="1" applyAlignment="1">
      <alignment horizontal="center" vertical="center"/>
    </xf>
    <xf numFmtId="2" fontId="27505" fillId="8" borderId="1" xfId="0" applyNumberFormat="1" applyFont="1" applyFill="1" applyBorder="1" applyAlignment="1">
      <alignment horizontal="center" vertical="center"/>
    </xf>
    <xf numFmtId="2" fontId="27506" fillId="8" borderId="1" xfId="0" applyNumberFormat="1" applyFont="1" applyFill="1" applyBorder="1" applyAlignment="1">
      <alignment horizontal="center" vertical="center"/>
    </xf>
    <xf numFmtId="2" fontId="27507" fillId="8" borderId="1" xfId="0" applyNumberFormat="1" applyFont="1" applyFill="1" applyBorder="1" applyAlignment="1">
      <alignment horizontal="center" vertical="center"/>
    </xf>
    <xf numFmtId="2" fontId="27508" fillId="8" borderId="1" xfId="0" applyNumberFormat="1" applyFont="1" applyFill="1" applyBorder="1" applyAlignment="1">
      <alignment horizontal="center" vertical="center"/>
    </xf>
    <xf numFmtId="2" fontId="27509" fillId="8" borderId="1" xfId="0" applyNumberFormat="1" applyFont="1" applyFill="1" applyBorder="1" applyAlignment="1">
      <alignment horizontal="center" vertical="center"/>
    </xf>
    <xf numFmtId="2" fontId="27510" fillId="8" borderId="1" xfId="0" applyNumberFormat="1" applyFont="1" applyFill="1" applyBorder="1" applyAlignment="1">
      <alignment horizontal="center" vertical="center"/>
    </xf>
    <xf numFmtId="2" fontId="27511" fillId="8" borderId="1" xfId="0" applyNumberFormat="1" applyFont="1" applyFill="1" applyBorder="1" applyAlignment="1">
      <alignment horizontal="center" vertical="center"/>
    </xf>
    <xf numFmtId="2" fontId="27512" fillId="8" borderId="1" xfId="0" applyNumberFormat="1" applyFont="1" applyFill="1" applyBorder="1" applyAlignment="1">
      <alignment horizontal="center" vertical="center"/>
    </xf>
    <xf numFmtId="2" fontId="27513" fillId="8" borderId="1" xfId="0" applyNumberFormat="1" applyFont="1" applyFill="1" applyBorder="1" applyAlignment="1">
      <alignment horizontal="center" vertical="center"/>
    </xf>
    <xf numFmtId="2" fontId="27514" fillId="8" borderId="1" xfId="0" applyNumberFormat="1" applyFont="1" applyFill="1" applyBorder="1" applyAlignment="1">
      <alignment horizontal="center" vertical="center"/>
    </xf>
    <xf numFmtId="2" fontId="27515" fillId="8" borderId="1" xfId="0" applyNumberFormat="1" applyFont="1" applyFill="1" applyBorder="1" applyAlignment="1">
      <alignment horizontal="center" vertical="center"/>
    </xf>
    <xf numFmtId="2" fontId="27516" fillId="8" borderId="1" xfId="0" applyNumberFormat="1" applyFont="1" applyFill="1" applyBorder="1" applyAlignment="1">
      <alignment horizontal="center" vertical="center"/>
    </xf>
    <xf numFmtId="2" fontId="27517" fillId="8" borderId="1" xfId="0" applyNumberFormat="1" applyFont="1" applyFill="1" applyBorder="1" applyAlignment="1">
      <alignment horizontal="center" vertical="center"/>
    </xf>
    <xf numFmtId="2" fontId="27518" fillId="8" borderId="1" xfId="0" applyNumberFormat="1" applyFont="1" applyFill="1" applyBorder="1" applyAlignment="1">
      <alignment horizontal="center" vertical="center"/>
    </xf>
    <xf numFmtId="2" fontId="27519" fillId="8" borderId="1" xfId="0" applyNumberFormat="1" applyFont="1" applyFill="1" applyBorder="1" applyAlignment="1">
      <alignment horizontal="center" vertical="center"/>
    </xf>
    <xf numFmtId="2" fontId="27520" fillId="8" borderId="1" xfId="0" applyNumberFormat="1" applyFont="1" applyFill="1" applyBorder="1" applyAlignment="1">
      <alignment horizontal="center" vertical="center"/>
    </xf>
    <xf numFmtId="2" fontId="27521" fillId="8" borderId="1" xfId="0" applyNumberFormat="1" applyFont="1" applyFill="1" applyBorder="1" applyAlignment="1">
      <alignment horizontal="center" vertical="center"/>
    </xf>
    <xf numFmtId="2" fontId="27522" fillId="8" borderId="1" xfId="0" applyNumberFormat="1" applyFont="1" applyFill="1" applyBorder="1" applyAlignment="1">
      <alignment horizontal="center" vertical="center"/>
    </xf>
    <xf numFmtId="2" fontId="27523" fillId="8" borderId="1" xfId="0" applyNumberFormat="1" applyFont="1" applyFill="1" applyBorder="1" applyAlignment="1">
      <alignment horizontal="center" vertical="center"/>
    </xf>
    <xf numFmtId="2" fontId="27524" fillId="8" borderId="1" xfId="0" applyNumberFormat="1" applyFont="1" applyFill="1" applyBorder="1" applyAlignment="1">
      <alignment horizontal="center" vertical="center"/>
    </xf>
    <xf numFmtId="2" fontId="27525" fillId="8" borderId="1" xfId="0" applyNumberFormat="1" applyFont="1" applyFill="1" applyBorder="1" applyAlignment="1">
      <alignment horizontal="center" vertical="center"/>
    </xf>
    <xf numFmtId="2" fontId="27526" fillId="8" borderId="1" xfId="0" applyNumberFormat="1" applyFont="1" applyFill="1" applyBorder="1" applyAlignment="1">
      <alignment horizontal="center" vertical="center"/>
    </xf>
    <xf numFmtId="2" fontId="27527" fillId="8" borderId="1" xfId="0" applyNumberFormat="1" applyFont="1" applyFill="1" applyBorder="1" applyAlignment="1">
      <alignment horizontal="center" vertical="center"/>
    </xf>
    <xf numFmtId="2" fontId="27528" fillId="8" borderId="1" xfId="0" applyNumberFormat="1" applyFont="1" applyFill="1" applyBorder="1" applyAlignment="1">
      <alignment horizontal="center" vertical="center"/>
    </xf>
    <xf numFmtId="2" fontId="27529" fillId="8" borderId="1" xfId="0" applyNumberFormat="1" applyFont="1" applyFill="1" applyBorder="1" applyAlignment="1">
      <alignment horizontal="center" vertical="center"/>
    </xf>
    <xf numFmtId="2" fontId="27530" fillId="8" borderId="1" xfId="0" applyNumberFormat="1" applyFont="1" applyFill="1" applyBorder="1" applyAlignment="1">
      <alignment horizontal="center" vertical="center"/>
    </xf>
    <xf numFmtId="2" fontId="27531" fillId="8" borderId="1" xfId="0" applyNumberFormat="1" applyFont="1" applyFill="1" applyBorder="1" applyAlignment="1">
      <alignment horizontal="center" vertical="center"/>
    </xf>
    <xf numFmtId="2" fontId="27532" fillId="8" borderId="1" xfId="0" applyNumberFormat="1" applyFont="1" applyFill="1" applyBorder="1" applyAlignment="1">
      <alignment horizontal="center" vertical="center"/>
    </xf>
    <xf numFmtId="2" fontId="27533" fillId="8" borderId="1" xfId="0" applyNumberFormat="1" applyFont="1" applyFill="1" applyBorder="1" applyAlignment="1">
      <alignment horizontal="center" vertical="center"/>
    </xf>
    <xf numFmtId="2" fontId="27534" fillId="8" borderId="1" xfId="0" applyNumberFormat="1" applyFont="1" applyFill="1" applyBorder="1" applyAlignment="1">
      <alignment horizontal="center" vertical="center"/>
    </xf>
    <xf numFmtId="2" fontId="27535" fillId="8" borderId="1" xfId="0" applyNumberFormat="1" applyFont="1" applyFill="1" applyBorder="1" applyAlignment="1">
      <alignment horizontal="center" vertical="center"/>
    </xf>
    <xf numFmtId="2" fontId="27536" fillId="8" borderId="1" xfId="0" applyNumberFormat="1" applyFont="1" applyFill="1" applyBorder="1" applyAlignment="1">
      <alignment horizontal="center" vertical="center"/>
    </xf>
    <xf numFmtId="0" fontId="27537" fillId="7" borderId="1" xfId="0" applyNumberFormat="1" applyFont="1" applyFill="1" applyBorder="1" applyAlignment="1">
      <alignment horizontal="left" vertical="center"/>
    </xf>
    <xf numFmtId="0" fontId="27538" fillId="8" borderId="1" xfId="0" applyNumberFormat="1" applyFont="1" applyFill="1" applyBorder="1" applyAlignment="1">
      <alignment horizontal="center" vertical="center"/>
    </xf>
    <xf numFmtId="164" fontId="27539" fillId="8" borderId="1" xfId="0" applyNumberFormat="1" applyFont="1" applyFill="1" applyBorder="1" applyAlignment="1">
      <alignment horizontal="center" vertical="center"/>
    </xf>
    <xf numFmtId="1" fontId="27540" fillId="8" borderId="1" xfId="0" applyNumberFormat="1" applyFont="1" applyFill="1" applyBorder="1" applyAlignment="1">
      <alignment horizontal="center" vertical="center"/>
    </xf>
    <xf numFmtId="1" fontId="27541" fillId="8" borderId="1" xfId="0" applyNumberFormat="1" applyFont="1" applyFill="1" applyBorder="1" applyAlignment="1">
      <alignment horizontal="center" vertical="center"/>
    </xf>
    <xf numFmtId="1" fontId="27542" fillId="8" borderId="1" xfId="0" applyNumberFormat="1" applyFont="1" applyFill="1" applyBorder="1" applyAlignment="1">
      <alignment horizontal="center" vertical="center"/>
    </xf>
    <xf numFmtId="1" fontId="27543" fillId="8" borderId="1" xfId="0" applyNumberFormat="1" applyFont="1" applyFill="1" applyBorder="1" applyAlignment="1">
      <alignment horizontal="center" vertical="center"/>
    </xf>
    <xf numFmtId="1" fontId="27544" fillId="8" borderId="1" xfId="0" applyNumberFormat="1" applyFont="1" applyFill="1" applyBorder="1" applyAlignment="1">
      <alignment horizontal="center" vertical="center"/>
    </xf>
    <xf numFmtId="1" fontId="27545" fillId="8" borderId="1" xfId="0" applyNumberFormat="1" applyFont="1" applyFill="1" applyBorder="1" applyAlignment="1">
      <alignment horizontal="center" vertical="center"/>
    </xf>
    <xf numFmtId="1" fontId="27546" fillId="8" borderId="1" xfId="0" applyNumberFormat="1" applyFont="1" applyFill="1" applyBorder="1" applyAlignment="1">
      <alignment horizontal="center" vertical="center"/>
    </xf>
    <xf numFmtId="0" fontId="27547" fillId="8" borderId="1" xfId="0" applyNumberFormat="1" applyFont="1" applyFill="1" applyBorder="1" applyAlignment="1">
      <alignment horizontal="center" vertical="center"/>
    </xf>
    <xf numFmtId="0" fontId="27548" fillId="8" borderId="1" xfId="0" applyNumberFormat="1" applyFont="1" applyFill="1" applyBorder="1" applyAlignment="1">
      <alignment horizontal="center" vertical="center"/>
    </xf>
    <xf numFmtId="1" fontId="27549" fillId="8" borderId="1" xfId="0" applyNumberFormat="1" applyFont="1" applyFill="1" applyBorder="1" applyAlignment="1">
      <alignment horizontal="center" vertical="center"/>
    </xf>
    <xf numFmtId="1" fontId="27550" fillId="8" borderId="1" xfId="0" applyNumberFormat="1" applyFont="1" applyFill="1" applyBorder="1" applyAlignment="1">
      <alignment horizontal="center" vertical="center"/>
    </xf>
    <xf numFmtId="1" fontId="27551" fillId="8" borderId="1" xfId="0" applyNumberFormat="1" applyFont="1" applyFill="1" applyBorder="1" applyAlignment="1">
      <alignment horizontal="center" vertical="center"/>
    </xf>
    <xf numFmtId="165" fontId="27552" fillId="8" borderId="1" xfId="0" applyNumberFormat="1" applyFont="1" applyFill="1" applyBorder="1" applyAlignment="1">
      <alignment horizontal="center" vertical="center"/>
    </xf>
    <xf numFmtId="1" fontId="27553" fillId="8" borderId="1" xfId="0" applyNumberFormat="1" applyFont="1" applyFill="1" applyBorder="1" applyAlignment="1">
      <alignment horizontal="center" vertical="center"/>
    </xf>
    <xf numFmtId="165" fontId="27554" fillId="8" borderId="1" xfId="0" applyNumberFormat="1" applyFont="1" applyFill="1" applyBorder="1" applyAlignment="1">
      <alignment horizontal="center" vertical="center"/>
    </xf>
    <xf numFmtId="1" fontId="27555" fillId="8" borderId="1" xfId="0" applyNumberFormat="1" applyFont="1" applyFill="1" applyBorder="1" applyAlignment="1">
      <alignment horizontal="center" vertical="center"/>
    </xf>
    <xf numFmtId="165" fontId="27556" fillId="8" borderId="1" xfId="0" applyNumberFormat="1" applyFont="1" applyFill="1" applyBorder="1" applyAlignment="1">
      <alignment horizontal="center" vertical="center"/>
    </xf>
    <xf numFmtId="1" fontId="27557" fillId="8" borderId="1" xfId="0" applyNumberFormat="1" applyFont="1" applyFill="1" applyBorder="1" applyAlignment="1">
      <alignment horizontal="center" vertical="center"/>
    </xf>
    <xf numFmtId="165" fontId="27558" fillId="8" borderId="1" xfId="0" applyNumberFormat="1" applyFont="1" applyFill="1" applyBorder="1" applyAlignment="1">
      <alignment horizontal="center" vertical="center"/>
    </xf>
    <xf numFmtId="165" fontId="27559" fillId="8" borderId="1" xfId="0" applyNumberFormat="1" applyFont="1" applyFill="1" applyBorder="1" applyAlignment="1">
      <alignment horizontal="center" vertical="center"/>
    </xf>
    <xf numFmtId="1" fontId="27560" fillId="8" borderId="1" xfId="0" applyNumberFormat="1" applyFont="1" applyFill="1" applyBorder="1" applyAlignment="1">
      <alignment horizontal="center" vertical="center"/>
    </xf>
    <xf numFmtId="1" fontId="27561" fillId="8" borderId="1" xfId="0" applyNumberFormat="1" applyFont="1" applyFill="1" applyBorder="1" applyAlignment="1">
      <alignment horizontal="center" vertical="center"/>
    </xf>
    <xf numFmtId="1" fontId="27562" fillId="8" borderId="1" xfId="0" applyNumberFormat="1" applyFont="1" applyFill="1" applyBorder="1" applyAlignment="1">
      <alignment horizontal="center" vertical="center"/>
    </xf>
    <xf numFmtId="165" fontId="27563" fillId="8" borderId="1" xfId="0" applyNumberFormat="1" applyFont="1" applyFill="1" applyBorder="1" applyAlignment="1">
      <alignment horizontal="center" vertical="center"/>
    </xf>
    <xf numFmtId="164" fontId="27564" fillId="8" borderId="1" xfId="0" applyNumberFormat="1" applyFont="1" applyFill="1" applyBorder="1" applyAlignment="1">
      <alignment horizontal="center" vertical="center"/>
    </xf>
    <xf numFmtId="164" fontId="27565" fillId="8" borderId="1" xfId="0" applyNumberFormat="1" applyFont="1" applyFill="1" applyBorder="1" applyAlignment="1">
      <alignment horizontal="center" vertical="center"/>
    </xf>
    <xf numFmtId="1" fontId="27566" fillId="8" borderId="1" xfId="0" applyNumberFormat="1" applyFont="1" applyFill="1" applyBorder="1" applyAlignment="1">
      <alignment horizontal="center" vertical="center"/>
    </xf>
    <xf numFmtId="1" fontId="27567" fillId="8" borderId="1" xfId="0" applyNumberFormat="1" applyFont="1" applyFill="1" applyBorder="1" applyAlignment="1">
      <alignment horizontal="center" vertical="center"/>
    </xf>
    <xf numFmtId="1" fontId="27568" fillId="8" borderId="1" xfId="0" applyNumberFormat="1" applyFont="1" applyFill="1" applyBorder="1" applyAlignment="1">
      <alignment horizontal="center" vertical="center"/>
    </xf>
    <xf numFmtId="165" fontId="27569" fillId="8" borderId="1" xfId="0" applyNumberFormat="1" applyFont="1" applyFill="1" applyBorder="1" applyAlignment="1">
      <alignment horizontal="center" vertical="center"/>
    </xf>
    <xf numFmtId="1" fontId="27570" fillId="8" borderId="1" xfId="0" applyNumberFormat="1" applyFont="1" applyFill="1" applyBorder="1" applyAlignment="1">
      <alignment horizontal="center" vertical="center"/>
    </xf>
    <xf numFmtId="165" fontId="27571" fillId="8" borderId="1" xfId="0" applyNumberFormat="1" applyFont="1" applyFill="1" applyBorder="1" applyAlignment="1">
      <alignment horizontal="center" vertical="center"/>
    </xf>
    <xf numFmtId="1" fontId="27572" fillId="8" borderId="1" xfId="0" applyNumberFormat="1" applyFont="1" applyFill="1" applyBorder="1" applyAlignment="1">
      <alignment horizontal="center" vertical="center"/>
    </xf>
    <xf numFmtId="1" fontId="27573" fillId="8" borderId="1" xfId="0" applyNumberFormat="1" applyFont="1" applyFill="1" applyBorder="1" applyAlignment="1">
      <alignment horizontal="center" vertical="center"/>
    </xf>
    <xf numFmtId="1" fontId="27574" fillId="8" borderId="1" xfId="0" applyNumberFormat="1" applyFont="1" applyFill="1" applyBorder="1" applyAlignment="1">
      <alignment horizontal="center" vertical="center"/>
    </xf>
    <xf numFmtId="1" fontId="27575" fillId="8" borderId="1" xfId="0" applyNumberFormat="1" applyFont="1" applyFill="1" applyBorder="1" applyAlignment="1">
      <alignment horizontal="center" vertical="center"/>
    </xf>
    <xf numFmtId="165" fontId="27576" fillId="8" borderId="1" xfId="0" applyNumberFormat="1" applyFont="1" applyFill="1" applyBorder="1" applyAlignment="1">
      <alignment horizontal="center" vertical="center"/>
    </xf>
    <xf numFmtId="1" fontId="27577" fillId="8" borderId="1" xfId="0" applyNumberFormat="1" applyFont="1" applyFill="1" applyBorder="1" applyAlignment="1">
      <alignment horizontal="center" vertical="center"/>
    </xf>
    <xf numFmtId="165" fontId="27578" fillId="8" borderId="1" xfId="0" applyNumberFormat="1" applyFont="1" applyFill="1" applyBorder="1" applyAlignment="1">
      <alignment horizontal="center" vertical="center"/>
    </xf>
    <xf numFmtId="1" fontId="27579" fillId="8" borderId="1" xfId="0" applyNumberFormat="1" applyFont="1" applyFill="1" applyBorder="1" applyAlignment="1">
      <alignment horizontal="center" vertical="center"/>
    </xf>
    <xf numFmtId="165" fontId="27580" fillId="8" borderId="1" xfId="0" applyNumberFormat="1" applyFont="1" applyFill="1" applyBorder="1" applyAlignment="1">
      <alignment horizontal="center" vertical="center"/>
    </xf>
    <xf numFmtId="2" fontId="27581" fillId="8" borderId="1" xfId="0" applyNumberFormat="1" applyFont="1" applyFill="1" applyBorder="1" applyAlignment="1">
      <alignment horizontal="center" vertical="center"/>
    </xf>
    <xf numFmtId="2" fontId="27582" fillId="8" borderId="1" xfId="0" applyNumberFormat="1" applyFont="1" applyFill="1" applyBorder="1" applyAlignment="1">
      <alignment horizontal="center" vertical="center"/>
    </xf>
    <xf numFmtId="2" fontId="27583" fillId="8" borderId="1" xfId="0" applyNumberFormat="1" applyFont="1" applyFill="1" applyBorder="1" applyAlignment="1">
      <alignment horizontal="center" vertical="center"/>
    </xf>
    <xf numFmtId="2" fontId="27584" fillId="8" borderId="1" xfId="0" applyNumberFormat="1" applyFont="1" applyFill="1" applyBorder="1" applyAlignment="1">
      <alignment horizontal="center" vertical="center"/>
    </xf>
    <xf numFmtId="2" fontId="27585" fillId="8" borderId="1" xfId="0" applyNumberFormat="1" applyFont="1" applyFill="1" applyBorder="1" applyAlignment="1">
      <alignment horizontal="center" vertical="center"/>
    </xf>
    <xf numFmtId="2" fontId="27586" fillId="8" borderId="1" xfId="0" applyNumberFormat="1" applyFont="1" applyFill="1" applyBorder="1" applyAlignment="1">
      <alignment horizontal="center" vertical="center"/>
    </xf>
    <xf numFmtId="2" fontId="27587" fillId="8" borderId="1" xfId="0" applyNumberFormat="1" applyFont="1" applyFill="1" applyBorder="1" applyAlignment="1">
      <alignment horizontal="center" vertical="center"/>
    </xf>
    <xf numFmtId="2" fontId="27588" fillId="8" borderId="1" xfId="0" applyNumberFormat="1" applyFont="1" applyFill="1" applyBorder="1" applyAlignment="1">
      <alignment horizontal="center" vertical="center"/>
    </xf>
    <xf numFmtId="2" fontId="27589" fillId="8" borderId="1" xfId="0" applyNumberFormat="1" applyFont="1" applyFill="1" applyBorder="1" applyAlignment="1">
      <alignment horizontal="center" vertical="center"/>
    </xf>
    <xf numFmtId="2" fontId="27590" fillId="8" borderId="1" xfId="0" applyNumberFormat="1" applyFont="1" applyFill="1" applyBorder="1" applyAlignment="1">
      <alignment horizontal="center" vertical="center"/>
    </xf>
    <xf numFmtId="2" fontId="27591" fillId="8" borderId="1" xfId="0" applyNumberFormat="1" applyFont="1" applyFill="1" applyBorder="1" applyAlignment="1">
      <alignment horizontal="center" vertical="center"/>
    </xf>
    <xf numFmtId="2" fontId="27592" fillId="8" borderId="1" xfId="0" applyNumberFormat="1" applyFont="1" applyFill="1" applyBorder="1" applyAlignment="1">
      <alignment horizontal="center" vertical="center"/>
    </xf>
    <xf numFmtId="2" fontId="27593" fillId="8" borderId="1" xfId="0" applyNumberFormat="1" applyFont="1" applyFill="1" applyBorder="1" applyAlignment="1">
      <alignment horizontal="center" vertical="center"/>
    </xf>
    <xf numFmtId="2" fontId="27594" fillId="8" borderId="1" xfId="0" applyNumberFormat="1" applyFont="1" applyFill="1" applyBorder="1" applyAlignment="1">
      <alignment horizontal="center" vertical="center"/>
    </xf>
    <xf numFmtId="2" fontId="27595" fillId="8" borderId="1" xfId="0" applyNumberFormat="1" applyFont="1" applyFill="1" applyBorder="1" applyAlignment="1">
      <alignment horizontal="center" vertical="center"/>
    </xf>
    <xf numFmtId="2" fontId="27596" fillId="8" borderId="1" xfId="0" applyNumberFormat="1" applyFont="1" applyFill="1" applyBorder="1" applyAlignment="1">
      <alignment horizontal="center" vertical="center"/>
    </xf>
    <xf numFmtId="2" fontId="27597" fillId="8" borderId="1" xfId="0" applyNumberFormat="1" applyFont="1" applyFill="1" applyBorder="1" applyAlignment="1">
      <alignment horizontal="center" vertical="center"/>
    </xf>
    <xf numFmtId="2" fontId="27598" fillId="8" borderId="1" xfId="0" applyNumberFormat="1" applyFont="1" applyFill="1" applyBorder="1" applyAlignment="1">
      <alignment horizontal="center" vertical="center"/>
    </xf>
    <xf numFmtId="2" fontId="27599" fillId="8" borderId="1" xfId="0" applyNumberFormat="1" applyFont="1" applyFill="1" applyBorder="1" applyAlignment="1">
      <alignment horizontal="center" vertical="center"/>
    </xf>
    <xf numFmtId="2" fontId="27600" fillId="8" borderId="1" xfId="0" applyNumberFormat="1" applyFont="1" applyFill="1" applyBorder="1" applyAlignment="1">
      <alignment horizontal="center" vertical="center"/>
    </xf>
    <xf numFmtId="2" fontId="27601" fillId="8" borderId="1" xfId="0" applyNumberFormat="1" applyFont="1" applyFill="1" applyBorder="1" applyAlignment="1">
      <alignment horizontal="center" vertical="center"/>
    </xf>
    <xf numFmtId="2" fontId="27602" fillId="8" borderId="1" xfId="0" applyNumberFormat="1" applyFont="1" applyFill="1" applyBorder="1" applyAlignment="1">
      <alignment horizontal="center" vertical="center"/>
    </xf>
    <xf numFmtId="2" fontId="27603" fillId="8" borderId="1" xfId="0" applyNumberFormat="1" applyFont="1" applyFill="1" applyBorder="1" applyAlignment="1">
      <alignment horizontal="center" vertical="center"/>
    </xf>
    <xf numFmtId="2" fontId="27604" fillId="8" borderId="1" xfId="0" applyNumberFormat="1" applyFont="1" applyFill="1" applyBorder="1" applyAlignment="1">
      <alignment horizontal="center" vertical="center"/>
    </xf>
    <xf numFmtId="2" fontId="27605" fillId="8" borderId="1" xfId="0" applyNumberFormat="1" applyFont="1" applyFill="1" applyBorder="1" applyAlignment="1">
      <alignment horizontal="center" vertical="center"/>
    </xf>
    <xf numFmtId="2" fontId="27606" fillId="8" borderId="1" xfId="0" applyNumberFormat="1" applyFont="1" applyFill="1" applyBorder="1" applyAlignment="1">
      <alignment horizontal="center" vertical="center"/>
    </xf>
    <xf numFmtId="2" fontId="27607" fillId="8" borderId="1" xfId="0" applyNumberFormat="1" applyFont="1" applyFill="1" applyBorder="1" applyAlignment="1">
      <alignment horizontal="center" vertical="center"/>
    </xf>
    <xf numFmtId="2" fontId="27608" fillId="8" borderId="1" xfId="0" applyNumberFormat="1" applyFont="1" applyFill="1" applyBorder="1" applyAlignment="1">
      <alignment horizontal="center" vertical="center"/>
    </xf>
    <xf numFmtId="2" fontId="27609" fillId="8" borderId="1" xfId="0" applyNumberFormat="1" applyFont="1" applyFill="1" applyBorder="1" applyAlignment="1">
      <alignment horizontal="center" vertical="center"/>
    </xf>
    <xf numFmtId="2" fontId="27610" fillId="8" borderId="1" xfId="0" applyNumberFormat="1" applyFont="1" applyFill="1" applyBorder="1" applyAlignment="1">
      <alignment horizontal="center" vertical="center"/>
    </xf>
    <xf numFmtId="2" fontId="27611" fillId="8" borderId="1" xfId="0" applyNumberFormat="1" applyFont="1" applyFill="1" applyBorder="1" applyAlignment="1">
      <alignment horizontal="center" vertical="center"/>
    </xf>
    <xf numFmtId="2" fontId="27612" fillId="8" borderId="1" xfId="0" applyNumberFormat="1" applyFont="1" applyFill="1" applyBorder="1" applyAlignment="1">
      <alignment horizontal="center" vertical="center"/>
    </xf>
    <xf numFmtId="2" fontId="27613" fillId="8" borderId="1" xfId="0" applyNumberFormat="1" applyFont="1" applyFill="1" applyBorder="1" applyAlignment="1">
      <alignment horizontal="center" vertical="center"/>
    </xf>
    <xf numFmtId="2" fontId="27614" fillId="8" borderId="1" xfId="0" applyNumberFormat="1" applyFont="1" applyFill="1" applyBorder="1" applyAlignment="1">
      <alignment horizontal="center" vertical="center"/>
    </xf>
    <xf numFmtId="0" fontId="27615" fillId="7" borderId="1" xfId="0" applyNumberFormat="1" applyFont="1" applyFill="1" applyBorder="1" applyAlignment="1">
      <alignment horizontal="left" vertical="center"/>
    </xf>
    <xf numFmtId="0" fontId="27616" fillId="8" borderId="1" xfId="0" applyNumberFormat="1" applyFont="1" applyFill="1" applyBorder="1" applyAlignment="1">
      <alignment horizontal="center" vertical="center"/>
    </xf>
    <xf numFmtId="164" fontId="27617" fillId="8" borderId="1" xfId="0" applyNumberFormat="1" applyFont="1" applyFill="1" applyBorder="1" applyAlignment="1">
      <alignment horizontal="center" vertical="center"/>
    </xf>
    <xf numFmtId="1" fontId="27618" fillId="8" borderId="1" xfId="0" applyNumberFormat="1" applyFont="1" applyFill="1" applyBorder="1" applyAlignment="1">
      <alignment horizontal="center" vertical="center"/>
    </xf>
    <xf numFmtId="1" fontId="27619" fillId="8" borderId="1" xfId="0" applyNumberFormat="1" applyFont="1" applyFill="1" applyBorder="1" applyAlignment="1">
      <alignment horizontal="center" vertical="center"/>
    </xf>
    <xf numFmtId="1" fontId="27620" fillId="8" borderId="1" xfId="0" applyNumberFormat="1" applyFont="1" applyFill="1" applyBorder="1" applyAlignment="1">
      <alignment horizontal="center" vertical="center"/>
    </xf>
    <xf numFmtId="1" fontId="27621" fillId="8" borderId="1" xfId="0" applyNumberFormat="1" applyFont="1" applyFill="1" applyBorder="1" applyAlignment="1">
      <alignment horizontal="center" vertical="center"/>
    </xf>
    <xf numFmtId="1" fontId="27622" fillId="8" borderId="1" xfId="0" applyNumberFormat="1" applyFont="1" applyFill="1" applyBorder="1" applyAlignment="1">
      <alignment horizontal="center" vertical="center"/>
    </xf>
    <xf numFmtId="1" fontId="27623" fillId="8" borderId="1" xfId="0" applyNumberFormat="1" applyFont="1" applyFill="1" applyBorder="1" applyAlignment="1">
      <alignment horizontal="center" vertical="center"/>
    </xf>
    <xf numFmtId="1" fontId="27624" fillId="8" borderId="1" xfId="0" applyNumberFormat="1" applyFont="1" applyFill="1" applyBorder="1" applyAlignment="1">
      <alignment horizontal="center" vertical="center"/>
    </xf>
    <xf numFmtId="0" fontId="27625" fillId="8" borderId="1" xfId="0" applyNumberFormat="1" applyFont="1" applyFill="1" applyBorder="1" applyAlignment="1">
      <alignment horizontal="center" vertical="center"/>
    </xf>
    <xf numFmtId="0" fontId="27626" fillId="8" borderId="1" xfId="0" applyNumberFormat="1" applyFont="1" applyFill="1" applyBorder="1" applyAlignment="1">
      <alignment horizontal="center" vertical="center"/>
    </xf>
    <xf numFmtId="1" fontId="27627" fillId="8" borderId="1" xfId="0" applyNumberFormat="1" applyFont="1" applyFill="1" applyBorder="1" applyAlignment="1">
      <alignment horizontal="center" vertical="center"/>
    </xf>
    <xf numFmtId="1" fontId="27628" fillId="8" borderId="1" xfId="0" applyNumberFormat="1" applyFont="1" applyFill="1" applyBorder="1" applyAlignment="1">
      <alignment horizontal="center" vertical="center"/>
    </xf>
    <xf numFmtId="1" fontId="27629" fillId="8" borderId="1" xfId="0" applyNumberFormat="1" applyFont="1" applyFill="1" applyBorder="1" applyAlignment="1">
      <alignment horizontal="center" vertical="center"/>
    </xf>
    <xf numFmtId="165" fontId="27630" fillId="8" borderId="1" xfId="0" applyNumberFormat="1" applyFont="1" applyFill="1" applyBorder="1" applyAlignment="1">
      <alignment horizontal="center" vertical="center"/>
    </xf>
    <xf numFmtId="1" fontId="27631" fillId="8" borderId="1" xfId="0" applyNumberFormat="1" applyFont="1" applyFill="1" applyBorder="1" applyAlignment="1">
      <alignment horizontal="center" vertical="center"/>
    </xf>
    <xf numFmtId="165" fontId="27632" fillId="8" borderId="1" xfId="0" applyNumberFormat="1" applyFont="1" applyFill="1" applyBorder="1" applyAlignment="1">
      <alignment horizontal="center" vertical="center"/>
    </xf>
    <xf numFmtId="1" fontId="27633" fillId="8" borderId="1" xfId="0" applyNumberFormat="1" applyFont="1" applyFill="1" applyBorder="1" applyAlignment="1">
      <alignment horizontal="center" vertical="center"/>
    </xf>
    <xf numFmtId="165" fontId="27634" fillId="8" borderId="1" xfId="0" applyNumberFormat="1" applyFont="1" applyFill="1" applyBorder="1" applyAlignment="1">
      <alignment horizontal="center" vertical="center"/>
    </xf>
    <xf numFmtId="1" fontId="27635" fillId="8" borderId="1" xfId="0" applyNumberFormat="1" applyFont="1" applyFill="1" applyBorder="1" applyAlignment="1">
      <alignment horizontal="center" vertical="center"/>
    </xf>
    <xf numFmtId="165" fontId="27636" fillId="8" borderId="1" xfId="0" applyNumberFormat="1" applyFont="1" applyFill="1" applyBorder="1" applyAlignment="1">
      <alignment horizontal="center" vertical="center"/>
    </xf>
    <xf numFmtId="165" fontId="27637" fillId="8" borderId="1" xfId="0" applyNumberFormat="1" applyFont="1" applyFill="1" applyBorder="1" applyAlignment="1">
      <alignment horizontal="center" vertical="center"/>
    </xf>
    <xf numFmtId="1" fontId="27638" fillId="8" borderId="1" xfId="0" applyNumberFormat="1" applyFont="1" applyFill="1" applyBorder="1" applyAlignment="1">
      <alignment horizontal="center" vertical="center"/>
    </xf>
    <xf numFmtId="1" fontId="27639" fillId="8" borderId="1" xfId="0" applyNumberFormat="1" applyFont="1" applyFill="1" applyBorder="1" applyAlignment="1">
      <alignment horizontal="center" vertical="center"/>
    </xf>
    <xf numFmtId="1" fontId="27640" fillId="8" borderId="1" xfId="0" applyNumberFormat="1" applyFont="1" applyFill="1" applyBorder="1" applyAlignment="1">
      <alignment horizontal="center" vertical="center"/>
    </xf>
    <xf numFmtId="165" fontId="27641" fillId="8" borderId="1" xfId="0" applyNumberFormat="1" applyFont="1" applyFill="1" applyBorder="1" applyAlignment="1">
      <alignment horizontal="center" vertical="center"/>
    </xf>
    <xf numFmtId="164" fontId="27642" fillId="8" borderId="1" xfId="0" applyNumberFormat="1" applyFont="1" applyFill="1" applyBorder="1" applyAlignment="1">
      <alignment horizontal="center" vertical="center"/>
    </xf>
    <xf numFmtId="164" fontId="27643" fillId="8" borderId="1" xfId="0" applyNumberFormat="1" applyFont="1" applyFill="1" applyBorder="1" applyAlignment="1">
      <alignment horizontal="center" vertical="center"/>
    </xf>
    <xf numFmtId="1" fontId="27644" fillId="8" borderId="1" xfId="0" applyNumberFormat="1" applyFont="1" applyFill="1" applyBorder="1" applyAlignment="1">
      <alignment horizontal="center" vertical="center"/>
    </xf>
    <xf numFmtId="1" fontId="27645" fillId="8" borderId="1" xfId="0" applyNumberFormat="1" applyFont="1" applyFill="1" applyBorder="1" applyAlignment="1">
      <alignment horizontal="center" vertical="center"/>
    </xf>
    <xf numFmtId="1" fontId="27646" fillId="8" borderId="1" xfId="0" applyNumberFormat="1" applyFont="1" applyFill="1" applyBorder="1" applyAlignment="1">
      <alignment horizontal="center" vertical="center"/>
    </xf>
    <xf numFmtId="165" fontId="27647" fillId="8" borderId="1" xfId="0" applyNumberFormat="1" applyFont="1" applyFill="1" applyBorder="1" applyAlignment="1">
      <alignment horizontal="center" vertical="center"/>
    </xf>
    <xf numFmtId="1" fontId="27648" fillId="8" borderId="1" xfId="0" applyNumberFormat="1" applyFont="1" applyFill="1" applyBorder="1" applyAlignment="1">
      <alignment horizontal="center" vertical="center"/>
    </xf>
    <xf numFmtId="165" fontId="27649" fillId="8" borderId="1" xfId="0" applyNumberFormat="1" applyFont="1" applyFill="1" applyBorder="1" applyAlignment="1">
      <alignment horizontal="center" vertical="center"/>
    </xf>
    <xf numFmtId="1" fontId="27650" fillId="8" borderId="1" xfId="0" applyNumberFormat="1" applyFont="1" applyFill="1" applyBorder="1" applyAlignment="1">
      <alignment horizontal="center" vertical="center"/>
    </xf>
    <xf numFmtId="1" fontId="27651" fillId="8" borderId="1" xfId="0" applyNumberFormat="1" applyFont="1" applyFill="1" applyBorder="1" applyAlignment="1">
      <alignment horizontal="center" vertical="center"/>
    </xf>
    <xf numFmtId="1" fontId="27652" fillId="8" borderId="1" xfId="0" applyNumberFormat="1" applyFont="1" applyFill="1" applyBorder="1" applyAlignment="1">
      <alignment horizontal="center" vertical="center"/>
    </xf>
    <xf numFmtId="1" fontId="27653" fillId="8" borderId="1" xfId="0" applyNumberFormat="1" applyFont="1" applyFill="1" applyBorder="1" applyAlignment="1">
      <alignment horizontal="center" vertical="center"/>
    </xf>
    <xf numFmtId="165" fontId="27654" fillId="8" borderId="1" xfId="0" applyNumberFormat="1" applyFont="1" applyFill="1" applyBorder="1" applyAlignment="1">
      <alignment horizontal="center" vertical="center"/>
    </xf>
    <xf numFmtId="1" fontId="27655" fillId="8" borderId="1" xfId="0" applyNumberFormat="1" applyFont="1" applyFill="1" applyBorder="1" applyAlignment="1">
      <alignment horizontal="center" vertical="center"/>
    </xf>
    <xf numFmtId="165" fontId="27656" fillId="8" borderId="1" xfId="0" applyNumberFormat="1" applyFont="1" applyFill="1" applyBorder="1" applyAlignment="1">
      <alignment horizontal="center" vertical="center"/>
    </xf>
    <xf numFmtId="1" fontId="27657" fillId="8" borderId="1" xfId="0" applyNumberFormat="1" applyFont="1" applyFill="1" applyBorder="1" applyAlignment="1">
      <alignment horizontal="center" vertical="center"/>
    </xf>
    <xf numFmtId="165" fontId="27658" fillId="8" borderId="1" xfId="0" applyNumberFormat="1" applyFont="1" applyFill="1" applyBorder="1" applyAlignment="1">
      <alignment horizontal="center" vertical="center"/>
    </xf>
    <xf numFmtId="2" fontId="27659" fillId="8" borderId="1" xfId="0" applyNumberFormat="1" applyFont="1" applyFill="1" applyBorder="1" applyAlignment="1">
      <alignment horizontal="center" vertical="center"/>
    </xf>
    <xf numFmtId="2" fontId="27660" fillId="8" borderId="1" xfId="0" applyNumberFormat="1" applyFont="1" applyFill="1" applyBorder="1" applyAlignment="1">
      <alignment horizontal="center" vertical="center"/>
    </xf>
    <xf numFmtId="2" fontId="27661" fillId="8" borderId="1" xfId="0" applyNumberFormat="1" applyFont="1" applyFill="1" applyBorder="1" applyAlignment="1">
      <alignment horizontal="center" vertical="center"/>
    </xf>
    <xf numFmtId="2" fontId="27662" fillId="8" borderId="1" xfId="0" applyNumberFormat="1" applyFont="1" applyFill="1" applyBorder="1" applyAlignment="1">
      <alignment horizontal="center" vertical="center"/>
    </xf>
    <xf numFmtId="2" fontId="27663" fillId="8" borderId="1" xfId="0" applyNumberFormat="1" applyFont="1" applyFill="1" applyBorder="1" applyAlignment="1">
      <alignment horizontal="center" vertical="center"/>
    </xf>
    <xf numFmtId="2" fontId="27664" fillId="8" borderId="1" xfId="0" applyNumberFormat="1" applyFont="1" applyFill="1" applyBorder="1" applyAlignment="1">
      <alignment horizontal="center" vertical="center"/>
    </xf>
    <xf numFmtId="2" fontId="27665" fillId="8" borderId="1" xfId="0" applyNumberFormat="1" applyFont="1" applyFill="1" applyBorder="1" applyAlignment="1">
      <alignment horizontal="center" vertical="center"/>
    </xf>
    <xf numFmtId="2" fontId="27666" fillId="8" borderId="1" xfId="0" applyNumberFormat="1" applyFont="1" applyFill="1" applyBorder="1" applyAlignment="1">
      <alignment horizontal="center" vertical="center"/>
    </xf>
    <xf numFmtId="2" fontId="27667" fillId="8" borderId="1" xfId="0" applyNumberFormat="1" applyFont="1" applyFill="1" applyBorder="1" applyAlignment="1">
      <alignment horizontal="center" vertical="center"/>
    </xf>
    <xf numFmtId="2" fontId="27668" fillId="8" borderId="1" xfId="0" applyNumberFormat="1" applyFont="1" applyFill="1" applyBorder="1" applyAlignment="1">
      <alignment horizontal="center" vertical="center"/>
    </xf>
    <xf numFmtId="2" fontId="27669" fillId="8" borderId="1" xfId="0" applyNumberFormat="1" applyFont="1" applyFill="1" applyBorder="1" applyAlignment="1">
      <alignment horizontal="center" vertical="center"/>
    </xf>
    <xf numFmtId="2" fontId="27670" fillId="8" borderId="1" xfId="0" applyNumberFormat="1" applyFont="1" applyFill="1" applyBorder="1" applyAlignment="1">
      <alignment horizontal="center" vertical="center"/>
    </xf>
    <xf numFmtId="2" fontId="27671" fillId="8" borderId="1" xfId="0" applyNumberFormat="1" applyFont="1" applyFill="1" applyBorder="1" applyAlignment="1">
      <alignment horizontal="center" vertical="center"/>
    </xf>
    <xf numFmtId="2" fontId="27672" fillId="8" borderId="1" xfId="0" applyNumberFormat="1" applyFont="1" applyFill="1" applyBorder="1" applyAlignment="1">
      <alignment horizontal="center" vertical="center"/>
    </xf>
    <xf numFmtId="2" fontId="27673" fillId="8" borderId="1" xfId="0" applyNumberFormat="1" applyFont="1" applyFill="1" applyBorder="1" applyAlignment="1">
      <alignment horizontal="center" vertical="center"/>
    </xf>
    <xf numFmtId="2" fontId="27674" fillId="8" borderId="1" xfId="0" applyNumberFormat="1" applyFont="1" applyFill="1" applyBorder="1" applyAlignment="1">
      <alignment horizontal="center" vertical="center"/>
    </xf>
    <xf numFmtId="2" fontId="27675" fillId="8" borderId="1" xfId="0" applyNumberFormat="1" applyFont="1" applyFill="1" applyBorder="1" applyAlignment="1">
      <alignment horizontal="center" vertical="center"/>
    </xf>
    <xf numFmtId="2" fontId="27676" fillId="8" borderId="1" xfId="0" applyNumberFormat="1" applyFont="1" applyFill="1" applyBorder="1" applyAlignment="1">
      <alignment horizontal="center" vertical="center"/>
    </xf>
    <xf numFmtId="2" fontId="27677" fillId="8" borderId="1" xfId="0" applyNumberFormat="1" applyFont="1" applyFill="1" applyBorder="1" applyAlignment="1">
      <alignment horizontal="center" vertical="center"/>
    </xf>
    <xf numFmtId="2" fontId="27678" fillId="8" borderId="1" xfId="0" applyNumberFormat="1" applyFont="1" applyFill="1" applyBorder="1" applyAlignment="1">
      <alignment horizontal="center" vertical="center"/>
    </xf>
    <xf numFmtId="2" fontId="27679" fillId="8" borderId="1" xfId="0" applyNumberFormat="1" applyFont="1" applyFill="1" applyBorder="1" applyAlignment="1">
      <alignment horizontal="center" vertical="center"/>
    </xf>
    <xf numFmtId="2" fontId="27680" fillId="8" borderId="1" xfId="0" applyNumberFormat="1" applyFont="1" applyFill="1" applyBorder="1" applyAlignment="1">
      <alignment horizontal="center" vertical="center"/>
    </xf>
    <xf numFmtId="2" fontId="27681" fillId="8" borderId="1" xfId="0" applyNumberFormat="1" applyFont="1" applyFill="1" applyBorder="1" applyAlignment="1">
      <alignment horizontal="center" vertical="center"/>
    </xf>
    <xf numFmtId="2" fontId="27682" fillId="8" borderId="1" xfId="0" applyNumberFormat="1" applyFont="1" applyFill="1" applyBorder="1" applyAlignment="1">
      <alignment horizontal="center" vertical="center"/>
    </xf>
    <xf numFmtId="2" fontId="27683" fillId="8" borderId="1" xfId="0" applyNumberFormat="1" applyFont="1" applyFill="1" applyBorder="1" applyAlignment="1">
      <alignment horizontal="center" vertical="center"/>
    </xf>
    <xf numFmtId="2" fontId="27684" fillId="8" borderId="1" xfId="0" applyNumberFormat="1" applyFont="1" applyFill="1" applyBorder="1" applyAlignment="1">
      <alignment horizontal="center" vertical="center"/>
    </xf>
    <xf numFmtId="2" fontId="27685" fillId="8" borderId="1" xfId="0" applyNumberFormat="1" applyFont="1" applyFill="1" applyBorder="1" applyAlignment="1">
      <alignment horizontal="center" vertical="center"/>
    </xf>
    <xf numFmtId="2" fontId="27686" fillId="8" borderId="1" xfId="0" applyNumberFormat="1" applyFont="1" applyFill="1" applyBorder="1" applyAlignment="1">
      <alignment horizontal="center" vertical="center"/>
    </xf>
    <xf numFmtId="2" fontId="27687" fillId="8" borderId="1" xfId="0" applyNumberFormat="1" applyFont="1" applyFill="1" applyBorder="1" applyAlignment="1">
      <alignment horizontal="center" vertical="center"/>
    </xf>
    <xf numFmtId="2" fontId="27688" fillId="8" borderId="1" xfId="0" applyNumberFormat="1" applyFont="1" applyFill="1" applyBorder="1" applyAlignment="1">
      <alignment horizontal="center" vertical="center"/>
    </xf>
    <xf numFmtId="2" fontId="27689" fillId="8" borderId="1" xfId="0" applyNumberFormat="1" applyFont="1" applyFill="1" applyBorder="1" applyAlignment="1">
      <alignment horizontal="center" vertical="center"/>
    </xf>
    <xf numFmtId="2" fontId="27690" fillId="8" borderId="1" xfId="0" applyNumberFormat="1" applyFont="1" applyFill="1" applyBorder="1" applyAlignment="1">
      <alignment horizontal="center" vertical="center"/>
    </xf>
    <xf numFmtId="2" fontId="27691" fillId="8" borderId="1" xfId="0" applyNumberFormat="1" applyFont="1" applyFill="1" applyBorder="1" applyAlignment="1">
      <alignment horizontal="center" vertical="center"/>
    </xf>
    <xf numFmtId="2" fontId="27692" fillId="8" borderId="1" xfId="0" applyNumberFormat="1" applyFont="1" applyFill="1" applyBorder="1" applyAlignment="1">
      <alignment horizontal="center" vertical="center"/>
    </xf>
    <xf numFmtId="0" fontId="27693" fillId="7" borderId="1" xfId="0" applyNumberFormat="1" applyFont="1" applyFill="1" applyBorder="1" applyAlignment="1">
      <alignment horizontal="left" vertical="center"/>
    </xf>
    <xf numFmtId="0" fontId="27694" fillId="8" borderId="1" xfId="0" applyNumberFormat="1" applyFont="1" applyFill="1" applyBorder="1" applyAlignment="1">
      <alignment horizontal="center" vertical="center"/>
    </xf>
    <xf numFmtId="164" fontId="27695" fillId="8" borderId="1" xfId="0" applyNumberFormat="1" applyFont="1" applyFill="1" applyBorder="1" applyAlignment="1">
      <alignment horizontal="center" vertical="center"/>
    </xf>
    <xf numFmtId="1" fontId="27696" fillId="8" borderId="1" xfId="0" applyNumberFormat="1" applyFont="1" applyFill="1" applyBorder="1" applyAlignment="1">
      <alignment horizontal="center" vertical="center"/>
    </xf>
    <xf numFmtId="1" fontId="27697" fillId="8" borderId="1" xfId="0" applyNumberFormat="1" applyFont="1" applyFill="1" applyBorder="1" applyAlignment="1">
      <alignment horizontal="center" vertical="center"/>
    </xf>
    <xf numFmtId="1" fontId="27698" fillId="8" borderId="1" xfId="0" applyNumberFormat="1" applyFont="1" applyFill="1" applyBorder="1" applyAlignment="1">
      <alignment horizontal="center" vertical="center"/>
    </xf>
    <xf numFmtId="1" fontId="27699" fillId="8" borderId="1" xfId="0" applyNumberFormat="1" applyFont="1" applyFill="1" applyBorder="1" applyAlignment="1">
      <alignment horizontal="center" vertical="center"/>
    </xf>
    <xf numFmtId="1" fontId="27700" fillId="8" borderId="1" xfId="0" applyNumberFormat="1" applyFont="1" applyFill="1" applyBorder="1" applyAlignment="1">
      <alignment horizontal="center" vertical="center"/>
    </xf>
    <xf numFmtId="1" fontId="27701" fillId="8" borderId="1" xfId="0" applyNumberFormat="1" applyFont="1" applyFill="1" applyBorder="1" applyAlignment="1">
      <alignment horizontal="center" vertical="center"/>
    </xf>
    <xf numFmtId="1" fontId="27702" fillId="8" borderId="1" xfId="0" applyNumberFormat="1" applyFont="1" applyFill="1" applyBorder="1" applyAlignment="1">
      <alignment horizontal="center" vertical="center"/>
    </xf>
    <xf numFmtId="0" fontId="27703" fillId="8" borderId="1" xfId="0" applyNumberFormat="1" applyFont="1" applyFill="1" applyBorder="1" applyAlignment="1">
      <alignment horizontal="center" vertical="center"/>
    </xf>
    <xf numFmtId="0" fontId="27704" fillId="8" borderId="1" xfId="0" applyNumberFormat="1" applyFont="1" applyFill="1" applyBorder="1" applyAlignment="1">
      <alignment horizontal="center" vertical="center"/>
    </xf>
    <xf numFmtId="1" fontId="27705" fillId="8" borderId="1" xfId="0" applyNumberFormat="1" applyFont="1" applyFill="1" applyBorder="1" applyAlignment="1">
      <alignment horizontal="center" vertical="center"/>
    </xf>
    <xf numFmtId="1" fontId="27706" fillId="8" borderId="1" xfId="0" applyNumberFormat="1" applyFont="1" applyFill="1" applyBorder="1" applyAlignment="1">
      <alignment horizontal="center" vertical="center"/>
    </xf>
    <xf numFmtId="1" fontId="27707" fillId="8" borderId="1" xfId="0" applyNumberFormat="1" applyFont="1" applyFill="1" applyBorder="1" applyAlignment="1">
      <alignment horizontal="center" vertical="center"/>
    </xf>
    <xf numFmtId="165" fontId="27708" fillId="8" borderId="1" xfId="0" applyNumberFormat="1" applyFont="1" applyFill="1" applyBorder="1" applyAlignment="1">
      <alignment horizontal="center" vertical="center"/>
    </xf>
    <xf numFmtId="1" fontId="27709" fillId="8" borderId="1" xfId="0" applyNumberFormat="1" applyFont="1" applyFill="1" applyBorder="1" applyAlignment="1">
      <alignment horizontal="center" vertical="center"/>
    </xf>
    <xf numFmtId="165" fontId="27710" fillId="8" borderId="1" xfId="0" applyNumberFormat="1" applyFont="1" applyFill="1" applyBorder="1" applyAlignment="1">
      <alignment horizontal="center" vertical="center"/>
    </xf>
    <xf numFmtId="1" fontId="27711" fillId="8" borderId="1" xfId="0" applyNumberFormat="1" applyFont="1" applyFill="1" applyBorder="1" applyAlignment="1">
      <alignment horizontal="center" vertical="center"/>
    </xf>
    <xf numFmtId="165" fontId="27712" fillId="8" borderId="1" xfId="0" applyNumberFormat="1" applyFont="1" applyFill="1" applyBorder="1" applyAlignment="1">
      <alignment horizontal="center" vertical="center"/>
    </xf>
    <xf numFmtId="1" fontId="27713" fillId="8" borderId="1" xfId="0" applyNumberFormat="1" applyFont="1" applyFill="1" applyBorder="1" applyAlignment="1">
      <alignment horizontal="center" vertical="center"/>
    </xf>
    <xf numFmtId="165" fontId="27714" fillId="8" borderId="1" xfId="0" applyNumberFormat="1" applyFont="1" applyFill="1" applyBorder="1" applyAlignment="1">
      <alignment horizontal="center" vertical="center"/>
    </xf>
    <xf numFmtId="165" fontId="27715" fillId="8" borderId="1" xfId="0" applyNumberFormat="1" applyFont="1" applyFill="1" applyBorder="1" applyAlignment="1">
      <alignment horizontal="center" vertical="center"/>
    </xf>
    <xf numFmtId="1" fontId="27716" fillId="8" borderId="1" xfId="0" applyNumberFormat="1" applyFont="1" applyFill="1" applyBorder="1" applyAlignment="1">
      <alignment horizontal="center" vertical="center"/>
    </xf>
    <xf numFmtId="1" fontId="27717" fillId="8" borderId="1" xfId="0" applyNumberFormat="1" applyFont="1" applyFill="1" applyBorder="1" applyAlignment="1">
      <alignment horizontal="center" vertical="center"/>
    </xf>
    <xf numFmtId="1" fontId="27718" fillId="8" borderId="1" xfId="0" applyNumberFormat="1" applyFont="1" applyFill="1" applyBorder="1" applyAlignment="1">
      <alignment horizontal="center" vertical="center"/>
    </xf>
    <xf numFmtId="165" fontId="27719" fillId="8" borderId="1" xfId="0" applyNumberFormat="1" applyFont="1" applyFill="1" applyBorder="1" applyAlignment="1">
      <alignment horizontal="center" vertical="center"/>
    </xf>
    <xf numFmtId="164" fontId="27720" fillId="8" borderId="1" xfId="0" applyNumberFormat="1" applyFont="1" applyFill="1" applyBorder="1" applyAlignment="1">
      <alignment horizontal="center" vertical="center"/>
    </xf>
    <xf numFmtId="164" fontId="27721" fillId="8" borderId="1" xfId="0" applyNumberFormat="1" applyFont="1" applyFill="1" applyBorder="1" applyAlignment="1">
      <alignment horizontal="center" vertical="center"/>
    </xf>
    <xf numFmtId="1" fontId="27722" fillId="8" borderId="1" xfId="0" applyNumberFormat="1" applyFont="1" applyFill="1" applyBorder="1" applyAlignment="1">
      <alignment horizontal="center" vertical="center"/>
    </xf>
    <xf numFmtId="1" fontId="27723" fillId="8" borderId="1" xfId="0" applyNumberFormat="1" applyFont="1" applyFill="1" applyBorder="1" applyAlignment="1">
      <alignment horizontal="center" vertical="center"/>
    </xf>
    <xf numFmtId="1" fontId="27724" fillId="8" borderId="1" xfId="0" applyNumberFormat="1" applyFont="1" applyFill="1" applyBorder="1" applyAlignment="1">
      <alignment horizontal="center" vertical="center"/>
    </xf>
    <xf numFmtId="165" fontId="27725" fillId="8" borderId="1" xfId="0" applyNumberFormat="1" applyFont="1" applyFill="1" applyBorder="1" applyAlignment="1">
      <alignment horizontal="center" vertical="center"/>
    </xf>
    <xf numFmtId="1" fontId="27726" fillId="8" borderId="1" xfId="0" applyNumberFormat="1" applyFont="1" applyFill="1" applyBorder="1" applyAlignment="1">
      <alignment horizontal="center" vertical="center"/>
    </xf>
    <xf numFmtId="165" fontId="27727" fillId="8" borderId="1" xfId="0" applyNumberFormat="1" applyFont="1" applyFill="1" applyBorder="1" applyAlignment="1">
      <alignment horizontal="center" vertical="center"/>
    </xf>
    <xf numFmtId="1" fontId="27728" fillId="8" borderId="1" xfId="0" applyNumberFormat="1" applyFont="1" applyFill="1" applyBorder="1" applyAlignment="1">
      <alignment horizontal="center" vertical="center"/>
    </xf>
    <xf numFmtId="1" fontId="27729" fillId="8" borderId="1" xfId="0" applyNumberFormat="1" applyFont="1" applyFill="1" applyBorder="1" applyAlignment="1">
      <alignment horizontal="center" vertical="center"/>
    </xf>
    <xf numFmtId="1" fontId="27730" fillId="8" borderId="1" xfId="0" applyNumberFormat="1" applyFont="1" applyFill="1" applyBorder="1" applyAlignment="1">
      <alignment horizontal="center" vertical="center"/>
    </xf>
    <xf numFmtId="1" fontId="27731" fillId="8" borderId="1" xfId="0" applyNumberFormat="1" applyFont="1" applyFill="1" applyBorder="1" applyAlignment="1">
      <alignment horizontal="center" vertical="center"/>
    </xf>
    <xf numFmtId="165" fontId="27732" fillId="8" borderId="1" xfId="0" applyNumberFormat="1" applyFont="1" applyFill="1" applyBorder="1" applyAlignment="1">
      <alignment horizontal="center" vertical="center"/>
    </xf>
    <xf numFmtId="1" fontId="27733" fillId="8" borderId="1" xfId="0" applyNumberFormat="1" applyFont="1" applyFill="1" applyBorder="1" applyAlignment="1">
      <alignment horizontal="center" vertical="center"/>
    </xf>
    <xf numFmtId="165" fontId="27734" fillId="8" borderId="1" xfId="0" applyNumberFormat="1" applyFont="1" applyFill="1" applyBorder="1" applyAlignment="1">
      <alignment horizontal="center" vertical="center"/>
    </xf>
    <xf numFmtId="1" fontId="27735" fillId="8" borderId="1" xfId="0" applyNumberFormat="1" applyFont="1" applyFill="1" applyBorder="1" applyAlignment="1">
      <alignment horizontal="center" vertical="center"/>
    </xf>
    <xf numFmtId="165" fontId="27736" fillId="8" borderId="1" xfId="0" applyNumberFormat="1" applyFont="1" applyFill="1" applyBorder="1" applyAlignment="1">
      <alignment horizontal="center" vertical="center"/>
    </xf>
    <xf numFmtId="2" fontId="27737" fillId="8" borderId="1" xfId="0" applyNumberFormat="1" applyFont="1" applyFill="1" applyBorder="1" applyAlignment="1">
      <alignment horizontal="center" vertical="center"/>
    </xf>
    <xf numFmtId="2" fontId="27738" fillId="8" borderId="1" xfId="0" applyNumberFormat="1" applyFont="1" applyFill="1" applyBorder="1" applyAlignment="1">
      <alignment horizontal="center" vertical="center"/>
    </xf>
    <xf numFmtId="2" fontId="27739" fillId="8" borderId="1" xfId="0" applyNumberFormat="1" applyFont="1" applyFill="1" applyBorder="1" applyAlignment="1">
      <alignment horizontal="center" vertical="center"/>
    </xf>
    <xf numFmtId="2" fontId="27740" fillId="8" borderId="1" xfId="0" applyNumberFormat="1" applyFont="1" applyFill="1" applyBorder="1" applyAlignment="1">
      <alignment horizontal="center" vertical="center"/>
    </xf>
    <xf numFmtId="2" fontId="27741" fillId="8" borderId="1" xfId="0" applyNumberFormat="1" applyFont="1" applyFill="1" applyBorder="1" applyAlignment="1">
      <alignment horizontal="center" vertical="center"/>
    </xf>
    <xf numFmtId="2" fontId="27742" fillId="8" borderId="1" xfId="0" applyNumberFormat="1" applyFont="1" applyFill="1" applyBorder="1" applyAlignment="1">
      <alignment horizontal="center" vertical="center"/>
    </xf>
    <xf numFmtId="2" fontId="27743" fillId="8" borderId="1" xfId="0" applyNumberFormat="1" applyFont="1" applyFill="1" applyBorder="1" applyAlignment="1">
      <alignment horizontal="center" vertical="center"/>
    </xf>
    <xf numFmtId="2" fontId="27744" fillId="8" borderId="1" xfId="0" applyNumberFormat="1" applyFont="1" applyFill="1" applyBorder="1" applyAlignment="1">
      <alignment horizontal="center" vertical="center"/>
    </xf>
    <xf numFmtId="2" fontId="27745" fillId="8" borderId="1" xfId="0" applyNumberFormat="1" applyFont="1" applyFill="1" applyBorder="1" applyAlignment="1">
      <alignment horizontal="center" vertical="center"/>
    </xf>
    <xf numFmtId="2" fontId="27746" fillId="8" borderId="1" xfId="0" applyNumberFormat="1" applyFont="1" applyFill="1" applyBorder="1" applyAlignment="1">
      <alignment horizontal="center" vertical="center"/>
    </xf>
    <xf numFmtId="2" fontId="27747" fillId="8" borderId="1" xfId="0" applyNumberFormat="1" applyFont="1" applyFill="1" applyBorder="1" applyAlignment="1">
      <alignment horizontal="center" vertical="center"/>
    </xf>
    <xf numFmtId="2" fontId="27748" fillId="8" borderId="1" xfId="0" applyNumberFormat="1" applyFont="1" applyFill="1" applyBorder="1" applyAlignment="1">
      <alignment horizontal="center" vertical="center"/>
    </xf>
    <xf numFmtId="2" fontId="27749" fillId="8" borderId="1" xfId="0" applyNumberFormat="1" applyFont="1" applyFill="1" applyBorder="1" applyAlignment="1">
      <alignment horizontal="center" vertical="center"/>
    </xf>
    <xf numFmtId="2" fontId="27750" fillId="8" borderId="1" xfId="0" applyNumberFormat="1" applyFont="1" applyFill="1" applyBorder="1" applyAlignment="1">
      <alignment horizontal="center" vertical="center"/>
    </xf>
    <xf numFmtId="2" fontId="27751" fillId="8" borderId="1" xfId="0" applyNumberFormat="1" applyFont="1" applyFill="1" applyBorder="1" applyAlignment="1">
      <alignment horizontal="center" vertical="center"/>
    </xf>
    <xf numFmtId="2" fontId="27752" fillId="8" borderId="1" xfId="0" applyNumberFormat="1" applyFont="1" applyFill="1" applyBorder="1" applyAlignment="1">
      <alignment horizontal="center" vertical="center"/>
    </xf>
    <xf numFmtId="2" fontId="27753" fillId="8" borderId="1" xfId="0" applyNumberFormat="1" applyFont="1" applyFill="1" applyBorder="1" applyAlignment="1">
      <alignment horizontal="center" vertical="center"/>
    </xf>
    <xf numFmtId="2" fontId="27754" fillId="8" borderId="1" xfId="0" applyNumberFormat="1" applyFont="1" applyFill="1" applyBorder="1" applyAlignment="1">
      <alignment horizontal="center" vertical="center"/>
    </xf>
    <xf numFmtId="2" fontId="27755" fillId="8" borderId="1" xfId="0" applyNumberFormat="1" applyFont="1" applyFill="1" applyBorder="1" applyAlignment="1">
      <alignment horizontal="center" vertical="center"/>
    </xf>
    <xf numFmtId="2" fontId="27756" fillId="8" borderId="1" xfId="0" applyNumberFormat="1" applyFont="1" applyFill="1" applyBorder="1" applyAlignment="1">
      <alignment horizontal="center" vertical="center"/>
    </xf>
    <xf numFmtId="2" fontId="27757" fillId="8" borderId="1" xfId="0" applyNumberFormat="1" applyFont="1" applyFill="1" applyBorder="1" applyAlignment="1">
      <alignment horizontal="center" vertical="center"/>
    </xf>
    <xf numFmtId="2" fontId="27758" fillId="8" borderId="1" xfId="0" applyNumberFormat="1" applyFont="1" applyFill="1" applyBorder="1" applyAlignment="1">
      <alignment horizontal="center" vertical="center"/>
    </xf>
    <xf numFmtId="2" fontId="27759" fillId="8" borderId="1" xfId="0" applyNumberFormat="1" applyFont="1" applyFill="1" applyBorder="1" applyAlignment="1">
      <alignment horizontal="center" vertical="center"/>
    </xf>
    <xf numFmtId="2" fontId="27760" fillId="8" borderId="1" xfId="0" applyNumberFormat="1" applyFont="1" applyFill="1" applyBorder="1" applyAlignment="1">
      <alignment horizontal="center" vertical="center"/>
    </xf>
    <xf numFmtId="2" fontId="27761" fillId="8" borderId="1" xfId="0" applyNumberFormat="1" applyFont="1" applyFill="1" applyBorder="1" applyAlignment="1">
      <alignment horizontal="center" vertical="center"/>
    </xf>
    <xf numFmtId="2" fontId="27762" fillId="8" borderId="1" xfId="0" applyNumberFormat="1" applyFont="1" applyFill="1" applyBorder="1" applyAlignment="1">
      <alignment horizontal="center" vertical="center"/>
    </xf>
    <xf numFmtId="2" fontId="27763" fillId="8" borderId="1" xfId="0" applyNumberFormat="1" applyFont="1" applyFill="1" applyBorder="1" applyAlignment="1">
      <alignment horizontal="center" vertical="center"/>
    </xf>
    <xf numFmtId="2" fontId="27764" fillId="8" borderId="1" xfId="0" applyNumberFormat="1" applyFont="1" applyFill="1" applyBorder="1" applyAlignment="1">
      <alignment horizontal="center" vertical="center"/>
    </xf>
    <xf numFmtId="2" fontId="27765" fillId="8" borderId="1" xfId="0" applyNumberFormat="1" applyFont="1" applyFill="1" applyBorder="1" applyAlignment="1">
      <alignment horizontal="center" vertical="center"/>
    </xf>
    <xf numFmtId="2" fontId="27766" fillId="8" borderId="1" xfId="0" applyNumberFormat="1" applyFont="1" applyFill="1" applyBorder="1" applyAlignment="1">
      <alignment horizontal="center" vertical="center"/>
    </xf>
    <xf numFmtId="2" fontId="27767" fillId="8" borderId="1" xfId="0" applyNumberFormat="1" applyFont="1" applyFill="1" applyBorder="1" applyAlignment="1">
      <alignment horizontal="center" vertical="center"/>
    </xf>
    <xf numFmtId="2" fontId="27768" fillId="8" borderId="1" xfId="0" applyNumberFormat="1" applyFont="1" applyFill="1" applyBorder="1" applyAlignment="1">
      <alignment horizontal="center" vertical="center"/>
    </xf>
    <xf numFmtId="2" fontId="27769" fillId="8" borderId="1" xfId="0" applyNumberFormat="1" applyFont="1" applyFill="1" applyBorder="1" applyAlignment="1">
      <alignment horizontal="center" vertical="center"/>
    </xf>
    <xf numFmtId="2" fontId="27770" fillId="8" borderId="1" xfId="0" applyNumberFormat="1" applyFont="1" applyFill="1" applyBorder="1" applyAlignment="1">
      <alignment horizontal="center" vertical="center"/>
    </xf>
    <xf numFmtId="0" fontId="27771" fillId="7" borderId="1" xfId="0" applyNumberFormat="1" applyFont="1" applyFill="1" applyBorder="1" applyAlignment="1">
      <alignment horizontal="left" vertical="center"/>
    </xf>
    <xf numFmtId="0" fontId="27772" fillId="8" borderId="1" xfId="0" applyNumberFormat="1" applyFont="1" applyFill="1" applyBorder="1" applyAlignment="1">
      <alignment horizontal="center" vertical="center"/>
    </xf>
    <xf numFmtId="164" fontId="27773" fillId="8" borderId="1" xfId="0" applyNumberFormat="1" applyFont="1" applyFill="1" applyBorder="1" applyAlignment="1">
      <alignment horizontal="center" vertical="center"/>
    </xf>
    <xf numFmtId="1" fontId="27774" fillId="8" borderId="1" xfId="0" applyNumberFormat="1" applyFont="1" applyFill="1" applyBorder="1" applyAlignment="1">
      <alignment horizontal="center" vertical="center"/>
    </xf>
    <xf numFmtId="1" fontId="27775" fillId="8" borderId="1" xfId="0" applyNumberFormat="1" applyFont="1" applyFill="1" applyBorder="1" applyAlignment="1">
      <alignment horizontal="center" vertical="center"/>
    </xf>
    <xf numFmtId="1" fontId="27776" fillId="8" borderId="1" xfId="0" applyNumberFormat="1" applyFont="1" applyFill="1" applyBorder="1" applyAlignment="1">
      <alignment horizontal="center" vertical="center"/>
    </xf>
    <xf numFmtId="1" fontId="27777" fillId="8" borderId="1" xfId="0" applyNumberFormat="1" applyFont="1" applyFill="1" applyBorder="1" applyAlignment="1">
      <alignment horizontal="center" vertical="center"/>
    </xf>
    <xf numFmtId="1" fontId="27778" fillId="8" borderId="1" xfId="0" applyNumberFormat="1" applyFont="1" applyFill="1" applyBorder="1" applyAlignment="1">
      <alignment horizontal="center" vertical="center"/>
    </xf>
    <xf numFmtId="1" fontId="27779" fillId="8" borderId="1" xfId="0" applyNumberFormat="1" applyFont="1" applyFill="1" applyBorder="1" applyAlignment="1">
      <alignment horizontal="center" vertical="center"/>
    </xf>
    <xf numFmtId="1" fontId="27780" fillId="8" borderId="1" xfId="0" applyNumberFormat="1" applyFont="1" applyFill="1" applyBorder="1" applyAlignment="1">
      <alignment horizontal="center" vertical="center"/>
    </xf>
    <xf numFmtId="0" fontId="27781" fillId="8" borderId="1" xfId="0" applyNumberFormat="1" applyFont="1" applyFill="1" applyBorder="1" applyAlignment="1">
      <alignment horizontal="center" vertical="center"/>
    </xf>
    <xf numFmtId="0" fontId="27782" fillId="8" borderId="1" xfId="0" applyNumberFormat="1" applyFont="1" applyFill="1" applyBorder="1" applyAlignment="1">
      <alignment horizontal="center" vertical="center"/>
    </xf>
    <xf numFmtId="1" fontId="27783" fillId="8" borderId="1" xfId="0" applyNumberFormat="1" applyFont="1" applyFill="1" applyBorder="1" applyAlignment="1">
      <alignment horizontal="center" vertical="center"/>
    </xf>
    <xf numFmtId="1" fontId="27784" fillId="8" borderId="1" xfId="0" applyNumberFormat="1" applyFont="1" applyFill="1" applyBorder="1" applyAlignment="1">
      <alignment horizontal="center" vertical="center"/>
    </xf>
    <xf numFmtId="1" fontId="27785" fillId="8" borderId="1" xfId="0" applyNumberFormat="1" applyFont="1" applyFill="1" applyBorder="1" applyAlignment="1">
      <alignment horizontal="center" vertical="center"/>
    </xf>
    <xf numFmtId="165" fontId="27786" fillId="8" borderId="1" xfId="0" applyNumberFormat="1" applyFont="1" applyFill="1" applyBorder="1" applyAlignment="1">
      <alignment horizontal="center" vertical="center"/>
    </xf>
    <xf numFmtId="1" fontId="27787" fillId="8" borderId="1" xfId="0" applyNumberFormat="1" applyFont="1" applyFill="1" applyBorder="1" applyAlignment="1">
      <alignment horizontal="center" vertical="center"/>
    </xf>
    <xf numFmtId="165" fontId="27788" fillId="8" borderId="1" xfId="0" applyNumberFormat="1" applyFont="1" applyFill="1" applyBorder="1" applyAlignment="1">
      <alignment horizontal="center" vertical="center"/>
    </xf>
    <xf numFmtId="1" fontId="27789" fillId="8" borderId="1" xfId="0" applyNumberFormat="1" applyFont="1" applyFill="1" applyBorder="1" applyAlignment="1">
      <alignment horizontal="center" vertical="center"/>
    </xf>
    <xf numFmtId="165" fontId="27790" fillId="8" borderId="1" xfId="0" applyNumberFormat="1" applyFont="1" applyFill="1" applyBorder="1" applyAlignment="1">
      <alignment horizontal="center" vertical="center"/>
    </xf>
    <xf numFmtId="1" fontId="27791" fillId="8" borderId="1" xfId="0" applyNumberFormat="1" applyFont="1" applyFill="1" applyBorder="1" applyAlignment="1">
      <alignment horizontal="center" vertical="center"/>
    </xf>
    <xf numFmtId="165" fontId="27792" fillId="8" borderId="1" xfId="0" applyNumberFormat="1" applyFont="1" applyFill="1" applyBorder="1" applyAlignment="1">
      <alignment horizontal="center" vertical="center"/>
    </xf>
    <xf numFmtId="165" fontId="27793" fillId="8" borderId="1" xfId="0" applyNumberFormat="1" applyFont="1" applyFill="1" applyBorder="1" applyAlignment="1">
      <alignment horizontal="center" vertical="center"/>
    </xf>
    <xf numFmtId="1" fontId="27794" fillId="8" borderId="1" xfId="0" applyNumberFormat="1" applyFont="1" applyFill="1" applyBorder="1" applyAlignment="1">
      <alignment horizontal="center" vertical="center"/>
    </xf>
    <xf numFmtId="1" fontId="27795" fillId="8" borderId="1" xfId="0" applyNumberFormat="1" applyFont="1" applyFill="1" applyBorder="1" applyAlignment="1">
      <alignment horizontal="center" vertical="center"/>
    </xf>
    <xf numFmtId="1" fontId="27796" fillId="8" borderId="1" xfId="0" applyNumberFormat="1" applyFont="1" applyFill="1" applyBorder="1" applyAlignment="1">
      <alignment horizontal="center" vertical="center"/>
    </xf>
    <xf numFmtId="165" fontId="27797" fillId="8" borderId="1" xfId="0" applyNumberFormat="1" applyFont="1" applyFill="1" applyBorder="1" applyAlignment="1">
      <alignment horizontal="center" vertical="center"/>
    </xf>
    <xf numFmtId="164" fontId="27798" fillId="8" borderId="1" xfId="0" applyNumberFormat="1" applyFont="1" applyFill="1" applyBorder="1" applyAlignment="1">
      <alignment horizontal="center" vertical="center"/>
    </xf>
    <xf numFmtId="164" fontId="27799" fillId="8" borderId="1" xfId="0" applyNumberFormat="1" applyFont="1" applyFill="1" applyBorder="1" applyAlignment="1">
      <alignment horizontal="center" vertical="center"/>
    </xf>
    <xf numFmtId="1" fontId="27800" fillId="8" borderId="1" xfId="0" applyNumberFormat="1" applyFont="1" applyFill="1" applyBorder="1" applyAlignment="1">
      <alignment horizontal="center" vertical="center"/>
    </xf>
    <xf numFmtId="1" fontId="27801" fillId="8" borderId="1" xfId="0" applyNumberFormat="1" applyFont="1" applyFill="1" applyBorder="1" applyAlignment="1">
      <alignment horizontal="center" vertical="center"/>
    </xf>
    <xf numFmtId="1" fontId="27802" fillId="8" borderId="1" xfId="0" applyNumberFormat="1" applyFont="1" applyFill="1" applyBorder="1" applyAlignment="1">
      <alignment horizontal="center" vertical="center"/>
    </xf>
    <xf numFmtId="165" fontId="27803" fillId="8" borderId="1" xfId="0" applyNumberFormat="1" applyFont="1" applyFill="1" applyBorder="1" applyAlignment="1">
      <alignment horizontal="center" vertical="center"/>
    </xf>
    <xf numFmtId="1" fontId="27804" fillId="8" borderId="1" xfId="0" applyNumberFormat="1" applyFont="1" applyFill="1" applyBorder="1" applyAlignment="1">
      <alignment horizontal="center" vertical="center"/>
    </xf>
    <xf numFmtId="165" fontId="27805" fillId="8" borderId="1" xfId="0" applyNumberFormat="1" applyFont="1" applyFill="1" applyBorder="1" applyAlignment="1">
      <alignment horizontal="center" vertical="center"/>
    </xf>
    <xf numFmtId="1" fontId="27806" fillId="8" borderId="1" xfId="0" applyNumberFormat="1" applyFont="1" applyFill="1" applyBorder="1" applyAlignment="1">
      <alignment horizontal="center" vertical="center"/>
    </xf>
    <xf numFmtId="1" fontId="27807" fillId="8" borderId="1" xfId="0" applyNumberFormat="1" applyFont="1" applyFill="1" applyBorder="1" applyAlignment="1">
      <alignment horizontal="center" vertical="center"/>
    </xf>
    <xf numFmtId="1" fontId="27808" fillId="8" borderId="1" xfId="0" applyNumberFormat="1" applyFont="1" applyFill="1" applyBorder="1" applyAlignment="1">
      <alignment horizontal="center" vertical="center"/>
    </xf>
    <xf numFmtId="1" fontId="27809" fillId="8" borderId="1" xfId="0" applyNumberFormat="1" applyFont="1" applyFill="1" applyBorder="1" applyAlignment="1">
      <alignment horizontal="center" vertical="center"/>
    </xf>
    <xf numFmtId="165" fontId="27810" fillId="8" borderId="1" xfId="0" applyNumberFormat="1" applyFont="1" applyFill="1" applyBorder="1" applyAlignment="1">
      <alignment horizontal="center" vertical="center"/>
    </xf>
    <xf numFmtId="1" fontId="27811" fillId="8" borderId="1" xfId="0" applyNumberFormat="1" applyFont="1" applyFill="1" applyBorder="1" applyAlignment="1">
      <alignment horizontal="center" vertical="center"/>
    </xf>
    <xf numFmtId="165" fontId="27812" fillId="8" borderId="1" xfId="0" applyNumberFormat="1" applyFont="1" applyFill="1" applyBorder="1" applyAlignment="1">
      <alignment horizontal="center" vertical="center"/>
    </xf>
    <xf numFmtId="1" fontId="27813" fillId="8" borderId="1" xfId="0" applyNumberFormat="1" applyFont="1" applyFill="1" applyBorder="1" applyAlignment="1">
      <alignment horizontal="center" vertical="center"/>
    </xf>
    <xf numFmtId="165" fontId="27814" fillId="8" borderId="1" xfId="0" applyNumberFormat="1" applyFont="1" applyFill="1" applyBorder="1" applyAlignment="1">
      <alignment horizontal="center" vertical="center"/>
    </xf>
    <xf numFmtId="2" fontId="27815" fillId="8" borderId="1" xfId="0" applyNumberFormat="1" applyFont="1" applyFill="1" applyBorder="1" applyAlignment="1">
      <alignment horizontal="center" vertical="center"/>
    </xf>
    <xf numFmtId="2" fontId="27816" fillId="8" borderId="1" xfId="0" applyNumberFormat="1" applyFont="1" applyFill="1" applyBorder="1" applyAlignment="1">
      <alignment horizontal="center" vertical="center"/>
    </xf>
    <xf numFmtId="2" fontId="27817" fillId="8" borderId="1" xfId="0" applyNumberFormat="1" applyFont="1" applyFill="1" applyBorder="1" applyAlignment="1">
      <alignment horizontal="center" vertical="center"/>
    </xf>
    <xf numFmtId="2" fontId="27818" fillId="8" borderId="1" xfId="0" applyNumberFormat="1" applyFont="1" applyFill="1" applyBorder="1" applyAlignment="1">
      <alignment horizontal="center" vertical="center"/>
    </xf>
    <xf numFmtId="2" fontId="27819" fillId="8" borderId="1" xfId="0" applyNumberFormat="1" applyFont="1" applyFill="1" applyBorder="1" applyAlignment="1">
      <alignment horizontal="center" vertical="center"/>
    </xf>
    <xf numFmtId="2" fontId="27820" fillId="8" borderId="1" xfId="0" applyNumberFormat="1" applyFont="1" applyFill="1" applyBorder="1" applyAlignment="1">
      <alignment horizontal="center" vertical="center"/>
    </xf>
    <xf numFmtId="2" fontId="27821" fillId="8" borderId="1" xfId="0" applyNumberFormat="1" applyFont="1" applyFill="1" applyBorder="1" applyAlignment="1">
      <alignment horizontal="center" vertical="center"/>
    </xf>
    <xf numFmtId="2" fontId="27822" fillId="8" borderId="1" xfId="0" applyNumberFormat="1" applyFont="1" applyFill="1" applyBorder="1" applyAlignment="1">
      <alignment horizontal="center" vertical="center"/>
    </xf>
    <xf numFmtId="2" fontId="27823" fillId="8" borderId="1" xfId="0" applyNumberFormat="1" applyFont="1" applyFill="1" applyBorder="1" applyAlignment="1">
      <alignment horizontal="center" vertical="center"/>
    </xf>
    <xf numFmtId="2" fontId="27824" fillId="8" borderId="1" xfId="0" applyNumberFormat="1" applyFont="1" applyFill="1" applyBorder="1" applyAlignment="1">
      <alignment horizontal="center" vertical="center"/>
    </xf>
    <xf numFmtId="2" fontId="27825" fillId="8" borderId="1" xfId="0" applyNumberFormat="1" applyFont="1" applyFill="1" applyBorder="1" applyAlignment="1">
      <alignment horizontal="center" vertical="center"/>
    </xf>
    <xf numFmtId="2" fontId="27826" fillId="8" borderId="1" xfId="0" applyNumberFormat="1" applyFont="1" applyFill="1" applyBorder="1" applyAlignment="1">
      <alignment horizontal="center" vertical="center"/>
    </xf>
    <xf numFmtId="2" fontId="27827" fillId="8" borderId="1" xfId="0" applyNumberFormat="1" applyFont="1" applyFill="1" applyBorder="1" applyAlignment="1">
      <alignment horizontal="center" vertical="center"/>
    </xf>
    <xf numFmtId="2" fontId="27828" fillId="8" borderId="1" xfId="0" applyNumberFormat="1" applyFont="1" applyFill="1" applyBorder="1" applyAlignment="1">
      <alignment horizontal="center" vertical="center"/>
    </xf>
    <xf numFmtId="2" fontId="27829" fillId="8" borderId="1" xfId="0" applyNumberFormat="1" applyFont="1" applyFill="1" applyBorder="1" applyAlignment="1">
      <alignment horizontal="center" vertical="center"/>
    </xf>
    <xf numFmtId="2" fontId="27830" fillId="8" borderId="1" xfId="0" applyNumberFormat="1" applyFont="1" applyFill="1" applyBorder="1" applyAlignment="1">
      <alignment horizontal="center" vertical="center"/>
    </xf>
    <xf numFmtId="2" fontId="27831" fillId="8" borderId="1" xfId="0" applyNumberFormat="1" applyFont="1" applyFill="1" applyBorder="1" applyAlignment="1">
      <alignment horizontal="center" vertical="center"/>
    </xf>
    <xf numFmtId="2" fontId="27832" fillId="8" borderId="1" xfId="0" applyNumberFormat="1" applyFont="1" applyFill="1" applyBorder="1" applyAlignment="1">
      <alignment horizontal="center" vertical="center"/>
    </xf>
    <xf numFmtId="2" fontId="27833" fillId="8" borderId="1" xfId="0" applyNumberFormat="1" applyFont="1" applyFill="1" applyBorder="1" applyAlignment="1">
      <alignment horizontal="center" vertical="center"/>
    </xf>
    <xf numFmtId="2" fontId="27834" fillId="8" borderId="1" xfId="0" applyNumberFormat="1" applyFont="1" applyFill="1" applyBorder="1" applyAlignment="1">
      <alignment horizontal="center" vertical="center"/>
    </xf>
    <xf numFmtId="2" fontId="27835" fillId="8" borderId="1" xfId="0" applyNumberFormat="1" applyFont="1" applyFill="1" applyBorder="1" applyAlignment="1">
      <alignment horizontal="center" vertical="center"/>
    </xf>
    <xf numFmtId="2" fontId="27836" fillId="8" borderId="1" xfId="0" applyNumberFormat="1" applyFont="1" applyFill="1" applyBorder="1" applyAlignment="1">
      <alignment horizontal="center" vertical="center"/>
    </xf>
    <xf numFmtId="2" fontId="27837" fillId="8" borderId="1" xfId="0" applyNumberFormat="1" applyFont="1" applyFill="1" applyBorder="1" applyAlignment="1">
      <alignment horizontal="center" vertical="center"/>
    </xf>
    <xf numFmtId="2" fontId="27838" fillId="8" borderId="1" xfId="0" applyNumberFormat="1" applyFont="1" applyFill="1" applyBorder="1" applyAlignment="1">
      <alignment horizontal="center" vertical="center"/>
    </xf>
    <xf numFmtId="2" fontId="27839" fillId="8" borderId="1" xfId="0" applyNumberFormat="1" applyFont="1" applyFill="1" applyBorder="1" applyAlignment="1">
      <alignment horizontal="center" vertical="center"/>
    </xf>
    <xf numFmtId="2" fontId="27840" fillId="8" borderId="1" xfId="0" applyNumberFormat="1" applyFont="1" applyFill="1" applyBorder="1" applyAlignment="1">
      <alignment horizontal="center" vertical="center"/>
    </xf>
    <xf numFmtId="2" fontId="27841" fillId="8" borderId="1" xfId="0" applyNumberFormat="1" applyFont="1" applyFill="1" applyBorder="1" applyAlignment="1">
      <alignment horizontal="center" vertical="center"/>
    </xf>
    <xf numFmtId="2" fontId="27842" fillId="8" borderId="1" xfId="0" applyNumberFormat="1" applyFont="1" applyFill="1" applyBorder="1" applyAlignment="1">
      <alignment horizontal="center" vertical="center"/>
    </xf>
    <xf numFmtId="2" fontId="27843" fillId="8" borderId="1" xfId="0" applyNumberFormat="1" applyFont="1" applyFill="1" applyBorder="1" applyAlignment="1">
      <alignment horizontal="center" vertical="center"/>
    </xf>
    <xf numFmtId="2" fontId="27844" fillId="8" borderId="1" xfId="0" applyNumberFormat="1" applyFont="1" applyFill="1" applyBorder="1" applyAlignment="1">
      <alignment horizontal="center" vertical="center"/>
    </xf>
    <xf numFmtId="2" fontId="27845" fillId="8" borderId="1" xfId="0" applyNumberFormat="1" applyFont="1" applyFill="1" applyBorder="1" applyAlignment="1">
      <alignment horizontal="center" vertical="center"/>
    </xf>
    <xf numFmtId="2" fontId="27846" fillId="8" borderId="1" xfId="0" applyNumberFormat="1" applyFont="1" applyFill="1" applyBorder="1" applyAlignment="1">
      <alignment horizontal="center" vertical="center"/>
    </xf>
    <xf numFmtId="2" fontId="27847" fillId="8" borderId="1" xfId="0" applyNumberFormat="1" applyFont="1" applyFill="1" applyBorder="1" applyAlignment="1">
      <alignment horizontal="center" vertical="center"/>
    </xf>
    <xf numFmtId="2" fontId="27848" fillId="8" borderId="1" xfId="0" applyNumberFormat="1" applyFont="1" applyFill="1" applyBorder="1" applyAlignment="1">
      <alignment horizontal="center" vertical="center"/>
    </xf>
    <xf numFmtId="0" fontId="27849" fillId="7" borderId="1" xfId="0" applyNumberFormat="1" applyFont="1" applyFill="1" applyBorder="1" applyAlignment="1">
      <alignment horizontal="left" vertical="center"/>
    </xf>
    <xf numFmtId="0" fontId="27850" fillId="8" borderId="1" xfId="0" applyNumberFormat="1" applyFont="1" applyFill="1" applyBorder="1" applyAlignment="1">
      <alignment horizontal="center" vertical="center"/>
    </xf>
    <xf numFmtId="164" fontId="27851" fillId="8" borderId="1" xfId="0" applyNumberFormat="1" applyFont="1" applyFill="1" applyBorder="1" applyAlignment="1">
      <alignment horizontal="center" vertical="center"/>
    </xf>
    <xf numFmtId="1" fontId="27852" fillId="8" borderId="1" xfId="0" applyNumberFormat="1" applyFont="1" applyFill="1" applyBorder="1" applyAlignment="1">
      <alignment horizontal="center" vertical="center"/>
    </xf>
    <xf numFmtId="1" fontId="27853" fillId="8" borderId="1" xfId="0" applyNumberFormat="1" applyFont="1" applyFill="1" applyBorder="1" applyAlignment="1">
      <alignment horizontal="center" vertical="center"/>
    </xf>
    <xf numFmtId="1" fontId="27854" fillId="8" borderId="1" xfId="0" applyNumberFormat="1" applyFont="1" applyFill="1" applyBorder="1" applyAlignment="1">
      <alignment horizontal="center" vertical="center"/>
    </xf>
    <xf numFmtId="1" fontId="27855" fillId="8" borderId="1" xfId="0" applyNumberFormat="1" applyFont="1" applyFill="1" applyBorder="1" applyAlignment="1">
      <alignment horizontal="center" vertical="center"/>
    </xf>
    <xf numFmtId="1" fontId="27856" fillId="8" borderId="1" xfId="0" applyNumberFormat="1" applyFont="1" applyFill="1" applyBorder="1" applyAlignment="1">
      <alignment horizontal="center" vertical="center"/>
    </xf>
    <xf numFmtId="1" fontId="27857" fillId="8" borderId="1" xfId="0" applyNumberFormat="1" applyFont="1" applyFill="1" applyBorder="1" applyAlignment="1">
      <alignment horizontal="center" vertical="center"/>
    </xf>
    <xf numFmtId="1" fontId="27858" fillId="8" borderId="1" xfId="0" applyNumberFormat="1" applyFont="1" applyFill="1" applyBorder="1" applyAlignment="1">
      <alignment horizontal="center" vertical="center"/>
    </xf>
    <xf numFmtId="0" fontId="27859" fillId="8" borderId="1" xfId="0" applyNumberFormat="1" applyFont="1" applyFill="1" applyBorder="1" applyAlignment="1">
      <alignment horizontal="center" vertical="center"/>
    </xf>
    <xf numFmtId="0" fontId="27860" fillId="8" borderId="1" xfId="0" applyNumberFormat="1" applyFont="1" applyFill="1" applyBorder="1" applyAlignment="1">
      <alignment horizontal="center" vertical="center"/>
    </xf>
    <xf numFmtId="1" fontId="27861" fillId="8" borderId="1" xfId="0" applyNumberFormat="1" applyFont="1" applyFill="1" applyBorder="1" applyAlignment="1">
      <alignment horizontal="center" vertical="center"/>
    </xf>
    <xf numFmtId="1" fontId="27862" fillId="8" borderId="1" xfId="0" applyNumberFormat="1" applyFont="1" applyFill="1" applyBorder="1" applyAlignment="1">
      <alignment horizontal="center" vertical="center"/>
    </xf>
    <xf numFmtId="1" fontId="27863" fillId="8" borderId="1" xfId="0" applyNumberFormat="1" applyFont="1" applyFill="1" applyBorder="1" applyAlignment="1">
      <alignment horizontal="center" vertical="center"/>
    </xf>
    <xf numFmtId="165" fontId="27864" fillId="8" borderId="1" xfId="0" applyNumberFormat="1" applyFont="1" applyFill="1" applyBorder="1" applyAlignment="1">
      <alignment horizontal="center" vertical="center"/>
    </xf>
    <xf numFmtId="1" fontId="27865" fillId="8" borderId="1" xfId="0" applyNumberFormat="1" applyFont="1" applyFill="1" applyBorder="1" applyAlignment="1">
      <alignment horizontal="center" vertical="center"/>
    </xf>
    <xf numFmtId="165" fontId="27866" fillId="8" borderId="1" xfId="0" applyNumberFormat="1" applyFont="1" applyFill="1" applyBorder="1" applyAlignment="1">
      <alignment horizontal="center" vertical="center"/>
    </xf>
    <xf numFmtId="1" fontId="27867" fillId="8" borderId="1" xfId="0" applyNumberFormat="1" applyFont="1" applyFill="1" applyBorder="1" applyAlignment="1">
      <alignment horizontal="center" vertical="center"/>
    </xf>
    <xf numFmtId="165" fontId="27868" fillId="8" borderId="1" xfId="0" applyNumberFormat="1" applyFont="1" applyFill="1" applyBorder="1" applyAlignment="1">
      <alignment horizontal="center" vertical="center"/>
    </xf>
    <xf numFmtId="1" fontId="27869" fillId="8" borderId="1" xfId="0" applyNumberFormat="1" applyFont="1" applyFill="1" applyBorder="1" applyAlignment="1">
      <alignment horizontal="center" vertical="center"/>
    </xf>
    <xf numFmtId="165" fontId="27870" fillId="8" borderId="1" xfId="0" applyNumberFormat="1" applyFont="1" applyFill="1" applyBorder="1" applyAlignment="1">
      <alignment horizontal="center" vertical="center"/>
    </xf>
    <xf numFmtId="165" fontId="27871" fillId="8" borderId="1" xfId="0" applyNumberFormat="1" applyFont="1" applyFill="1" applyBorder="1" applyAlignment="1">
      <alignment horizontal="center" vertical="center"/>
    </xf>
    <xf numFmtId="1" fontId="27872" fillId="8" borderId="1" xfId="0" applyNumberFormat="1" applyFont="1" applyFill="1" applyBorder="1" applyAlignment="1">
      <alignment horizontal="center" vertical="center"/>
    </xf>
    <xf numFmtId="1" fontId="27873" fillId="8" borderId="1" xfId="0" applyNumberFormat="1" applyFont="1" applyFill="1" applyBorder="1" applyAlignment="1">
      <alignment horizontal="center" vertical="center"/>
    </xf>
    <xf numFmtId="1" fontId="27874" fillId="8" borderId="1" xfId="0" applyNumberFormat="1" applyFont="1" applyFill="1" applyBorder="1" applyAlignment="1">
      <alignment horizontal="center" vertical="center"/>
    </xf>
    <xf numFmtId="165" fontId="27875" fillId="8" borderId="1" xfId="0" applyNumberFormat="1" applyFont="1" applyFill="1" applyBorder="1" applyAlignment="1">
      <alignment horizontal="center" vertical="center"/>
    </xf>
    <xf numFmtId="164" fontId="27876" fillId="8" borderId="1" xfId="0" applyNumberFormat="1" applyFont="1" applyFill="1" applyBorder="1" applyAlignment="1">
      <alignment horizontal="center" vertical="center"/>
    </xf>
    <xf numFmtId="164" fontId="27877" fillId="8" borderId="1" xfId="0" applyNumberFormat="1" applyFont="1" applyFill="1" applyBorder="1" applyAlignment="1">
      <alignment horizontal="center" vertical="center"/>
    </xf>
    <xf numFmtId="1" fontId="27878" fillId="8" borderId="1" xfId="0" applyNumberFormat="1" applyFont="1" applyFill="1" applyBorder="1" applyAlignment="1">
      <alignment horizontal="center" vertical="center"/>
    </xf>
    <xf numFmtId="1" fontId="27879" fillId="8" borderId="1" xfId="0" applyNumberFormat="1" applyFont="1" applyFill="1" applyBorder="1" applyAlignment="1">
      <alignment horizontal="center" vertical="center"/>
    </xf>
    <xf numFmtId="1" fontId="27880" fillId="8" borderId="1" xfId="0" applyNumberFormat="1" applyFont="1" applyFill="1" applyBorder="1" applyAlignment="1">
      <alignment horizontal="center" vertical="center"/>
    </xf>
    <xf numFmtId="165" fontId="27881" fillId="8" borderId="1" xfId="0" applyNumberFormat="1" applyFont="1" applyFill="1" applyBorder="1" applyAlignment="1">
      <alignment horizontal="center" vertical="center"/>
    </xf>
    <xf numFmtId="1" fontId="27882" fillId="8" borderId="1" xfId="0" applyNumberFormat="1" applyFont="1" applyFill="1" applyBorder="1" applyAlignment="1">
      <alignment horizontal="center" vertical="center"/>
    </xf>
    <xf numFmtId="165" fontId="27883" fillId="8" borderId="1" xfId="0" applyNumberFormat="1" applyFont="1" applyFill="1" applyBorder="1" applyAlignment="1">
      <alignment horizontal="center" vertical="center"/>
    </xf>
    <xf numFmtId="1" fontId="27884" fillId="8" borderId="1" xfId="0" applyNumberFormat="1" applyFont="1" applyFill="1" applyBorder="1" applyAlignment="1">
      <alignment horizontal="center" vertical="center"/>
    </xf>
    <xf numFmtId="1" fontId="27885" fillId="8" borderId="1" xfId="0" applyNumberFormat="1" applyFont="1" applyFill="1" applyBorder="1" applyAlignment="1">
      <alignment horizontal="center" vertical="center"/>
    </xf>
    <xf numFmtId="1" fontId="27886" fillId="8" borderId="1" xfId="0" applyNumberFormat="1" applyFont="1" applyFill="1" applyBorder="1" applyAlignment="1">
      <alignment horizontal="center" vertical="center"/>
    </xf>
    <xf numFmtId="1" fontId="27887" fillId="8" borderId="1" xfId="0" applyNumberFormat="1" applyFont="1" applyFill="1" applyBorder="1" applyAlignment="1">
      <alignment horizontal="center" vertical="center"/>
    </xf>
    <xf numFmtId="165" fontId="27888" fillId="8" borderId="1" xfId="0" applyNumberFormat="1" applyFont="1" applyFill="1" applyBorder="1" applyAlignment="1">
      <alignment horizontal="center" vertical="center"/>
    </xf>
    <xf numFmtId="1" fontId="27889" fillId="8" borderId="1" xfId="0" applyNumberFormat="1" applyFont="1" applyFill="1" applyBorder="1" applyAlignment="1">
      <alignment horizontal="center" vertical="center"/>
    </xf>
    <xf numFmtId="165" fontId="27890" fillId="8" borderId="1" xfId="0" applyNumberFormat="1" applyFont="1" applyFill="1" applyBorder="1" applyAlignment="1">
      <alignment horizontal="center" vertical="center"/>
    </xf>
    <xf numFmtId="1" fontId="27891" fillId="8" borderId="1" xfId="0" applyNumberFormat="1" applyFont="1" applyFill="1" applyBorder="1" applyAlignment="1">
      <alignment horizontal="center" vertical="center"/>
    </xf>
    <xf numFmtId="165" fontId="27892" fillId="8" borderId="1" xfId="0" applyNumberFormat="1" applyFont="1" applyFill="1" applyBorder="1" applyAlignment="1">
      <alignment horizontal="center" vertical="center"/>
    </xf>
    <xf numFmtId="2" fontId="27893" fillId="8" borderId="1" xfId="0" applyNumberFormat="1" applyFont="1" applyFill="1" applyBorder="1" applyAlignment="1">
      <alignment horizontal="center" vertical="center"/>
    </xf>
    <xf numFmtId="2" fontId="27894" fillId="8" borderId="1" xfId="0" applyNumberFormat="1" applyFont="1" applyFill="1" applyBorder="1" applyAlignment="1">
      <alignment horizontal="center" vertical="center"/>
    </xf>
    <xf numFmtId="2" fontId="27895" fillId="8" borderId="1" xfId="0" applyNumberFormat="1" applyFont="1" applyFill="1" applyBorder="1" applyAlignment="1">
      <alignment horizontal="center" vertical="center"/>
    </xf>
    <xf numFmtId="2" fontId="27896" fillId="8" borderId="1" xfId="0" applyNumberFormat="1" applyFont="1" applyFill="1" applyBorder="1" applyAlignment="1">
      <alignment horizontal="center" vertical="center"/>
    </xf>
    <xf numFmtId="2" fontId="27897" fillId="8" borderId="1" xfId="0" applyNumberFormat="1" applyFont="1" applyFill="1" applyBorder="1" applyAlignment="1">
      <alignment horizontal="center" vertical="center"/>
    </xf>
    <xf numFmtId="2" fontId="27898" fillId="8" borderId="1" xfId="0" applyNumberFormat="1" applyFont="1" applyFill="1" applyBorder="1" applyAlignment="1">
      <alignment horizontal="center" vertical="center"/>
    </xf>
    <xf numFmtId="2" fontId="27899" fillId="8" borderId="1" xfId="0" applyNumberFormat="1" applyFont="1" applyFill="1" applyBorder="1" applyAlignment="1">
      <alignment horizontal="center" vertical="center"/>
    </xf>
    <xf numFmtId="2" fontId="27900" fillId="8" borderId="1" xfId="0" applyNumberFormat="1" applyFont="1" applyFill="1" applyBorder="1" applyAlignment="1">
      <alignment horizontal="center" vertical="center"/>
    </xf>
    <xf numFmtId="2" fontId="27901" fillId="8" borderId="1" xfId="0" applyNumberFormat="1" applyFont="1" applyFill="1" applyBorder="1" applyAlignment="1">
      <alignment horizontal="center" vertical="center"/>
    </xf>
    <xf numFmtId="2" fontId="27902" fillId="8" borderId="1" xfId="0" applyNumberFormat="1" applyFont="1" applyFill="1" applyBorder="1" applyAlignment="1">
      <alignment horizontal="center" vertical="center"/>
    </xf>
    <xf numFmtId="2" fontId="27903" fillId="8" borderId="1" xfId="0" applyNumberFormat="1" applyFont="1" applyFill="1" applyBorder="1" applyAlignment="1">
      <alignment horizontal="center" vertical="center"/>
    </xf>
    <xf numFmtId="2" fontId="27904" fillId="8" borderId="1" xfId="0" applyNumberFormat="1" applyFont="1" applyFill="1" applyBorder="1" applyAlignment="1">
      <alignment horizontal="center" vertical="center"/>
    </xf>
    <xf numFmtId="2" fontId="27905" fillId="8" borderId="1" xfId="0" applyNumberFormat="1" applyFont="1" applyFill="1" applyBorder="1" applyAlignment="1">
      <alignment horizontal="center" vertical="center"/>
    </xf>
    <xf numFmtId="2" fontId="27906" fillId="8" borderId="1" xfId="0" applyNumberFormat="1" applyFont="1" applyFill="1" applyBorder="1" applyAlignment="1">
      <alignment horizontal="center" vertical="center"/>
    </xf>
    <xf numFmtId="2" fontId="27907" fillId="8" borderId="1" xfId="0" applyNumberFormat="1" applyFont="1" applyFill="1" applyBorder="1" applyAlignment="1">
      <alignment horizontal="center" vertical="center"/>
    </xf>
    <xf numFmtId="2" fontId="27908" fillId="8" borderId="1" xfId="0" applyNumberFormat="1" applyFont="1" applyFill="1" applyBorder="1" applyAlignment="1">
      <alignment horizontal="center" vertical="center"/>
    </xf>
    <xf numFmtId="2" fontId="27909" fillId="8" borderId="1" xfId="0" applyNumberFormat="1" applyFont="1" applyFill="1" applyBorder="1" applyAlignment="1">
      <alignment horizontal="center" vertical="center"/>
    </xf>
    <xf numFmtId="2" fontId="27910" fillId="8" borderId="1" xfId="0" applyNumberFormat="1" applyFont="1" applyFill="1" applyBorder="1" applyAlignment="1">
      <alignment horizontal="center" vertical="center"/>
    </xf>
    <xf numFmtId="2" fontId="27911" fillId="8" borderId="1" xfId="0" applyNumberFormat="1" applyFont="1" applyFill="1" applyBorder="1" applyAlignment="1">
      <alignment horizontal="center" vertical="center"/>
    </xf>
    <xf numFmtId="2" fontId="27912" fillId="8" borderId="1" xfId="0" applyNumberFormat="1" applyFont="1" applyFill="1" applyBorder="1" applyAlignment="1">
      <alignment horizontal="center" vertical="center"/>
    </xf>
    <xf numFmtId="2" fontId="27913" fillId="8" borderId="1" xfId="0" applyNumberFormat="1" applyFont="1" applyFill="1" applyBorder="1" applyAlignment="1">
      <alignment horizontal="center" vertical="center"/>
    </xf>
    <xf numFmtId="2" fontId="27914" fillId="8" borderId="1" xfId="0" applyNumberFormat="1" applyFont="1" applyFill="1" applyBorder="1" applyAlignment="1">
      <alignment horizontal="center" vertical="center"/>
    </xf>
    <xf numFmtId="2" fontId="27915" fillId="8" borderId="1" xfId="0" applyNumberFormat="1" applyFont="1" applyFill="1" applyBorder="1" applyAlignment="1">
      <alignment horizontal="center" vertical="center"/>
    </xf>
    <xf numFmtId="2" fontId="27916" fillId="8" borderId="1" xfId="0" applyNumberFormat="1" applyFont="1" applyFill="1" applyBorder="1" applyAlignment="1">
      <alignment horizontal="center" vertical="center"/>
    </xf>
    <xf numFmtId="2" fontId="27917" fillId="8" borderId="1" xfId="0" applyNumberFormat="1" applyFont="1" applyFill="1" applyBorder="1" applyAlignment="1">
      <alignment horizontal="center" vertical="center"/>
    </xf>
    <xf numFmtId="2" fontId="27918" fillId="8" borderId="1" xfId="0" applyNumberFormat="1" applyFont="1" applyFill="1" applyBorder="1" applyAlignment="1">
      <alignment horizontal="center" vertical="center"/>
    </xf>
    <xf numFmtId="2" fontId="27919" fillId="8" borderId="1" xfId="0" applyNumberFormat="1" applyFont="1" applyFill="1" applyBorder="1" applyAlignment="1">
      <alignment horizontal="center" vertical="center"/>
    </xf>
    <xf numFmtId="2" fontId="27920" fillId="8" borderId="1" xfId="0" applyNumberFormat="1" applyFont="1" applyFill="1" applyBorder="1" applyAlignment="1">
      <alignment horizontal="center" vertical="center"/>
    </xf>
    <xf numFmtId="2" fontId="27921" fillId="8" borderId="1" xfId="0" applyNumberFormat="1" applyFont="1" applyFill="1" applyBorder="1" applyAlignment="1">
      <alignment horizontal="center" vertical="center"/>
    </xf>
    <xf numFmtId="2" fontId="27922" fillId="8" borderId="1" xfId="0" applyNumberFormat="1" applyFont="1" applyFill="1" applyBorder="1" applyAlignment="1">
      <alignment horizontal="center" vertical="center"/>
    </xf>
    <xf numFmtId="2" fontId="27923" fillId="8" borderId="1" xfId="0" applyNumberFormat="1" applyFont="1" applyFill="1" applyBorder="1" applyAlignment="1">
      <alignment horizontal="center" vertical="center"/>
    </xf>
    <xf numFmtId="2" fontId="27924" fillId="8" borderId="1" xfId="0" applyNumberFormat="1" applyFont="1" applyFill="1" applyBorder="1" applyAlignment="1">
      <alignment horizontal="center" vertical="center"/>
    </xf>
    <xf numFmtId="2" fontId="27925" fillId="8" borderId="1" xfId="0" applyNumberFormat="1" applyFont="1" applyFill="1" applyBorder="1" applyAlignment="1">
      <alignment horizontal="center" vertical="center"/>
    </xf>
    <xf numFmtId="2" fontId="27926" fillId="8" borderId="1" xfId="0" applyNumberFormat="1" applyFont="1" applyFill="1" applyBorder="1" applyAlignment="1">
      <alignment horizontal="center" vertical="center"/>
    </xf>
    <xf numFmtId="0" fontId="27927" fillId="7" borderId="1" xfId="0" applyNumberFormat="1" applyFont="1" applyFill="1" applyBorder="1" applyAlignment="1">
      <alignment horizontal="left" vertical="center"/>
    </xf>
    <xf numFmtId="0" fontId="27928" fillId="8" borderId="1" xfId="0" applyNumberFormat="1" applyFont="1" applyFill="1" applyBorder="1" applyAlignment="1">
      <alignment horizontal="center" vertical="center"/>
    </xf>
    <xf numFmtId="164" fontId="27929" fillId="8" borderId="1" xfId="0" applyNumberFormat="1" applyFont="1" applyFill="1" applyBorder="1" applyAlignment="1">
      <alignment horizontal="center" vertical="center"/>
    </xf>
    <xf numFmtId="1" fontId="27930" fillId="8" borderId="1" xfId="0" applyNumberFormat="1" applyFont="1" applyFill="1" applyBorder="1" applyAlignment="1">
      <alignment horizontal="center" vertical="center"/>
    </xf>
    <xf numFmtId="1" fontId="27931" fillId="8" borderId="1" xfId="0" applyNumberFormat="1" applyFont="1" applyFill="1" applyBorder="1" applyAlignment="1">
      <alignment horizontal="center" vertical="center"/>
    </xf>
    <xf numFmtId="1" fontId="27932" fillId="8" borderId="1" xfId="0" applyNumberFormat="1" applyFont="1" applyFill="1" applyBorder="1" applyAlignment="1">
      <alignment horizontal="center" vertical="center"/>
    </xf>
    <xf numFmtId="1" fontId="27933" fillId="8" borderId="1" xfId="0" applyNumberFormat="1" applyFont="1" applyFill="1" applyBorder="1" applyAlignment="1">
      <alignment horizontal="center" vertical="center"/>
    </xf>
    <xf numFmtId="1" fontId="27934" fillId="8" borderId="1" xfId="0" applyNumberFormat="1" applyFont="1" applyFill="1" applyBorder="1" applyAlignment="1">
      <alignment horizontal="center" vertical="center"/>
    </xf>
    <xf numFmtId="1" fontId="27935" fillId="8" borderId="1" xfId="0" applyNumberFormat="1" applyFont="1" applyFill="1" applyBorder="1" applyAlignment="1">
      <alignment horizontal="center" vertical="center"/>
    </xf>
    <xf numFmtId="1" fontId="27936" fillId="8" borderId="1" xfId="0" applyNumberFormat="1" applyFont="1" applyFill="1" applyBorder="1" applyAlignment="1">
      <alignment horizontal="center" vertical="center"/>
    </xf>
    <xf numFmtId="0" fontId="27937" fillId="8" borderId="1" xfId="0" applyNumberFormat="1" applyFont="1" applyFill="1" applyBorder="1" applyAlignment="1">
      <alignment horizontal="center" vertical="center"/>
    </xf>
    <xf numFmtId="0" fontId="27938" fillId="8" borderId="1" xfId="0" applyNumberFormat="1" applyFont="1" applyFill="1" applyBorder="1" applyAlignment="1">
      <alignment horizontal="center" vertical="center"/>
    </xf>
    <xf numFmtId="1" fontId="27939" fillId="8" borderId="1" xfId="0" applyNumberFormat="1" applyFont="1" applyFill="1" applyBorder="1" applyAlignment="1">
      <alignment horizontal="center" vertical="center"/>
    </xf>
    <xf numFmtId="1" fontId="27940" fillId="8" borderId="1" xfId="0" applyNumberFormat="1" applyFont="1" applyFill="1" applyBorder="1" applyAlignment="1">
      <alignment horizontal="center" vertical="center"/>
    </xf>
    <xf numFmtId="1" fontId="27941" fillId="8" borderId="1" xfId="0" applyNumberFormat="1" applyFont="1" applyFill="1" applyBorder="1" applyAlignment="1">
      <alignment horizontal="center" vertical="center"/>
    </xf>
    <xf numFmtId="165" fontId="27942" fillId="8" borderId="1" xfId="0" applyNumberFormat="1" applyFont="1" applyFill="1" applyBorder="1" applyAlignment="1">
      <alignment horizontal="center" vertical="center"/>
    </xf>
    <xf numFmtId="1" fontId="27943" fillId="8" borderId="1" xfId="0" applyNumberFormat="1" applyFont="1" applyFill="1" applyBorder="1" applyAlignment="1">
      <alignment horizontal="center" vertical="center"/>
    </xf>
    <xf numFmtId="165" fontId="27944" fillId="8" borderId="1" xfId="0" applyNumberFormat="1" applyFont="1" applyFill="1" applyBorder="1" applyAlignment="1">
      <alignment horizontal="center" vertical="center"/>
    </xf>
    <xf numFmtId="1" fontId="27945" fillId="8" borderId="1" xfId="0" applyNumberFormat="1" applyFont="1" applyFill="1" applyBorder="1" applyAlignment="1">
      <alignment horizontal="center" vertical="center"/>
    </xf>
    <xf numFmtId="165" fontId="27946" fillId="8" borderId="1" xfId="0" applyNumberFormat="1" applyFont="1" applyFill="1" applyBorder="1" applyAlignment="1">
      <alignment horizontal="center" vertical="center"/>
    </xf>
    <xf numFmtId="1" fontId="27947" fillId="8" borderId="1" xfId="0" applyNumberFormat="1" applyFont="1" applyFill="1" applyBorder="1" applyAlignment="1">
      <alignment horizontal="center" vertical="center"/>
    </xf>
    <xf numFmtId="165" fontId="27948" fillId="8" borderId="1" xfId="0" applyNumberFormat="1" applyFont="1" applyFill="1" applyBorder="1" applyAlignment="1">
      <alignment horizontal="center" vertical="center"/>
    </xf>
    <xf numFmtId="165" fontId="27949" fillId="8" borderId="1" xfId="0" applyNumberFormat="1" applyFont="1" applyFill="1" applyBorder="1" applyAlignment="1">
      <alignment horizontal="center" vertical="center"/>
    </xf>
    <xf numFmtId="1" fontId="27950" fillId="8" borderId="1" xfId="0" applyNumberFormat="1" applyFont="1" applyFill="1" applyBorder="1" applyAlignment="1">
      <alignment horizontal="center" vertical="center"/>
    </xf>
    <xf numFmtId="1" fontId="27951" fillId="8" borderId="1" xfId="0" applyNumberFormat="1" applyFont="1" applyFill="1" applyBorder="1" applyAlignment="1">
      <alignment horizontal="center" vertical="center"/>
    </xf>
    <xf numFmtId="1" fontId="27952" fillId="8" borderId="1" xfId="0" applyNumberFormat="1" applyFont="1" applyFill="1" applyBorder="1" applyAlignment="1">
      <alignment horizontal="center" vertical="center"/>
    </xf>
    <xf numFmtId="165" fontId="27953" fillId="8" borderId="1" xfId="0" applyNumberFormat="1" applyFont="1" applyFill="1" applyBorder="1" applyAlignment="1">
      <alignment horizontal="center" vertical="center"/>
    </xf>
    <xf numFmtId="164" fontId="27954" fillId="8" borderId="1" xfId="0" applyNumberFormat="1" applyFont="1" applyFill="1" applyBorder="1" applyAlignment="1">
      <alignment horizontal="center" vertical="center"/>
    </xf>
    <xf numFmtId="164" fontId="27955" fillId="8" borderId="1" xfId="0" applyNumberFormat="1" applyFont="1" applyFill="1" applyBorder="1" applyAlignment="1">
      <alignment horizontal="center" vertical="center"/>
    </xf>
    <xf numFmtId="1" fontId="27956" fillId="8" borderId="1" xfId="0" applyNumberFormat="1" applyFont="1" applyFill="1" applyBorder="1" applyAlignment="1">
      <alignment horizontal="center" vertical="center"/>
    </xf>
    <xf numFmtId="1" fontId="27957" fillId="8" borderId="1" xfId="0" applyNumberFormat="1" applyFont="1" applyFill="1" applyBorder="1" applyAlignment="1">
      <alignment horizontal="center" vertical="center"/>
    </xf>
    <xf numFmtId="1" fontId="27958" fillId="8" borderId="1" xfId="0" applyNumberFormat="1" applyFont="1" applyFill="1" applyBorder="1" applyAlignment="1">
      <alignment horizontal="center" vertical="center"/>
    </xf>
    <xf numFmtId="165" fontId="27959" fillId="8" borderId="1" xfId="0" applyNumberFormat="1" applyFont="1" applyFill="1" applyBorder="1" applyAlignment="1">
      <alignment horizontal="center" vertical="center"/>
    </xf>
    <xf numFmtId="1" fontId="27960" fillId="8" borderId="1" xfId="0" applyNumberFormat="1" applyFont="1" applyFill="1" applyBorder="1" applyAlignment="1">
      <alignment horizontal="center" vertical="center"/>
    </xf>
    <xf numFmtId="165" fontId="27961" fillId="8" borderId="1" xfId="0" applyNumberFormat="1" applyFont="1" applyFill="1" applyBorder="1" applyAlignment="1">
      <alignment horizontal="center" vertical="center"/>
    </xf>
    <xf numFmtId="1" fontId="27962" fillId="8" borderId="1" xfId="0" applyNumberFormat="1" applyFont="1" applyFill="1" applyBorder="1" applyAlignment="1">
      <alignment horizontal="center" vertical="center"/>
    </xf>
    <xf numFmtId="1" fontId="27963" fillId="8" borderId="1" xfId="0" applyNumberFormat="1" applyFont="1" applyFill="1" applyBorder="1" applyAlignment="1">
      <alignment horizontal="center" vertical="center"/>
    </xf>
    <xf numFmtId="1" fontId="27964" fillId="8" borderId="1" xfId="0" applyNumberFormat="1" applyFont="1" applyFill="1" applyBorder="1" applyAlignment="1">
      <alignment horizontal="center" vertical="center"/>
    </xf>
    <xf numFmtId="1" fontId="27965" fillId="8" borderId="1" xfId="0" applyNumberFormat="1" applyFont="1" applyFill="1" applyBorder="1" applyAlignment="1">
      <alignment horizontal="center" vertical="center"/>
    </xf>
    <xf numFmtId="165" fontId="27966" fillId="8" borderId="1" xfId="0" applyNumberFormat="1" applyFont="1" applyFill="1" applyBorder="1" applyAlignment="1">
      <alignment horizontal="center" vertical="center"/>
    </xf>
    <xf numFmtId="1" fontId="27967" fillId="8" borderId="1" xfId="0" applyNumberFormat="1" applyFont="1" applyFill="1" applyBorder="1" applyAlignment="1">
      <alignment horizontal="center" vertical="center"/>
    </xf>
    <xf numFmtId="165" fontId="27968" fillId="8" borderId="1" xfId="0" applyNumberFormat="1" applyFont="1" applyFill="1" applyBorder="1" applyAlignment="1">
      <alignment horizontal="center" vertical="center"/>
    </xf>
    <xf numFmtId="1" fontId="27969" fillId="8" borderId="1" xfId="0" applyNumberFormat="1" applyFont="1" applyFill="1" applyBorder="1" applyAlignment="1">
      <alignment horizontal="center" vertical="center"/>
    </xf>
    <xf numFmtId="165" fontId="27970" fillId="8" borderId="1" xfId="0" applyNumberFormat="1" applyFont="1" applyFill="1" applyBorder="1" applyAlignment="1">
      <alignment horizontal="center" vertical="center"/>
    </xf>
    <xf numFmtId="2" fontId="27971" fillId="8" borderId="1" xfId="0" applyNumberFormat="1" applyFont="1" applyFill="1" applyBorder="1" applyAlignment="1">
      <alignment horizontal="center" vertical="center"/>
    </xf>
    <xf numFmtId="2" fontId="27972" fillId="8" borderId="1" xfId="0" applyNumberFormat="1" applyFont="1" applyFill="1" applyBorder="1" applyAlignment="1">
      <alignment horizontal="center" vertical="center"/>
    </xf>
    <xf numFmtId="2" fontId="27973" fillId="8" borderId="1" xfId="0" applyNumberFormat="1" applyFont="1" applyFill="1" applyBorder="1" applyAlignment="1">
      <alignment horizontal="center" vertical="center"/>
    </xf>
    <xf numFmtId="2" fontId="27974" fillId="8" borderId="1" xfId="0" applyNumberFormat="1" applyFont="1" applyFill="1" applyBorder="1" applyAlignment="1">
      <alignment horizontal="center" vertical="center"/>
    </xf>
    <xf numFmtId="2" fontId="27975" fillId="8" borderId="1" xfId="0" applyNumberFormat="1" applyFont="1" applyFill="1" applyBorder="1" applyAlignment="1">
      <alignment horizontal="center" vertical="center"/>
    </xf>
    <xf numFmtId="2" fontId="27976" fillId="8" borderId="1" xfId="0" applyNumberFormat="1" applyFont="1" applyFill="1" applyBorder="1" applyAlignment="1">
      <alignment horizontal="center" vertical="center"/>
    </xf>
    <xf numFmtId="2" fontId="27977" fillId="8" borderId="1" xfId="0" applyNumberFormat="1" applyFont="1" applyFill="1" applyBorder="1" applyAlignment="1">
      <alignment horizontal="center" vertical="center"/>
    </xf>
    <xf numFmtId="2" fontId="27978" fillId="8" borderId="1" xfId="0" applyNumberFormat="1" applyFont="1" applyFill="1" applyBorder="1" applyAlignment="1">
      <alignment horizontal="center" vertical="center"/>
    </xf>
    <xf numFmtId="2" fontId="27979" fillId="8" borderId="1" xfId="0" applyNumberFormat="1" applyFont="1" applyFill="1" applyBorder="1" applyAlignment="1">
      <alignment horizontal="center" vertical="center"/>
    </xf>
    <xf numFmtId="2" fontId="27980" fillId="8" borderId="1" xfId="0" applyNumberFormat="1" applyFont="1" applyFill="1" applyBorder="1" applyAlignment="1">
      <alignment horizontal="center" vertical="center"/>
    </xf>
    <xf numFmtId="2" fontId="27981" fillId="8" borderId="1" xfId="0" applyNumberFormat="1" applyFont="1" applyFill="1" applyBorder="1" applyAlignment="1">
      <alignment horizontal="center" vertical="center"/>
    </xf>
    <xf numFmtId="2" fontId="27982" fillId="8" borderId="1" xfId="0" applyNumberFormat="1" applyFont="1" applyFill="1" applyBorder="1" applyAlignment="1">
      <alignment horizontal="center" vertical="center"/>
    </xf>
    <xf numFmtId="2" fontId="27983" fillId="8" borderId="1" xfId="0" applyNumberFormat="1" applyFont="1" applyFill="1" applyBorder="1" applyAlignment="1">
      <alignment horizontal="center" vertical="center"/>
    </xf>
    <xf numFmtId="2" fontId="27984" fillId="8" borderId="1" xfId="0" applyNumberFormat="1" applyFont="1" applyFill="1" applyBorder="1" applyAlignment="1">
      <alignment horizontal="center" vertical="center"/>
    </xf>
    <xf numFmtId="2" fontId="27985" fillId="8" borderId="1" xfId="0" applyNumberFormat="1" applyFont="1" applyFill="1" applyBorder="1" applyAlignment="1">
      <alignment horizontal="center" vertical="center"/>
    </xf>
    <xf numFmtId="2" fontId="27986" fillId="8" borderId="1" xfId="0" applyNumberFormat="1" applyFont="1" applyFill="1" applyBorder="1" applyAlignment="1">
      <alignment horizontal="center" vertical="center"/>
    </xf>
    <xf numFmtId="2" fontId="27987" fillId="8" borderId="1" xfId="0" applyNumberFormat="1" applyFont="1" applyFill="1" applyBorder="1" applyAlignment="1">
      <alignment horizontal="center" vertical="center"/>
    </xf>
    <xf numFmtId="2" fontId="27988" fillId="8" borderId="1" xfId="0" applyNumberFormat="1" applyFont="1" applyFill="1" applyBorder="1" applyAlignment="1">
      <alignment horizontal="center" vertical="center"/>
    </xf>
    <xf numFmtId="2" fontId="27989" fillId="8" borderId="1" xfId="0" applyNumberFormat="1" applyFont="1" applyFill="1" applyBorder="1" applyAlignment="1">
      <alignment horizontal="center" vertical="center"/>
    </xf>
    <xf numFmtId="2" fontId="27990" fillId="8" borderId="1" xfId="0" applyNumberFormat="1" applyFont="1" applyFill="1" applyBorder="1" applyAlignment="1">
      <alignment horizontal="center" vertical="center"/>
    </xf>
    <xf numFmtId="2" fontId="27991" fillId="8" borderId="1" xfId="0" applyNumberFormat="1" applyFont="1" applyFill="1" applyBorder="1" applyAlignment="1">
      <alignment horizontal="center" vertical="center"/>
    </xf>
    <xf numFmtId="2" fontId="27992" fillId="8" borderId="1" xfId="0" applyNumberFormat="1" applyFont="1" applyFill="1" applyBorder="1" applyAlignment="1">
      <alignment horizontal="center" vertical="center"/>
    </xf>
    <xf numFmtId="2" fontId="27993" fillId="8" borderId="1" xfId="0" applyNumberFormat="1" applyFont="1" applyFill="1" applyBorder="1" applyAlignment="1">
      <alignment horizontal="center" vertical="center"/>
    </xf>
    <xf numFmtId="2" fontId="27994" fillId="8" borderId="1" xfId="0" applyNumberFormat="1" applyFont="1" applyFill="1" applyBorder="1" applyAlignment="1">
      <alignment horizontal="center" vertical="center"/>
    </xf>
    <xf numFmtId="2" fontId="27995" fillId="8" borderId="1" xfId="0" applyNumberFormat="1" applyFont="1" applyFill="1" applyBorder="1" applyAlignment="1">
      <alignment horizontal="center" vertical="center"/>
    </xf>
    <xf numFmtId="2" fontId="27996" fillId="8" borderId="1" xfId="0" applyNumberFormat="1" applyFont="1" applyFill="1" applyBorder="1" applyAlignment="1">
      <alignment horizontal="center" vertical="center"/>
    </xf>
    <xf numFmtId="2" fontId="27997" fillId="8" borderId="1" xfId="0" applyNumberFormat="1" applyFont="1" applyFill="1" applyBorder="1" applyAlignment="1">
      <alignment horizontal="center" vertical="center"/>
    </xf>
    <xf numFmtId="2" fontId="27998" fillId="8" borderId="1" xfId="0" applyNumberFormat="1" applyFont="1" applyFill="1" applyBorder="1" applyAlignment="1">
      <alignment horizontal="center" vertical="center"/>
    </xf>
    <xf numFmtId="2" fontId="27999" fillId="8" borderId="1" xfId="0" applyNumberFormat="1" applyFont="1" applyFill="1" applyBorder="1" applyAlignment="1">
      <alignment horizontal="center" vertical="center"/>
    </xf>
    <xf numFmtId="2" fontId="28000" fillId="8" borderId="1" xfId="0" applyNumberFormat="1" applyFont="1" applyFill="1" applyBorder="1" applyAlignment="1">
      <alignment horizontal="center" vertical="center"/>
    </xf>
    <xf numFmtId="2" fontId="28001" fillId="8" borderId="1" xfId="0" applyNumberFormat="1" applyFont="1" applyFill="1" applyBorder="1" applyAlignment="1">
      <alignment horizontal="center" vertical="center"/>
    </xf>
    <xf numFmtId="2" fontId="28002" fillId="8" borderId="1" xfId="0" applyNumberFormat="1" applyFont="1" applyFill="1" applyBorder="1" applyAlignment="1">
      <alignment horizontal="center" vertical="center"/>
    </xf>
    <xf numFmtId="2" fontId="28003" fillId="8" borderId="1" xfId="0" applyNumberFormat="1" applyFont="1" applyFill="1" applyBorder="1" applyAlignment="1">
      <alignment horizontal="center" vertical="center"/>
    </xf>
    <xf numFmtId="2" fontId="28004" fillId="8" borderId="1" xfId="0" applyNumberFormat="1" applyFont="1" applyFill="1" applyBorder="1" applyAlignment="1">
      <alignment horizontal="center" vertical="center"/>
    </xf>
    <xf numFmtId="0" fontId="28005" fillId="7" borderId="1" xfId="0" applyNumberFormat="1" applyFont="1" applyFill="1" applyBorder="1" applyAlignment="1">
      <alignment horizontal="left" vertical="center"/>
    </xf>
    <xf numFmtId="0" fontId="28006" fillId="8" borderId="1" xfId="0" applyNumberFormat="1" applyFont="1" applyFill="1" applyBorder="1" applyAlignment="1">
      <alignment horizontal="center" vertical="center"/>
    </xf>
    <xf numFmtId="164" fontId="28007" fillId="8" borderId="1" xfId="0" applyNumberFormat="1" applyFont="1" applyFill="1" applyBorder="1" applyAlignment="1">
      <alignment horizontal="center" vertical="center"/>
    </xf>
    <xf numFmtId="1" fontId="28008" fillId="8" borderId="1" xfId="0" applyNumberFormat="1" applyFont="1" applyFill="1" applyBorder="1" applyAlignment="1">
      <alignment horizontal="center" vertical="center"/>
    </xf>
    <xf numFmtId="1" fontId="28009" fillId="8" borderId="1" xfId="0" applyNumberFormat="1" applyFont="1" applyFill="1" applyBorder="1" applyAlignment="1">
      <alignment horizontal="center" vertical="center"/>
    </xf>
    <xf numFmtId="1" fontId="28010" fillId="8" borderId="1" xfId="0" applyNumberFormat="1" applyFont="1" applyFill="1" applyBorder="1" applyAlignment="1">
      <alignment horizontal="center" vertical="center"/>
    </xf>
    <xf numFmtId="1" fontId="28011" fillId="8" borderId="1" xfId="0" applyNumberFormat="1" applyFont="1" applyFill="1" applyBorder="1" applyAlignment="1">
      <alignment horizontal="center" vertical="center"/>
    </xf>
    <xf numFmtId="1" fontId="28012" fillId="8" borderId="1" xfId="0" applyNumberFormat="1" applyFont="1" applyFill="1" applyBorder="1" applyAlignment="1">
      <alignment horizontal="center" vertical="center"/>
    </xf>
    <xf numFmtId="1" fontId="28013" fillId="8" borderId="1" xfId="0" applyNumberFormat="1" applyFont="1" applyFill="1" applyBorder="1" applyAlignment="1">
      <alignment horizontal="center" vertical="center"/>
    </xf>
    <xf numFmtId="1" fontId="28014" fillId="8" borderId="1" xfId="0" applyNumberFormat="1" applyFont="1" applyFill="1" applyBorder="1" applyAlignment="1">
      <alignment horizontal="center" vertical="center"/>
    </xf>
    <xf numFmtId="0" fontId="28015" fillId="8" borderId="1" xfId="0" applyNumberFormat="1" applyFont="1" applyFill="1" applyBorder="1" applyAlignment="1">
      <alignment horizontal="center" vertical="center"/>
    </xf>
    <xf numFmtId="0" fontId="28016" fillId="8" borderId="1" xfId="0" applyNumberFormat="1" applyFont="1" applyFill="1" applyBorder="1" applyAlignment="1">
      <alignment horizontal="center" vertical="center"/>
    </xf>
    <xf numFmtId="1" fontId="28017" fillId="8" borderId="1" xfId="0" applyNumberFormat="1" applyFont="1" applyFill="1" applyBorder="1" applyAlignment="1">
      <alignment horizontal="center" vertical="center"/>
    </xf>
    <xf numFmtId="1" fontId="28018" fillId="8" borderId="1" xfId="0" applyNumberFormat="1" applyFont="1" applyFill="1" applyBorder="1" applyAlignment="1">
      <alignment horizontal="center" vertical="center"/>
    </xf>
    <xf numFmtId="1" fontId="28019" fillId="8" borderId="1" xfId="0" applyNumberFormat="1" applyFont="1" applyFill="1" applyBorder="1" applyAlignment="1">
      <alignment horizontal="center" vertical="center"/>
    </xf>
    <xf numFmtId="165" fontId="28020" fillId="8" borderId="1" xfId="0" applyNumberFormat="1" applyFont="1" applyFill="1" applyBorder="1" applyAlignment="1">
      <alignment horizontal="center" vertical="center"/>
    </xf>
    <xf numFmtId="1" fontId="28021" fillId="8" borderId="1" xfId="0" applyNumberFormat="1" applyFont="1" applyFill="1" applyBorder="1" applyAlignment="1">
      <alignment horizontal="center" vertical="center"/>
    </xf>
    <xf numFmtId="165" fontId="28022" fillId="8" borderId="1" xfId="0" applyNumberFormat="1" applyFont="1" applyFill="1" applyBorder="1" applyAlignment="1">
      <alignment horizontal="center" vertical="center"/>
    </xf>
    <xf numFmtId="1" fontId="28023" fillId="8" borderId="1" xfId="0" applyNumberFormat="1" applyFont="1" applyFill="1" applyBorder="1" applyAlignment="1">
      <alignment horizontal="center" vertical="center"/>
    </xf>
    <xf numFmtId="165" fontId="28024" fillId="8" borderId="1" xfId="0" applyNumberFormat="1" applyFont="1" applyFill="1" applyBorder="1" applyAlignment="1">
      <alignment horizontal="center" vertical="center"/>
    </xf>
    <xf numFmtId="1" fontId="28025" fillId="8" borderId="1" xfId="0" applyNumberFormat="1" applyFont="1" applyFill="1" applyBorder="1" applyAlignment="1">
      <alignment horizontal="center" vertical="center"/>
    </xf>
    <xf numFmtId="165" fontId="28026" fillId="8" borderId="1" xfId="0" applyNumberFormat="1" applyFont="1" applyFill="1" applyBorder="1" applyAlignment="1">
      <alignment horizontal="center" vertical="center"/>
    </xf>
    <xf numFmtId="165" fontId="28027" fillId="8" borderId="1" xfId="0" applyNumberFormat="1" applyFont="1" applyFill="1" applyBorder="1" applyAlignment="1">
      <alignment horizontal="center" vertical="center"/>
    </xf>
    <xf numFmtId="1" fontId="28028" fillId="8" borderId="1" xfId="0" applyNumberFormat="1" applyFont="1" applyFill="1" applyBorder="1" applyAlignment="1">
      <alignment horizontal="center" vertical="center"/>
    </xf>
    <xf numFmtId="1" fontId="28029" fillId="8" borderId="1" xfId="0" applyNumberFormat="1" applyFont="1" applyFill="1" applyBorder="1" applyAlignment="1">
      <alignment horizontal="center" vertical="center"/>
    </xf>
    <xf numFmtId="1" fontId="28030" fillId="8" borderId="1" xfId="0" applyNumberFormat="1" applyFont="1" applyFill="1" applyBorder="1" applyAlignment="1">
      <alignment horizontal="center" vertical="center"/>
    </xf>
    <xf numFmtId="165" fontId="28031" fillId="8" borderId="1" xfId="0" applyNumberFormat="1" applyFont="1" applyFill="1" applyBorder="1" applyAlignment="1">
      <alignment horizontal="center" vertical="center"/>
    </xf>
    <xf numFmtId="164" fontId="28032" fillId="8" borderId="1" xfId="0" applyNumberFormat="1" applyFont="1" applyFill="1" applyBorder="1" applyAlignment="1">
      <alignment horizontal="center" vertical="center"/>
    </xf>
    <xf numFmtId="164" fontId="28033" fillId="8" borderId="1" xfId="0" applyNumberFormat="1" applyFont="1" applyFill="1" applyBorder="1" applyAlignment="1">
      <alignment horizontal="center" vertical="center"/>
    </xf>
    <xf numFmtId="1" fontId="28034" fillId="8" borderId="1" xfId="0" applyNumberFormat="1" applyFont="1" applyFill="1" applyBorder="1" applyAlignment="1">
      <alignment horizontal="center" vertical="center"/>
    </xf>
    <xf numFmtId="1" fontId="28035" fillId="8" borderId="1" xfId="0" applyNumberFormat="1" applyFont="1" applyFill="1" applyBorder="1" applyAlignment="1">
      <alignment horizontal="center" vertical="center"/>
    </xf>
    <xf numFmtId="1" fontId="28036" fillId="8" borderId="1" xfId="0" applyNumberFormat="1" applyFont="1" applyFill="1" applyBorder="1" applyAlignment="1">
      <alignment horizontal="center" vertical="center"/>
    </xf>
    <xf numFmtId="165" fontId="28037" fillId="8" borderId="1" xfId="0" applyNumberFormat="1" applyFont="1" applyFill="1" applyBorder="1" applyAlignment="1">
      <alignment horizontal="center" vertical="center"/>
    </xf>
    <xf numFmtId="1" fontId="28038" fillId="8" borderId="1" xfId="0" applyNumberFormat="1" applyFont="1" applyFill="1" applyBorder="1" applyAlignment="1">
      <alignment horizontal="center" vertical="center"/>
    </xf>
    <xf numFmtId="165" fontId="28039" fillId="8" borderId="1" xfId="0" applyNumberFormat="1" applyFont="1" applyFill="1" applyBorder="1" applyAlignment="1">
      <alignment horizontal="center" vertical="center"/>
    </xf>
    <xf numFmtId="1" fontId="28040" fillId="8" borderId="1" xfId="0" applyNumberFormat="1" applyFont="1" applyFill="1" applyBorder="1" applyAlignment="1">
      <alignment horizontal="center" vertical="center"/>
    </xf>
    <xf numFmtId="1" fontId="28041" fillId="8" borderId="1" xfId="0" applyNumberFormat="1" applyFont="1" applyFill="1" applyBorder="1" applyAlignment="1">
      <alignment horizontal="center" vertical="center"/>
    </xf>
    <xf numFmtId="1" fontId="28042" fillId="8" borderId="1" xfId="0" applyNumberFormat="1" applyFont="1" applyFill="1" applyBorder="1" applyAlignment="1">
      <alignment horizontal="center" vertical="center"/>
    </xf>
    <xf numFmtId="1" fontId="28043" fillId="8" borderId="1" xfId="0" applyNumberFormat="1" applyFont="1" applyFill="1" applyBorder="1" applyAlignment="1">
      <alignment horizontal="center" vertical="center"/>
    </xf>
    <xf numFmtId="165" fontId="28044" fillId="8" borderId="1" xfId="0" applyNumberFormat="1" applyFont="1" applyFill="1" applyBorder="1" applyAlignment="1">
      <alignment horizontal="center" vertical="center"/>
    </xf>
    <xf numFmtId="1" fontId="28045" fillId="8" borderId="1" xfId="0" applyNumberFormat="1" applyFont="1" applyFill="1" applyBorder="1" applyAlignment="1">
      <alignment horizontal="center" vertical="center"/>
    </xf>
    <xf numFmtId="165" fontId="28046" fillId="8" borderId="1" xfId="0" applyNumberFormat="1" applyFont="1" applyFill="1" applyBorder="1" applyAlignment="1">
      <alignment horizontal="center" vertical="center"/>
    </xf>
    <xf numFmtId="1" fontId="28047" fillId="8" borderId="1" xfId="0" applyNumberFormat="1" applyFont="1" applyFill="1" applyBorder="1" applyAlignment="1">
      <alignment horizontal="center" vertical="center"/>
    </xf>
    <xf numFmtId="165" fontId="28048" fillId="8" borderId="1" xfId="0" applyNumberFormat="1" applyFont="1" applyFill="1" applyBorder="1" applyAlignment="1">
      <alignment horizontal="center" vertical="center"/>
    </xf>
    <xf numFmtId="2" fontId="28049" fillId="8" borderId="1" xfId="0" applyNumberFormat="1" applyFont="1" applyFill="1" applyBorder="1" applyAlignment="1">
      <alignment horizontal="center" vertical="center"/>
    </xf>
    <xf numFmtId="2" fontId="28050" fillId="8" borderId="1" xfId="0" applyNumberFormat="1" applyFont="1" applyFill="1" applyBorder="1" applyAlignment="1">
      <alignment horizontal="center" vertical="center"/>
    </xf>
    <xf numFmtId="2" fontId="28051" fillId="8" borderId="1" xfId="0" applyNumberFormat="1" applyFont="1" applyFill="1" applyBorder="1" applyAlignment="1">
      <alignment horizontal="center" vertical="center"/>
    </xf>
    <xf numFmtId="2" fontId="28052" fillId="8" borderId="1" xfId="0" applyNumberFormat="1" applyFont="1" applyFill="1" applyBorder="1" applyAlignment="1">
      <alignment horizontal="center" vertical="center"/>
    </xf>
    <xf numFmtId="2" fontId="28053" fillId="8" borderId="1" xfId="0" applyNumberFormat="1" applyFont="1" applyFill="1" applyBorder="1" applyAlignment="1">
      <alignment horizontal="center" vertical="center"/>
    </xf>
    <xf numFmtId="2" fontId="28054" fillId="8" borderId="1" xfId="0" applyNumberFormat="1" applyFont="1" applyFill="1" applyBorder="1" applyAlignment="1">
      <alignment horizontal="center" vertical="center"/>
    </xf>
    <xf numFmtId="2" fontId="28055" fillId="8" borderId="1" xfId="0" applyNumberFormat="1" applyFont="1" applyFill="1" applyBorder="1" applyAlignment="1">
      <alignment horizontal="center" vertical="center"/>
    </xf>
    <xf numFmtId="2" fontId="28056" fillId="8" borderId="1" xfId="0" applyNumberFormat="1" applyFont="1" applyFill="1" applyBorder="1" applyAlignment="1">
      <alignment horizontal="center" vertical="center"/>
    </xf>
    <xf numFmtId="2" fontId="28057" fillId="8" borderId="1" xfId="0" applyNumberFormat="1" applyFont="1" applyFill="1" applyBorder="1" applyAlignment="1">
      <alignment horizontal="center" vertical="center"/>
    </xf>
    <xf numFmtId="2" fontId="28058" fillId="8" borderId="1" xfId="0" applyNumberFormat="1" applyFont="1" applyFill="1" applyBorder="1" applyAlignment="1">
      <alignment horizontal="center" vertical="center"/>
    </xf>
    <xf numFmtId="2" fontId="28059" fillId="8" borderId="1" xfId="0" applyNumberFormat="1" applyFont="1" applyFill="1" applyBorder="1" applyAlignment="1">
      <alignment horizontal="center" vertical="center"/>
    </xf>
    <xf numFmtId="2" fontId="28060" fillId="8" borderId="1" xfId="0" applyNumberFormat="1" applyFont="1" applyFill="1" applyBorder="1" applyAlignment="1">
      <alignment horizontal="center" vertical="center"/>
    </xf>
    <xf numFmtId="2" fontId="28061" fillId="8" borderId="1" xfId="0" applyNumberFormat="1" applyFont="1" applyFill="1" applyBorder="1" applyAlignment="1">
      <alignment horizontal="center" vertical="center"/>
    </xf>
    <xf numFmtId="2" fontId="28062" fillId="8" borderId="1" xfId="0" applyNumberFormat="1" applyFont="1" applyFill="1" applyBorder="1" applyAlignment="1">
      <alignment horizontal="center" vertical="center"/>
    </xf>
    <xf numFmtId="2" fontId="28063" fillId="8" borderId="1" xfId="0" applyNumberFormat="1" applyFont="1" applyFill="1" applyBorder="1" applyAlignment="1">
      <alignment horizontal="center" vertical="center"/>
    </xf>
    <xf numFmtId="2" fontId="28064" fillId="8" borderId="1" xfId="0" applyNumberFormat="1" applyFont="1" applyFill="1" applyBorder="1" applyAlignment="1">
      <alignment horizontal="center" vertical="center"/>
    </xf>
    <xf numFmtId="2" fontId="28065" fillId="8" borderId="1" xfId="0" applyNumberFormat="1" applyFont="1" applyFill="1" applyBorder="1" applyAlignment="1">
      <alignment horizontal="center" vertical="center"/>
    </xf>
    <xf numFmtId="2" fontId="28066" fillId="8" borderId="1" xfId="0" applyNumberFormat="1" applyFont="1" applyFill="1" applyBorder="1" applyAlignment="1">
      <alignment horizontal="center" vertical="center"/>
    </xf>
    <xf numFmtId="2" fontId="28067" fillId="8" borderId="1" xfId="0" applyNumberFormat="1" applyFont="1" applyFill="1" applyBorder="1" applyAlignment="1">
      <alignment horizontal="center" vertical="center"/>
    </xf>
    <xf numFmtId="2" fontId="28068" fillId="8" borderId="1" xfId="0" applyNumberFormat="1" applyFont="1" applyFill="1" applyBorder="1" applyAlignment="1">
      <alignment horizontal="center" vertical="center"/>
    </xf>
    <xf numFmtId="2" fontId="28069" fillId="8" borderId="1" xfId="0" applyNumberFormat="1" applyFont="1" applyFill="1" applyBorder="1" applyAlignment="1">
      <alignment horizontal="center" vertical="center"/>
    </xf>
    <xf numFmtId="2" fontId="28070" fillId="8" borderId="1" xfId="0" applyNumberFormat="1" applyFont="1" applyFill="1" applyBorder="1" applyAlignment="1">
      <alignment horizontal="center" vertical="center"/>
    </xf>
    <xf numFmtId="2" fontId="28071" fillId="8" borderId="1" xfId="0" applyNumberFormat="1" applyFont="1" applyFill="1" applyBorder="1" applyAlignment="1">
      <alignment horizontal="center" vertical="center"/>
    </xf>
    <xf numFmtId="2" fontId="28072" fillId="8" borderId="1" xfId="0" applyNumberFormat="1" applyFont="1" applyFill="1" applyBorder="1" applyAlignment="1">
      <alignment horizontal="center" vertical="center"/>
    </xf>
    <xf numFmtId="2" fontId="28073" fillId="8" borderId="1" xfId="0" applyNumberFormat="1" applyFont="1" applyFill="1" applyBorder="1" applyAlignment="1">
      <alignment horizontal="center" vertical="center"/>
    </xf>
    <xf numFmtId="2" fontId="28074" fillId="8" borderId="1" xfId="0" applyNumberFormat="1" applyFont="1" applyFill="1" applyBorder="1" applyAlignment="1">
      <alignment horizontal="center" vertical="center"/>
    </xf>
    <xf numFmtId="2" fontId="28075" fillId="8" borderId="1" xfId="0" applyNumberFormat="1" applyFont="1" applyFill="1" applyBorder="1" applyAlignment="1">
      <alignment horizontal="center" vertical="center"/>
    </xf>
    <xf numFmtId="2" fontId="28076" fillId="8" borderId="1" xfId="0" applyNumberFormat="1" applyFont="1" applyFill="1" applyBorder="1" applyAlignment="1">
      <alignment horizontal="center" vertical="center"/>
    </xf>
    <xf numFmtId="2" fontId="28077" fillId="8" borderId="1" xfId="0" applyNumberFormat="1" applyFont="1" applyFill="1" applyBorder="1" applyAlignment="1">
      <alignment horizontal="center" vertical="center"/>
    </xf>
    <xf numFmtId="2" fontId="28078" fillId="8" borderId="1" xfId="0" applyNumberFormat="1" applyFont="1" applyFill="1" applyBorder="1" applyAlignment="1">
      <alignment horizontal="center" vertical="center"/>
    </xf>
    <xf numFmtId="2" fontId="28079" fillId="8" borderId="1" xfId="0" applyNumberFormat="1" applyFont="1" applyFill="1" applyBorder="1" applyAlignment="1">
      <alignment horizontal="center" vertical="center"/>
    </xf>
    <xf numFmtId="2" fontId="28080" fillId="8" borderId="1" xfId="0" applyNumberFormat="1" applyFont="1" applyFill="1" applyBorder="1" applyAlignment="1">
      <alignment horizontal="center" vertical="center"/>
    </xf>
    <xf numFmtId="2" fontId="28081" fillId="8" borderId="1" xfId="0" applyNumberFormat="1" applyFont="1" applyFill="1" applyBorder="1" applyAlignment="1">
      <alignment horizontal="center" vertical="center"/>
    </xf>
    <xf numFmtId="2" fontId="28082" fillId="8" borderId="1" xfId="0" applyNumberFormat="1" applyFont="1" applyFill="1" applyBorder="1" applyAlignment="1">
      <alignment horizontal="center" vertical="center"/>
    </xf>
    <xf numFmtId="0" fontId="28083" fillId="7" borderId="1" xfId="0" applyNumberFormat="1" applyFont="1" applyFill="1" applyBorder="1" applyAlignment="1">
      <alignment horizontal="left" vertical="center"/>
    </xf>
    <xf numFmtId="0" fontId="28084" fillId="8" borderId="1" xfId="0" applyNumberFormat="1" applyFont="1" applyFill="1" applyBorder="1" applyAlignment="1">
      <alignment horizontal="center" vertical="center"/>
    </xf>
    <xf numFmtId="164" fontId="28085" fillId="8" borderId="1" xfId="0" applyNumberFormat="1" applyFont="1" applyFill="1" applyBorder="1" applyAlignment="1">
      <alignment horizontal="center" vertical="center"/>
    </xf>
    <xf numFmtId="1" fontId="28086" fillId="8" borderId="1" xfId="0" applyNumberFormat="1" applyFont="1" applyFill="1" applyBorder="1" applyAlignment="1">
      <alignment horizontal="center" vertical="center"/>
    </xf>
    <xf numFmtId="1" fontId="28087" fillId="8" borderId="1" xfId="0" applyNumberFormat="1" applyFont="1" applyFill="1" applyBorder="1" applyAlignment="1">
      <alignment horizontal="center" vertical="center"/>
    </xf>
    <xf numFmtId="1" fontId="28088" fillId="8" borderId="1" xfId="0" applyNumberFormat="1" applyFont="1" applyFill="1" applyBorder="1" applyAlignment="1">
      <alignment horizontal="center" vertical="center"/>
    </xf>
    <xf numFmtId="1" fontId="28089" fillId="8" borderId="1" xfId="0" applyNumberFormat="1" applyFont="1" applyFill="1" applyBorder="1" applyAlignment="1">
      <alignment horizontal="center" vertical="center"/>
    </xf>
    <xf numFmtId="1" fontId="28090" fillId="8" borderId="1" xfId="0" applyNumberFormat="1" applyFont="1" applyFill="1" applyBorder="1" applyAlignment="1">
      <alignment horizontal="center" vertical="center"/>
    </xf>
    <xf numFmtId="1" fontId="28091" fillId="8" borderId="1" xfId="0" applyNumberFormat="1" applyFont="1" applyFill="1" applyBorder="1" applyAlignment="1">
      <alignment horizontal="center" vertical="center"/>
    </xf>
    <xf numFmtId="1" fontId="28092" fillId="8" borderId="1" xfId="0" applyNumberFormat="1" applyFont="1" applyFill="1" applyBorder="1" applyAlignment="1">
      <alignment horizontal="center" vertical="center"/>
    </xf>
    <xf numFmtId="0" fontId="28093" fillId="8" borderId="1" xfId="0" applyNumberFormat="1" applyFont="1" applyFill="1" applyBorder="1" applyAlignment="1">
      <alignment horizontal="center" vertical="center"/>
    </xf>
    <xf numFmtId="0" fontId="28094" fillId="8" borderId="1" xfId="0" applyNumberFormat="1" applyFont="1" applyFill="1" applyBorder="1" applyAlignment="1">
      <alignment horizontal="center" vertical="center"/>
    </xf>
    <xf numFmtId="1" fontId="28095" fillId="8" borderId="1" xfId="0" applyNumberFormat="1" applyFont="1" applyFill="1" applyBorder="1" applyAlignment="1">
      <alignment horizontal="center" vertical="center"/>
    </xf>
    <xf numFmtId="1" fontId="28096" fillId="8" borderId="1" xfId="0" applyNumberFormat="1" applyFont="1" applyFill="1" applyBorder="1" applyAlignment="1">
      <alignment horizontal="center" vertical="center"/>
    </xf>
    <xf numFmtId="1" fontId="28097" fillId="8" borderId="1" xfId="0" applyNumberFormat="1" applyFont="1" applyFill="1" applyBorder="1" applyAlignment="1">
      <alignment horizontal="center" vertical="center"/>
    </xf>
    <xf numFmtId="165" fontId="28098" fillId="8" borderId="1" xfId="0" applyNumberFormat="1" applyFont="1" applyFill="1" applyBorder="1" applyAlignment="1">
      <alignment horizontal="center" vertical="center"/>
    </xf>
    <xf numFmtId="1" fontId="28099" fillId="8" borderId="1" xfId="0" applyNumberFormat="1" applyFont="1" applyFill="1" applyBorder="1" applyAlignment="1">
      <alignment horizontal="center" vertical="center"/>
    </xf>
    <xf numFmtId="165" fontId="28100" fillId="8" borderId="1" xfId="0" applyNumberFormat="1" applyFont="1" applyFill="1" applyBorder="1" applyAlignment="1">
      <alignment horizontal="center" vertical="center"/>
    </xf>
    <xf numFmtId="1" fontId="28101" fillId="8" borderId="1" xfId="0" applyNumberFormat="1" applyFont="1" applyFill="1" applyBorder="1" applyAlignment="1">
      <alignment horizontal="center" vertical="center"/>
    </xf>
    <xf numFmtId="165" fontId="28102" fillId="8" borderId="1" xfId="0" applyNumberFormat="1" applyFont="1" applyFill="1" applyBorder="1" applyAlignment="1">
      <alignment horizontal="center" vertical="center"/>
    </xf>
    <xf numFmtId="1" fontId="28103" fillId="8" borderId="1" xfId="0" applyNumberFormat="1" applyFont="1" applyFill="1" applyBorder="1" applyAlignment="1">
      <alignment horizontal="center" vertical="center"/>
    </xf>
    <xf numFmtId="165" fontId="28104" fillId="8" borderId="1" xfId="0" applyNumberFormat="1" applyFont="1" applyFill="1" applyBorder="1" applyAlignment="1">
      <alignment horizontal="center" vertical="center"/>
    </xf>
    <xf numFmtId="165" fontId="28105" fillId="8" borderId="1" xfId="0" applyNumberFormat="1" applyFont="1" applyFill="1" applyBorder="1" applyAlignment="1">
      <alignment horizontal="center" vertical="center"/>
    </xf>
    <xf numFmtId="1" fontId="28106" fillId="8" borderId="1" xfId="0" applyNumberFormat="1" applyFont="1" applyFill="1" applyBorder="1" applyAlignment="1">
      <alignment horizontal="center" vertical="center"/>
    </xf>
    <xf numFmtId="1" fontId="28107" fillId="8" borderId="1" xfId="0" applyNumberFormat="1" applyFont="1" applyFill="1" applyBorder="1" applyAlignment="1">
      <alignment horizontal="center" vertical="center"/>
    </xf>
    <xf numFmtId="1" fontId="28108" fillId="8" borderId="1" xfId="0" applyNumberFormat="1" applyFont="1" applyFill="1" applyBorder="1" applyAlignment="1">
      <alignment horizontal="center" vertical="center"/>
    </xf>
    <xf numFmtId="165" fontId="28109" fillId="8" borderId="1" xfId="0" applyNumberFormat="1" applyFont="1" applyFill="1" applyBorder="1" applyAlignment="1">
      <alignment horizontal="center" vertical="center"/>
    </xf>
    <xf numFmtId="164" fontId="28110" fillId="8" borderId="1" xfId="0" applyNumberFormat="1" applyFont="1" applyFill="1" applyBorder="1" applyAlignment="1">
      <alignment horizontal="center" vertical="center"/>
    </xf>
    <xf numFmtId="164" fontId="28111" fillId="8" borderId="1" xfId="0" applyNumberFormat="1" applyFont="1" applyFill="1" applyBorder="1" applyAlignment="1">
      <alignment horizontal="center" vertical="center"/>
    </xf>
    <xf numFmtId="1" fontId="28112" fillId="8" borderId="1" xfId="0" applyNumberFormat="1" applyFont="1" applyFill="1" applyBorder="1" applyAlignment="1">
      <alignment horizontal="center" vertical="center"/>
    </xf>
    <xf numFmtId="1" fontId="28113" fillId="8" borderId="1" xfId="0" applyNumberFormat="1" applyFont="1" applyFill="1" applyBorder="1" applyAlignment="1">
      <alignment horizontal="center" vertical="center"/>
    </xf>
    <xf numFmtId="1" fontId="28114" fillId="8" borderId="1" xfId="0" applyNumberFormat="1" applyFont="1" applyFill="1" applyBorder="1" applyAlignment="1">
      <alignment horizontal="center" vertical="center"/>
    </xf>
    <xf numFmtId="165" fontId="28115" fillId="8" borderId="1" xfId="0" applyNumberFormat="1" applyFont="1" applyFill="1" applyBorder="1" applyAlignment="1">
      <alignment horizontal="center" vertical="center"/>
    </xf>
    <xf numFmtId="1" fontId="28116" fillId="8" borderId="1" xfId="0" applyNumberFormat="1" applyFont="1" applyFill="1" applyBorder="1" applyAlignment="1">
      <alignment horizontal="center" vertical="center"/>
    </xf>
    <xf numFmtId="165" fontId="28117" fillId="8" borderId="1" xfId="0" applyNumberFormat="1" applyFont="1" applyFill="1" applyBorder="1" applyAlignment="1">
      <alignment horizontal="center" vertical="center"/>
    </xf>
    <xf numFmtId="1" fontId="28118" fillId="8" borderId="1" xfId="0" applyNumberFormat="1" applyFont="1" applyFill="1" applyBorder="1" applyAlignment="1">
      <alignment horizontal="center" vertical="center"/>
    </xf>
    <xf numFmtId="1" fontId="28119" fillId="8" borderId="1" xfId="0" applyNumberFormat="1" applyFont="1" applyFill="1" applyBorder="1" applyAlignment="1">
      <alignment horizontal="center" vertical="center"/>
    </xf>
    <xf numFmtId="1" fontId="28120" fillId="8" borderId="1" xfId="0" applyNumberFormat="1" applyFont="1" applyFill="1" applyBorder="1" applyAlignment="1">
      <alignment horizontal="center" vertical="center"/>
    </xf>
    <xf numFmtId="1" fontId="28121" fillId="8" borderId="1" xfId="0" applyNumberFormat="1" applyFont="1" applyFill="1" applyBorder="1" applyAlignment="1">
      <alignment horizontal="center" vertical="center"/>
    </xf>
    <xf numFmtId="165" fontId="28122" fillId="8" borderId="1" xfId="0" applyNumberFormat="1" applyFont="1" applyFill="1" applyBorder="1" applyAlignment="1">
      <alignment horizontal="center" vertical="center"/>
    </xf>
    <xf numFmtId="1" fontId="28123" fillId="8" borderId="1" xfId="0" applyNumberFormat="1" applyFont="1" applyFill="1" applyBorder="1" applyAlignment="1">
      <alignment horizontal="center" vertical="center"/>
    </xf>
    <xf numFmtId="165" fontId="28124" fillId="8" borderId="1" xfId="0" applyNumberFormat="1" applyFont="1" applyFill="1" applyBorder="1" applyAlignment="1">
      <alignment horizontal="center" vertical="center"/>
    </xf>
    <xf numFmtId="1" fontId="28125" fillId="8" borderId="1" xfId="0" applyNumberFormat="1" applyFont="1" applyFill="1" applyBorder="1" applyAlignment="1">
      <alignment horizontal="center" vertical="center"/>
    </xf>
    <xf numFmtId="165" fontId="28126" fillId="8" borderId="1" xfId="0" applyNumberFormat="1" applyFont="1" applyFill="1" applyBorder="1" applyAlignment="1">
      <alignment horizontal="center" vertical="center"/>
    </xf>
    <xf numFmtId="2" fontId="28127" fillId="8" borderId="1" xfId="0" applyNumberFormat="1" applyFont="1" applyFill="1" applyBorder="1" applyAlignment="1">
      <alignment horizontal="center" vertical="center"/>
    </xf>
    <xf numFmtId="2" fontId="28128" fillId="8" borderId="1" xfId="0" applyNumberFormat="1" applyFont="1" applyFill="1" applyBorder="1" applyAlignment="1">
      <alignment horizontal="center" vertical="center"/>
    </xf>
    <xf numFmtId="2" fontId="28129" fillId="8" borderId="1" xfId="0" applyNumberFormat="1" applyFont="1" applyFill="1" applyBorder="1" applyAlignment="1">
      <alignment horizontal="center" vertical="center"/>
    </xf>
    <xf numFmtId="2" fontId="28130" fillId="8" borderId="1" xfId="0" applyNumberFormat="1" applyFont="1" applyFill="1" applyBorder="1" applyAlignment="1">
      <alignment horizontal="center" vertical="center"/>
    </xf>
    <xf numFmtId="2" fontId="28131" fillId="8" borderId="1" xfId="0" applyNumberFormat="1" applyFont="1" applyFill="1" applyBorder="1" applyAlignment="1">
      <alignment horizontal="center" vertical="center"/>
    </xf>
    <xf numFmtId="2" fontId="28132" fillId="8" borderId="1" xfId="0" applyNumberFormat="1" applyFont="1" applyFill="1" applyBorder="1" applyAlignment="1">
      <alignment horizontal="center" vertical="center"/>
    </xf>
    <xf numFmtId="2" fontId="28133" fillId="8" borderId="1" xfId="0" applyNumberFormat="1" applyFont="1" applyFill="1" applyBorder="1" applyAlignment="1">
      <alignment horizontal="center" vertical="center"/>
    </xf>
    <xf numFmtId="2" fontId="28134" fillId="8" borderId="1" xfId="0" applyNumberFormat="1" applyFont="1" applyFill="1" applyBorder="1" applyAlignment="1">
      <alignment horizontal="center" vertical="center"/>
    </xf>
    <xf numFmtId="2" fontId="28135" fillId="8" borderId="1" xfId="0" applyNumberFormat="1" applyFont="1" applyFill="1" applyBorder="1" applyAlignment="1">
      <alignment horizontal="center" vertical="center"/>
    </xf>
    <xf numFmtId="2" fontId="28136" fillId="8" borderId="1" xfId="0" applyNumberFormat="1" applyFont="1" applyFill="1" applyBorder="1" applyAlignment="1">
      <alignment horizontal="center" vertical="center"/>
    </xf>
    <xf numFmtId="2" fontId="28137" fillId="8" borderId="1" xfId="0" applyNumberFormat="1" applyFont="1" applyFill="1" applyBorder="1" applyAlignment="1">
      <alignment horizontal="center" vertical="center"/>
    </xf>
    <xf numFmtId="2" fontId="28138" fillId="8" borderId="1" xfId="0" applyNumberFormat="1" applyFont="1" applyFill="1" applyBorder="1" applyAlignment="1">
      <alignment horizontal="center" vertical="center"/>
    </xf>
    <xf numFmtId="2" fontId="28139" fillId="8" borderId="1" xfId="0" applyNumberFormat="1" applyFont="1" applyFill="1" applyBorder="1" applyAlignment="1">
      <alignment horizontal="center" vertical="center"/>
    </xf>
    <xf numFmtId="2" fontId="28140" fillId="8" borderId="1" xfId="0" applyNumberFormat="1" applyFont="1" applyFill="1" applyBorder="1" applyAlignment="1">
      <alignment horizontal="center" vertical="center"/>
    </xf>
    <xf numFmtId="2" fontId="28141" fillId="8" borderId="1" xfId="0" applyNumberFormat="1" applyFont="1" applyFill="1" applyBorder="1" applyAlignment="1">
      <alignment horizontal="center" vertical="center"/>
    </xf>
    <xf numFmtId="2" fontId="28142" fillId="8" borderId="1" xfId="0" applyNumberFormat="1" applyFont="1" applyFill="1" applyBorder="1" applyAlignment="1">
      <alignment horizontal="center" vertical="center"/>
    </xf>
    <xf numFmtId="2" fontId="28143" fillId="8" borderId="1" xfId="0" applyNumberFormat="1" applyFont="1" applyFill="1" applyBorder="1" applyAlignment="1">
      <alignment horizontal="center" vertical="center"/>
    </xf>
    <xf numFmtId="2" fontId="28144" fillId="8" borderId="1" xfId="0" applyNumberFormat="1" applyFont="1" applyFill="1" applyBorder="1" applyAlignment="1">
      <alignment horizontal="center" vertical="center"/>
    </xf>
    <xf numFmtId="2" fontId="28145" fillId="8" borderId="1" xfId="0" applyNumberFormat="1" applyFont="1" applyFill="1" applyBorder="1" applyAlignment="1">
      <alignment horizontal="center" vertical="center"/>
    </xf>
    <xf numFmtId="2" fontId="28146" fillId="8" borderId="1" xfId="0" applyNumberFormat="1" applyFont="1" applyFill="1" applyBorder="1" applyAlignment="1">
      <alignment horizontal="center" vertical="center"/>
    </xf>
    <xf numFmtId="2" fontId="28147" fillId="8" borderId="1" xfId="0" applyNumberFormat="1" applyFont="1" applyFill="1" applyBorder="1" applyAlignment="1">
      <alignment horizontal="center" vertical="center"/>
    </xf>
    <xf numFmtId="2" fontId="28148" fillId="8" borderId="1" xfId="0" applyNumberFormat="1" applyFont="1" applyFill="1" applyBorder="1" applyAlignment="1">
      <alignment horizontal="center" vertical="center"/>
    </xf>
    <xf numFmtId="2" fontId="28149" fillId="8" borderId="1" xfId="0" applyNumberFormat="1" applyFont="1" applyFill="1" applyBorder="1" applyAlignment="1">
      <alignment horizontal="center" vertical="center"/>
    </xf>
    <xf numFmtId="2" fontId="28150" fillId="8" borderId="1" xfId="0" applyNumberFormat="1" applyFont="1" applyFill="1" applyBorder="1" applyAlignment="1">
      <alignment horizontal="center" vertical="center"/>
    </xf>
    <xf numFmtId="2" fontId="28151" fillId="8" borderId="1" xfId="0" applyNumberFormat="1" applyFont="1" applyFill="1" applyBorder="1" applyAlignment="1">
      <alignment horizontal="center" vertical="center"/>
    </xf>
    <xf numFmtId="2" fontId="28152" fillId="8" borderId="1" xfId="0" applyNumberFormat="1" applyFont="1" applyFill="1" applyBorder="1" applyAlignment="1">
      <alignment horizontal="center" vertical="center"/>
    </xf>
    <xf numFmtId="2" fontId="28153" fillId="8" borderId="1" xfId="0" applyNumberFormat="1" applyFont="1" applyFill="1" applyBorder="1" applyAlignment="1">
      <alignment horizontal="center" vertical="center"/>
    </xf>
    <xf numFmtId="2" fontId="28154" fillId="8" borderId="1" xfId="0" applyNumberFormat="1" applyFont="1" applyFill="1" applyBorder="1" applyAlignment="1">
      <alignment horizontal="center" vertical="center"/>
    </xf>
    <xf numFmtId="2" fontId="28155" fillId="8" borderId="1" xfId="0" applyNumberFormat="1" applyFont="1" applyFill="1" applyBorder="1" applyAlignment="1">
      <alignment horizontal="center" vertical="center"/>
    </xf>
    <xf numFmtId="2" fontId="28156" fillId="8" borderId="1" xfId="0" applyNumberFormat="1" applyFont="1" applyFill="1" applyBorder="1" applyAlignment="1">
      <alignment horizontal="center" vertical="center"/>
    </xf>
    <xf numFmtId="2" fontId="28157" fillId="8" borderId="1" xfId="0" applyNumberFormat="1" applyFont="1" applyFill="1" applyBorder="1" applyAlignment="1">
      <alignment horizontal="center" vertical="center"/>
    </xf>
    <xf numFmtId="2" fontId="28158" fillId="8" borderId="1" xfId="0" applyNumberFormat="1" applyFont="1" applyFill="1" applyBorder="1" applyAlignment="1">
      <alignment horizontal="center" vertical="center"/>
    </xf>
    <xf numFmtId="2" fontId="28159" fillId="8" borderId="1" xfId="0" applyNumberFormat="1" applyFont="1" applyFill="1" applyBorder="1" applyAlignment="1">
      <alignment horizontal="center" vertical="center"/>
    </xf>
    <xf numFmtId="2" fontId="28160" fillId="8" borderId="1" xfId="0" applyNumberFormat="1" applyFont="1" applyFill="1" applyBorder="1" applyAlignment="1">
      <alignment horizontal="center" vertical="center"/>
    </xf>
    <xf numFmtId="0" fontId="28161" fillId="7" borderId="1" xfId="0" applyNumberFormat="1" applyFont="1" applyFill="1" applyBorder="1" applyAlignment="1">
      <alignment horizontal="left" vertical="center"/>
    </xf>
    <xf numFmtId="0" fontId="28162" fillId="8" borderId="1" xfId="0" applyNumberFormat="1" applyFont="1" applyFill="1" applyBorder="1" applyAlignment="1">
      <alignment horizontal="center" vertical="center"/>
    </xf>
    <xf numFmtId="164" fontId="28163" fillId="8" borderId="1" xfId="0" applyNumberFormat="1" applyFont="1" applyFill="1" applyBorder="1" applyAlignment="1">
      <alignment horizontal="center" vertical="center"/>
    </xf>
    <xf numFmtId="1" fontId="28164" fillId="8" borderId="1" xfId="0" applyNumberFormat="1" applyFont="1" applyFill="1" applyBorder="1" applyAlignment="1">
      <alignment horizontal="center" vertical="center"/>
    </xf>
    <xf numFmtId="1" fontId="28165" fillId="8" borderId="1" xfId="0" applyNumberFormat="1" applyFont="1" applyFill="1" applyBorder="1" applyAlignment="1">
      <alignment horizontal="center" vertical="center"/>
    </xf>
    <xf numFmtId="1" fontId="28166" fillId="8" borderId="1" xfId="0" applyNumberFormat="1" applyFont="1" applyFill="1" applyBorder="1" applyAlignment="1">
      <alignment horizontal="center" vertical="center"/>
    </xf>
    <xf numFmtId="1" fontId="28167" fillId="8" borderId="1" xfId="0" applyNumberFormat="1" applyFont="1" applyFill="1" applyBorder="1" applyAlignment="1">
      <alignment horizontal="center" vertical="center"/>
    </xf>
    <xf numFmtId="1" fontId="28168" fillId="8" borderId="1" xfId="0" applyNumberFormat="1" applyFont="1" applyFill="1" applyBorder="1" applyAlignment="1">
      <alignment horizontal="center" vertical="center"/>
    </xf>
    <xf numFmtId="1" fontId="28169" fillId="8" borderId="1" xfId="0" applyNumberFormat="1" applyFont="1" applyFill="1" applyBorder="1" applyAlignment="1">
      <alignment horizontal="center" vertical="center"/>
    </xf>
    <xf numFmtId="1" fontId="28170" fillId="8" borderId="1" xfId="0" applyNumberFormat="1" applyFont="1" applyFill="1" applyBorder="1" applyAlignment="1">
      <alignment horizontal="center" vertical="center"/>
    </xf>
    <xf numFmtId="0" fontId="28171" fillId="8" borderId="1" xfId="0" applyNumberFormat="1" applyFont="1" applyFill="1" applyBorder="1" applyAlignment="1">
      <alignment horizontal="center" vertical="center"/>
    </xf>
    <xf numFmtId="0" fontId="28172" fillId="8" borderId="1" xfId="0" applyNumberFormat="1" applyFont="1" applyFill="1" applyBorder="1" applyAlignment="1">
      <alignment horizontal="center" vertical="center"/>
    </xf>
    <xf numFmtId="1" fontId="28173" fillId="8" borderId="1" xfId="0" applyNumberFormat="1" applyFont="1" applyFill="1" applyBorder="1" applyAlignment="1">
      <alignment horizontal="center" vertical="center"/>
    </xf>
    <xf numFmtId="1" fontId="28174" fillId="8" borderId="1" xfId="0" applyNumberFormat="1" applyFont="1" applyFill="1" applyBorder="1" applyAlignment="1">
      <alignment horizontal="center" vertical="center"/>
    </xf>
    <xf numFmtId="1" fontId="28175" fillId="8" borderId="1" xfId="0" applyNumberFormat="1" applyFont="1" applyFill="1" applyBorder="1" applyAlignment="1">
      <alignment horizontal="center" vertical="center"/>
    </xf>
    <xf numFmtId="165" fontId="28176" fillId="8" borderId="1" xfId="0" applyNumberFormat="1" applyFont="1" applyFill="1" applyBorder="1" applyAlignment="1">
      <alignment horizontal="center" vertical="center"/>
    </xf>
    <xf numFmtId="1" fontId="28177" fillId="8" borderId="1" xfId="0" applyNumberFormat="1" applyFont="1" applyFill="1" applyBorder="1" applyAlignment="1">
      <alignment horizontal="center" vertical="center"/>
    </xf>
    <xf numFmtId="165" fontId="28178" fillId="8" borderId="1" xfId="0" applyNumberFormat="1" applyFont="1" applyFill="1" applyBorder="1" applyAlignment="1">
      <alignment horizontal="center" vertical="center"/>
    </xf>
    <xf numFmtId="1" fontId="28179" fillId="8" borderId="1" xfId="0" applyNumberFormat="1" applyFont="1" applyFill="1" applyBorder="1" applyAlignment="1">
      <alignment horizontal="center" vertical="center"/>
    </xf>
    <xf numFmtId="165" fontId="28180" fillId="8" borderId="1" xfId="0" applyNumberFormat="1" applyFont="1" applyFill="1" applyBorder="1" applyAlignment="1">
      <alignment horizontal="center" vertical="center"/>
    </xf>
    <xf numFmtId="1" fontId="28181" fillId="8" borderId="1" xfId="0" applyNumberFormat="1" applyFont="1" applyFill="1" applyBorder="1" applyAlignment="1">
      <alignment horizontal="center" vertical="center"/>
    </xf>
    <xf numFmtId="165" fontId="28182" fillId="8" borderId="1" xfId="0" applyNumberFormat="1" applyFont="1" applyFill="1" applyBorder="1" applyAlignment="1">
      <alignment horizontal="center" vertical="center"/>
    </xf>
    <xf numFmtId="165" fontId="28183" fillId="8" borderId="1" xfId="0" applyNumberFormat="1" applyFont="1" applyFill="1" applyBorder="1" applyAlignment="1">
      <alignment horizontal="center" vertical="center"/>
    </xf>
    <xf numFmtId="1" fontId="28184" fillId="8" borderId="1" xfId="0" applyNumberFormat="1" applyFont="1" applyFill="1" applyBorder="1" applyAlignment="1">
      <alignment horizontal="center" vertical="center"/>
    </xf>
    <xf numFmtId="1" fontId="28185" fillId="8" borderId="1" xfId="0" applyNumberFormat="1" applyFont="1" applyFill="1" applyBorder="1" applyAlignment="1">
      <alignment horizontal="center" vertical="center"/>
    </xf>
    <xf numFmtId="1" fontId="28186" fillId="8" borderId="1" xfId="0" applyNumberFormat="1" applyFont="1" applyFill="1" applyBorder="1" applyAlignment="1">
      <alignment horizontal="center" vertical="center"/>
    </xf>
    <xf numFmtId="165" fontId="28187" fillId="8" borderId="1" xfId="0" applyNumberFormat="1" applyFont="1" applyFill="1" applyBorder="1" applyAlignment="1">
      <alignment horizontal="center" vertical="center"/>
    </xf>
    <xf numFmtId="164" fontId="28188" fillId="8" borderId="1" xfId="0" applyNumberFormat="1" applyFont="1" applyFill="1" applyBorder="1" applyAlignment="1">
      <alignment horizontal="center" vertical="center"/>
    </xf>
    <xf numFmtId="164" fontId="28189" fillId="8" borderId="1" xfId="0" applyNumberFormat="1" applyFont="1" applyFill="1" applyBorder="1" applyAlignment="1">
      <alignment horizontal="center" vertical="center"/>
    </xf>
    <xf numFmtId="1" fontId="28190" fillId="8" borderId="1" xfId="0" applyNumberFormat="1" applyFont="1" applyFill="1" applyBorder="1" applyAlignment="1">
      <alignment horizontal="center" vertical="center"/>
    </xf>
    <xf numFmtId="1" fontId="28191" fillId="8" borderId="1" xfId="0" applyNumberFormat="1" applyFont="1" applyFill="1" applyBorder="1" applyAlignment="1">
      <alignment horizontal="center" vertical="center"/>
    </xf>
    <xf numFmtId="1" fontId="28192" fillId="8" borderId="1" xfId="0" applyNumberFormat="1" applyFont="1" applyFill="1" applyBorder="1" applyAlignment="1">
      <alignment horizontal="center" vertical="center"/>
    </xf>
    <xf numFmtId="165" fontId="28193" fillId="8" borderId="1" xfId="0" applyNumberFormat="1" applyFont="1" applyFill="1" applyBorder="1" applyAlignment="1">
      <alignment horizontal="center" vertical="center"/>
    </xf>
    <xf numFmtId="1" fontId="28194" fillId="8" borderId="1" xfId="0" applyNumberFormat="1" applyFont="1" applyFill="1" applyBorder="1" applyAlignment="1">
      <alignment horizontal="center" vertical="center"/>
    </xf>
    <xf numFmtId="165" fontId="28195" fillId="8" borderId="1" xfId="0" applyNumberFormat="1" applyFont="1" applyFill="1" applyBorder="1" applyAlignment="1">
      <alignment horizontal="center" vertical="center"/>
    </xf>
    <xf numFmtId="1" fontId="28196" fillId="8" borderId="1" xfId="0" applyNumberFormat="1" applyFont="1" applyFill="1" applyBorder="1" applyAlignment="1">
      <alignment horizontal="center" vertical="center"/>
    </xf>
    <xf numFmtId="1" fontId="28197" fillId="8" borderId="1" xfId="0" applyNumberFormat="1" applyFont="1" applyFill="1" applyBorder="1" applyAlignment="1">
      <alignment horizontal="center" vertical="center"/>
    </xf>
    <xf numFmtId="1" fontId="28198" fillId="8" borderId="1" xfId="0" applyNumberFormat="1" applyFont="1" applyFill="1" applyBorder="1" applyAlignment="1">
      <alignment horizontal="center" vertical="center"/>
    </xf>
    <xf numFmtId="1" fontId="28199" fillId="8" borderId="1" xfId="0" applyNumberFormat="1" applyFont="1" applyFill="1" applyBorder="1" applyAlignment="1">
      <alignment horizontal="center" vertical="center"/>
    </xf>
    <xf numFmtId="165" fontId="28200" fillId="8" borderId="1" xfId="0" applyNumberFormat="1" applyFont="1" applyFill="1" applyBorder="1" applyAlignment="1">
      <alignment horizontal="center" vertical="center"/>
    </xf>
    <xf numFmtId="1" fontId="28201" fillId="8" borderId="1" xfId="0" applyNumberFormat="1" applyFont="1" applyFill="1" applyBorder="1" applyAlignment="1">
      <alignment horizontal="center" vertical="center"/>
    </xf>
    <xf numFmtId="165" fontId="28202" fillId="8" borderId="1" xfId="0" applyNumberFormat="1" applyFont="1" applyFill="1" applyBorder="1" applyAlignment="1">
      <alignment horizontal="center" vertical="center"/>
    </xf>
    <xf numFmtId="1" fontId="28203" fillId="8" borderId="1" xfId="0" applyNumberFormat="1" applyFont="1" applyFill="1" applyBorder="1" applyAlignment="1">
      <alignment horizontal="center" vertical="center"/>
    </xf>
    <xf numFmtId="165" fontId="28204" fillId="8" borderId="1" xfId="0" applyNumberFormat="1" applyFont="1" applyFill="1" applyBorder="1" applyAlignment="1">
      <alignment horizontal="center" vertical="center"/>
    </xf>
    <xf numFmtId="2" fontId="28205" fillId="8" borderId="1" xfId="0" applyNumberFormat="1" applyFont="1" applyFill="1" applyBorder="1" applyAlignment="1">
      <alignment horizontal="center" vertical="center"/>
    </xf>
    <xf numFmtId="2" fontId="28206" fillId="8" borderId="1" xfId="0" applyNumberFormat="1" applyFont="1" applyFill="1" applyBorder="1" applyAlignment="1">
      <alignment horizontal="center" vertical="center"/>
    </xf>
    <xf numFmtId="2" fontId="28207" fillId="8" borderId="1" xfId="0" applyNumberFormat="1" applyFont="1" applyFill="1" applyBorder="1" applyAlignment="1">
      <alignment horizontal="center" vertical="center"/>
    </xf>
    <xf numFmtId="2" fontId="28208" fillId="8" borderId="1" xfId="0" applyNumberFormat="1" applyFont="1" applyFill="1" applyBorder="1" applyAlignment="1">
      <alignment horizontal="center" vertical="center"/>
    </xf>
    <xf numFmtId="2" fontId="28209" fillId="8" borderId="1" xfId="0" applyNumberFormat="1" applyFont="1" applyFill="1" applyBorder="1" applyAlignment="1">
      <alignment horizontal="center" vertical="center"/>
    </xf>
    <xf numFmtId="2" fontId="28210" fillId="8" borderId="1" xfId="0" applyNumberFormat="1" applyFont="1" applyFill="1" applyBorder="1" applyAlignment="1">
      <alignment horizontal="center" vertical="center"/>
    </xf>
    <xf numFmtId="2" fontId="28211" fillId="8" borderId="1" xfId="0" applyNumberFormat="1" applyFont="1" applyFill="1" applyBorder="1" applyAlignment="1">
      <alignment horizontal="center" vertical="center"/>
    </xf>
    <xf numFmtId="2" fontId="28212" fillId="8" borderId="1" xfId="0" applyNumberFormat="1" applyFont="1" applyFill="1" applyBorder="1" applyAlignment="1">
      <alignment horizontal="center" vertical="center"/>
    </xf>
    <xf numFmtId="2" fontId="28213" fillId="8" borderId="1" xfId="0" applyNumberFormat="1" applyFont="1" applyFill="1" applyBorder="1" applyAlignment="1">
      <alignment horizontal="center" vertical="center"/>
    </xf>
    <xf numFmtId="2" fontId="28214" fillId="8" borderId="1" xfId="0" applyNumberFormat="1" applyFont="1" applyFill="1" applyBorder="1" applyAlignment="1">
      <alignment horizontal="center" vertical="center"/>
    </xf>
    <xf numFmtId="2" fontId="28215" fillId="8" borderId="1" xfId="0" applyNumberFormat="1" applyFont="1" applyFill="1" applyBorder="1" applyAlignment="1">
      <alignment horizontal="center" vertical="center"/>
    </xf>
    <xf numFmtId="2" fontId="28216" fillId="8" borderId="1" xfId="0" applyNumberFormat="1" applyFont="1" applyFill="1" applyBorder="1" applyAlignment="1">
      <alignment horizontal="center" vertical="center"/>
    </xf>
    <xf numFmtId="2" fontId="28217" fillId="8" borderId="1" xfId="0" applyNumberFormat="1" applyFont="1" applyFill="1" applyBorder="1" applyAlignment="1">
      <alignment horizontal="center" vertical="center"/>
    </xf>
    <xf numFmtId="2" fontId="28218" fillId="8" borderId="1" xfId="0" applyNumberFormat="1" applyFont="1" applyFill="1" applyBorder="1" applyAlignment="1">
      <alignment horizontal="center" vertical="center"/>
    </xf>
    <xf numFmtId="2" fontId="28219" fillId="8" borderId="1" xfId="0" applyNumberFormat="1" applyFont="1" applyFill="1" applyBorder="1" applyAlignment="1">
      <alignment horizontal="center" vertical="center"/>
    </xf>
    <xf numFmtId="2" fontId="28220" fillId="8" borderId="1" xfId="0" applyNumberFormat="1" applyFont="1" applyFill="1" applyBorder="1" applyAlignment="1">
      <alignment horizontal="center" vertical="center"/>
    </xf>
    <xf numFmtId="2" fontId="28221" fillId="8" borderId="1" xfId="0" applyNumberFormat="1" applyFont="1" applyFill="1" applyBorder="1" applyAlignment="1">
      <alignment horizontal="center" vertical="center"/>
    </xf>
    <xf numFmtId="2" fontId="28222" fillId="8" borderId="1" xfId="0" applyNumberFormat="1" applyFont="1" applyFill="1" applyBorder="1" applyAlignment="1">
      <alignment horizontal="center" vertical="center"/>
    </xf>
    <xf numFmtId="2" fontId="28223" fillId="8" borderId="1" xfId="0" applyNumberFormat="1" applyFont="1" applyFill="1" applyBorder="1" applyAlignment="1">
      <alignment horizontal="center" vertical="center"/>
    </xf>
    <xf numFmtId="2" fontId="28224" fillId="8" borderId="1" xfId="0" applyNumberFormat="1" applyFont="1" applyFill="1" applyBorder="1" applyAlignment="1">
      <alignment horizontal="center" vertical="center"/>
    </xf>
    <xf numFmtId="2" fontId="28225" fillId="8" borderId="1" xfId="0" applyNumberFormat="1" applyFont="1" applyFill="1" applyBorder="1" applyAlignment="1">
      <alignment horizontal="center" vertical="center"/>
    </xf>
    <xf numFmtId="2" fontId="28226" fillId="8" borderId="1" xfId="0" applyNumberFormat="1" applyFont="1" applyFill="1" applyBorder="1" applyAlignment="1">
      <alignment horizontal="center" vertical="center"/>
    </xf>
    <xf numFmtId="2" fontId="28227" fillId="8" borderId="1" xfId="0" applyNumberFormat="1" applyFont="1" applyFill="1" applyBorder="1" applyAlignment="1">
      <alignment horizontal="center" vertical="center"/>
    </xf>
    <xf numFmtId="2" fontId="28228" fillId="8" borderId="1" xfId="0" applyNumberFormat="1" applyFont="1" applyFill="1" applyBorder="1" applyAlignment="1">
      <alignment horizontal="center" vertical="center"/>
    </xf>
    <xf numFmtId="2" fontId="28229" fillId="8" borderId="1" xfId="0" applyNumberFormat="1" applyFont="1" applyFill="1" applyBorder="1" applyAlignment="1">
      <alignment horizontal="center" vertical="center"/>
    </xf>
    <xf numFmtId="2" fontId="28230" fillId="8" borderId="1" xfId="0" applyNumberFormat="1" applyFont="1" applyFill="1" applyBorder="1" applyAlignment="1">
      <alignment horizontal="center" vertical="center"/>
    </xf>
    <xf numFmtId="2" fontId="28231" fillId="8" borderId="1" xfId="0" applyNumberFormat="1" applyFont="1" applyFill="1" applyBorder="1" applyAlignment="1">
      <alignment horizontal="center" vertical="center"/>
    </xf>
    <xf numFmtId="2" fontId="28232" fillId="8" borderId="1" xfId="0" applyNumberFormat="1" applyFont="1" applyFill="1" applyBorder="1" applyAlignment="1">
      <alignment horizontal="center" vertical="center"/>
    </xf>
    <xf numFmtId="2" fontId="28233" fillId="8" borderId="1" xfId="0" applyNumberFormat="1" applyFont="1" applyFill="1" applyBorder="1" applyAlignment="1">
      <alignment horizontal="center" vertical="center"/>
    </xf>
    <xf numFmtId="2" fontId="28234" fillId="8" borderId="1" xfId="0" applyNumberFormat="1" applyFont="1" applyFill="1" applyBorder="1" applyAlignment="1">
      <alignment horizontal="center" vertical="center"/>
    </xf>
    <xf numFmtId="2" fontId="28235" fillId="8" borderId="1" xfId="0" applyNumberFormat="1" applyFont="1" applyFill="1" applyBorder="1" applyAlignment="1">
      <alignment horizontal="center" vertical="center"/>
    </xf>
    <xf numFmtId="2" fontId="28236" fillId="8" borderId="1" xfId="0" applyNumberFormat="1" applyFont="1" applyFill="1" applyBorder="1" applyAlignment="1">
      <alignment horizontal="center" vertical="center"/>
    </xf>
    <xf numFmtId="2" fontId="28237" fillId="8" borderId="1" xfId="0" applyNumberFormat="1" applyFont="1" applyFill="1" applyBorder="1" applyAlignment="1">
      <alignment horizontal="center" vertical="center"/>
    </xf>
    <xf numFmtId="2" fontId="28238" fillId="8" borderId="1" xfId="0" applyNumberFormat="1" applyFont="1" applyFill="1" applyBorder="1" applyAlignment="1">
      <alignment horizontal="center" vertical="center"/>
    </xf>
    <xf numFmtId="0" fontId="28239" fillId="7" borderId="1" xfId="0" applyNumberFormat="1" applyFont="1" applyFill="1" applyBorder="1" applyAlignment="1">
      <alignment horizontal="left" vertical="center"/>
    </xf>
    <xf numFmtId="0" fontId="28240" fillId="8" borderId="1" xfId="0" applyNumberFormat="1" applyFont="1" applyFill="1" applyBorder="1" applyAlignment="1">
      <alignment horizontal="center" vertical="center"/>
    </xf>
    <xf numFmtId="164" fontId="28241" fillId="8" borderId="1" xfId="0" applyNumberFormat="1" applyFont="1" applyFill="1" applyBorder="1" applyAlignment="1">
      <alignment horizontal="center" vertical="center"/>
    </xf>
    <xf numFmtId="1" fontId="28242" fillId="8" borderId="1" xfId="0" applyNumberFormat="1" applyFont="1" applyFill="1" applyBorder="1" applyAlignment="1">
      <alignment horizontal="center" vertical="center"/>
    </xf>
    <xf numFmtId="1" fontId="28243" fillId="8" borderId="1" xfId="0" applyNumberFormat="1" applyFont="1" applyFill="1" applyBorder="1" applyAlignment="1">
      <alignment horizontal="center" vertical="center"/>
    </xf>
    <xf numFmtId="1" fontId="28244" fillId="8" borderId="1" xfId="0" applyNumberFormat="1" applyFont="1" applyFill="1" applyBorder="1" applyAlignment="1">
      <alignment horizontal="center" vertical="center"/>
    </xf>
    <xf numFmtId="1" fontId="28245" fillId="8" borderId="1" xfId="0" applyNumberFormat="1" applyFont="1" applyFill="1" applyBorder="1" applyAlignment="1">
      <alignment horizontal="center" vertical="center"/>
    </xf>
    <xf numFmtId="1" fontId="28246" fillId="8" borderId="1" xfId="0" applyNumberFormat="1" applyFont="1" applyFill="1" applyBorder="1" applyAlignment="1">
      <alignment horizontal="center" vertical="center"/>
    </xf>
    <xf numFmtId="1" fontId="28247" fillId="8" borderId="1" xfId="0" applyNumberFormat="1" applyFont="1" applyFill="1" applyBorder="1" applyAlignment="1">
      <alignment horizontal="center" vertical="center"/>
    </xf>
    <xf numFmtId="1" fontId="28248" fillId="8" borderId="1" xfId="0" applyNumberFormat="1" applyFont="1" applyFill="1" applyBorder="1" applyAlignment="1">
      <alignment horizontal="center" vertical="center"/>
    </xf>
    <xf numFmtId="0" fontId="28249" fillId="8" borderId="1" xfId="0" applyNumberFormat="1" applyFont="1" applyFill="1" applyBorder="1" applyAlignment="1">
      <alignment horizontal="center" vertical="center"/>
    </xf>
    <xf numFmtId="0" fontId="28250" fillId="8" borderId="1" xfId="0" applyNumberFormat="1" applyFont="1" applyFill="1" applyBorder="1" applyAlignment="1">
      <alignment horizontal="center" vertical="center"/>
    </xf>
    <xf numFmtId="1" fontId="28251" fillId="8" borderId="1" xfId="0" applyNumberFormat="1" applyFont="1" applyFill="1" applyBorder="1" applyAlignment="1">
      <alignment horizontal="center" vertical="center"/>
    </xf>
    <xf numFmtId="1" fontId="28252" fillId="8" borderId="1" xfId="0" applyNumberFormat="1" applyFont="1" applyFill="1" applyBorder="1" applyAlignment="1">
      <alignment horizontal="center" vertical="center"/>
    </xf>
    <xf numFmtId="1" fontId="28253" fillId="8" borderId="1" xfId="0" applyNumberFormat="1" applyFont="1" applyFill="1" applyBorder="1" applyAlignment="1">
      <alignment horizontal="center" vertical="center"/>
    </xf>
    <xf numFmtId="165" fontId="28254" fillId="8" borderId="1" xfId="0" applyNumberFormat="1" applyFont="1" applyFill="1" applyBorder="1" applyAlignment="1">
      <alignment horizontal="center" vertical="center"/>
    </xf>
    <xf numFmtId="1" fontId="28255" fillId="8" borderId="1" xfId="0" applyNumberFormat="1" applyFont="1" applyFill="1" applyBorder="1" applyAlignment="1">
      <alignment horizontal="center" vertical="center"/>
    </xf>
    <xf numFmtId="165" fontId="28256" fillId="8" borderId="1" xfId="0" applyNumberFormat="1" applyFont="1" applyFill="1" applyBorder="1" applyAlignment="1">
      <alignment horizontal="center" vertical="center"/>
    </xf>
    <xf numFmtId="1" fontId="28257" fillId="8" borderId="1" xfId="0" applyNumberFormat="1" applyFont="1" applyFill="1" applyBorder="1" applyAlignment="1">
      <alignment horizontal="center" vertical="center"/>
    </xf>
    <xf numFmtId="165" fontId="28258" fillId="8" borderId="1" xfId="0" applyNumberFormat="1" applyFont="1" applyFill="1" applyBorder="1" applyAlignment="1">
      <alignment horizontal="center" vertical="center"/>
    </xf>
    <xf numFmtId="1" fontId="28259" fillId="8" borderId="1" xfId="0" applyNumberFormat="1" applyFont="1" applyFill="1" applyBorder="1" applyAlignment="1">
      <alignment horizontal="center" vertical="center"/>
    </xf>
    <xf numFmtId="165" fontId="28260" fillId="8" borderId="1" xfId="0" applyNumberFormat="1" applyFont="1" applyFill="1" applyBorder="1" applyAlignment="1">
      <alignment horizontal="center" vertical="center"/>
    </xf>
    <xf numFmtId="165" fontId="28261" fillId="8" borderId="1" xfId="0" applyNumberFormat="1" applyFont="1" applyFill="1" applyBorder="1" applyAlignment="1">
      <alignment horizontal="center" vertical="center"/>
    </xf>
    <xf numFmtId="1" fontId="28262" fillId="8" borderId="1" xfId="0" applyNumberFormat="1" applyFont="1" applyFill="1" applyBorder="1" applyAlignment="1">
      <alignment horizontal="center" vertical="center"/>
    </xf>
    <xf numFmtId="1" fontId="28263" fillId="8" borderId="1" xfId="0" applyNumberFormat="1" applyFont="1" applyFill="1" applyBorder="1" applyAlignment="1">
      <alignment horizontal="center" vertical="center"/>
    </xf>
    <xf numFmtId="1" fontId="28264" fillId="8" borderId="1" xfId="0" applyNumberFormat="1" applyFont="1" applyFill="1" applyBorder="1" applyAlignment="1">
      <alignment horizontal="center" vertical="center"/>
    </xf>
    <xf numFmtId="165" fontId="28265" fillId="8" borderId="1" xfId="0" applyNumberFormat="1" applyFont="1" applyFill="1" applyBorder="1" applyAlignment="1">
      <alignment horizontal="center" vertical="center"/>
    </xf>
    <xf numFmtId="164" fontId="28266" fillId="8" borderId="1" xfId="0" applyNumberFormat="1" applyFont="1" applyFill="1" applyBorder="1" applyAlignment="1">
      <alignment horizontal="center" vertical="center"/>
    </xf>
    <xf numFmtId="164" fontId="28267" fillId="8" borderId="1" xfId="0" applyNumberFormat="1" applyFont="1" applyFill="1" applyBorder="1" applyAlignment="1">
      <alignment horizontal="center" vertical="center"/>
    </xf>
    <xf numFmtId="1" fontId="28268" fillId="8" borderId="1" xfId="0" applyNumberFormat="1" applyFont="1" applyFill="1" applyBorder="1" applyAlignment="1">
      <alignment horizontal="center" vertical="center"/>
    </xf>
    <xf numFmtId="1" fontId="28269" fillId="8" borderId="1" xfId="0" applyNumberFormat="1" applyFont="1" applyFill="1" applyBorder="1" applyAlignment="1">
      <alignment horizontal="center" vertical="center"/>
    </xf>
    <xf numFmtId="1" fontId="28270" fillId="8" borderId="1" xfId="0" applyNumberFormat="1" applyFont="1" applyFill="1" applyBorder="1" applyAlignment="1">
      <alignment horizontal="center" vertical="center"/>
    </xf>
    <xf numFmtId="165" fontId="28271" fillId="8" borderId="1" xfId="0" applyNumberFormat="1" applyFont="1" applyFill="1" applyBorder="1" applyAlignment="1">
      <alignment horizontal="center" vertical="center"/>
    </xf>
    <xf numFmtId="1" fontId="28272" fillId="8" borderId="1" xfId="0" applyNumberFormat="1" applyFont="1" applyFill="1" applyBorder="1" applyAlignment="1">
      <alignment horizontal="center" vertical="center"/>
    </xf>
    <xf numFmtId="165" fontId="28273" fillId="8" borderId="1" xfId="0" applyNumberFormat="1" applyFont="1" applyFill="1" applyBorder="1" applyAlignment="1">
      <alignment horizontal="center" vertical="center"/>
    </xf>
    <xf numFmtId="1" fontId="28274" fillId="8" borderId="1" xfId="0" applyNumberFormat="1" applyFont="1" applyFill="1" applyBorder="1" applyAlignment="1">
      <alignment horizontal="center" vertical="center"/>
    </xf>
    <xf numFmtId="1" fontId="28275" fillId="8" borderId="1" xfId="0" applyNumberFormat="1" applyFont="1" applyFill="1" applyBorder="1" applyAlignment="1">
      <alignment horizontal="center" vertical="center"/>
    </xf>
    <xf numFmtId="1" fontId="28276" fillId="8" borderId="1" xfId="0" applyNumberFormat="1" applyFont="1" applyFill="1" applyBorder="1" applyAlignment="1">
      <alignment horizontal="center" vertical="center"/>
    </xf>
    <xf numFmtId="1" fontId="28277" fillId="8" borderId="1" xfId="0" applyNumberFormat="1" applyFont="1" applyFill="1" applyBorder="1" applyAlignment="1">
      <alignment horizontal="center" vertical="center"/>
    </xf>
    <xf numFmtId="165" fontId="28278" fillId="8" borderId="1" xfId="0" applyNumberFormat="1" applyFont="1" applyFill="1" applyBorder="1" applyAlignment="1">
      <alignment horizontal="center" vertical="center"/>
    </xf>
    <xf numFmtId="1" fontId="28279" fillId="8" borderId="1" xfId="0" applyNumberFormat="1" applyFont="1" applyFill="1" applyBorder="1" applyAlignment="1">
      <alignment horizontal="center" vertical="center"/>
    </xf>
    <xf numFmtId="165" fontId="28280" fillId="8" borderId="1" xfId="0" applyNumberFormat="1" applyFont="1" applyFill="1" applyBorder="1" applyAlignment="1">
      <alignment horizontal="center" vertical="center"/>
    </xf>
    <xf numFmtId="1" fontId="28281" fillId="8" borderId="1" xfId="0" applyNumberFormat="1" applyFont="1" applyFill="1" applyBorder="1" applyAlignment="1">
      <alignment horizontal="center" vertical="center"/>
    </xf>
    <xf numFmtId="165" fontId="28282" fillId="8" borderId="1" xfId="0" applyNumberFormat="1" applyFont="1" applyFill="1" applyBorder="1" applyAlignment="1">
      <alignment horizontal="center" vertical="center"/>
    </xf>
    <xf numFmtId="2" fontId="28283" fillId="8" borderId="1" xfId="0" applyNumberFormat="1" applyFont="1" applyFill="1" applyBorder="1" applyAlignment="1">
      <alignment horizontal="center" vertical="center"/>
    </xf>
    <xf numFmtId="2" fontId="28284" fillId="8" borderId="1" xfId="0" applyNumberFormat="1" applyFont="1" applyFill="1" applyBorder="1" applyAlignment="1">
      <alignment horizontal="center" vertical="center"/>
    </xf>
    <xf numFmtId="2" fontId="28285" fillId="8" borderId="1" xfId="0" applyNumberFormat="1" applyFont="1" applyFill="1" applyBorder="1" applyAlignment="1">
      <alignment horizontal="center" vertical="center"/>
    </xf>
    <xf numFmtId="2" fontId="28286" fillId="8" borderId="1" xfId="0" applyNumberFormat="1" applyFont="1" applyFill="1" applyBorder="1" applyAlignment="1">
      <alignment horizontal="center" vertical="center"/>
    </xf>
    <xf numFmtId="2" fontId="28287" fillId="8" borderId="1" xfId="0" applyNumberFormat="1" applyFont="1" applyFill="1" applyBorder="1" applyAlignment="1">
      <alignment horizontal="center" vertical="center"/>
    </xf>
    <xf numFmtId="2" fontId="28288" fillId="8" borderId="1" xfId="0" applyNumberFormat="1" applyFont="1" applyFill="1" applyBorder="1" applyAlignment="1">
      <alignment horizontal="center" vertical="center"/>
    </xf>
    <xf numFmtId="2" fontId="28289" fillId="8" borderId="1" xfId="0" applyNumberFormat="1" applyFont="1" applyFill="1" applyBorder="1" applyAlignment="1">
      <alignment horizontal="center" vertical="center"/>
    </xf>
    <xf numFmtId="2" fontId="28290" fillId="8" borderId="1" xfId="0" applyNumberFormat="1" applyFont="1" applyFill="1" applyBorder="1" applyAlignment="1">
      <alignment horizontal="center" vertical="center"/>
    </xf>
    <xf numFmtId="2" fontId="28291" fillId="8" borderId="1" xfId="0" applyNumberFormat="1" applyFont="1" applyFill="1" applyBorder="1" applyAlignment="1">
      <alignment horizontal="center" vertical="center"/>
    </xf>
    <xf numFmtId="2" fontId="28292" fillId="8" borderId="1" xfId="0" applyNumberFormat="1" applyFont="1" applyFill="1" applyBorder="1" applyAlignment="1">
      <alignment horizontal="center" vertical="center"/>
    </xf>
    <xf numFmtId="2" fontId="28293" fillId="8" borderId="1" xfId="0" applyNumberFormat="1" applyFont="1" applyFill="1" applyBorder="1" applyAlignment="1">
      <alignment horizontal="center" vertical="center"/>
    </xf>
    <xf numFmtId="2" fontId="28294" fillId="8" borderId="1" xfId="0" applyNumberFormat="1" applyFont="1" applyFill="1" applyBorder="1" applyAlignment="1">
      <alignment horizontal="center" vertical="center"/>
    </xf>
    <xf numFmtId="2" fontId="28295" fillId="8" borderId="1" xfId="0" applyNumberFormat="1" applyFont="1" applyFill="1" applyBorder="1" applyAlignment="1">
      <alignment horizontal="center" vertical="center"/>
    </xf>
    <xf numFmtId="2" fontId="28296" fillId="8" borderId="1" xfId="0" applyNumberFormat="1" applyFont="1" applyFill="1" applyBorder="1" applyAlignment="1">
      <alignment horizontal="center" vertical="center"/>
    </xf>
    <xf numFmtId="2" fontId="28297" fillId="8" borderId="1" xfId="0" applyNumberFormat="1" applyFont="1" applyFill="1" applyBorder="1" applyAlignment="1">
      <alignment horizontal="center" vertical="center"/>
    </xf>
    <xf numFmtId="2" fontId="28298" fillId="8" borderId="1" xfId="0" applyNumberFormat="1" applyFont="1" applyFill="1" applyBorder="1" applyAlignment="1">
      <alignment horizontal="center" vertical="center"/>
    </xf>
    <xf numFmtId="2" fontId="28299" fillId="8" borderId="1" xfId="0" applyNumberFormat="1" applyFont="1" applyFill="1" applyBorder="1" applyAlignment="1">
      <alignment horizontal="center" vertical="center"/>
    </xf>
    <xf numFmtId="2" fontId="28300" fillId="8" borderId="1" xfId="0" applyNumberFormat="1" applyFont="1" applyFill="1" applyBorder="1" applyAlignment="1">
      <alignment horizontal="center" vertical="center"/>
    </xf>
    <xf numFmtId="2" fontId="28301" fillId="8" borderId="1" xfId="0" applyNumberFormat="1" applyFont="1" applyFill="1" applyBorder="1" applyAlignment="1">
      <alignment horizontal="center" vertical="center"/>
    </xf>
    <xf numFmtId="2" fontId="28302" fillId="8" borderId="1" xfId="0" applyNumberFormat="1" applyFont="1" applyFill="1" applyBorder="1" applyAlignment="1">
      <alignment horizontal="center" vertical="center"/>
    </xf>
    <xf numFmtId="2" fontId="28303" fillId="8" borderId="1" xfId="0" applyNumberFormat="1" applyFont="1" applyFill="1" applyBorder="1" applyAlignment="1">
      <alignment horizontal="center" vertical="center"/>
    </xf>
    <xf numFmtId="2" fontId="28304" fillId="8" borderId="1" xfId="0" applyNumberFormat="1" applyFont="1" applyFill="1" applyBorder="1" applyAlignment="1">
      <alignment horizontal="center" vertical="center"/>
    </xf>
    <xf numFmtId="2" fontId="28305" fillId="8" borderId="1" xfId="0" applyNumberFormat="1" applyFont="1" applyFill="1" applyBorder="1" applyAlignment="1">
      <alignment horizontal="center" vertical="center"/>
    </xf>
    <xf numFmtId="2" fontId="28306" fillId="8" borderId="1" xfId="0" applyNumberFormat="1" applyFont="1" applyFill="1" applyBorder="1" applyAlignment="1">
      <alignment horizontal="center" vertical="center"/>
    </xf>
    <xf numFmtId="2" fontId="28307" fillId="8" borderId="1" xfId="0" applyNumberFormat="1" applyFont="1" applyFill="1" applyBorder="1" applyAlignment="1">
      <alignment horizontal="center" vertical="center"/>
    </xf>
    <xf numFmtId="2" fontId="28308" fillId="8" borderId="1" xfId="0" applyNumberFormat="1" applyFont="1" applyFill="1" applyBorder="1" applyAlignment="1">
      <alignment horizontal="center" vertical="center"/>
    </xf>
    <xf numFmtId="2" fontId="28309" fillId="8" borderId="1" xfId="0" applyNumberFormat="1" applyFont="1" applyFill="1" applyBorder="1" applyAlignment="1">
      <alignment horizontal="center" vertical="center"/>
    </xf>
    <xf numFmtId="2" fontId="28310" fillId="8" borderId="1" xfId="0" applyNumberFormat="1" applyFont="1" applyFill="1" applyBorder="1" applyAlignment="1">
      <alignment horizontal="center" vertical="center"/>
    </xf>
    <xf numFmtId="2" fontId="28311" fillId="8" borderId="1" xfId="0" applyNumberFormat="1" applyFont="1" applyFill="1" applyBorder="1" applyAlignment="1">
      <alignment horizontal="center" vertical="center"/>
    </xf>
    <xf numFmtId="2" fontId="28312" fillId="8" borderId="1" xfId="0" applyNumberFormat="1" applyFont="1" applyFill="1" applyBorder="1" applyAlignment="1">
      <alignment horizontal="center" vertical="center"/>
    </xf>
    <xf numFmtId="2" fontId="28313" fillId="8" borderId="1" xfId="0" applyNumberFormat="1" applyFont="1" applyFill="1" applyBorder="1" applyAlignment="1">
      <alignment horizontal="center" vertical="center"/>
    </xf>
    <xf numFmtId="2" fontId="28314" fillId="8" borderId="1" xfId="0" applyNumberFormat="1" applyFont="1" applyFill="1" applyBorder="1" applyAlignment="1">
      <alignment horizontal="center" vertical="center"/>
    </xf>
    <xf numFmtId="2" fontId="28315" fillId="8" borderId="1" xfId="0" applyNumberFormat="1" applyFont="1" applyFill="1" applyBorder="1" applyAlignment="1">
      <alignment horizontal="center" vertical="center"/>
    </xf>
    <xf numFmtId="2" fontId="28316" fillId="8" borderId="1" xfId="0" applyNumberFormat="1" applyFont="1" applyFill="1" applyBorder="1" applyAlignment="1">
      <alignment horizontal="center" vertical="center"/>
    </xf>
    <xf numFmtId="0" fontId="28317" fillId="7" borderId="1" xfId="0" applyNumberFormat="1" applyFont="1" applyFill="1" applyBorder="1" applyAlignment="1">
      <alignment horizontal="left" vertical="center"/>
    </xf>
    <xf numFmtId="0" fontId="28318" fillId="8" borderId="1" xfId="0" applyNumberFormat="1" applyFont="1" applyFill="1" applyBorder="1" applyAlignment="1">
      <alignment horizontal="center" vertical="center"/>
    </xf>
    <xf numFmtId="164" fontId="28319" fillId="8" borderId="1" xfId="0" applyNumberFormat="1" applyFont="1" applyFill="1" applyBorder="1" applyAlignment="1">
      <alignment horizontal="center" vertical="center"/>
    </xf>
    <xf numFmtId="1" fontId="28320" fillId="8" borderId="1" xfId="0" applyNumberFormat="1" applyFont="1" applyFill="1" applyBorder="1" applyAlignment="1">
      <alignment horizontal="center" vertical="center"/>
    </xf>
    <xf numFmtId="1" fontId="28321" fillId="8" borderId="1" xfId="0" applyNumberFormat="1" applyFont="1" applyFill="1" applyBorder="1" applyAlignment="1">
      <alignment horizontal="center" vertical="center"/>
    </xf>
    <xf numFmtId="1" fontId="28322" fillId="8" borderId="1" xfId="0" applyNumberFormat="1" applyFont="1" applyFill="1" applyBorder="1" applyAlignment="1">
      <alignment horizontal="center" vertical="center"/>
    </xf>
    <xf numFmtId="1" fontId="28323" fillId="8" borderId="1" xfId="0" applyNumberFormat="1" applyFont="1" applyFill="1" applyBorder="1" applyAlignment="1">
      <alignment horizontal="center" vertical="center"/>
    </xf>
    <xf numFmtId="1" fontId="28324" fillId="8" borderId="1" xfId="0" applyNumberFormat="1" applyFont="1" applyFill="1" applyBorder="1" applyAlignment="1">
      <alignment horizontal="center" vertical="center"/>
    </xf>
    <xf numFmtId="1" fontId="28325" fillId="8" borderId="1" xfId="0" applyNumberFormat="1" applyFont="1" applyFill="1" applyBorder="1" applyAlignment="1">
      <alignment horizontal="center" vertical="center"/>
    </xf>
    <xf numFmtId="1" fontId="28326" fillId="8" borderId="1" xfId="0" applyNumberFormat="1" applyFont="1" applyFill="1" applyBorder="1" applyAlignment="1">
      <alignment horizontal="center" vertical="center"/>
    </xf>
    <xf numFmtId="0" fontId="28327" fillId="8" borderId="1" xfId="0" applyNumberFormat="1" applyFont="1" applyFill="1" applyBorder="1" applyAlignment="1">
      <alignment horizontal="center" vertical="center"/>
    </xf>
    <xf numFmtId="0" fontId="28328" fillId="8" borderId="1" xfId="0" applyNumberFormat="1" applyFont="1" applyFill="1" applyBorder="1" applyAlignment="1">
      <alignment horizontal="center" vertical="center"/>
    </xf>
    <xf numFmtId="1" fontId="28329" fillId="8" borderId="1" xfId="0" applyNumberFormat="1" applyFont="1" applyFill="1" applyBorder="1" applyAlignment="1">
      <alignment horizontal="center" vertical="center"/>
    </xf>
    <xf numFmtId="1" fontId="28330" fillId="8" borderId="1" xfId="0" applyNumberFormat="1" applyFont="1" applyFill="1" applyBorder="1" applyAlignment="1">
      <alignment horizontal="center" vertical="center"/>
    </xf>
    <xf numFmtId="1" fontId="28331" fillId="8" borderId="1" xfId="0" applyNumberFormat="1" applyFont="1" applyFill="1" applyBorder="1" applyAlignment="1">
      <alignment horizontal="center" vertical="center"/>
    </xf>
    <xf numFmtId="165" fontId="28332" fillId="8" borderId="1" xfId="0" applyNumberFormat="1" applyFont="1" applyFill="1" applyBorder="1" applyAlignment="1">
      <alignment horizontal="center" vertical="center"/>
    </xf>
    <xf numFmtId="1" fontId="28333" fillId="8" borderId="1" xfId="0" applyNumberFormat="1" applyFont="1" applyFill="1" applyBorder="1" applyAlignment="1">
      <alignment horizontal="center" vertical="center"/>
    </xf>
    <xf numFmtId="165" fontId="28334" fillId="8" borderId="1" xfId="0" applyNumberFormat="1" applyFont="1" applyFill="1" applyBorder="1" applyAlignment="1">
      <alignment horizontal="center" vertical="center"/>
    </xf>
    <xf numFmtId="1" fontId="28335" fillId="8" borderId="1" xfId="0" applyNumberFormat="1" applyFont="1" applyFill="1" applyBorder="1" applyAlignment="1">
      <alignment horizontal="center" vertical="center"/>
    </xf>
    <xf numFmtId="165" fontId="28336" fillId="8" borderId="1" xfId="0" applyNumberFormat="1" applyFont="1" applyFill="1" applyBorder="1" applyAlignment="1">
      <alignment horizontal="center" vertical="center"/>
    </xf>
    <xf numFmtId="1" fontId="28337" fillId="8" borderId="1" xfId="0" applyNumberFormat="1" applyFont="1" applyFill="1" applyBorder="1" applyAlignment="1">
      <alignment horizontal="center" vertical="center"/>
    </xf>
    <xf numFmtId="165" fontId="28338" fillId="8" borderId="1" xfId="0" applyNumberFormat="1" applyFont="1" applyFill="1" applyBorder="1" applyAlignment="1">
      <alignment horizontal="center" vertical="center"/>
    </xf>
    <xf numFmtId="165" fontId="28339" fillId="8" borderId="1" xfId="0" applyNumberFormat="1" applyFont="1" applyFill="1" applyBorder="1" applyAlignment="1">
      <alignment horizontal="center" vertical="center"/>
    </xf>
    <xf numFmtId="1" fontId="28340" fillId="8" borderId="1" xfId="0" applyNumberFormat="1" applyFont="1" applyFill="1" applyBorder="1" applyAlignment="1">
      <alignment horizontal="center" vertical="center"/>
    </xf>
    <xf numFmtId="1" fontId="28341" fillId="8" borderId="1" xfId="0" applyNumberFormat="1" applyFont="1" applyFill="1" applyBorder="1" applyAlignment="1">
      <alignment horizontal="center" vertical="center"/>
    </xf>
    <xf numFmtId="1" fontId="28342" fillId="8" borderId="1" xfId="0" applyNumberFormat="1" applyFont="1" applyFill="1" applyBorder="1" applyAlignment="1">
      <alignment horizontal="center" vertical="center"/>
    </xf>
    <xf numFmtId="165" fontId="28343" fillId="8" borderId="1" xfId="0" applyNumberFormat="1" applyFont="1" applyFill="1" applyBorder="1" applyAlignment="1">
      <alignment horizontal="center" vertical="center"/>
    </xf>
    <xf numFmtId="164" fontId="28344" fillId="8" borderId="1" xfId="0" applyNumberFormat="1" applyFont="1" applyFill="1" applyBorder="1" applyAlignment="1">
      <alignment horizontal="center" vertical="center"/>
    </xf>
    <xf numFmtId="164" fontId="28345" fillId="8" borderId="1" xfId="0" applyNumberFormat="1" applyFont="1" applyFill="1" applyBorder="1" applyAlignment="1">
      <alignment horizontal="center" vertical="center"/>
    </xf>
    <xf numFmtId="1" fontId="28346" fillId="8" borderId="1" xfId="0" applyNumberFormat="1" applyFont="1" applyFill="1" applyBorder="1" applyAlignment="1">
      <alignment horizontal="center" vertical="center"/>
    </xf>
    <xf numFmtId="1" fontId="28347" fillId="8" borderId="1" xfId="0" applyNumberFormat="1" applyFont="1" applyFill="1" applyBorder="1" applyAlignment="1">
      <alignment horizontal="center" vertical="center"/>
    </xf>
    <xf numFmtId="1" fontId="28348" fillId="8" borderId="1" xfId="0" applyNumberFormat="1" applyFont="1" applyFill="1" applyBorder="1" applyAlignment="1">
      <alignment horizontal="center" vertical="center"/>
    </xf>
    <xf numFmtId="165" fontId="28349" fillId="8" borderId="1" xfId="0" applyNumberFormat="1" applyFont="1" applyFill="1" applyBorder="1" applyAlignment="1">
      <alignment horizontal="center" vertical="center"/>
    </xf>
    <xf numFmtId="1" fontId="28350" fillId="8" borderId="1" xfId="0" applyNumberFormat="1" applyFont="1" applyFill="1" applyBorder="1" applyAlignment="1">
      <alignment horizontal="center" vertical="center"/>
    </xf>
    <xf numFmtId="165" fontId="28351" fillId="8" borderId="1" xfId="0" applyNumberFormat="1" applyFont="1" applyFill="1" applyBorder="1" applyAlignment="1">
      <alignment horizontal="center" vertical="center"/>
    </xf>
    <xf numFmtId="1" fontId="28352" fillId="8" borderId="1" xfId="0" applyNumberFormat="1" applyFont="1" applyFill="1" applyBorder="1" applyAlignment="1">
      <alignment horizontal="center" vertical="center"/>
    </xf>
    <xf numFmtId="1" fontId="28353" fillId="8" borderId="1" xfId="0" applyNumberFormat="1" applyFont="1" applyFill="1" applyBorder="1" applyAlignment="1">
      <alignment horizontal="center" vertical="center"/>
    </xf>
    <xf numFmtId="1" fontId="28354" fillId="8" borderId="1" xfId="0" applyNumberFormat="1" applyFont="1" applyFill="1" applyBorder="1" applyAlignment="1">
      <alignment horizontal="center" vertical="center"/>
    </xf>
    <xf numFmtId="1" fontId="28355" fillId="8" borderId="1" xfId="0" applyNumberFormat="1" applyFont="1" applyFill="1" applyBorder="1" applyAlignment="1">
      <alignment horizontal="center" vertical="center"/>
    </xf>
    <xf numFmtId="165" fontId="28356" fillId="8" borderId="1" xfId="0" applyNumberFormat="1" applyFont="1" applyFill="1" applyBorder="1" applyAlignment="1">
      <alignment horizontal="center" vertical="center"/>
    </xf>
    <xf numFmtId="1" fontId="28357" fillId="8" borderId="1" xfId="0" applyNumberFormat="1" applyFont="1" applyFill="1" applyBorder="1" applyAlignment="1">
      <alignment horizontal="center" vertical="center"/>
    </xf>
    <xf numFmtId="165" fontId="28358" fillId="8" borderId="1" xfId="0" applyNumberFormat="1" applyFont="1" applyFill="1" applyBorder="1" applyAlignment="1">
      <alignment horizontal="center" vertical="center"/>
    </xf>
    <xf numFmtId="1" fontId="28359" fillId="8" borderId="1" xfId="0" applyNumberFormat="1" applyFont="1" applyFill="1" applyBorder="1" applyAlignment="1">
      <alignment horizontal="center" vertical="center"/>
    </xf>
    <xf numFmtId="165" fontId="28360" fillId="8" borderId="1" xfId="0" applyNumberFormat="1" applyFont="1" applyFill="1" applyBorder="1" applyAlignment="1">
      <alignment horizontal="center" vertical="center"/>
    </xf>
    <xf numFmtId="2" fontId="28361" fillId="8" borderId="1" xfId="0" applyNumberFormat="1" applyFont="1" applyFill="1" applyBorder="1" applyAlignment="1">
      <alignment horizontal="center" vertical="center"/>
    </xf>
    <xf numFmtId="2" fontId="28362" fillId="8" borderId="1" xfId="0" applyNumberFormat="1" applyFont="1" applyFill="1" applyBorder="1" applyAlignment="1">
      <alignment horizontal="center" vertical="center"/>
    </xf>
    <xf numFmtId="2" fontId="28363" fillId="8" borderId="1" xfId="0" applyNumberFormat="1" applyFont="1" applyFill="1" applyBorder="1" applyAlignment="1">
      <alignment horizontal="center" vertical="center"/>
    </xf>
    <xf numFmtId="2" fontId="28364" fillId="8" borderId="1" xfId="0" applyNumberFormat="1" applyFont="1" applyFill="1" applyBorder="1" applyAlignment="1">
      <alignment horizontal="center" vertical="center"/>
    </xf>
    <xf numFmtId="2" fontId="28365" fillId="8" borderId="1" xfId="0" applyNumberFormat="1" applyFont="1" applyFill="1" applyBorder="1" applyAlignment="1">
      <alignment horizontal="center" vertical="center"/>
    </xf>
    <xf numFmtId="2" fontId="28366" fillId="8" borderId="1" xfId="0" applyNumberFormat="1" applyFont="1" applyFill="1" applyBorder="1" applyAlignment="1">
      <alignment horizontal="center" vertical="center"/>
    </xf>
    <xf numFmtId="2" fontId="28367" fillId="8" borderId="1" xfId="0" applyNumberFormat="1" applyFont="1" applyFill="1" applyBorder="1" applyAlignment="1">
      <alignment horizontal="center" vertical="center"/>
    </xf>
    <xf numFmtId="2" fontId="28368" fillId="8" borderId="1" xfId="0" applyNumberFormat="1" applyFont="1" applyFill="1" applyBorder="1" applyAlignment="1">
      <alignment horizontal="center" vertical="center"/>
    </xf>
    <xf numFmtId="2" fontId="28369" fillId="8" borderId="1" xfId="0" applyNumberFormat="1" applyFont="1" applyFill="1" applyBorder="1" applyAlignment="1">
      <alignment horizontal="center" vertical="center"/>
    </xf>
    <xf numFmtId="2" fontId="28370" fillId="8" borderId="1" xfId="0" applyNumberFormat="1" applyFont="1" applyFill="1" applyBorder="1" applyAlignment="1">
      <alignment horizontal="center" vertical="center"/>
    </xf>
    <xf numFmtId="2" fontId="28371" fillId="8" borderId="1" xfId="0" applyNumberFormat="1" applyFont="1" applyFill="1" applyBorder="1" applyAlignment="1">
      <alignment horizontal="center" vertical="center"/>
    </xf>
    <xf numFmtId="2" fontId="28372" fillId="8" borderId="1" xfId="0" applyNumberFormat="1" applyFont="1" applyFill="1" applyBorder="1" applyAlignment="1">
      <alignment horizontal="center" vertical="center"/>
    </xf>
    <xf numFmtId="2" fontId="28373" fillId="8" borderId="1" xfId="0" applyNumberFormat="1" applyFont="1" applyFill="1" applyBorder="1" applyAlignment="1">
      <alignment horizontal="center" vertical="center"/>
    </xf>
    <xf numFmtId="2" fontId="28374" fillId="8" borderId="1" xfId="0" applyNumberFormat="1" applyFont="1" applyFill="1" applyBorder="1" applyAlignment="1">
      <alignment horizontal="center" vertical="center"/>
    </xf>
    <xf numFmtId="2" fontId="28375" fillId="8" borderId="1" xfId="0" applyNumberFormat="1" applyFont="1" applyFill="1" applyBorder="1" applyAlignment="1">
      <alignment horizontal="center" vertical="center"/>
    </xf>
    <xf numFmtId="2" fontId="28376" fillId="8" borderId="1" xfId="0" applyNumberFormat="1" applyFont="1" applyFill="1" applyBorder="1" applyAlignment="1">
      <alignment horizontal="center" vertical="center"/>
    </xf>
    <xf numFmtId="2" fontId="28377" fillId="8" borderId="1" xfId="0" applyNumberFormat="1" applyFont="1" applyFill="1" applyBorder="1" applyAlignment="1">
      <alignment horizontal="center" vertical="center"/>
    </xf>
    <xf numFmtId="2" fontId="28378" fillId="8" borderId="1" xfId="0" applyNumberFormat="1" applyFont="1" applyFill="1" applyBorder="1" applyAlignment="1">
      <alignment horizontal="center" vertical="center"/>
    </xf>
    <xf numFmtId="2" fontId="28379" fillId="8" borderId="1" xfId="0" applyNumberFormat="1" applyFont="1" applyFill="1" applyBorder="1" applyAlignment="1">
      <alignment horizontal="center" vertical="center"/>
    </xf>
    <xf numFmtId="2" fontId="28380" fillId="8" borderId="1" xfId="0" applyNumberFormat="1" applyFont="1" applyFill="1" applyBorder="1" applyAlignment="1">
      <alignment horizontal="center" vertical="center"/>
    </xf>
    <xf numFmtId="2" fontId="28381" fillId="8" borderId="1" xfId="0" applyNumberFormat="1" applyFont="1" applyFill="1" applyBorder="1" applyAlignment="1">
      <alignment horizontal="center" vertical="center"/>
    </xf>
    <xf numFmtId="2" fontId="28382" fillId="8" borderId="1" xfId="0" applyNumberFormat="1" applyFont="1" applyFill="1" applyBorder="1" applyAlignment="1">
      <alignment horizontal="center" vertical="center"/>
    </xf>
    <xf numFmtId="2" fontId="28383" fillId="8" borderId="1" xfId="0" applyNumberFormat="1" applyFont="1" applyFill="1" applyBorder="1" applyAlignment="1">
      <alignment horizontal="center" vertical="center"/>
    </xf>
    <xf numFmtId="2" fontId="28384" fillId="8" borderId="1" xfId="0" applyNumberFormat="1" applyFont="1" applyFill="1" applyBorder="1" applyAlignment="1">
      <alignment horizontal="center" vertical="center"/>
    </xf>
    <xf numFmtId="2" fontId="28385" fillId="8" borderId="1" xfId="0" applyNumberFormat="1" applyFont="1" applyFill="1" applyBorder="1" applyAlignment="1">
      <alignment horizontal="center" vertical="center"/>
    </xf>
    <xf numFmtId="2" fontId="28386" fillId="8" borderId="1" xfId="0" applyNumberFormat="1" applyFont="1" applyFill="1" applyBorder="1" applyAlignment="1">
      <alignment horizontal="center" vertical="center"/>
    </xf>
    <xf numFmtId="2" fontId="28387" fillId="8" borderId="1" xfId="0" applyNumberFormat="1" applyFont="1" applyFill="1" applyBorder="1" applyAlignment="1">
      <alignment horizontal="center" vertical="center"/>
    </xf>
    <xf numFmtId="2" fontId="28388" fillId="8" borderId="1" xfId="0" applyNumberFormat="1" applyFont="1" applyFill="1" applyBorder="1" applyAlignment="1">
      <alignment horizontal="center" vertical="center"/>
    </xf>
    <xf numFmtId="2" fontId="28389" fillId="8" borderId="1" xfId="0" applyNumberFormat="1" applyFont="1" applyFill="1" applyBorder="1" applyAlignment="1">
      <alignment horizontal="center" vertical="center"/>
    </xf>
    <xf numFmtId="2" fontId="28390" fillId="8" borderId="1" xfId="0" applyNumberFormat="1" applyFont="1" applyFill="1" applyBorder="1" applyAlignment="1">
      <alignment horizontal="center" vertical="center"/>
    </xf>
    <xf numFmtId="2" fontId="28391" fillId="8" borderId="1" xfId="0" applyNumberFormat="1" applyFont="1" applyFill="1" applyBorder="1" applyAlignment="1">
      <alignment horizontal="center" vertical="center"/>
    </xf>
    <xf numFmtId="2" fontId="28392" fillId="8" borderId="1" xfId="0" applyNumberFormat="1" applyFont="1" applyFill="1" applyBorder="1" applyAlignment="1">
      <alignment horizontal="center" vertical="center"/>
    </xf>
    <xf numFmtId="2" fontId="28393" fillId="8" borderId="1" xfId="0" applyNumberFormat="1" applyFont="1" applyFill="1" applyBorder="1" applyAlignment="1">
      <alignment horizontal="center" vertical="center"/>
    </xf>
    <xf numFmtId="2" fontId="28394" fillId="8" borderId="1" xfId="0" applyNumberFormat="1" applyFont="1" applyFill="1" applyBorder="1" applyAlignment="1">
      <alignment horizontal="center" vertical="center"/>
    </xf>
    <xf numFmtId="0" fontId="28395" fillId="7" borderId="1" xfId="0" applyNumberFormat="1" applyFont="1" applyFill="1" applyBorder="1" applyAlignment="1">
      <alignment horizontal="left" vertical="center"/>
    </xf>
    <xf numFmtId="0" fontId="28396" fillId="8" borderId="1" xfId="0" applyNumberFormat="1" applyFont="1" applyFill="1" applyBorder="1" applyAlignment="1">
      <alignment horizontal="center" vertical="center"/>
    </xf>
    <xf numFmtId="164" fontId="28397" fillId="8" borderId="1" xfId="0" applyNumberFormat="1" applyFont="1" applyFill="1" applyBorder="1" applyAlignment="1">
      <alignment horizontal="center" vertical="center"/>
    </xf>
    <xf numFmtId="1" fontId="28398" fillId="8" borderId="1" xfId="0" applyNumberFormat="1" applyFont="1" applyFill="1" applyBorder="1" applyAlignment="1">
      <alignment horizontal="center" vertical="center"/>
    </xf>
    <xf numFmtId="1" fontId="28399" fillId="8" borderId="1" xfId="0" applyNumberFormat="1" applyFont="1" applyFill="1" applyBorder="1" applyAlignment="1">
      <alignment horizontal="center" vertical="center"/>
    </xf>
    <xf numFmtId="1" fontId="28400" fillId="8" borderId="1" xfId="0" applyNumberFormat="1" applyFont="1" applyFill="1" applyBorder="1" applyAlignment="1">
      <alignment horizontal="center" vertical="center"/>
    </xf>
    <xf numFmtId="1" fontId="28401" fillId="8" borderId="1" xfId="0" applyNumberFormat="1" applyFont="1" applyFill="1" applyBorder="1" applyAlignment="1">
      <alignment horizontal="center" vertical="center"/>
    </xf>
    <xf numFmtId="1" fontId="28402" fillId="8" borderId="1" xfId="0" applyNumberFormat="1" applyFont="1" applyFill="1" applyBorder="1" applyAlignment="1">
      <alignment horizontal="center" vertical="center"/>
    </xf>
    <xf numFmtId="1" fontId="28403" fillId="8" borderId="1" xfId="0" applyNumberFormat="1" applyFont="1" applyFill="1" applyBorder="1" applyAlignment="1">
      <alignment horizontal="center" vertical="center"/>
    </xf>
    <xf numFmtId="1" fontId="28404" fillId="8" borderId="1" xfId="0" applyNumberFormat="1" applyFont="1" applyFill="1" applyBorder="1" applyAlignment="1">
      <alignment horizontal="center" vertical="center"/>
    </xf>
    <xf numFmtId="0" fontId="28405" fillId="8" borderId="1" xfId="0" applyNumberFormat="1" applyFont="1" applyFill="1" applyBorder="1" applyAlignment="1">
      <alignment horizontal="center" vertical="center"/>
    </xf>
    <xf numFmtId="0" fontId="28406" fillId="8" borderId="1" xfId="0" applyNumberFormat="1" applyFont="1" applyFill="1" applyBorder="1" applyAlignment="1">
      <alignment horizontal="center" vertical="center"/>
    </xf>
    <xf numFmtId="1" fontId="28407" fillId="8" borderId="1" xfId="0" applyNumberFormat="1" applyFont="1" applyFill="1" applyBorder="1" applyAlignment="1">
      <alignment horizontal="center" vertical="center"/>
    </xf>
    <xf numFmtId="1" fontId="28408" fillId="8" borderId="1" xfId="0" applyNumberFormat="1" applyFont="1" applyFill="1" applyBorder="1" applyAlignment="1">
      <alignment horizontal="center" vertical="center"/>
    </xf>
    <xf numFmtId="1" fontId="28409" fillId="8" borderId="1" xfId="0" applyNumberFormat="1" applyFont="1" applyFill="1" applyBorder="1" applyAlignment="1">
      <alignment horizontal="center" vertical="center"/>
    </xf>
    <xf numFmtId="165" fontId="28410" fillId="8" borderId="1" xfId="0" applyNumberFormat="1" applyFont="1" applyFill="1" applyBorder="1" applyAlignment="1">
      <alignment horizontal="center" vertical="center"/>
    </xf>
    <xf numFmtId="1" fontId="28411" fillId="8" borderId="1" xfId="0" applyNumberFormat="1" applyFont="1" applyFill="1" applyBorder="1" applyAlignment="1">
      <alignment horizontal="center" vertical="center"/>
    </xf>
    <xf numFmtId="165" fontId="28412" fillId="8" borderId="1" xfId="0" applyNumberFormat="1" applyFont="1" applyFill="1" applyBorder="1" applyAlignment="1">
      <alignment horizontal="center" vertical="center"/>
    </xf>
    <xf numFmtId="1" fontId="28413" fillId="8" borderId="1" xfId="0" applyNumberFormat="1" applyFont="1" applyFill="1" applyBorder="1" applyAlignment="1">
      <alignment horizontal="center" vertical="center"/>
    </xf>
    <xf numFmtId="165" fontId="28414" fillId="8" borderId="1" xfId="0" applyNumberFormat="1" applyFont="1" applyFill="1" applyBorder="1" applyAlignment="1">
      <alignment horizontal="center" vertical="center"/>
    </xf>
    <xf numFmtId="1" fontId="28415" fillId="8" borderId="1" xfId="0" applyNumberFormat="1" applyFont="1" applyFill="1" applyBorder="1" applyAlignment="1">
      <alignment horizontal="center" vertical="center"/>
    </xf>
    <xf numFmtId="165" fontId="28416" fillId="8" borderId="1" xfId="0" applyNumberFormat="1" applyFont="1" applyFill="1" applyBorder="1" applyAlignment="1">
      <alignment horizontal="center" vertical="center"/>
    </xf>
    <xf numFmtId="165" fontId="28417" fillId="8" borderId="1" xfId="0" applyNumberFormat="1" applyFont="1" applyFill="1" applyBorder="1" applyAlignment="1">
      <alignment horizontal="center" vertical="center"/>
    </xf>
    <xf numFmtId="1" fontId="28418" fillId="8" borderId="1" xfId="0" applyNumberFormat="1" applyFont="1" applyFill="1" applyBorder="1" applyAlignment="1">
      <alignment horizontal="center" vertical="center"/>
    </xf>
    <xf numFmtId="1" fontId="28419" fillId="8" borderId="1" xfId="0" applyNumberFormat="1" applyFont="1" applyFill="1" applyBorder="1" applyAlignment="1">
      <alignment horizontal="center" vertical="center"/>
    </xf>
    <xf numFmtId="1" fontId="28420" fillId="8" borderId="1" xfId="0" applyNumberFormat="1" applyFont="1" applyFill="1" applyBorder="1" applyAlignment="1">
      <alignment horizontal="center" vertical="center"/>
    </xf>
    <xf numFmtId="165" fontId="28421" fillId="8" borderId="1" xfId="0" applyNumberFormat="1" applyFont="1" applyFill="1" applyBorder="1" applyAlignment="1">
      <alignment horizontal="center" vertical="center"/>
    </xf>
    <xf numFmtId="164" fontId="28422" fillId="8" borderId="1" xfId="0" applyNumberFormat="1" applyFont="1" applyFill="1" applyBorder="1" applyAlignment="1">
      <alignment horizontal="center" vertical="center"/>
    </xf>
    <xf numFmtId="164" fontId="28423" fillId="8" borderId="1" xfId="0" applyNumberFormat="1" applyFont="1" applyFill="1" applyBorder="1" applyAlignment="1">
      <alignment horizontal="center" vertical="center"/>
    </xf>
    <xf numFmtId="1" fontId="28424" fillId="8" borderId="1" xfId="0" applyNumberFormat="1" applyFont="1" applyFill="1" applyBorder="1" applyAlignment="1">
      <alignment horizontal="center" vertical="center"/>
    </xf>
    <xf numFmtId="1" fontId="28425" fillId="8" borderId="1" xfId="0" applyNumberFormat="1" applyFont="1" applyFill="1" applyBorder="1" applyAlignment="1">
      <alignment horizontal="center" vertical="center"/>
    </xf>
    <xf numFmtId="1" fontId="28426" fillId="8" borderId="1" xfId="0" applyNumberFormat="1" applyFont="1" applyFill="1" applyBorder="1" applyAlignment="1">
      <alignment horizontal="center" vertical="center"/>
    </xf>
    <xf numFmtId="165" fontId="28427" fillId="8" borderId="1" xfId="0" applyNumberFormat="1" applyFont="1" applyFill="1" applyBorder="1" applyAlignment="1">
      <alignment horizontal="center" vertical="center"/>
    </xf>
    <xf numFmtId="1" fontId="28428" fillId="8" borderId="1" xfId="0" applyNumberFormat="1" applyFont="1" applyFill="1" applyBorder="1" applyAlignment="1">
      <alignment horizontal="center" vertical="center"/>
    </xf>
    <xf numFmtId="165" fontId="28429" fillId="8" borderId="1" xfId="0" applyNumberFormat="1" applyFont="1" applyFill="1" applyBorder="1" applyAlignment="1">
      <alignment horizontal="center" vertical="center"/>
    </xf>
    <xf numFmtId="1" fontId="28430" fillId="8" borderId="1" xfId="0" applyNumberFormat="1" applyFont="1" applyFill="1" applyBorder="1" applyAlignment="1">
      <alignment horizontal="center" vertical="center"/>
    </xf>
    <xf numFmtId="1" fontId="28431" fillId="8" borderId="1" xfId="0" applyNumberFormat="1" applyFont="1" applyFill="1" applyBorder="1" applyAlignment="1">
      <alignment horizontal="center" vertical="center"/>
    </xf>
    <xf numFmtId="1" fontId="28432" fillId="8" borderId="1" xfId="0" applyNumberFormat="1" applyFont="1" applyFill="1" applyBorder="1" applyAlignment="1">
      <alignment horizontal="center" vertical="center"/>
    </xf>
    <xf numFmtId="1" fontId="28433" fillId="8" borderId="1" xfId="0" applyNumberFormat="1" applyFont="1" applyFill="1" applyBorder="1" applyAlignment="1">
      <alignment horizontal="center" vertical="center"/>
    </xf>
    <xf numFmtId="165" fontId="28434" fillId="8" borderId="1" xfId="0" applyNumberFormat="1" applyFont="1" applyFill="1" applyBorder="1" applyAlignment="1">
      <alignment horizontal="center" vertical="center"/>
    </xf>
    <xf numFmtId="1" fontId="28435" fillId="8" borderId="1" xfId="0" applyNumberFormat="1" applyFont="1" applyFill="1" applyBorder="1" applyAlignment="1">
      <alignment horizontal="center" vertical="center"/>
    </xf>
    <xf numFmtId="165" fontId="28436" fillId="8" borderId="1" xfId="0" applyNumberFormat="1" applyFont="1" applyFill="1" applyBorder="1" applyAlignment="1">
      <alignment horizontal="center" vertical="center"/>
    </xf>
    <xf numFmtId="1" fontId="28437" fillId="8" borderId="1" xfId="0" applyNumberFormat="1" applyFont="1" applyFill="1" applyBorder="1" applyAlignment="1">
      <alignment horizontal="center" vertical="center"/>
    </xf>
    <xf numFmtId="165" fontId="28438" fillId="8" borderId="1" xfId="0" applyNumberFormat="1" applyFont="1" applyFill="1" applyBorder="1" applyAlignment="1">
      <alignment horizontal="center" vertical="center"/>
    </xf>
    <xf numFmtId="2" fontId="28439" fillId="8" borderId="1" xfId="0" applyNumberFormat="1" applyFont="1" applyFill="1" applyBorder="1" applyAlignment="1">
      <alignment horizontal="center" vertical="center"/>
    </xf>
    <xf numFmtId="2" fontId="28440" fillId="8" borderId="1" xfId="0" applyNumberFormat="1" applyFont="1" applyFill="1" applyBorder="1" applyAlignment="1">
      <alignment horizontal="center" vertical="center"/>
    </xf>
    <xf numFmtId="2" fontId="28441" fillId="8" borderId="1" xfId="0" applyNumberFormat="1" applyFont="1" applyFill="1" applyBorder="1" applyAlignment="1">
      <alignment horizontal="center" vertical="center"/>
    </xf>
    <xf numFmtId="2" fontId="28442" fillId="8" borderId="1" xfId="0" applyNumberFormat="1" applyFont="1" applyFill="1" applyBorder="1" applyAlignment="1">
      <alignment horizontal="center" vertical="center"/>
    </xf>
    <xf numFmtId="2" fontId="28443" fillId="8" borderId="1" xfId="0" applyNumberFormat="1" applyFont="1" applyFill="1" applyBorder="1" applyAlignment="1">
      <alignment horizontal="center" vertical="center"/>
    </xf>
    <xf numFmtId="2" fontId="28444" fillId="8" borderId="1" xfId="0" applyNumberFormat="1" applyFont="1" applyFill="1" applyBorder="1" applyAlignment="1">
      <alignment horizontal="center" vertical="center"/>
    </xf>
    <xf numFmtId="2" fontId="28445" fillId="8" borderId="1" xfId="0" applyNumberFormat="1" applyFont="1" applyFill="1" applyBorder="1" applyAlignment="1">
      <alignment horizontal="center" vertical="center"/>
    </xf>
    <xf numFmtId="2" fontId="28446" fillId="8" borderId="1" xfId="0" applyNumberFormat="1" applyFont="1" applyFill="1" applyBorder="1" applyAlignment="1">
      <alignment horizontal="center" vertical="center"/>
    </xf>
    <xf numFmtId="2" fontId="28447" fillId="8" borderId="1" xfId="0" applyNumberFormat="1" applyFont="1" applyFill="1" applyBorder="1" applyAlignment="1">
      <alignment horizontal="center" vertical="center"/>
    </xf>
    <xf numFmtId="2" fontId="28448" fillId="8" borderId="1" xfId="0" applyNumberFormat="1" applyFont="1" applyFill="1" applyBorder="1" applyAlignment="1">
      <alignment horizontal="center" vertical="center"/>
    </xf>
    <xf numFmtId="2" fontId="28449" fillId="8" borderId="1" xfId="0" applyNumberFormat="1" applyFont="1" applyFill="1" applyBorder="1" applyAlignment="1">
      <alignment horizontal="center" vertical="center"/>
    </xf>
    <xf numFmtId="2" fontId="28450" fillId="8" borderId="1" xfId="0" applyNumberFormat="1" applyFont="1" applyFill="1" applyBorder="1" applyAlignment="1">
      <alignment horizontal="center" vertical="center"/>
    </xf>
    <xf numFmtId="2" fontId="28451" fillId="8" borderId="1" xfId="0" applyNumberFormat="1" applyFont="1" applyFill="1" applyBorder="1" applyAlignment="1">
      <alignment horizontal="center" vertical="center"/>
    </xf>
    <xf numFmtId="2" fontId="28452" fillId="8" borderId="1" xfId="0" applyNumberFormat="1" applyFont="1" applyFill="1" applyBorder="1" applyAlignment="1">
      <alignment horizontal="center" vertical="center"/>
    </xf>
    <xf numFmtId="2" fontId="28453" fillId="8" borderId="1" xfId="0" applyNumberFormat="1" applyFont="1" applyFill="1" applyBorder="1" applyAlignment="1">
      <alignment horizontal="center" vertical="center"/>
    </xf>
    <xf numFmtId="2" fontId="28454" fillId="8" borderId="1" xfId="0" applyNumberFormat="1" applyFont="1" applyFill="1" applyBorder="1" applyAlignment="1">
      <alignment horizontal="center" vertical="center"/>
    </xf>
    <xf numFmtId="2" fontId="28455" fillId="8" borderId="1" xfId="0" applyNumberFormat="1" applyFont="1" applyFill="1" applyBorder="1" applyAlignment="1">
      <alignment horizontal="center" vertical="center"/>
    </xf>
    <xf numFmtId="2" fontId="28456" fillId="8" borderId="1" xfId="0" applyNumberFormat="1" applyFont="1" applyFill="1" applyBorder="1" applyAlignment="1">
      <alignment horizontal="center" vertical="center"/>
    </xf>
    <xf numFmtId="2" fontId="28457" fillId="8" borderId="1" xfId="0" applyNumberFormat="1" applyFont="1" applyFill="1" applyBorder="1" applyAlignment="1">
      <alignment horizontal="center" vertical="center"/>
    </xf>
    <xf numFmtId="2" fontId="28458" fillId="8" borderId="1" xfId="0" applyNumberFormat="1" applyFont="1" applyFill="1" applyBorder="1" applyAlignment="1">
      <alignment horizontal="center" vertical="center"/>
    </xf>
    <xf numFmtId="2" fontId="28459" fillId="8" borderId="1" xfId="0" applyNumberFormat="1" applyFont="1" applyFill="1" applyBorder="1" applyAlignment="1">
      <alignment horizontal="center" vertical="center"/>
    </xf>
    <xf numFmtId="2" fontId="28460" fillId="8" borderId="1" xfId="0" applyNumberFormat="1" applyFont="1" applyFill="1" applyBorder="1" applyAlignment="1">
      <alignment horizontal="center" vertical="center"/>
    </xf>
    <xf numFmtId="2" fontId="28461" fillId="8" borderId="1" xfId="0" applyNumberFormat="1" applyFont="1" applyFill="1" applyBorder="1" applyAlignment="1">
      <alignment horizontal="center" vertical="center"/>
    </xf>
    <xf numFmtId="2" fontId="28462" fillId="8" borderId="1" xfId="0" applyNumberFormat="1" applyFont="1" applyFill="1" applyBorder="1" applyAlignment="1">
      <alignment horizontal="center" vertical="center"/>
    </xf>
    <xf numFmtId="2" fontId="28463" fillId="8" borderId="1" xfId="0" applyNumberFormat="1" applyFont="1" applyFill="1" applyBorder="1" applyAlignment="1">
      <alignment horizontal="center" vertical="center"/>
    </xf>
    <xf numFmtId="2" fontId="28464" fillId="8" borderId="1" xfId="0" applyNumberFormat="1" applyFont="1" applyFill="1" applyBorder="1" applyAlignment="1">
      <alignment horizontal="center" vertical="center"/>
    </xf>
    <xf numFmtId="2" fontId="28465" fillId="8" borderId="1" xfId="0" applyNumberFormat="1" applyFont="1" applyFill="1" applyBorder="1" applyAlignment="1">
      <alignment horizontal="center" vertical="center"/>
    </xf>
    <xf numFmtId="2" fontId="28466" fillId="8" borderId="1" xfId="0" applyNumberFormat="1" applyFont="1" applyFill="1" applyBorder="1" applyAlignment="1">
      <alignment horizontal="center" vertical="center"/>
    </xf>
    <xf numFmtId="2" fontId="28467" fillId="8" borderId="1" xfId="0" applyNumberFormat="1" applyFont="1" applyFill="1" applyBorder="1" applyAlignment="1">
      <alignment horizontal="center" vertical="center"/>
    </xf>
    <xf numFmtId="2" fontId="28468" fillId="8" borderId="1" xfId="0" applyNumberFormat="1" applyFont="1" applyFill="1" applyBorder="1" applyAlignment="1">
      <alignment horizontal="center" vertical="center"/>
    </xf>
    <xf numFmtId="2" fontId="28469" fillId="8" borderId="1" xfId="0" applyNumberFormat="1" applyFont="1" applyFill="1" applyBorder="1" applyAlignment="1">
      <alignment horizontal="center" vertical="center"/>
    </xf>
    <xf numFmtId="2" fontId="28470" fillId="8" borderId="1" xfId="0" applyNumberFormat="1" applyFont="1" applyFill="1" applyBorder="1" applyAlignment="1">
      <alignment horizontal="center" vertical="center"/>
    </xf>
    <xf numFmtId="2" fontId="28471" fillId="8" borderId="1" xfId="0" applyNumberFormat="1" applyFont="1" applyFill="1" applyBorder="1" applyAlignment="1">
      <alignment horizontal="center" vertical="center"/>
    </xf>
    <xf numFmtId="2" fontId="28472" fillId="8" borderId="1" xfId="0" applyNumberFormat="1" applyFont="1" applyFill="1" applyBorder="1" applyAlignment="1">
      <alignment horizontal="center" vertical="center"/>
    </xf>
    <xf numFmtId="0" fontId="28473" fillId="7" borderId="1" xfId="0" applyNumberFormat="1" applyFont="1" applyFill="1" applyBorder="1" applyAlignment="1">
      <alignment horizontal="left" vertical="center"/>
    </xf>
    <xf numFmtId="0" fontId="28474" fillId="8" borderId="1" xfId="0" applyNumberFormat="1" applyFont="1" applyFill="1" applyBorder="1" applyAlignment="1">
      <alignment horizontal="center" vertical="center"/>
    </xf>
    <xf numFmtId="164" fontId="28475" fillId="8" borderId="1" xfId="0" applyNumberFormat="1" applyFont="1" applyFill="1" applyBorder="1" applyAlignment="1">
      <alignment horizontal="center" vertical="center"/>
    </xf>
    <xf numFmtId="1" fontId="28476" fillId="8" borderId="1" xfId="0" applyNumberFormat="1" applyFont="1" applyFill="1" applyBorder="1" applyAlignment="1">
      <alignment horizontal="center" vertical="center"/>
    </xf>
    <xf numFmtId="1" fontId="28477" fillId="8" borderId="1" xfId="0" applyNumberFormat="1" applyFont="1" applyFill="1" applyBorder="1" applyAlignment="1">
      <alignment horizontal="center" vertical="center"/>
    </xf>
    <xf numFmtId="1" fontId="28478" fillId="8" borderId="1" xfId="0" applyNumberFormat="1" applyFont="1" applyFill="1" applyBorder="1" applyAlignment="1">
      <alignment horizontal="center" vertical="center"/>
    </xf>
    <xf numFmtId="1" fontId="28479" fillId="8" borderId="1" xfId="0" applyNumberFormat="1" applyFont="1" applyFill="1" applyBorder="1" applyAlignment="1">
      <alignment horizontal="center" vertical="center"/>
    </xf>
    <xf numFmtId="1" fontId="28480" fillId="8" borderId="1" xfId="0" applyNumberFormat="1" applyFont="1" applyFill="1" applyBorder="1" applyAlignment="1">
      <alignment horizontal="center" vertical="center"/>
    </xf>
    <xf numFmtId="1" fontId="28481" fillId="8" borderId="1" xfId="0" applyNumberFormat="1" applyFont="1" applyFill="1" applyBorder="1" applyAlignment="1">
      <alignment horizontal="center" vertical="center"/>
    </xf>
    <xf numFmtId="1" fontId="28482" fillId="8" borderId="1" xfId="0" applyNumberFormat="1" applyFont="1" applyFill="1" applyBorder="1" applyAlignment="1">
      <alignment horizontal="center" vertical="center"/>
    </xf>
    <xf numFmtId="0" fontId="28483" fillId="8" borderId="1" xfId="0" applyNumberFormat="1" applyFont="1" applyFill="1" applyBorder="1" applyAlignment="1">
      <alignment horizontal="center" vertical="center"/>
    </xf>
    <xf numFmtId="0" fontId="28484" fillId="8" borderId="1" xfId="0" applyNumberFormat="1" applyFont="1" applyFill="1" applyBorder="1" applyAlignment="1">
      <alignment horizontal="center" vertical="center"/>
    </xf>
    <xf numFmtId="1" fontId="28485" fillId="8" borderId="1" xfId="0" applyNumberFormat="1" applyFont="1" applyFill="1" applyBorder="1" applyAlignment="1">
      <alignment horizontal="center" vertical="center"/>
    </xf>
    <xf numFmtId="1" fontId="28486" fillId="8" borderId="1" xfId="0" applyNumberFormat="1" applyFont="1" applyFill="1" applyBorder="1" applyAlignment="1">
      <alignment horizontal="center" vertical="center"/>
    </xf>
    <xf numFmtId="1" fontId="28487" fillId="8" borderId="1" xfId="0" applyNumberFormat="1" applyFont="1" applyFill="1" applyBorder="1" applyAlignment="1">
      <alignment horizontal="center" vertical="center"/>
    </xf>
    <xf numFmtId="165" fontId="28488" fillId="8" borderId="1" xfId="0" applyNumberFormat="1" applyFont="1" applyFill="1" applyBorder="1" applyAlignment="1">
      <alignment horizontal="center" vertical="center"/>
    </xf>
    <xf numFmtId="1" fontId="28489" fillId="8" borderId="1" xfId="0" applyNumberFormat="1" applyFont="1" applyFill="1" applyBorder="1" applyAlignment="1">
      <alignment horizontal="center" vertical="center"/>
    </xf>
    <xf numFmtId="165" fontId="28490" fillId="8" borderId="1" xfId="0" applyNumberFormat="1" applyFont="1" applyFill="1" applyBorder="1" applyAlignment="1">
      <alignment horizontal="center" vertical="center"/>
    </xf>
    <xf numFmtId="1" fontId="28491" fillId="8" borderId="1" xfId="0" applyNumberFormat="1" applyFont="1" applyFill="1" applyBorder="1" applyAlignment="1">
      <alignment horizontal="center" vertical="center"/>
    </xf>
    <xf numFmtId="165" fontId="28492" fillId="8" borderId="1" xfId="0" applyNumberFormat="1" applyFont="1" applyFill="1" applyBorder="1" applyAlignment="1">
      <alignment horizontal="center" vertical="center"/>
    </xf>
    <xf numFmtId="1" fontId="28493" fillId="8" borderId="1" xfId="0" applyNumberFormat="1" applyFont="1" applyFill="1" applyBorder="1" applyAlignment="1">
      <alignment horizontal="center" vertical="center"/>
    </xf>
    <xf numFmtId="165" fontId="28494" fillId="8" borderId="1" xfId="0" applyNumberFormat="1" applyFont="1" applyFill="1" applyBorder="1" applyAlignment="1">
      <alignment horizontal="center" vertical="center"/>
    </xf>
    <xf numFmtId="165" fontId="28495" fillId="8" borderId="1" xfId="0" applyNumberFormat="1" applyFont="1" applyFill="1" applyBorder="1" applyAlignment="1">
      <alignment horizontal="center" vertical="center"/>
    </xf>
    <xf numFmtId="1" fontId="28496" fillId="8" borderId="1" xfId="0" applyNumberFormat="1" applyFont="1" applyFill="1" applyBorder="1" applyAlignment="1">
      <alignment horizontal="center" vertical="center"/>
    </xf>
    <xf numFmtId="1" fontId="28497" fillId="8" borderId="1" xfId="0" applyNumberFormat="1" applyFont="1" applyFill="1" applyBorder="1" applyAlignment="1">
      <alignment horizontal="center" vertical="center"/>
    </xf>
    <xf numFmtId="1" fontId="28498" fillId="8" borderId="1" xfId="0" applyNumberFormat="1" applyFont="1" applyFill="1" applyBorder="1" applyAlignment="1">
      <alignment horizontal="center" vertical="center"/>
    </xf>
    <xf numFmtId="165" fontId="28499" fillId="8" borderId="1" xfId="0" applyNumberFormat="1" applyFont="1" applyFill="1" applyBorder="1" applyAlignment="1">
      <alignment horizontal="center" vertical="center"/>
    </xf>
    <xf numFmtId="164" fontId="28500" fillId="8" borderId="1" xfId="0" applyNumberFormat="1" applyFont="1" applyFill="1" applyBorder="1" applyAlignment="1">
      <alignment horizontal="center" vertical="center"/>
    </xf>
    <xf numFmtId="164" fontId="28501" fillId="8" borderId="1" xfId="0" applyNumberFormat="1" applyFont="1" applyFill="1" applyBorder="1" applyAlignment="1">
      <alignment horizontal="center" vertical="center"/>
    </xf>
    <xf numFmtId="1" fontId="28502" fillId="8" borderId="1" xfId="0" applyNumberFormat="1" applyFont="1" applyFill="1" applyBorder="1" applyAlignment="1">
      <alignment horizontal="center" vertical="center"/>
    </xf>
    <xf numFmtId="1" fontId="28503" fillId="8" borderId="1" xfId="0" applyNumberFormat="1" applyFont="1" applyFill="1" applyBorder="1" applyAlignment="1">
      <alignment horizontal="center" vertical="center"/>
    </xf>
    <xf numFmtId="1" fontId="28504" fillId="8" borderId="1" xfId="0" applyNumberFormat="1" applyFont="1" applyFill="1" applyBorder="1" applyAlignment="1">
      <alignment horizontal="center" vertical="center"/>
    </xf>
    <xf numFmtId="165" fontId="28505" fillId="8" borderId="1" xfId="0" applyNumberFormat="1" applyFont="1" applyFill="1" applyBorder="1" applyAlignment="1">
      <alignment horizontal="center" vertical="center"/>
    </xf>
    <xf numFmtId="1" fontId="28506" fillId="8" borderId="1" xfId="0" applyNumberFormat="1" applyFont="1" applyFill="1" applyBorder="1" applyAlignment="1">
      <alignment horizontal="center" vertical="center"/>
    </xf>
    <xf numFmtId="165" fontId="28507" fillId="8" borderId="1" xfId="0" applyNumberFormat="1" applyFont="1" applyFill="1" applyBorder="1" applyAlignment="1">
      <alignment horizontal="center" vertical="center"/>
    </xf>
    <xf numFmtId="1" fontId="28508" fillId="8" borderId="1" xfId="0" applyNumberFormat="1" applyFont="1" applyFill="1" applyBorder="1" applyAlignment="1">
      <alignment horizontal="center" vertical="center"/>
    </xf>
    <xf numFmtId="1" fontId="28509" fillId="8" borderId="1" xfId="0" applyNumberFormat="1" applyFont="1" applyFill="1" applyBorder="1" applyAlignment="1">
      <alignment horizontal="center" vertical="center"/>
    </xf>
    <xf numFmtId="1" fontId="28510" fillId="8" borderId="1" xfId="0" applyNumberFormat="1" applyFont="1" applyFill="1" applyBorder="1" applyAlignment="1">
      <alignment horizontal="center" vertical="center"/>
    </xf>
    <xf numFmtId="1" fontId="28511" fillId="8" borderId="1" xfId="0" applyNumberFormat="1" applyFont="1" applyFill="1" applyBorder="1" applyAlignment="1">
      <alignment horizontal="center" vertical="center"/>
    </xf>
    <xf numFmtId="165" fontId="28512" fillId="8" borderId="1" xfId="0" applyNumberFormat="1" applyFont="1" applyFill="1" applyBorder="1" applyAlignment="1">
      <alignment horizontal="center" vertical="center"/>
    </xf>
    <xf numFmtId="1" fontId="28513" fillId="8" borderId="1" xfId="0" applyNumberFormat="1" applyFont="1" applyFill="1" applyBorder="1" applyAlignment="1">
      <alignment horizontal="center" vertical="center"/>
    </xf>
    <xf numFmtId="165" fontId="28514" fillId="8" borderId="1" xfId="0" applyNumberFormat="1" applyFont="1" applyFill="1" applyBorder="1" applyAlignment="1">
      <alignment horizontal="center" vertical="center"/>
    </xf>
    <xf numFmtId="1" fontId="28515" fillId="8" borderId="1" xfId="0" applyNumberFormat="1" applyFont="1" applyFill="1" applyBorder="1" applyAlignment="1">
      <alignment horizontal="center" vertical="center"/>
    </xf>
    <xf numFmtId="165" fontId="28516" fillId="8" borderId="1" xfId="0" applyNumberFormat="1" applyFont="1" applyFill="1" applyBorder="1" applyAlignment="1">
      <alignment horizontal="center" vertical="center"/>
    </xf>
    <xf numFmtId="2" fontId="28517" fillId="8" borderId="1" xfId="0" applyNumberFormat="1" applyFont="1" applyFill="1" applyBorder="1" applyAlignment="1">
      <alignment horizontal="center" vertical="center"/>
    </xf>
    <xf numFmtId="2" fontId="28518" fillId="8" borderId="1" xfId="0" applyNumberFormat="1" applyFont="1" applyFill="1" applyBorder="1" applyAlignment="1">
      <alignment horizontal="center" vertical="center"/>
    </xf>
    <xf numFmtId="2" fontId="28519" fillId="8" borderId="1" xfId="0" applyNumberFormat="1" applyFont="1" applyFill="1" applyBorder="1" applyAlignment="1">
      <alignment horizontal="center" vertical="center"/>
    </xf>
    <xf numFmtId="2" fontId="28520" fillId="8" borderId="1" xfId="0" applyNumberFormat="1" applyFont="1" applyFill="1" applyBorder="1" applyAlignment="1">
      <alignment horizontal="center" vertical="center"/>
    </xf>
    <xf numFmtId="2" fontId="28521" fillId="8" borderId="1" xfId="0" applyNumberFormat="1" applyFont="1" applyFill="1" applyBorder="1" applyAlignment="1">
      <alignment horizontal="center" vertical="center"/>
    </xf>
    <xf numFmtId="2" fontId="28522" fillId="8" borderId="1" xfId="0" applyNumberFormat="1" applyFont="1" applyFill="1" applyBorder="1" applyAlignment="1">
      <alignment horizontal="center" vertical="center"/>
    </xf>
    <xf numFmtId="2" fontId="28523" fillId="8" borderId="1" xfId="0" applyNumberFormat="1" applyFont="1" applyFill="1" applyBorder="1" applyAlignment="1">
      <alignment horizontal="center" vertical="center"/>
    </xf>
    <xf numFmtId="2" fontId="28524" fillId="8" borderId="1" xfId="0" applyNumberFormat="1" applyFont="1" applyFill="1" applyBorder="1" applyAlignment="1">
      <alignment horizontal="center" vertical="center"/>
    </xf>
    <xf numFmtId="2" fontId="28525" fillId="8" borderId="1" xfId="0" applyNumberFormat="1" applyFont="1" applyFill="1" applyBorder="1" applyAlignment="1">
      <alignment horizontal="center" vertical="center"/>
    </xf>
    <xf numFmtId="2" fontId="28526" fillId="8" borderId="1" xfId="0" applyNumberFormat="1" applyFont="1" applyFill="1" applyBorder="1" applyAlignment="1">
      <alignment horizontal="center" vertical="center"/>
    </xf>
    <xf numFmtId="2" fontId="28527" fillId="8" borderId="1" xfId="0" applyNumberFormat="1" applyFont="1" applyFill="1" applyBorder="1" applyAlignment="1">
      <alignment horizontal="center" vertical="center"/>
    </xf>
    <xf numFmtId="2" fontId="28528" fillId="8" borderId="1" xfId="0" applyNumberFormat="1" applyFont="1" applyFill="1" applyBorder="1" applyAlignment="1">
      <alignment horizontal="center" vertical="center"/>
    </xf>
    <xf numFmtId="2" fontId="28529" fillId="8" borderId="1" xfId="0" applyNumberFormat="1" applyFont="1" applyFill="1" applyBorder="1" applyAlignment="1">
      <alignment horizontal="center" vertical="center"/>
    </xf>
    <xf numFmtId="2" fontId="28530" fillId="8" borderId="1" xfId="0" applyNumberFormat="1" applyFont="1" applyFill="1" applyBorder="1" applyAlignment="1">
      <alignment horizontal="center" vertical="center"/>
    </xf>
    <xf numFmtId="2" fontId="28531" fillId="8" borderId="1" xfId="0" applyNumberFormat="1" applyFont="1" applyFill="1" applyBorder="1" applyAlignment="1">
      <alignment horizontal="center" vertical="center"/>
    </xf>
    <xf numFmtId="2" fontId="28532" fillId="8" borderId="1" xfId="0" applyNumberFormat="1" applyFont="1" applyFill="1" applyBorder="1" applyAlignment="1">
      <alignment horizontal="center" vertical="center"/>
    </xf>
    <xf numFmtId="2" fontId="28533" fillId="8" borderId="1" xfId="0" applyNumberFormat="1" applyFont="1" applyFill="1" applyBorder="1" applyAlignment="1">
      <alignment horizontal="center" vertical="center"/>
    </xf>
    <xf numFmtId="2" fontId="28534" fillId="8" borderId="1" xfId="0" applyNumberFormat="1" applyFont="1" applyFill="1" applyBorder="1" applyAlignment="1">
      <alignment horizontal="center" vertical="center"/>
    </xf>
    <xf numFmtId="2" fontId="28535" fillId="8" borderId="1" xfId="0" applyNumberFormat="1" applyFont="1" applyFill="1" applyBorder="1" applyAlignment="1">
      <alignment horizontal="center" vertical="center"/>
    </xf>
    <xf numFmtId="2" fontId="28536" fillId="8" borderId="1" xfId="0" applyNumberFormat="1" applyFont="1" applyFill="1" applyBorder="1" applyAlignment="1">
      <alignment horizontal="center" vertical="center"/>
    </xf>
    <xf numFmtId="2" fontId="28537" fillId="8" borderId="1" xfId="0" applyNumberFormat="1" applyFont="1" applyFill="1" applyBorder="1" applyAlignment="1">
      <alignment horizontal="center" vertical="center"/>
    </xf>
    <xf numFmtId="2" fontId="28538" fillId="8" borderId="1" xfId="0" applyNumberFormat="1" applyFont="1" applyFill="1" applyBorder="1" applyAlignment="1">
      <alignment horizontal="center" vertical="center"/>
    </xf>
    <xf numFmtId="2" fontId="28539" fillId="8" borderId="1" xfId="0" applyNumberFormat="1" applyFont="1" applyFill="1" applyBorder="1" applyAlignment="1">
      <alignment horizontal="center" vertical="center"/>
    </xf>
    <xf numFmtId="2" fontId="28540" fillId="8" borderId="1" xfId="0" applyNumberFormat="1" applyFont="1" applyFill="1" applyBorder="1" applyAlignment="1">
      <alignment horizontal="center" vertical="center"/>
    </xf>
    <xf numFmtId="2" fontId="28541" fillId="8" borderId="1" xfId="0" applyNumberFormat="1" applyFont="1" applyFill="1" applyBorder="1" applyAlignment="1">
      <alignment horizontal="center" vertical="center"/>
    </xf>
    <xf numFmtId="2" fontId="28542" fillId="8" borderId="1" xfId="0" applyNumberFormat="1" applyFont="1" applyFill="1" applyBorder="1" applyAlignment="1">
      <alignment horizontal="center" vertical="center"/>
    </xf>
    <xf numFmtId="2" fontId="28543" fillId="8" borderId="1" xfId="0" applyNumberFormat="1" applyFont="1" applyFill="1" applyBorder="1" applyAlignment="1">
      <alignment horizontal="center" vertical="center"/>
    </xf>
    <xf numFmtId="2" fontId="28544" fillId="8" borderId="1" xfId="0" applyNumberFormat="1" applyFont="1" applyFill="1" applyBorder="1" applyAlignment="1">
      <alignment horizontal="center" vertical="center"/>
    </xf>
    <xf numFmtId="2" fontId="28545" fillId="8" borderId="1" xfId="0" applyNumberFormat="1" applyFont="1" applyFill="1" applyBorder="1" applyAlignment="1">
      <alignment horizontal="center" vertical="center"/>
    </xf>
    <xf numFmtId="2" fontId="28546" fillId="8" borderId="1" xfId="0" applyNumberFormat="1" applyFont="1" applyFill="1" applyBorder="1" applyAlignment="1">
      <alignment horizontal="center" vertical="center"/>
    </xf>
    <xf numFmtId="2" fontId="28547" fillId="8" borderId="1" xfId="0" applyNumberFormat="1" applyFont="1" applyFill="1" applyBorder="1" applyAlignment="1">
      <alignment horizontal="center" vertical="center"/>
    </xf>
    <xf numFmtId="2" fontId="28548" fillId="8" borderId="1" xfId="0" applyNumberFormat="1" applyFont="1" applyFill="1" applyBorder="1" applyAlignment="1">
      <alignment horizontal="center" vertical="center"/>
    </xf>
    <xf numFmtId="2" fontId="28549" fillId="8" borderId="1" xfId="0" applyNumberFormat="1" applyFont="1" applyFill="1" applyBorder="1" applyAlignment="1">
      <alignment horizontal="center" vertical="center"/>
    </xf>
    <xf numFmtId="2" fontId="28550" fillId="8" borderId="1" xfId="0" applyNumberFormat="1" applyFont="1" applyFill="1" applyBorder="1" applyAlignment="1">
      <alignment horizontal="center" vertical="center"/>
    </xf>
    <xf numFmtId="0" fontId="28551" fillId="7" borderId="1" xfId="0" applyNumberFormat="1" applyFont="1" applyFill="1" applyBorder="1" applyAlignment="1">
      <alignment horizontal="left" vertical="center"/>
    </xf>
    <xf numFmtId="0" fontId="28552" fillId="8" borderId="1" xfId="0" applyNumberFormat="1" applyFont="1" applyFill="1" applyBorder="1" applyAlignment="1">
      <alignment horizontal="center" vertical="center"/>
    </xf>
    <xf numFmtId="164" fontId="28553" fillId="8" borderId="1" xfId="0" applyNumberFormat="1" applyFont="1" applyFill="1" applyBorder="1" applyAlignment="1">
      <alignment horizontal="center" vertical="center"/>
    </xf>
    <xf numFmtId="1" fontId="28554" fillId="8" borderId="1" xfId="0" applyNumberFormat="1" applyFont="1" applyFill="1" applyBorder="1" applyAlignment="1">
      <alignment horizontal="center" vertical="center"/>
    </xf>
    <xf numFmtId="1" fontId="28555" fillId="8" borderId="1" xfId="0" applyNumberFormat="1" applyFont="1" applyFill="1" applyBorder="1" applyAlignment="1">
      <alignment horizontal="center" vertical="center"/>
    </xf>
    <xf numFmtId="1" fontId="28556" fillId="8" borderId="1" xfId="0" applyNumberFormat="1" applyFont="1" applyFill="1" applyBorder="1" applyAlignment="1">
      <alignment horizontal="center" vertical="center"/>
    </xf>
    <xf numFmtId="1" fontId="28557" fillId="8" borderId="1" xfId="0" applyNumberFormat="1" applyFont="1" applyFill="1" applyBorder="1" applyAlignment="1">
      <alignment horizontal="center" vertical="center"/>
    </xf>
    <xf numFmtId="1" fontId="28558" fillId="8" borderId="1" xfId="0" applyNumberFormat="1" applyFont="1" applyFill="1" applyBorder="1" applyAlignment="1">
      <alignment horizontal="center" vertical="center"/>
    </xf>
    <xf numFmtId="1" fontId="28559" fillId="8" borderId="1" xfId="0" applyNumberFormat="1" applyFont="1" applyFill="1" applyBorder="1" applyAlignment="1">
      <alignment horizontal="center" vertical="center"/>
    </xf>
    <xf numFmtId="1" fontId="28560" fillId="8" borderId="1" xfId="0" applyNumberFormat="1" applyFont="1" applyFill="1" applyBorder="1" applyAlignment="1">
      <alignment horizontal="center" vertical="center"/>
    </xf>
    <xf numFmtId="0" fontId="28561" fillId="8" borderId="1" xfId="0" applyNumberFormat="1" applyFont="1" applyFill="1" applyBorder="1" applyAlignment="1">
      <alignment horizontal="center" vertical="center"/>
    </xf>
    <xf numFmtId="0" fontId="28562" fillId="8" borderId="1" xfId="0" applyNumberFormat="1" applyFont="1" applyFill="1" applyBorder="1" applyAlignment="1">
      <alignment horizontal="center" vertical="center"/>
    </xf>
    <xf numFmtId="1" fontId="28563" fillId="8" borderId="1" xfId="0" applyNumberFormat="1" applyFont="1" applyFill="1" applyBorder="1" applyAlignment="1">
      <alignment horizontal="center" vertical="center"/>
    </xf>
    <xf numFmtId="1" fontId="28564" fillId="8" borderId="1" xfId="0" applyNumberFormat="1" applyFont="1" applyFill="1" applyBorder="1" applyAlignment="1">
      <alignment horizontal="center" vertical="center"/>
    </xf>
    <xf numFmtId="1" fontId="28565" fillId="8" borderId="1" xfId="0" applyNumberFormat="1" applyFont="1" applyFill="1" applyBorder="1" applyAlignment="1">
      <alignment horizontal="center" vertical="center"/>
    </xf>
    <xf numFmtId="165" fontId="28566" fillId="8" borderId="1" xfId="0" applyNumberFormat="1" applyFont="1" applyFill="1" applyBorder="1" applyAlignment="1">
      <alignment horizontal="center" vertical="center"/>
    </xf>
    <xf numFmtId="1" fontId="28567" fillId="8" borderId="1" xfId="0" applyNumberFormat="1" applyFont="1" applyFill="1" applyBorder="1" applyAlignment="1">
      <alignment horizontal="center" vertical="center"/>
    </xf>
    <xf numFmtId="165" fontId="28568" fillId="8" borderId="1" xfId="0" applyNumberFormat="1" applyFont="1" applyFill="1" applyBorder="1" applyAlignment="1">
      <alignment horizontal="center" vertical="center"/>
    </xf>
    <xf numFmtId="1" fontId="28569" fillId="8" borderId="1" xfId="0" applyNumberFormat="1" applyFont="1" applyFill="1" applyBorder="1" applyAlignment="1">
      <alignment horizontal="center" vertical="center"/>
    </xf>
    <xf numFmtId="165" fontId="28570" fillId="8" borderId="1" xfId="0" applyNumberFormat="1" applyFont="1" applyFill="1" applyBorder="1" applyAlignment="1">
      <alignment horizontal="center" vertical="center"/>
    </xf>
    <xf numFmtId="1" fontId="28571" fillId="8" borderId="1" xfId="0" applyNumberFormat="1" applyFont="1" applyFill="1" applyBorder="1" applyAlignment="1">
      <alignment horizontal="center" vertical="center"/>
    </xf>
    <xf numFmtId="165" fontId="28572" fillId="8" borderId="1" xfId="0" applyNumberFormat="1" applyFont="1" applyFill="1" applyBorder="1" applyAlignment="1">
      <alignment horizontal="center" vertical="center"/>
    </xf>
    <xf numFmtId="165" fontId="28573" fillId="8" borderId="1" xfId="0" applyNumberFormat="1" applyFont="1" applyFill="1" applyBorder="1" applyAlignment="1">
      <alignment horizontal="center" vertical="center"/>
    </xf>
    <xf numFmtId="1" fontId="28574" fillId="8" borderId="1" xfId="0" applyNumberFormat="1" applyFont="1" applyFill="1" applyBorder="1" applyAlignment="1">
      <alignment horizontal="center" vertical="center"/>
    </xf>
    <xf numFmtId="1" fontId="28575" fillId="8" borderId="1" xfId="0" applyNumberFormat="1" applyFont="1" applyFill="1" applyBorder="1" applyAlignment="1">
      <alignment horizontal="center" vertical="center"/>
    </xf>
    <xf numFmtId="1" fontId="28576" fillId="8" borderId="1" xfId="0" applyNumberFormat="1" applyFont="1" applyFill="1" applyBorder="1" applyAlignment="1">
      <alignment horizontal="center" vertical="center"/>
    </xf>
    <xf numFmtId="165" fontId="28577" fillId="8" borderId="1" xfId="0" applyNumberFormat="1" applyFont="1" applyFill="1" applyBorder="1" applyAlignment="1">
      <alignment horizontal="center" vertical="center"/>
    </xf>
    <xf numFmtId="164" fontId="28578" fillId="8" borderId="1" xfId="0" applyNumberFormat="1" applyFont="1" applyFill="1" applyBorder="1" applyAlignment="1">
      <alignment horizontal="center" vertical="center"/>
    </xf>
    <xf numFmtId="164" fontId="28579" fillId="8" borderId="1" xfId="0" applyNumberFormat="1" applyFont="1" applyFill="1" applyBorder="1" applyAlignment="1">
      <alignment horizontal="center" vertical="center"/>
    </xf>
    <xf numFmtId="1" fontId="28580" fillId="8" borderId="1" xfId="0" applyNumberFormat="1" applyFont="1" applyFill="1" applyBorder="1" applyAlignment="1">
      <alignment horizontal="center" vertical="center"/>
    </xf>
    <xf numFmtId="1" fontId="28581" fillId="8" borderId="1" xfId="0" applyNumberFormat="1" applyFont="1" applyFill="1" applyBorder="1" applyAlignment="1">
      <alignment horizontal="center" vertical="center"/>
    </xf>
    <xf numFmtId="1" fontId="28582" fillId="8" borderId="1" xfId="0" applyNumberFormat="1" applyFont="1" applyFill="1" applyBorder="1" applyAlignment="1">
      <alignment horizontal="center" vertical="center"/>
    </xf>
    <xf numFmtId="165" fontId="28583" fillId="8" borderId="1" xfId="0" applyNumberFormat="1" applyFont="1" applyFill="1" applyBorder="1" applyAlignment="1">
      <alignment horizontal="center" vertical="center"/>
    </xf>
    <xf numFmtId="1" fontId="28584" fillId="8" borderId="1" xfId="0" applyNumberFormat="1" applyFont="1" applyFill="1" applyBorder="1" applyAlignment="1">
      <alignment horizontal="center" vertical="center"/>
    </xf>
    <xf numFmtId="165" fontId="28585" fillId="8" borderId="1" xfId="0" applyNumberFormat="1" applyFont="1" applyFill="1" applyBorder="1" applyAlignment="1">
      <alignment horizontal="center" vertical="center"/>
    </xf>
    <xf numFmtId="1" fontId="28586" fillId="8" borderId="1" xfId="0" applyNumberFormat="1" applyFont="1" applyFill="1" applyBorder="1" applyAlignment="1">
      <alignment horizontal="center" vertical="center"/>
    </xf>
    <xf numFmtId="1" fontId="28587" fillId="8" borderId="1" xfId="0" applyNumberFormat="1" applyFont="1" applyFill="1" applyBorder="1" applyAlignment="1">
      <alignment horizontal="center" vertical="center"/>
    </xf>
    <xf numFmtId="1" fontId="28588" fillId="8" borderId="1" xfId="0" applyNumberFormat="1" applyFont="1" applyFill="1" applyBorder="1" applyAlignment="1">
      <alignment horizontal="center" vertical="center"/>
    </xf>
    <xf numFmtId="1" fontId="28589" fillId="8" borderId="1" xfId="0" applyNumberFormat="1" applyFont="1" applyFill="1" applyBorder="1" applyAlignment="1">
      <alignment horizontal="center" vertical="center"/>
    </xf>
    <xf numFmtId="165" fontId="28590" fillId="8" borderId="1" xfId="0" applyNumberFormat="1" applyFont="1" applyFill="1" applyBorder="1" applyAlignment="1">
      <alignment horizontal="center" vertical="center"/>
    </xf>
    <xf numFmtId="1" fontId="28591" fillId="8" borderId="1" xfId="0" applyNumberFormat="1" applyFont="1" applyFill="1" applyBorder="1" applyAlignment="1">
      <alignment horizontal="center" vertical="center"/>
    </xf>
    <xf numFmtId="165" fontId="28592" fillId="8" borderId="1" xfId="0" applyNumberFormat="1" applyFont="1" applyFill="1" applyBorder="1" applyAlignment="1">
      <alignment horizontal="center" vertical="center"/>
    </xf>
    <xf numFmtId="1" fontId="28593" fillId="8" borderId="1" xfId="0" applyNumberFormat="1" applyFont="1" applyFill="1" applyBorder="1" applyAlignment="1">
      <alignment horizontal="center" vertical="center"/>
    </xf>
    <xf numFmtId="165" fontId="28594" fillId="8" borderId="1" xfId="0" applyNumberFormat="1" applyFont="1" applyFill="1" applyBorder="1" applyAlignment="1">
      <alignment horizontal="center" vertical="center"/>
    </xf>
    <xf numFmtId="2" fontId="28595" fillId="8" borderId="1" xfId="0" applyNumberFormat="1" applyFont="1" applyFill="1" applyBorder="1" applyAlignment="1">
      <alignment horizontal="center" vertical="center"/>
    </xf>
    <xf numFmtId="2" fontId="28596" fillId="8" borderId="1" xfId="0" applyNumberFormat="1" applyFont="1" applyFill="1" applyBorder="1" applyAlignment="1">
      <alignment horizontal="center" vertical="center"/>
    </xf>
    <xf numFmtId="2" fontId="28597" fillId="8" borderId="1" xfId="0" applyNumberFormat="1" applyFont="1" applyFill="1" applyBorder="1" applyAlignment="1">
      <alignment horizontal="center" vertical="center"/>
    </xf>
    <xf numFmtId="2" fontId="28598" fillId="8" borderId="1" xfId="0" applyNumberFormat="1" applyFont="1" applyFill="1" applyBorder="1" applyAlignment="1">
      <alignment horizontal="center" vertical="center"/>
    </xf>
    <xf numFmtId="2" fontId="28599" fillId="8" borderId="1" xfId="0" applyNumberFormat="1" applyFont="1" applyFill="1" applyBorder="1" applyAlignment="1">
      <alignment horizontal="center" vertical="center"/>
    </xf>
    <xf numFmtId="2" fontId="28600" fillId="8" borderId="1" xfId="0" applyNumberFormat="1" applyFont="1" applyFill="1" applyBorder="1" applyAlignment="1">
      <alignment horizontal="center" vertical="center"/>
    </xf>
    <xf numFmtId="2" fontId="28601" fillId="8" borderId="1" xfId="0" applyNumberFormat="1" applyFont="1" applyFill="1" applyBorder="1" applyAlignment="1">
      <alignment horizontal="center" vertical="center"/>
    </xf>
    <xf numFmtId="2" fontId="28602" fillId="8" borderId="1" xfId="0" applyNumberFormat="1" applyFont="1" applyFill="1" applyBorder="1" applyAlignment="1">
      <alignment horizontal="center" vertical="center"/>
    </xf>
    <xf numFmtId="2" fontId="28603" fillId="8" borderId="1" xfId="0" applyNumberFormat="1" applyFont="1" applyFill="1" applyBorder="1" applyAlignment="1">
      <alignment horizontal="center" vertical="center"/>
    </xf>
    <xf numFmtId="2" fontId="28604" fillId="8" borderId="1" xfId="0" applyNumberFormat="1" applyFont="1" applyFill="1" applyBorder="1" applyAlignment="1">
      <alignment horizontal="center" vertical="center"/>
    </xf>
    <xf numFmtId="2" fontId="28605" fillId="8" borderId="1" xfId="0" applyNumberFormat="1" applyFont="1" applyFill="1" applyBorder="1" applyAlignment="1">
      <alignment horizontal="center" vertical="center"/>
    </xf>
    <xf numFmtId="2" fontId="28606" fillId="8" borderId="1" xfId="0" applyNumberFormat="1" applyFont="1" applyFill="1" applyBorder="1" applyAlignment="1">
      <alignment horizontal="center" vertical="center"/>
    </xf>
    <xf numFmtId="2" fontId="28607" fillId="8" borderId="1" xfId="0" applyNumberFormat="1" applyFont="1" applyFill="1" applyBorder="1" applyAlignment="1">
      <alignment horizontal="center" vertical="center"/>
    </xf>
    <xf numFmtId="2" fontId="28608" fillId="8" borderId="1" xfId="0" applyNumberFormat="1" applyFont="1" applyFill="1" applyBorder="1" applyAlignment="1">
      <alignment horizontal="center" vertical="center"/>
    </xf>
    <xf numFmtId="2" fontId="28609" fillId="8" borderId="1" xfId="0" applyNumberFormat="1" applyFont="1" applyFill="1" applyBorder="1" applyAlignment="1">
      <alignment horizontal="center" vertical="center"/>
    </xf>
    <xf numFmtId="2" fontId="28610" fillId="8" borderId="1" xfId="0" applyNumberFormat="1" applyFont="1" applyFill="1" applyBorder="1" applyAlignment="1">
      <alignment horizontal="center" vertical="center"/>
    </xf>
    <xf numFmtId="2" fontId="28611" fillId="8" borderId="1" xfId="0" applyNumberFormat="1" applyFont="1" applyFill="1" applyBorder="1" applyAlignment="1">
      <alignment horizontal="center" vertical="center"/>
    </xf>
    <xf numFmtId="2" fontId="28612" fillId="8" borderId="1" xfId="0" applyNumberFormat="1" applyFont="1" applyFill="1" applyBorder="1" applyAlignment="1">
      <alignment horizontal="center" vertical="center"/>
    </xf>
    <xf numFmtId="2" fontId="28613" fillId="8" borderId="1" xfId="0" applyNumberFormat="1" applyFont="1" applyFill="1" applyBorder="1" applyAlignment="1">
      <alignment horizontal="center" vertical="center"/>
    </xf>
    <xf numFmtId="2" fontId="28614" fillId="8" borderId="1" xfId="0" applyNumberFormat="1" applyFont="1" applyFill="1" applyBorder="1" applyAlignment="1">
      <alignment horizontal="center" vertical="center"/>
    </xf>
    <xf numFmtId="2" fontId="28615" fillId="8" borderId="1" xfId="0" applyNumberFormat="1" applyFont="1" applyFill="1" applyBorder="1" applyAlignment="1">
      <alignment horizontal="center" vertical="center"/>
    </xf>
    <xf numFmtId="2" fontId="28616" fillId="8" borderId="1" xfId="0" applyNumberFormat="1" applyFont="1" applyFill="1" applyBorder="1" applyAlignment="1">
      <alignment horizontal="center" vertical="center"/>
    </xf>
    <xf numFmtId="2" fontId="28617" fillId="8" borderId="1" xfId="0" applyNumberFormat="1" applyFont="1" applyFill="1" applyBorder="1" applyAlignment="1">
      <alignment horizontal="center" vertical="center"/>
    </xf>
    <xf numFmtId="2" fontId="28618" fillId="8" borderId="1" xfId="0" applyNumberFormat="1" applyFont="1" applyFill="1" applyBorder="1" applyAlignment="1">
      <alignment horizontal="center" vertical="center"/>
    </xf>
    <xf numFmtId="2" fontId="28619" fillId="8" borderId="1" xfId="0" applyNumberFormat="1" applyFont="1" applyFill="1" applyBorder="1" applyAlignment="1">
      <alignment horizontal="center" vertical="center"/>
    </xf>
    <xf numFmtId="2" fontId="28620" fillId="8" borderId="1" xfId="0" applyNumberFormat="1" applyFont="1" applyFill="1" applyBorder="1" applyAlignment="1">
      <alignment horizontal="center" vertical="center"/>
    </xf>
    <xf numFmtId="2" fontId="28621" fillId="8" borderId="1" xfId="0" applyNumberFormat="1" applyFont="1" applyFill="1" applyBorder="1" applyAlignment="1">
      <alignment horizontal="center" vertical="center"/>
    </xf>
    <xf numFmtId="2" fontId="28622" fillId="8" borderId="1" xfId="0" applyNumberFormat="1" applyFont="1" applyFill="1" applyBorder="1" applyAlignment="1">
      <alignment horizontal="center" vertical="center"/>
    </xf>
    <xf numFmtId="2" fontId="28623" fillId="8" borderId="1" xfId="0" applyNumberFormat="1" applyFont="1" applyFill="1" applyBorder="1" applyAlignment="1">
      <alignment horizontal="center" vertical="center"/>
    </xf>
    <xf numFmtId="2" fontId="28624" fillId="8" borderId="1" xfId="0" applyNumberFormat="1" applyFont="1" applyFill="1" applyBorder="1" applyAlignment="1">
      <alignment horizontal="center" vertical="center"/>
    </xf>
    <xf numFmtId="2" fontId="28625" fillId="8" borderId="1" xfId="0" applyNumberFormat="1" applyFont="1" applyFill="1" applyBorder="1" applyAlignment="1">
      <alignment horizontal="center" vertical="center"/>
    </xf>
    <xf numFmtId="2" fontId="28626" fillId="8" borderId="1" xfId="0" applyNumberFormat="1" applyFont="1" applyFill="1" applyBorder="1" applyAlignment="1">
      <alignment horizontal="center" vertical="center"/>
    </xf>
    <xf numFmtId="2" fontId="28627" fillId="8" borderId="1" xfId="0" applyNumberFormat="1" applyFont="1" applyFill="1" applyBorder="1" applyAlignment="1">
      <alignment horizontal="center" vertical="center"/>
    </xf>
    <xf numFmtId="2" fontId="28628" fillId="8" borderId="1" xfId="0" applyNumberFormat="1" applyFont="1" applyFill="1" applyBorder="1" applyAlignment="1">
      <alignment horizontal="center" vertical="center"/>
    </xf>
    <xf numFmtId="0" fontId="28629" fillId="7" borderId="1" xfId="0" applyNumberFormat="1" applyFont="1" applyFill="1" applyBorder="1" applyAlignment="1">
      <alignment horizontal="left" vertical="center"/>
    </xf>
    <xf numFmtId="0" fontId="28630" fillId="8" borderId="1" xfId="0" applyNumberFormat="1" applyFont="1" applyFill="1" applyBorder="1" applyAlignment="1">
      <alignment horizontal="center" vertical="center"/>
    </xf>
    <xf numFmtId="164" fontId="28631" fillId="8" borderId="1" xfId="0" applyNumberFormat="1" applyFont="1" applyFill="1" applyBorder="1" applyAlignment="1">
      <alignment horizontal="center" vertical="center"/>
    </xf>
    <xf numFmtId="1" fontId="28632" fillId="8" borderId="1" xfId="0" applyNumberFormat="1" applyFont="1" applyFill="1" applyBorder="1" applyAlignment="1">
      <alignment horizontal="center" vertical="center"/>
    </xf>
    <xf numFmtId="1" fontId="28633" fillId="8" borderId="1" xfId="0" applyNumberFormat="1" applyFont="1" applyFill="1" applyBorder="1" applyAlignment="1">
      <alignment horizontal="center" vertical="center"/>
    </xf>
    <xf numFmtId="1" fontId="28634" fillId="8" borderId="1" xfId="0" applyNumberFormat="1" applyFont="1" applyFill="1" applyBorder="1" applyAlignment="1">
      <alignment horizontal="center" vertical="center"/>
    </xf>
    <xf numFmtId="1" fontId="28635" fillId="8" borderId="1" xfId="0" applyNumberFormat="1" applyFont="1" applyFill="1" applyBorder="1" applyAlignment="1">
      <alignment horizontal="center" vertical="center"/>
    </xf>
    <xf numFmtId="1" fontId="28636" fillId="8" borderId="1" xfId="0" applyNumberFormat="1" applyFont="1" applyFill="1" applyBorder="1" applyAlignment="1">
      <alignment horizontal="center" vertical="center"/>
    </xf>
    <xf numFmtId="1" fontId="28637" fillId="8" borderId="1" xfId="0" applyNumberFormat="1" applyFont="1" applyFill="1" applyBorder="1" applyAlignment="1">
      <alignment horizontal="center" vertical="center"/>
    </xf>
    <xf numFmtId="1" fontId="28638" fillId="8" borderId="1" xfId="0" applyNumberFormat="1" applyFont="1" applyFill="1" applyBorder="1" applyAlignment="1">
      <alignment horizontal="center" vertical="center"/>
    </xf>
    <xf numFmtId="0" fontId="28639" fillId="8" borderId="1" xfId="0" applyNumberFormat="1" applyFont="1" applyFill="1" applyBorder="1" applyAlignment="1">
      <alignment horizontal="center" vertical="center"/>
    </xf>
    <xf numFmtId="0" fontId="28640" fillId="8" borderId="1" xfId="0" applyNumberFormat="1" applyFont="1" applyFill="1" applyBorder="1" applyAlignment="1">
      <alignment horizontal="center" vertical="center"/>
    </xf>
    <xf numFmtId="1" fontId="28641" fillId="8" borderId="1" xfId="0" applyNumberFormat="1" applyFont="1" applyFill="1" applyBorder="1" applyAlignment="1">
      <alignment horizontal="center" vertical="center"/>
    </xf>
    <xf numFmtId="1" fontId="28642" fillId="8" borderId="1" xfId="0" applyNumberFormat="1" applyFont="1" applyFill="1" applyBorder="1" applyAlignment="1">
      <alignment horizontal="center" vertical="center"/>
    </xf>
    <xf numFmtId="1" fontId="28643" fillId="8" borderId="1" xfId="0" applyNumberFormat="1" applyFont="1" applyFill="1" applyBorder="1" applyAlignment="1">
      <alignment horizontal="center" vertical="center"/>
    </xf>
    <xf numFmtId="165" fontId="28644" fillId="8" borderId="1" xfId="0" applyNumberFormat="1" applyFont="1" applyFill="1" applyBorder="1" applyAlignment="1">
      <alignment horizontal="center" vertical="center"/>
    </xf>
    <xf numFmtId="1" fontId="28645" fillId="8" borderId="1" xfId="0" applyNumberFormat="1" applyFont="1" applyFill="1" applyBorder="1" applyAlignment="1">
      <alignment horizontal="center" vertical="center"/>
    </xf>
    <xf numFmtId="165" fontId="28646" fillId="8" borderId="1" xfId="0" applyNumberFormat="1" applyFont="1" applyFill="1" applyBorder="1" applyAlignment="1">
      <alignment horizontal="center" vertical="center"/>
    </xf>
    <xf numFmtId="1" fontId="28647" fillId="8" borderId="1" xfId="0" applyNumberFormat="1" applyFont="1" applyFill="1" applyBorder="1" applyAlignment="1">
      <alignment horizontal="center" vertical="center"/>
    </xf>
    <xf numFmtId="165" fontId="28648" fillId="8" borderId="1" xfId="0" applyNumberFormat="1" applyFont="1" applyFill="1" applyBorder="1" applyAlignment="1">
      <alignment horizontal="center" vertical="center"/>
    </xf>
    <xf numFmtId="1" fontId="28649" fillId="8" borderId="1" xfId="0" applyNumberFormat="1" applyFont="1" applyFill="1" applyBorder="1" applyAlignment="1">
      <alignment horizontal="center" vertical="center"/>
    </xf>
    <xf numFmtId="165" fontId="28650" fillId="8" borderId="1" xfId="0" applyNumberFormat="1" applyFont="1" applyFill="1" applyBorder="1" applyAlignment="1">
      <alignment horizontal="center" vertical="center"/>
    </xf>
    <xf numFmtId="165" fontId="28651" fillId="8" borderId="1" xfId="0" applyNumberFormat="1" applyFont="1" applyFill="1" applyBorder="1" applyAlignment="1">
      <alignment horizontal="center" vertical="center"/>
    </xf>
    <xf numFmtId="1" fontId="28652" fillId="8" borderId="1" xfId="0" applyNumberFormat="1" applyFont="1" applyFill="1" applyBorder="1" applyAlignment="1">
      <alignment horizontal="center" vertical="center"/>
    </xf>
    <xf numFmtId="1" fontId="28653" fillId="8" borderId="1" xfId="0" applyNumberFormat="1" applyFont="1" applyFill="1" applyBorder="1" applyAlignment="1">
      <alignment horizontal="center" vertical="center"/>
    </xf>
    <xf numFmtId="1" fontId="28654" fillId="8" borderId="1" xfId="0" applyNumberFormat="1" applyFont="1" applyFill="1" applyBorder="1" applyAlignment="1">
      <alignment horizontal="center" vertical="center"/>
    </xf>
    <xf numFmtId="165" fontId="28655" fillId="8" borderId="1" xfId="0" applyNumberFormat="1" applyFont="1" applyFill="1" applyBorder="1" applyAlignment="1">
      <alignment horizontal="center" vertical="center"/>
    </xf>
    <xf numFmtId="164" fontId="28656" fillId="8" borderId="1" xfId="0" applyNumberFormat="1" applyFont="1" applyFill="1" applyBorder="1" applyAlignment="1">
      <alignment horizontal="center" vertical="center"/>
    </xf>
    <xf numFmtId="164" fontId="28657" fillId="8" borderId="1" xfId="0" applyNumberFormat="1" applyFont="1" applyFill="1" applyBorder="1" applyAlignment="1">
      <alignment horizontal="center" vertical="center"/>
    </xf>
    <xf numFmtId="1" fontId="28658" fillId="8" borderId="1" xfId="0" applyNumberFormat="1" applyFont="1" applyFill="1" applyBorder="1" applyAlignment="1">
      <alignment horizontal="center" vertical="center"/>
    </xf>
    <xf numFmtId="1" fontId="28659" fillId="8" borderId="1" xfId="0" applyNumberFormat="1" applyFont="1" applyFill="1" applyBorder="1" applyAlignment="1">
      <alignment horizontal="center" vertical="center"/>
    </xf>
    <xf numFmtId="1" fontId="28660" fillId="8" borderId="1" xfId="0" applyNumberFormat="1" applyFont="1" applyFill="1" applyBorder="1" applyAlignment="1">
      <alignment horizontal="center" vertical="center"/>
    </xf>
    <xf numFmtId="165" fontId="28661" fillId="8" borderId="1" xfId="0" applyNumberFormat="1" applyFont="1" applyFill="1" applyBorder="1" applyAlignment="1">
      <alignment horizontal="center" vertical="center"/>
    </xf>
    <xf numFmtId="1" fontId="28662" fillId="8" borderId="1" xfId="0" applyNumberFormat="1" applyFont="1" applyFill="1" applyBorder="1" applyAlignment="1">
      <alignment horizontal="center" vertical="center"/>
    </xf>
    <xf numFmtId="165" fontId="28663" fillId="8" borderId="1" xfId="0" applyNumberFormat="1" applyFont="1" applyFill="1" applyBorder="1" applyAlignment="1">
      <alignment horizontal="center" vertical="center"/>
    </xf>
    <xf numFmtId="1" fontId="28664" fillId="8" borderId="1" xfId="0" applyNumberFormat="1" applyFont="1" applyFill="1" applyBorder="1" applyAlignment="1">
      <alignment horizontal="center" vertical="center"/>
    </xf>
    <xf numFmtId="1" fontId="28665" fillId="8" borderId="1" xfId="0" applyNumberFormat="1" applyFont="1" applyFill="1" applyBorder="1" applyAlignment="1">
      <alignment horizontal="center" vertical="center"/>
    </xf>
    <xf numFmtId="1" fontId="28666" fillId="8" borderId="1" xfId="0" applyNumberFormat="1" applyFont="1" applyFill="1" applyBorder="1" applyAlignment="1">
      <alignment horizontal="center" vertical="center"/>
    </xf>
    <xf numFmtId="1" fontId="28667" fillId="8" borderId="1" xfId="0" applyNumberFormat="1" applyFont="1" applyFill="1" applyBorder="1" applyAlignment="1">
      <alignment horizontal="center" vertical="center"/>
    </xf>
    <xf numFmtId="165" fontId="28668" fillId="8" borderId="1" xfId="0" applyNumberFormat="1" applyFont="1" applyFill="1" applyBorder="1" applyAlignment="1">
      <alignment horizontal="center" vertical="center"/>
    </xf>
    <xf numFmtId="1" fontId="28669" fillId="8" borderId="1" xfId="0" applyNumberFormat="1" applyFont="1" applyFill="1" applyBorder="1" applyAlignment="1">
      <alignment horizontal="center" vertical="center"/>
    </xf>
    <xf numFmtId="165" fontId="28670" fillId="8" borderId="1" xfId="0" applyNumberFormat="1" applyFont="1" applyFill="1" applyBorder="1" applyAlignment="1">
      <alignment horizontal="center" vertical="center"/>
    </xf>
    <xf numFmtId="1" fontId="28671" fillId="8" borderId="1" xfId="0" applyNumberFormat="1" applyFont="1" applyFill="1" applyBorder="1" applyAlignment="1">
      <alignment horizontal="center" vertical="center"/>
    </xf>
    <xf numFmtId="165" fontId="28672" fillId="8" borderId="1" xfId="0" applyNumberFormat="1" applyFont="1" applyFill="1" applyBorder="1" applyAlignment="1">
      <alignment horizontal="center" vertical="center"/>
    </xf>
    <xf numFmtId="2" fontId="28673" fillId="8" borderId="1" xfId="0" applyNumberFormat="1" applyFont="1" applyFill="1" applyBorder="1" applyAlignment="1">
      <alignment horizontal="center" vertical="center"/>
    </xf>
    <xf numFmtId="2" fontId="28674" fillId="8" borderId="1" xfId="0" applyNumberFormat="1" applyFont="1" applyFill="1" applyBorder="1" applyAlignment="1">
      <alignment horizontal="center" vertical="center"/>
    </xf>
    <xf numFmtId="2" fontId="28675" fillId="8" borderId="1" xfId="0" applyNumberFormat="1" applyFont="1" applyFill="1" applyBorder="1" applyAlignment="1">
      <alignment horizontal="center" vertical="center"/>
    </xf>
    <xf numFmtId="2" fontId="28676" fillId="8" borderId="1" xfId="0" applyNumberFormat="1" applyFont="1" applyFill="1" applyBorder="1" applyAlignment="1">
      <alignment horizontal="center" vertical="center"/>
    </xf>
    <xf numFmtId="2" fontId="28677" fillId="8" borderId="1" xfId="0" applyNumberFormat="1" applyFont="1" applyFill="1" applyBorder="1" applyAlignment="1">
      <alignment horizontal="center" vertical="center"/>
    </xf>
    <xf numFmtId="2" fontId="28678" fillId="8" borderId="1" xfId="0" applyNumberFormat="1" applyFont="1" applyFill="1" applyBorder="1" applyAlignment="1">
      <alignment horizontal="center" vertical="center"/>
    </xf>
    <xf numFmtId="2" fontId="28679" fillId="8" borderId="1" xfId="0" applyNumberFormat="1" applyFont="1" applyFill="1" applyBorder="1" applyAlignment="1">
      <alignment horizontal="center" vertical="center"/>
    </xf>
    <xf numFmtId="2" fontId="28680" fillId="8" borderId="1" xfId="0" applyNumberFormat="1" applyFont="1" applyFill="1" applyBorder="1" applyAlignment="1">
      <alignment horizontal="center" vertical="center"/>
    </xf>
    <xf numFmtId="2" fontId="28681" fillId="8" borderId="1" xfId="0" applyNumberFormat="1" applyFont="1" applyFill="1" applyBorder="1" applyAlignment="1">
      <alignment horizontal="center" vertical="center"/>
    </xf>
    <xf numFmtId="2" fontId="28682" fillId="8" borderId="1" xfId="0" applyNumberFormat="1" applyFont="1" applyFill="1" applyBorder="1" applyAlignment="1">
      <alignment horizontal="center" vertical="center"/>
    </xf>
    <xf numFmtId="2" fontId="28683" fillId="8" borderId="1" xfId="0" applyNumberFormat="1" applyFont="1" applyFill="1" applyBorder="1" applyAlignment="1">
      <alignment horizontal="center" vertical="center"/>
    </xf>
    <xf numFmtId="2" fontId="28684" fillId="8" borderId="1" xfId="0" applyNumberFormat="1" applyFont="1" applyFill="1" applyBorder="1" applyAlignment="1">
      <alignment horizontal="center" vertical="center"/>
    </xf>
    <xf numFmtId="2" fontId="28685" fillId="8" borderId="1" xfId="0" applyNumberFormat="1" applyFont="1" applyFill="1" applyBorder="1" applyAlignment="1">
      <alignment horizontal="center" vertical="center"/>
    </xf>
    <xf numFmtId="2" fontId="28686" fillId="8" borderId="1" xfId="0" applyNumberFormat="1" applyFont="1" applyFill="1" applyBorder="1" applyAlignment="1">
      <alignment horizontal="center" vertical="center"/>
    </xf>
    <xf numFmtId="2" fontId="28687" fillId="8" borderId="1" xfId="0" applyNumberFormat="1" applyFont="1" applyFill="1" applyBorder="1" applyAlignment="1">
      <alignment horizontal="center" vertical="center"/>
    </xf>
    <xf numFmtId="2" fontId="28688" fillId="8" borderId="1" xfId="0" applyNumberFormat="1" applyFont="1" applyFill="1" applyBorder="1" applyAlignment="1">
      <alignment horizontal="center" vertical="center"/>
    </xf>
    <xf numFmtId="2" fontId="28689" fillId="8" borderId="1" xfId="0" applyNumberFormat="1" applyFont="1" applyFill="1" applyBorder="1" applyAlignment="1">
      <alignment horizontal="center" vertical="center"/>
    </xf>
    <xf numFmtId="2" fontId="28690" fillId="8" borderId="1" xfId="0" applyNumberFormat="1" applyFont="1" applyFill="1" applyBorder="1" applyAlignment="1">
      <alignment horizontal="center" vertical="center"/>
    </xf>
    <xf numFmtId="2" fontId="28691" fillId="8" borderId="1" xfId="0" applyNumberFormat="1" applyFont="1" applyFill="1" applyBorder="1" applyAlignment="1">
      <alignment horizontal="center" vertical="center"/>
    </xf>
    <xf numFmtId="2" fontId="28692" fillId="8" borderId="1" xfId="0" applyNumberFormat="1" applyFont="1" applyFill="1" applyBorder="1" applyAlignment="1">
      <alignment horizontal="center" vertical="center"/>
    </xf>
    <xf numFmtId="2" fontId="28693" fillId="8" borderId="1" xfId="0" applyNumberFormat="1" applyFont="1" applyFill="1" applyBorder="1" applyAlignment="1">
      <alignment horizontal="center" vertical="center"/>
    </xf>
    <xf numFmtId="2" fontId="28694" fillId="8" borderId="1" xfId="0" applyNumberFormat="1" applyFont="1" applyFill="1" applyBorder="1" applyAlignment="1">
      <alignment horizontal="center" vertical="center"/>
    </xf>
    <xf numFmtId="2" fontId="28695" fillId="8" borderId="1" xfId="0" applyNumberFormat="1" applyFont="1" applyFill="1" applyBorder="1" applyAlignment="1">
      <alignment horizontal="center" vertical="center"/>
    </xf>
    <xf numFmtId="2" fontId="28696" fillId="8" borderId="1" xfId="0" applyNumberFormat="1" applyFont="1" applyFill="1" applyBorder="1" applyAlignment="1">
      <alignment horizontal="center" vertical="center"/>
    </xf>
    <xf numFmtId="2" fontId="28697" fillId="8" borderId="1" xfId="0" applyNumberFormat="1" applyFont="1" applyFill="1" applyBorder="1" applyAlignment="1">
      <alignment horizontal="center" vertical="center"/>
    </xf>
    <xf numFmtId="2" fontId="28698" fillId="8" borderId="1" xfId="0" applyNumberFormat="1" applyFont="1" applyFill="1" applyBorder="1" applyAlignment="1">
      <alignment horizontal="center" vertical="center"/>
    </xf>
    <xf numFmtId="2" fontId="28699" fillId="8" borderId="1" xfId="0" applyNumberFormat="1" applyFont="1" applyFill="1" applyBorder="1" applyAlignment="1">
      <alignment horizontal="center" vertical="center"/>
    </xf>
    <xf numFmtId="2" fontId="28700" fillId="8" borderId="1" xfId="0" applyNumberFormat="1" applyFont="1" applyFill="1" applyBorder="1" applyAlignment="1">
      <alignment horizontal="center" vertical="center"/>
    </xf>
    <xf numFmtId="2" fontId="28701" fillId="8" borderId="1" xfId="0" applyNumberFormat="1" applyFont="1" applyFill="1" applyBorder="1" applyAlignment="1">
      <alignment horizontal="center" vertical="center"/>
    </xf>
    <xf numFmtId="2" fontId="28702" fillId="8" borderId="1" xfId="0" applyNumberFormat="1" applyFont="1" applyFill="1" applyBorder="1" applyAlignment="1">
      <alignment horizontal="center" vertical="center"/>
    </xf>
    <xf numFmtId="2" fontId="28703" fillId="8" borderId="1" xfId="0" applyNumberFormat="1" applyFont="1" applyFill="1" applyBorder="1" applyAlignment="1">
      <alignment horizontal="center" vertical="center"/>
    </xf>
    <xf numFmtId="2" fontId="28704" fillId="8" borderId="1" xfId="0" applyNumberFormat="1" applyFont="1" applyFill="1" applyBorder="1" applyAlignment="1">
      <alignment horizontal="center" vertical="center"/>
    </xf>
    <xf numFmtId="2" fontId="28705" fillId="8" borderId="1" xfId="0" applyNumberFormat="1" applyFont="1" applyFill="1" applyBorder="1" applyAlignment="1">
      <alignment horizontal="center" vertical="center"/>
    </xf>
    <xf numFmtId="2" fontId="28706" fillId="8" borderId="1" xfId="0" applyNumberFormat="1" applyFont="1" applyFill="1" applyBorder="1" applyAlignment="1">
      <alignment horizontal="center" vertical="center"/>
    </xf>
    <xf numFmtId="0" fontId="28707" fillId="7" borderId="1" xfId="0" applyNumberFormat="1" applyFont="1" applyFill="1" applyBorder="1" applyAlignment="1">
      <alignment horizontal="left" vertical="center"/>
    </xf>
    <xf numFmtId="0" fontId="28708" fillId="8" borderId="1" xfId="0" applyNumberFormat="1" applyFont="1" applyFill="1" applyBorder="1" applyAlignment="1">
      <alignment horizontal="center" vertical="center"/>
    </xf>
    <xf numFmtId="164" fontId="28709" fillId="8" borderId="1" xfId="0" applyNumberFormat="1" applyFont="1" applyFill="1" applyBorder="1" applyAlignment="1">
      <alignment horizontal="center" vertical="center"/>
    </xf>
    <xf numFmtId="1" fontId="28710" fillId="8" borderId="1" xfId="0" applyNumberFormat="1" applyFont="1" applyFill="1" applyBorder="1" applyAlignment="1">
      <alignment horizontal="center" vertical="center"/>
    </xf>
    <xf numFmtId="1" fontId="28711" fillId="8" borderId="1" xfId="0" applyNumberFormat="1" applyFont="1" applyFill="1" applyBorder="1" applyAlignment="1">
      <alignment horizontal="center" vertical="center"/>
    </xf>
    <xf numFmtId="1" fontId="28712" fillId="8" borderId="1" xfId="0" applyNumberFormat="1" applyFont="1" applyFill="1" applyBorder="1" applyAlignment="1">
      <alignment horizontal="center" vertical="center"/>
    </xf>
    <xf numFmtId="1" fontId="28713" fillId="8" borderId="1" xfId="0" applyNumberFormat="1" applyFont="1" applyFill="1" applyBorder="1" applyAlignment="1">
      <alignment horizontal="center" vertical="center"/>
    </xf>
    <xf numFmtId="1" fontId="28714" fillId="8" borderId="1" xfId="0" applyNumberFormat="1" applyFont="1" applyFill="1" applyBorder="1" applyAlignment="1">
      <alignment horizontal="center" vertical="center"/>
    </xf>
    <xf numFmtId="1" fontId="28715" fillId="8" borderId="1" xfId="0" applyNumberFormat="1" applyFont="1" applyFill="1" applyBorder="1" applyAlignment="1">
      <alignment horizontal="center" vertical="center"/>
    </xf>
    <xf numFmtId="1" fontId="28716" fillId="8" borderId="1" xfId="0" applyNumberFormat="1" applyFont="1" applyFill="1" applyBorder="1" applyAlignment="1">
      <alignment horizontal="center" vertical="center"/>
    </xf>
    <xf numFmtId="0" fontId="28717" fillId="8" borderId="1" xfId="0" applyNumberFormat="1" applyFont="1" applyFill="1" applyBorder="1" applyAlignment="1">
      <alignment horizontal="center" vertical="center"/>
    </xf>
    <xf numFmtId="0" fontId="28718" fillId="8" borderId="1" xfId="0" applyNumberFormat="1" applyFont="1" applyFill="1" applyBorder="1" applyAlignment="1">
      <alignment horizontal="center" vertical="center"/>
    </xf>
    <xf numFmtId="1" fontId="28719" fillId="8" borderId="1" xfId="0" applyNumberFormat="1" applyFont="1" applyFill="1" applyBorder="1" applyAlignment="1">
      <alignment horizontal="center" vertical="center"/>
    </xf>
    <xf numFmtId="1" fontId="28720" fillId="8" borderId="1" xfId="0" applyNumberFormat="1" applyFont="1" applyFill="1" applyBorder="1" applyAlignment="1">
      <alignment horizontal="center" vertical="center"/>
    </xf>
    <xf numFmtId="1" fontId="28721" fillId="8" borderId="1" xfId="0" applyNumberFormat="1" applyFont="1" applyFill="1" applyBorder="1" applyAlignment="1">
      <alignment horizontal="center" vertical="center"/>
    </xf>
    <xf numFmtId="165" fontId="28722" fillId="8" borderId="1" xfId="0" applyNumberFormat="1" applyFont="1" applyFill="1" applyBorder="1" applyAlignment="1">
      <alignment horizontal="center" vertical="center"/>
    </xf>
    <xf numFmtId="1" fontId="28723" fillId="8" borderId="1" xfId="0" applyNumberFormat="1" applyFont="1" applyFill="1" applyBorder="1" applyAlignment="1">
      <alignment horizontal="center" vertical="center"/>
    </xf>
    <xf numFmtId="165" fontId="28724" fillId="8" borderId="1" xfId="0" applyNumberFormat="1" applyFont="1" applyFill="1" applyBorder="1" applyAlignment="1">
      <alignment horizontal="center" vertical="center"/>
    </xf>
    <xf numFmtId="1" fontId="28725" fillId="8" borderId="1" xfId="0" applyNumberFormat="1" applyFont="1" applyFill="1" applyBorder="1" applyAlignment="1">
      <alignment horizontal="center" vertical="center"/>
    </xf>
    <xf numFmtId="165" fontId="28726" fillId="8" borderId="1" xfId="0" applyNumberFormat="1" applyFont="1" applyFill="1" applyBorder="1" applyAlignment="1">
      <alignment horizontal="center" vertical="center"/>
    </xf>
    <xf numFmtId="1" fontId="28727" fillId="8" borderId="1" xfId="0" applyNumberFormat="1" applyFont="1" applyFill="1" applyBorder="1" applyAlignment="1">
      <alignment horizontal="center" vertical="center"/>
    </xf>
    <xf numFmtId="165" fontId="28728" fillId="8" borderId="1" xfId="0" applyNumberFormat="1" applyFont="1" applyFill="1" applyBorder="1" applyAlignment="1">
      <alignment horizontal="center" vertical="center"/>
    </xf>
    <xf numFmtId="165" fontId="28729" fillId="8" borderId="1" xfId="0" applyNumberFormat="1" applyFont="1" applyFill="1" applyBorder="1" applyAlignment="1">
      <alignment horizontal="center" vertical="center"/>
    </xf>
    <xf numFmtId="1" fontId="28730" fillId="8" borderId="1" xfId="0" applyNumberFormat="1" applyFont="1" applyFill="1" applyBorder="1" applyAlignment="1">
      <alignment horizontal="center" vertical="center"/>
    </xf>
    <xf numFmtId="1" fontId="28731" fillId="8" borderId="1" xfId="0" applyNumberFormat="1" applyFont="1" applyFill="1" applyBorder="1" applyAlignment="1">
      <alignment horizontal="center" vertical="center"/>
    </xf>
    <xf numFmtId="1" fontId="28732" fillId="8" borderId="1" xfId="0" applyNumberFormat="1" applyFont="1" applyFill="1" applyBorder="1" applyAlignment="1">
      <alignment horizontal="center" vertical="center"/>
    </xf>
    <xf numFmtId="165" fontId="28733" fillId="8" borderId="1" xfId="0" applyNumberFormat="1" applyFont="1" applyFill="1" applyBorder="1" applyAlignment="1">
      <alignment horizontal="center" vertical="center"/>
    </xf>
    <xf numFmtId="164" fontId="28734" fillId="8" borderId="1" xfId="0" applyNumberFormat="1" applyFont="1" applyFill="1" applyBorder="1" applyAlignment="1">
      <alignment horizontal="center" vertical="center"/>
    </xf>
    <xf numFmtId="164" fontId="28735" fillId="8" borderId="1" xfId="0" applyNumberFormat="1" applyFont="1" applyFill="1" applyBorder="1" applyAlignment="1">
      <alignment horizontal="center" vertical="center"/>
    </xf>
    <xf numFmtId="1" fontId="28736" fillId="8" borderId="1" xfId="0" applyNumberFormat="1" applyFont="1" applyFill="1" applyBorder="1" applyAlignment="1">
      <alignment horizontal="center" vertical="center"/>
    </xf>
    <xf numFmtId="1" fontId="28737" fillId="8" borderId="1" xfId="0" applyNumberFormat="1" applyFont="1" applyFill="1" applyBorder="1" applyAlignment="1">
      <alignment horizontal="center" vertical="center"/>
    </xf>
    <xf numFmtId="1" fontId="28738" fillId="8" borderId="1" xfId="0" applyNumberFormat="1" applyFont="1" applyFill="1" applyBorder="1" applyAlignment="1">
      <alignment horizontal="center" vertical="center"/>
    </xf>
    <xf numFmtId="165" fontId="28739" fillId="8" borderId="1" xfId="0" applyNumberFormat="1" applyFont="1" applyFill="1" applyBorder="1" applyAlignment="1">
      <alignment horizontal="center" vertical="center"/>
    </xf>
    <xf numFmtId="1" fontId="28740" fillId="8" borderId="1" xfId="0" applyNumberFormat="1" applyFont="1" applyFill="1" applyBorder="1" applyAlignment="1">
      <alignment horizontal="center" vertical="center"/>
    </xf>
    <xf numFmtId="165" fontId="28741" fillId="8" borderId="1" xfId="0" applyNumberFormat="1" applyFont="1" applyFill="1" applyBorder="1" applyAlignment="1">
      <alignment horizontal="center" vertical="center"/>
    </xf>
    <xf numFmtId="1" fontId="28742" fillId="8" borderId="1" xfId="0" applyNumberFormat="1" applyFont="1" applyFill="1" applyBorder="1" applyAlignment="1">
      <alignment horizontal="center" vertical="center"/>
    </xf>
    <xf numFmtId="1" fontId="28743" fillId="8" borderId="1" xfId="0" applyNumberFormat="1" applyFont="1" applyFill="1" applyBorder="1" applyAlignment="1">
      <alignment horizontal="center" vertical="center"/>
    </xf>
    <xf numFmtId="1" fontId="28744" fillId="8" borderId="1" xfId="0" applyNumberFormat="1" applyFont="1" applyFill="1" applyBorder="1" applyAlignment="1">
      <alignment horizontal="center" vertical="center"/>
    </xf>
    <xf numFmtId="1" fontId="28745" fillId="8" borderId="1" xfId="0" applyNumberFormat="1" applyFont="1" applyFill="1" applyBorder="1" applyAlignment="1">
      <alignment horizontal="center" vertical="center"/>
    </xf>
    <xf numFmtId="165" fontId="28746" fillId="8" borderId="1" xfId="0" applyNumberFormat="1" applyFont="1" applyFill="1" applyBorder="1" applyAlignment="1">
      <alignment horizontal="center" vertical="center"/>
    </xf>
    <xf numFmtId="1" fontId="28747" fillId="8" borderId="1" xfId="0" applyNumberFormat="1" applyFont="1" applyFill="1" applyBorder="1" applyAlignment="1">
      <alignment horizontal="center" vertical="center"/>
    </xf>
    <xf numFmtId="165" fontId="28748" fillId="8" borderId="1" xfId="0" applyNumberFormat="1" applyFont="1" applyFill="1" applyBorder="1" applyAlignment="1">
      <alignment horizontal="center" vertical="center"/>
    </xf>
    <xf numFmtId="1" fontId="28749" fillId="8" borderId="1" xfId="0" applyNumberFormat="1" applyFont="1" applyFill="1" applyBorder="1" applyAlignment="1">
      <alignment horizontal="center" vertical="center"/>
    </xf>
    <xf numFmtId="165" fontId="28750" fillId="8" borderId="1" xfId="0" applyNumberFormat="1" applyFont="1" applyFill="1" applyBorder="1" applyAlignment="1">
      <alignment horizontal="center" vertical="center"/>
    </xf>
    <xf numFmtId="2" fontId="28751" fillId="8" borderId="1" xfId="0" applyNumberFormat="1" applyFont="1" applyFill="1" applyBorder="1" applyAlignment="1">
      <alignment horizontal="center" vertical="center"/>
    </xf>
    <xf numFmtId="2" fontId="28752" fillId="8" borderId="1" xfId="0" applyNumberFormat="1" applyFont="1" applyFill="1" applyBorder="1" applyAlignment="1">
      <alignment horizontal="center" vertical="center"/>
    </xf>
    <xf numFmtId="2" fontId="28753" fillId="8" borderId="1" xfId="0" applyNumberFormat="1" applyFont="1" applyFill="1" applyBorder="1" applyAlignment="1">
      <alignment horizontal="center" vertical="center"/>
    </xf>
    <xf numFmtId="2" fontId="28754" fillId="8" borderId="1" xfId="0" applyNumberFormat="1" applyFont="1" applyFill="1" applyBorder="1" applyAlignment="1">
      <alignment horizontal="center" vertical="center"/>
    </xf>
    <xf numFmtId="2" fontId="28755" fillId="8" borderId="1" xfId="0" applyNumberFormat="1" applyFont="1" applyFill="1" applyBorder="1" applyAlignment="1">
      <alignment horizontal="center" vertical="center"/>
    </xf>
    <xf numFmtId="2" fontId="28756" fillId="8" borderId="1" xfId="0" applyNumberFormat="1" applyFont="1" applyFill="1" applyBorder="1" applyAlignment="1">
      <alignment horizontal="center" vertical="center"/>
    </xf>
    <xf numFmtId="2" fontId="28757" fillId="8" borderId="1" xfId="0" applyNumberFormat="1" applyFont="1" applyFill="1" applyBorder="1" applyAlignment="1">
      <alignment horizontal="center" vertical="center"/>
    </xf>
    <xf numFmtId="2" fontId="28758" fillId="8" borderId="1" xfId="0" applyNumberFormat="1" applyFont="1" applyFill="1" applyBorder="1" applyAlignment="1">
      <alignment horizontal="center" vertical="center"/>
    </xf>
    <xf numFmtId="2" fontId="28759" fillId="8" borderId="1" xfId="0" applyNumberFormat="1" applyFont="1" applyFill="1" applyBorder="1" applyAlignment="1">
      <alignment horizontal="center" vertical="center"/>
    </xf>
    <xf numFmtId="2" fontId="28760" fillId="8" borderId="1" xfId="0" applyNumberFormat="1" applyFont="1" applyFill="1" applyBorder="1" applyAlignment="1">
      <alignment horizontal="center" vertical="center"/>
    </xf>
    <xf numFmtId="2" fontId="28761" fillId="8" borderId="1" xfId="0" applyNumberFormat="1" applyFont="1" applyFill="1" applyBorder="1" applyAlignment="1">
      <alignment horizontal="center" vertical="center"/>
    </xf>
    <xf numFmtId="2" fontId="28762" fillId="8" borderId="1" xfId="0" applyNumberFormat="1" applyFont="1" applyFill="1" applyBorder="1" applyAlignment="1">
      <alignment horizontal="center" vertical="center"/>
    </xf>
    <xf numFmtId="2" fontId="28763" fillId="8" borderId="1" xfId="0" applyNumberFormat="1" applyFont="1" applyFill="1" applyBorder="1" applyAlignment="1">
      <alignment horizontal="center" vertical="center"/>
    </xf>
    <xf numFmtId="2" fontId="28764" fillId="8" borderId="1" xfId="0" applyNumberFormat="1" applyFont="1" applyFill="1" applyBorder="1" applyAlignment="1">
      <alignment horizontal="center" vertical="center"/>
    </xf>
    <xf numFmtId="2" fontId="28765" fillId="8" borderId="1" xfId="0" applyNumberFormat="1" applyFont="1" applyFill="1" applyBorder="1" applyAlignment="1">
      <alignment horizontal="center" vertical="center"/>
    </xf>
    <xf numFmtId="2" fontId="28766" fillId="8" borderId="1" xfId="0" applyNumberFormat="1" applyFont="1" applyFill="1" applyBorder="1" applyAlignment="1">
      <alignment horizontal="center" vertical="center"/>
    </xf>
    <xf numFmtId="2" fontId="28767" fillId="8" borderId="1" xfId="0" applyNumberFormat="1" applyFont="1" applyFill="1" applyBorder="1" applyAlignment="1">
      <alignment horizontal="center" vertical="center"/>
    </xf>
    <xf numFmtId="2" fontId="28768" fillId="8" borderId="1" xfId="0" applyNumberFormat="1" applyFont="1" applyFill="1" applyBorder="1" applyAlignment="1">
      <alignment horizontal="center" vertical="center"/>
    </xf>
    <xf numFmtId="2" fontId="28769" fillId="8" borderId="1" xfId="0" applyNumberFormat="1" applyFont="1" applyFill="1" applyBorder="1" applyAlignment="1">
      <alignment horizontal="center" vertical="center"/>
    </xf>
    <xf numFmtId="2" fontId="28770" fillId="8" borderId="1" xfId="0" applyNumberFormat="1" applyFont="1" applyFill="1" applyBorder="1" applyAlignment="1">
      <alignment horizontal="center" vertical="center"/>
    </xf>
    <xf numFmtId="2" fontId="28771" fillId="8" borderId="1" xfId="0" applyNumberFormat="1" applyFont="1" applyFill="1" applyBorder="1" applyAlignment="1">
      <alignment horizontal="center" vertical="center"/>
    </xf>
    <xf numFmtId="2" fontId="28772" fillId="8" borderId="1" xfId="0" applyNumberFormat="1" applyFont="1" applyFill="1" applyBorder="1" applyAlignment="1">
      <alignment horizontal="center" vertical="center"/>
    </xf>
    <xf numFmtId="2" fontId="28773" fillId="8" borderId="1" xfId="0" applyNumberFormat="1" applyFont="1" applyFill="1" applyBorder="1" applyAlignment="1">
      <alignment horizontal="center" vertical="center"/>
    </xf>
    <xf numFmtId="2" fontId="28774" fillId="8" borderId="1" xfId="0" applyNumberFormat="1" applyFont="1" applyFill="1" applyBorder="1" applyAlignment="1">
      <alignment horizontal="center" vertical="center"/>
    </xf>
    <xf numFmtId="2" fontId="28775" fillId="8" borderId="1" xfId="0" applyNumberFormat="1" applyFont="1" applyFill="1" applyBorder="1" applyAlignment="1">
      <alignment horizontal="center" vertical="center"/>
    </xf>
    <xf numFmtId="2" fontId="28776" fillId="8" borderId="1" xfId="0" applyNumberFormat="1" applyFont="1" applyFill="1" applyBorder="1" applyAlignment="1">
      <alignment horizontal="center" vertical="center"/>
    </xf>
    <xf numFmtId="2" fontId="28777" fillId="8" borderId="1" xfId="0" applyNumberFormat="1" applyFont="1" applyFill="1" applyBorder="1" applyAlignment="1">
      <alignment horizontal="center" vertical="center"/>
    </xf>
    <xf numFmtId="2" fontId="28778" fillId="8" borderId="1" xfId="0" applyNumberFormat="1" applyFont="1" applyFill="1" applyBorder="1" applyAlignment="1">
      <alignment horizontal="center" vertical="center"/>
    </xf>
    <xf numFmtId="2" fontId="28779" fillId="8" borderId="1" xfId="0" applyNumberFormat="1" applyFont="1" applyFill="1" applyBorder="1" applyAlignment="1">
      <alignment horizontal="center" vertical="center"/>
    </xf>
    <xf numFmtId="2" fontId="28780" fillId="8" borderId="1" xfId="0" applyNumberFormat="1" applyFont="1" applyFill="1" applyBorder="1" applyAlignment="1">
      <alignment horizontal="center" vertical="center"/>
    </xf>
    <xf numFmtId="2" fontId="28781" fillId="8" borderId="1" xfId="0" applyNumberFormat="1" applyFont="1" applyFill="1" applyBorder="1" applyAlignment="1">
      <alignment horizontal="center" vertical="center"/>
    </xf>
    <xf numFmtId="2" fontId="28782" fillId="8" borderId="1" xfId="0" applyNumberFormat="1" applyFont="1" applyFill="1" applyBorder="1" applyAlignment="1">
      <alignment horizontal="center" vertical="center"/>
    </xf>
    <xf numFmtId="2" fontId="28783" fillId="8" borderId="1" xfId="0" applyNumberFormat="1" applyFont="1" applyFill="1" applyBorder="1" applyAlignment="1">
      <alignment horizontal="center" vertical="center"/>
    </xf>
    <xf numFmtId="2" fontId="28784" fillId="8" borderId="1" xfId="0" applyNumberFormat="1" applyFont="1" applyFill="1" applyBorder="1" applyAlignment="1">
      <alignment horizontal="center" vertical="center"/>
    </xf>
    <xf numFmtId="0" fontId="28785" fillId="7" borderId="1" xfId="0" applyNumberFormat="1" applyFont="1" applyFill="1" applyBorder="1" applyAlignment="1">
      <alignment horizontal="left" vertical="center"/>
    </xf>
    <xf numFmtId="0" fontId="28786" fillId="8" borderId="1" xfId="0" applyNumberFormat="1" applyFont="1" applyFill="1" applyBorder="1" applyAlignment="1">
      <alignment horizontal="center" vertical="center"/>
    </xf>
    <xf numFmtId="164" fontId="28787" fillId="8" borderId="1" xfId="0" applyNumberFormat="1" applyFont="1" applyFill="1" applyBorder="1" applyAlignment="1">
      <alignment horizontal="center" vertical="center"/>
    </xf>
    <xf numFmtId="1" fontId="28788" fillId="8" borderId="1" xfId="0" applyNumberFormat="1" applyFont="1" applyFill="1" applyBorder="1" applyAlignment="1">
      <alignment horizontal="center" vertical="center"/>
    </xf>
    <xf numFmtId="1" fontId="28789" fillId="8" borderId="1" xfId="0" applyNumberFormat="1" applyFont="1" applyFill="1" applyBorder="1" applyAlignment="1">
      <alignment horizontal="center" vertical="center"/>
    </xf>
    <xf numFmtId="1" fontId="28790" fillId="8" borderId="1" xfId="0" applyNumberFormat="1" applyFont="1" applyFill="1" applyBorder="1" applyAlignment="1">
      <alignment horizontal="center" vertical="center"/>
    </xf>
    <xf numFmtId="1" fontId="28791" fillId="8" borderId="1" xfId="0" applyNumberFormat="1" applyFont="1" applyFill="1" applyBorder="1" applyAlignment="1">
      <alignment horizontal="center" vertical="center"/>
    </xf>
    <xf numFmtId="1" fontId="28792" fillId="8" borderId="1" xfId="0" applyNumberFormat="1" applyFont="1" applyFill="1" applyBorder="1" applyAlignment="1">
      <alignment horizontal="center" vertical="center"/>
    </xf>
    <xf numFmtId="1" fontId="28793" fillId="8" borderId="1" xfId="0" applyNumberFormat="1" applyFont="1" applyFill="1" applyBorder="1" applyAlignment="1">
      <alignment horizontal="center" vertical="center"/>
    </xf>
    <xf numFmtId="1" fontId="28794" fillId="8" borderId="1" xfId="0" applyNumberFormat="1" applyFont="1" applyFill="1" applyBorder="1" applyAlignment="1">
      <alignment horizontal="center" vertical="center"/>
    </xf>
    <xf numFmtId="0" fontId="28795" fillId="8" borderId="1" xfId="0" applyNumberFormat="1" applyFont="1" applyFill="1" applyBorder="1" applyAlignment="1">
      <alignment horizontal="center" vertical="center"/>
    </xf>
    <xf numFmtId="0" fontId="28796" fillId="8" borderId="1" xfId="0" applyNumberFormat="1" applyFont="1" applyFill="1" applyBorder="1" applyAlignment="1">
      <alignment horizontal="center" vertical="center"/>
    </xf>
    <xf numFmtId="1" fontId="28797" fillId="8" borderId="1" xfId="0" applyNumberFormat="1" applyFont="1" applyFill="1" applyBorder="1" applyAlignment="1">
      <alignment horizontal="center" vertical="center"/>
    </xf>
    <xf numFmtId="1" fontId="28798" fillId="8" borderId="1" xfId="0" applyNumberFormat="1" applyFont="1" applyFill="1" applyBorder="1" applyAlignment="1">
      <alignment horizontal="center" vertical="center"/>
    </xf>
    <xf numFmtId="1" fontId="28799" fillId="8" borderId="1" xfId="0" applyNumberFormat="1" applyFont="1" applyFill="1" applyBorder="1" applyAlignment="1">
      <alignment horizontal="center" vertical="center"/>
    </xf>
    <xf numFmtId="165" fontId="28800" fillId="8" borderId="1" xfId="0" applyNumberFormat="1" applyFont="1" applyFill="1" applyBorder="1" applyAlignment="1">
      <alignment horizontal="center" vertical="center"/>
    </xf>
    <xf numFmtId="1" fontId="28801" fillId="8" borderId="1" xfId="0" applyNumberFormat="1" applyFont="1" applyFill="1" applyBorder="1" applyAlignment="1">
      <alignment horizontal="center" vertical="center"/>
    </xf>
    <xf numFmtId="165" fontId="28802" fillId="8" borderId="1" xfId="0" applyNumberFormat="1" applyFont="1" applyFill="1" applyBorder="1" applyAlignment="1">
      <alignment horizontal="center" vertical="center"/>
    </xf>
    <xf numFmtId="1" fontId="28803" fillId="8" borderId="1" xfId="0" applyNumberFormat="1" applyFont="1" applyFill="1" applyBorder="1" applyAlignment="1">
      <alignment horizontal="center" vertical="center"/>
    </xf>
    <xf numFmtId="165" fontId="28804" fillId="8" borderId="1" xfId="0" applyNumberFormat="1" applyFont="1" applyFill="1" applyBorder="1" applyAlignment="1">
      <alignment horizontal="center" vertical="center"/>
    </xf>
    <xf numFmtId="1" fontId="28805" fillId="8" borderId="1" xfId="0" applyNumberFormat="1" applyFont="1" applyFill="1" applyBorder="1" applyAlignment="1">
      <alignment horizontal="center" vertical="center"/>
    </xf>
    <xf numFmtId="165" fontId="28806" fillId="8" borderId="1" xfId="0" applyNumberFormat="1" applyFont="1" applyFill="1" applyBorder="1" applyAlignment="1">
      <alignment horizontal="center" vertical="center"/>
    </xf>
    <xf numFmtId="165" fontId="28807" fillId="8" borderId="1" xfId="0" applyNumberFormat="1" applyFont="1" applyFill="1" applyBorder="1" applyAlignment="1">
      <alignment horizontal="center" vertical="center"/>
    </xf>
    <xf numFmtId="1" fontId="28808" fillId="8" borderId="1" xfId="0" applyNumberFormat="1" applyFont="1" applyFill="1" applyBorder="1" applyAlignment="1">
      <alignment horizontal="center" vertical="center"/>
    </xf>
    <xf numFmtId="1" fontId="28809" fillId="8" borderId="1" xfId="0" applyNumberFormat="1" applyFont="1" applyFill="1" applyBorder="1" applyAlignment="1">
      <alignment horizontal="center" vertical="center"/>
    </xf>
    <xf numFmtId="1" fontId="28810" fillId="8" borderId="1" xfId="0" applyNumberFormat="1" applyFont="1" applyFill="1" applyBorder="1" applyAlignment="1">
      <alignment horizontal="center" vertical="center"/>
    </xf>
    <xf numFmtId="165" fontId="28811" fillId="8" borderId="1" xfId="0" applyNumberFormat="1" applyFont="1" applyFill="1" applyBorder="1" applyAlignment="1">
      <alignment horizontal="center" vertical="center"/>
    </xf>
    <xf numFmtId="164" fontId="28812" fillId="8" borderId="1" xfId="0" applyNumberFormat="1" applyFont="1" applyFill="1" applyBorder="1" applyAlignment="1">
      <alignment horizontal="center" vertical="center"/>
    </xf>
    <xf numFmtId="164" fontId="28813" fillId="8" borderId="1" xfId="0" applyNumberFormat="1" applyFont="1" applyFill="1" applyBorder="1" applyAlignment="1">
      <alignment horizontal="center" vertical="center"/>
    </xf>
    <xf numFmtId="1" fontId="28814" fillId="8" borderId="1" xfId="0" applyNumberFormat="1" applyFont="1" applyFill="1" applyBorder="1" applyAlignment="1">
      <alignment horizontal="center" vertical="center"/>
    </xf>
    <xf numFmtId="1" fontId="28815" fillId="8" borderId="1" xfId="0" applyNumberFormat="1" applyFont="1" applyFill="1" applyBorder="1" applyAlignment="1">
      <alignment horizontal="center" vertical="center"/>
    </xf>
    <xf numFmtId="1" fontId="28816" fillId="8" borderId="1" xfId="0" applyNumberFormat="1" applyFont="1" applyFill="1" applyBorder="1" applyAlignment="1">
      <alignment horizontal="center" vertical="center"/>
    </xf>
    <xf numFmtId="165" fontId="28817" fillId="8" borderId="1" xfId="0" applyNumberFormat="1" applyFont="1" applyFill="1" applyBorder="1" applyAlignment="1">
      <alignment horizontal="center" vertical="center"/>
    </xf>
    <xf numFmtId="1" fontId="28818" fillId="8" borderId="1" xfId="0" applyNumberFormat="1" applyFont="1" applyFill="1" applyBorder="1" applyAlignment="1">
      <alignment horizontal="center" vertical="center"/>
    </xf>
    <xf numFmtId="165" fontId="28819" fillId="8" borderId="1" xfId="0" applyNumberFormat="1" applyFont="1" applyFill="1" applyBorder="1" applyAlignment="1">
      <alignment horizontal="center" vertical="center"/>
    </xf>
    <xf numFmtId="1" fontId="28820" fillId="8" borderId="1" xfId="0" applyNumberFormat="1" applyFont="1" applyFill="1" applyBorder="1" applyAlignment="1">
      <alignment horizontal="center" vertical="center"/>
    </xf>
    <xf numFmtId="1" fontId="28821" fillId="8" borderId="1" xfId="0" applyNumberFormat="1" applyFont="1" applyFill="1" applyBorder="1" applyAlignment="1">
      <alignment horizontal="center" vertical="center"/>
    </xf>
    <xf numFmtId="1" fontId="28822" fillId="8" borderId="1" xfId="0" applyNumberFormat="1" applyFont="1" applyFill="1" applyBorder="1" applyAlignment="1">
      <alignment horizontal="center" vertical="center"/>
    </xf>
    <xf numFmtId="1" fontId="28823" fillId="8" borderId="1" xfId="0" applyNumberFormat="1" applyFont="1" applyFill="1" applyBorder="1" applyAlignment="1">
      <alignment horizontal="center" vertical="center"/>
    </xf>
    <xf numFmtId="165" fontId="28824" fillId="8" borderId="1" xfId="0" applyNumberFormat="1" applyFont="1" applyFill="1" applyBorder="1" applyAlignment="1">
      <alignment horizontal="center" vertical="center"/>
    </xf>
    <xf numFmtId="1" fontId="28825" fillId="8" borderId="1" xfId="0" applyNumberFormat="1" applyFont="1" applyFill="1" applyBorder="1" applyAlignment="1">
      <alignment horizontal="center" vertical="center"/>
    </xf>
    <xf numFmtId="165" fontId="28826" fillId="8" borderId="1" xfId="0" applyNumberFormat="1" applyFont="1" applyFill="1" applyBorder="1" applyAlignment="1">
      <alignment horizontal="center" vertical="center"/>
    </xf>
    <xf numFmtId="1" fontId="28827" fillId="8" borderId="1" xfId="0" applyNumberFormat="1" applyFont="1" applyFill="1" applyBorder="1" applyAlignment="1">
      <alignment horizontal="center" vertical="center"/>
    </xf>
    <xf numFmtId="165" fontId="28828" fillId="8" borderId="1" xfId="0" applyNumberFormat="1" applyFont="1" applyFill="1" applyBorder="1" applyAlignment="1">
      <alignment horizontal="center" vertical="center"/>
    </xf>
    <xf numFmtId="2" fontId="28829" fillId="8" borderId="1" xfId="0" applyNumberFormat="1" applyFont="1" applyFill="1" applyBorder="1" applyAlignment="1">
      <alignment horizontal="center" vertical="center"/>
    </xf>
    <xf numFmtId="2" fontId="28830" fillId="8" borderId="1" xfId="0" applyNumberFormat="1" applyFont="1" applyFill="1" applyBorder="1" applyAlignment="1">
      <alignment horizontal="center" vertical="center"/>
    </xf>
    <xf numFmtId="2" fontId="28831" fillId="8" borderId="1" xfId="0" applyNumberFormat="1" applyFont="1" applyFill="1" applyBorder="1" applyAlignment="1">
      <alignment horizontal="center" vertical="center"/>
    </xf>
    <xf numFmtId="2" fontId="28832" fillId="8" borderId="1" xfId="0" applyNumberFormat="1" applyFont="1" applyFill="1" applyBorder="1" applyAlignment="1">
      <alignment horizontal="center" vertical="center"/>
    </xf>
    <xf numFmtId="2" fontId="28833" fillId="8" borderId="1" xfId="0" applyNumberFormat="1" applyFont="1" applyFill="1" applyBorder="1" applyAlignment="1">
      <alignment horizontal="center" vertical="center"/>
    </xf>
    <xf numFmtId="2" fontId="28834" fillId="8" borderId="1" xfId="0" applyNumberFormat="1" applyFont="1" applyFill="1" applyBorder="1" applyAlignment="1">
      <alignment horizontal="center" vertical="center"/>
    </xf>
    <xf numFmtId="2" fontId="28835" fillId="8" borderId="1" xfId="0" applyNumberFormat="1" applyFont="1" applyFill="1" applyBorder="1" applyAlignment="1">
      <alignment horizontal="center" vertical="center"/>
    </xf>
    <xf numFmtId="2" fontId="28836" fillId="8" borderId="1" xfId="0" applyNumberFormat="1" applyFont="1" applyFill="1" applyBorder="1" applyAlignment="1">
      <alignment horizontal="center" vertical="center"/>
    </xf>
    <xf numFmtId="2" fontId="28837" fillId="8" borderId="1" xfId="0" applyNumberFormat="1" applyFont="1" applyFill="1" applyBorder="1" applyAlignment="1">
      <alignment horizontal="center" vertical="center"/>
    </xf>
    <xf numFmtId="2" fontId="28838" fillId="8" borderId="1" xfId="0" applyNumberFormat="1" applyFont="1" applyFill="1" applyBorder="1" applyAlignment="1">
      <alignment horizontal="center" vertical="center"/>
    </xf>
    <xf numFmtId="2" fontId="28839" fillId="8" borderId="1" xfId="0" applyNumberFormat="1" applyFont="1" applyFill="1" applyBorder="1" applyAlignment="1">
      <alignment horizontal="center" vertical="center"/>
    </xf>
    <xf numFmtId="2" fontId="28840" fillId="8" borderId="1" xfId="0" applyNumberFormat="1" applyFont="1" applyFill="1" applyBorder="1" applyAlignment="1">
      <alignment horizontal="center" vertical="center"/>
    </xf>
    <xf numFmtId="2" fontId="28841" fillId="8" borderId="1" xfId="0" applyNumberFormat="1" applyFont="1" applyFill="1" applyBorder="1" applyAlignment="1">
      <alignment horizontal="center" vertical="center"/>
    </xf>
    <xf numFmtId="2" fontId="28842" fillId="8" borderId="1" xfId="0" applyNumberFormat="1" applyFont="1" applyFill="1" applyBorder="1" applyAlignment="1">
      <alignment horizontal="center" vertical="center"/>
    </xf>
    <xf numFmtId="2" fontId="28843" fillId="8" borderId="1" xfId="0" applyNumberFormat="1" applyFont="1" applyFill="1" applyBorder="1" applyAlignment="1">
      <alignment horizontal="center" vertical="center"/>
    </xf>
    <xf numFmtId="2" fontId="28844" fillId="8" borderId="1" xfId="0" applyNumberFormat="1" applyFont="1" applyFill="1" applyBorder="1" applyAlignment="1">
      <alignment horizontal="center" vertical="center"/>
    </xf>
    <xf numFmtId="2" fontId="28845" fillId="8" borderId="1" xfId="0" applyNumberFormat="1" applyFont="1" applyFill="1" applyBorder="1" applyAlignment="1">
      <alignment horizontal="center" vertical="center"/>
    </xf>
    <xf numFmtId="2" fontId="28846" fillId="8" borderId="1" xfId="0" applyNumberFormat="1" applyFont="1" applyFill="1" applyBorder="1" applyAlignment="1">
      <alignment horizontal="center" vertical="center"/>
    </xf>
    <xf numFmtId="2" fontId="28847" fillId="8" borderId="1" xfId="0" applyNumberFormat="1" applyFont="1" applyFill="1" applyBorder="1" applyAlignment="1">
      <alignment horizontal="center" vertical="center"/>
    </xf>
    <xf numFmtId="2" fontId="28848" fillId="8" borderId="1" xfId="0" applyNumberFormat="1" applyFont="1" applyFill="1" applyBorder="1" applyAlignment="1">
      <alignment horizontal="center" vertical="center"/>
    </xf>
    <xf numFmtId="2" fontId="28849" fillId="8" borderId="1" xfId="0" applyNumberFormat="1" applyFont="1" applyFill="1" applyBorder="1" applyAlignment="1">
      <alignment horizontal="center" vertical="center"/>
    </xf>
    <xf numFmtId="2" fontId="28850" fillId="8" borderId="1" xfId="0" applyNumberFormat="1" applyFont="1" applyFill="1" applyBorder="1" applyAlignment="1">
      <alignment horizontal="center" vertical="center"/>
    </xf>
    <xf numFmtId="2" fontId="28851" fillId="8" borderId="1" xfId="0" applyNumberFormat="1" applyFont="1" applyFill="1" applyBorder="1" applyAlignment="1">
      <alignment horizontal="center" vertical="center"/>
    </xf>
    <xf numFmtId="2" fontId="28852" fillId="8" borderId="1" xfId="0" applyNumberFormat="1" applyFont="1" applyFill="1" applyBorder="1" applyAlignment="1">
      <alignment horizontal="center" vertical="center"/>
    </xf>
    <xf numFmtId="2" fontId="28853" fillId="8" borderId="1" xfId="0" applyNumberFormat="1" applyFont="1" applyFill="1" applyBorder="1" applyAlignment="1">
      <alignment horizontal="center" vertical="center"/>
    </xf>
    <xf numFmtId="2" fontId="28854" fillId="8" borderId="1" xfId="0" applyNumberFormat="1" applyFont="1" applyFill="1" applyBorder="1" applyAlignment="1">
      <alignment horizontal="center" vertical="center"/>
    </xf>
    <xf numFmtId="2" fontId="28855" fillId="8" borderId="1" xfId="0" applyNumberFormat="1" applyFont="1" applyFill="1" applyBorder="1" applyAlignment="1">
      <alignment horizontal="center" vertical="center"/>
    </xf>
    <xf numFmtId="2" fontId="28856" fillId="8" borderId="1" xfId="0" applyNumberFormat="1" applyFont="1" applyFill="1" applyBorder="1" applyAlignment="1">
      <alignment horizontal="center" vertical="center"/>
    </xf>
    <xf numFmtId="2" fontId="28857" fillId="8" borderId="1" xfId="0" applyNumberFormat="1" applyFont="1" applyFill="1" applyBorder="1" applyAlignment="1">
      <alignment horizontal="center" vertical="center"/>
    </xf>
    <xf numFmtId="2" fontId="28858" fillId="8" borderId="1" xfId="0" applyNumberFormat="1" applyFont="1" applyFill="1" applyBorder="1" applyAlignment="1">
      <alignment horizontal="center" vertical="center"/>
    </xf>
    <xf numFmtId="2" fontId="28859" fillId="8" borderId="1" xfId="0" applyNumberFormat="1" applyFont="1" applyFill="1" applyBorder="1" applyAlignment="1">
      <alignment horizontal="center" vertical="center"/>
    </xf>
    <xf numFmtId="2" fontId="28860" fillId="8" borderId="1" xfId="0" applyNumberFormat="1" applyFont="1" applyFill="1" applyBorder="1" applyAlignment="1">
      <alignment horizontal="center" vertical="center"/>
    </xf>
    <xf numFmtId="2" fontId="28861" fillId="8" borderId="1" xfId="0" applyNumberFormat="1" applyFont="1" applyFill="1" applyBorder="1" applyAlignment="1">
      <alignment horizontal="center" vertical="center"/>
    </xf>
    <xf numFmtId="2" fontId="28862" fillId="8" borderId="1" xfId="0" applyNumberFormat="1" applyFont="1" applyFill="1" applyBorder="1" applyAlignment="1">
      <alignment horizontal="center" vertical="center"/>
    </xf>
    <xf numFmtId="0" fontId="28863" fillId="7" borderId="1" xfId="0" applyNumberFormat="1" applyFont="1" applyFill="1" applyBorder="1" applyAlignment="1">
      <alignment horizontal="left" vertical="center"/>
    </xf>
    <xf numFmtId="0" fontId="28864" fillId="8" borderId="1" xfId="0" applyNumberFormat="1" applyFont="1" applyFill="1" applyBorder="1" applyAlignment="1">
      <alignment horizontal="center" vertical="center"/>
    </xf>
    <xf numFmtId="164" fontId="28865" fillId="8" borderId="1" xfId="0" applyNumberFormat="1" applyFont="1" applyFill="1" applyBorder="1" applyAlignment="1">
      <alignment horizontal="center" vertical="center"/>
    </xf>
    <xf numFmtId="1" fontId="28866" fillId="8" borderId="1" xfId="0" applyNumberFormat="1" applyFont="1" applyFill="1" applyBorder="1" applyAlignment="1">
      <alignment horizontal="center" vertical="center"/>
    </xf>
    <xf numFmtId="1" fontId="28867" fillId="8" borderId="1" xfId="0" applyNumberFormat="1" applyFont="1" applyFill="1" applyBorder="1" applyAlignment="1">
      <alignment horizontal="center" vertical="center"/>
    </xf>
    <xf numFmtId="1" fontId="28868" fillId="8" borderId="1" xfId="0" applyNumberFormat="1" applyFont="1" applyFill="1" applyBorder="1" applyAlignment="1">
      <alignment horizontal="center" vertical="center"/>
    </xf>
    <xf numFmtId="1" fontId="28869" fillId="8" borderId="1" xfId="0" applyNumberFormat="1" applyFont="1" applyFill="1" applyBorder="1" applyAlignment="1">
      <alignment horizontal="center" vertical="center"/>
    </xf>
    <xf numFmtId="1" fontId="28870" fillId="8" borderId="1" xfId="0" applyNumberFormat="1" applyFont="1" applyFill="1" applyBorder="1" applyAlignment="1">
      <alignment horizontal="center" vertical="center"/>
    </xf>
    <xf numFmtId="1" fontId="28871" fillId="8" borderId="1" xfId="0" applyNumberFormat="1" applyFont="1" applyFill="1" applyBorder="1" applyAlignment="1">
      <alignment horizontal="center" vertical="center"/>
    </xf>
    <xf numFmtId="1" fontId="28872" fillId="8" borderId="1" xfId="0" applyNumberFormat="1" applyFont="1" applyFill="1" applyBorder="1" applyAlignment="1">
      <alignment horizontal="center" vertical="center"/>
    </xf>
    <xf numFmtId="0" fontId="28873" fillId="8" borderId="1" xfId="0" applyNumberFormat="1" applyFont="1" applyFill="1" applyBorder="1" applyAlignment="1">
      <alignment horizontal="center" vertical="center"/>
    </xf>
    <xf numFmtId="0" fontId="28874" fillId="8" borderId="1" xfId="0" applyNumberFormat="1" applyFont="1" applyFill="1" applyBorder="1" applyAlignment="1">
      <alignment horizontal="center" vertical="center"/>
    </xf>
    <xf numFmtId="1" fontId="28875" fillId="8" borderId="1" xfId="0" applyNumberFormat="1" applyFont="1" applyFill="1" applyBorder="1" applyAlignment="1">
      <alignment horizontal="center" vertical="center"/>
    </xf>
    <xf numFmtId="1" fontId="28876" fillId="8" borderId="1" xfId="0" applyNumberFormat="1" applyFont="1" applyFill="1" applyBorder="1" applyAlignment="1">
      <alignment horizontal="center" vertical="center"/>
    </xf>
    <xf numFmtId="1" fontId="28877" fillId="8" borderId="1" xfId="0" applyNumberFormat="1" applyFont="1" applyFill="1" applyBorder="1" applyAlignment="1">
      <alignment horizontal="center" vertical="center"/>
    </xf>
    <xf numFmtId="165" fontId="28878" fillId="8" borderId="1" xfId="0" applyNumberFormat="1" applyFont="1" applyFill="1" applyBorder="1" applyAlignment="1">
      <alignment horizontal="center" vertical="center"/>
    </xf>
    <xf numFmtId="1" fontId="28879" fillId="8" borderId="1" xfId="0" applyNumberFormat="1" applyFont="1" applyFill="1" applyBorder="1" applyAlignment="1">
      <alignment horizontal="center" vertical="center"/>
    </xf>
    <xf numFmtId="165" fontId="28880" fillId="8" borderId="1" xfId="0" applyNumberFormat="1" applyFont="1" applyFill="1" applyBorder="1" applyAlignment="1">
      <alignment horizontal="center" vertical="center"/>
    </xf>
    <xf numFmtId="1" fontId="28881" fillId="8" borderId="1" xfId="0" applyNumberFormat="1" applyFont="1" applyFill="1" applyBorder="1" applyAlignment="1">
      <alignment horizontal="center" vertical="center"/>
    </xf>
    <xf numFmtId="165" fontId="28882" fillId="8" borderId="1" xfId="0" applyNumberFormat="1" applyFont="1" applyFill="1" applyBorder="1" applyAlignment="1">
      <alignment horizontal="center" vertical="center"/>
    </xf>
    <xf numFmtId="1" fontId="28883" fillId="8" borderId="1" xfId="0" applyNumberFormat="1" applyFont="1" applyFill="1" applyBorder="1" applyAlignment="1">
      <alignment horizontal="center" vertical="center"/>
    </xf>
    <xf numFmtId="165" fontId="28884" fillId="8" borderId="1" xfId="0" applyNumberFormat="1" applyFont="1" applyFill="1" applyBorder="1" applyAlignment="1">
      <alignment horizontal="center" vertical="center"/>
    </xf>
    <xf numFmtId="165" fontId="28885" fillId="8" borderId="1" xfId="0" applyNumberFormat="1" applyFont="1" applyFill="1" applyBorder="1" applyAlignment="1">
      <alignment horizontal="center" vertical="center"/>
    </xf>
    <xf numFmtId="1" fontId="28886" fillId="8" borderId="1" xfId="0" applyNumberFormat="1" applyFont="1" applyFill="1" applyBorder="1" applyAlignment="1">
      <alignment horizontal="center" vertical="center"/>
    </xf>
    <xf numFmtId="1" fontId="28887" fillId="8" borderId="1" xfId="0" applyNumberFormat="1" applyFont="1" applyFill="1" applyBorder="1" applyAlignment="1">
      <alignment horizontal="center" vertical="center"/>
    </xf>
    <xf numFmtId="1" fontId="28888" fillId="8" borderId="1" xfId="0" applyNumberFormat="1" applyFont="1" applyFill="1" applyBorder="1" applyAlignment="1">
      <alignment horizontal="center" vertical="center"/>
    </xf>
    <xf numFmtId="165" fontId="28889" fillId="8" borderId="1" xfId="0" applyNumberFormat="1" applyFont="1" applyFill="1" applyBorder="1" applyAlignment="1">
      <alignment horizontal="center" vertical="center"/>
    </xf>
    <xf numFmtId="164" fontId="28890" fillId="8" borderId="1" xfId="0" applyNumberFormat="1" applyFont="1" applyFill="1" applyBorder="1" applyAlignment="1">
      <alignment horizontal="center" vertical="center"/>
    </xf>
    <xf numFmtId="164" fontId="28891" fillId="8" borderId="1" xfId="0" applyNumberFormat="1" applyFont="1" applyFill="1" applyBorder="1" applyAlignment="1">
      <alignment horizontal="center" vertical="center"/>
    </xf>
    <xf numFmtId="1" fontId="28892" fillId="8" borderId="1" xfId="0" applyNumberFormat="1" applyFont="1" applyFill="1" applyBorder="1" applyAlignment="1">
      <alignment horizontal="center" vertical="center"/>
    </xf>
    <xf numFmtId="1" fontId="28893" fillId="8" borderId="1" xfId="0" applyNumberFormat="1" applyFont="1" applyFill="1" applyBorder="1" applyAlignment="1">
      <alignment horizontal="center" vertical="center"/>
    </xf>
    <xf numFmtId="1" fontId="28894" fillId="8" borderId="1" xfId="0" applyNumberFormat="1" applyFont="1" applyFill="1" applyBorder="1" applyAlignment="1">
      <alignment horizontal="center" vertical="center"/>
    </xf>
    <xf numFmtId="165" fontId="28895" fillId="8" borderId="1" xfId="0" applyNumberFormat="1" applyFont="1" applyFill="1" applyBorder="1" applyAlignment="1">
      <alignment horizontal="center" vertical="center"/>
    </xf>
    <xf numFmtId="1" fontId="28896" fillId="8" borderId="1" xfId="0" applyNumberFormat="1" applyFont="1" applyFill="1" applyBorder="1" applyAlignment="1">
      <alignment horizontal="center" vertical="center"/>
    </xf>
    <xf numFmtId="165" fontId="28897" fillId="8" borderId="1" xfId="0" applyNumberFormat="1" applyFont="1" applyFill="1" applyBorder="1" applyAlignment="1">
      <alignment horizontal="center" vertical="center"/>
    </xf>
    <xf numFmtId="1" fontId="28898" fillId="8" borderId="1" xfId="0" applyNumberFormat="1" applyFont="1" applyFill="1" applyBorder="1" applyAlignment="1">
      <alignment horizontal="center" vertical="center"/>
    </xf>
    <xf numFmtId="1" fontId="28899" fillId="8" borderId="1" xfId="0" applyNumberFormat="1" applyFont="1" applyFill="1" applyBorder="1" applyAlignment="1">
      <alignment horizontal="center" vertical="center"/>
    </xf>
    <xf numFmtId="1" fontId="28900" fillId="8" borderId="1" xfId="0" applyNumberFormat="1" applyFont="1" applyFill="1" applyBorder="1" applyAlignment="1">
      <alignment horizontal="center" vertical="center"/>
    </xf>
    <xf numFmtId="1" fontId="28901" fillId="8" borderId="1" xfId="0" applyNumberFormat="1" applyFont="1" applyFill="1" applyBorder="1" applyAlignment="1">
      <alignment horizontal="center" vertical="center"/>
    </xf>
    <xf numFmtId="165" fontId="28902" fillId="8" borderId="1" xfId="0" applyNumberFormat="1" applyFont="1" applyFill="1" applyBorder="1" applyAlignment="1">
      <alignment horizontal="center" vertical="center"/>
    </xf>
    <xf numFmtId="1" fontId="28903" fillId="8" borderId="1" xfId="0" applyNumberFormat="1" applyFont="1" applyFill="1" applyBorder="1" applyAlignment="1">
      <alignment horizontal="center" vertical="center"/>
    </xf>
    <xf numFmtId="165" fontId="28904" fillId="8" borderId="1" xfId="0" applyNumberFormat="1" applyFont="1" applyFill="1" applyBorder="1" applyAlignment="1">
      <alignment horizontal="center" vertical="center"/>
    </xf>
    <xf numFmtId="1" fontId="28905" fillId="8" borderId="1" xfId="0" applyNumberFormat="1" applyFont="1" applyFill="1" applyBorder="1" applyAlignment="1">
      <alignment horizontal="center" vertical="center"/>
    </xf>
    <xf numFmtId="165" fontId="28906" fillId="8" borderId="1" xfId="0" applyNumberFormat="1" applyFont="1" applyFill="1" applyBorder="1" applyAlignment="1">
      <alignment horizontal="center" vertical="center"/>
    </xf>
    <xf numFmtId="2" fontId="28907" fillId="8" borderId="1" xfId="0" applyNumberFormat="1" applyFont="1" applyFill="1" applyBorder="1" applyAlignment="1">
      <alignment horizontal="center" vertical="center"/>
    </xf>
    <xf numFmtId="2" fontId="28908" fillId="8" borderId="1" xfId="0" applyNumberFormat="1" applyFont="1" applyFill="1" applyBorder="1" applyAlignment="1">
      <alignment horizontal="center" vertical="center"/>
    </xf>
    <xf numFmtId="2" fontId="28909" fillId="8" borderId="1" xfId="0" applyNumberFormat="1" applyFont="1" applyFill="1" applyBorder="1" applyAlignment="1">
      <alignment horizontal="center" vertical="center"/>
    </xf>
    <xf numFmtId="2" fontId="28910" fillId="8" borderId="1" xfId="0" applyNumberFormat="1" applyFont="1" applyFill="1" applyBorder="1" applyAlignment="1">
      <alignment horizontal="center" vertical="center"/>
    </xf>
    <xf numFmtId="2" fontId="28911" fillId="8" borderId="1" xfId="0" applyNumberFormat="1" applyFont="1" applyFill="1" applyBorder="1" applyAlignment="1">
      <alignment horizontal="center" vertical="center"/>
    </xf>
    <xf numFmtId="2" fontId="28912" fillId="8" borderId="1" xfId="0" applyNumberFormat="1" applyFont="1" applyFill="1" applyBorder="1" applyAlignment="1">
      <alignment horizontal="center" vertical="center"/>
    </xf>
    <xf numFmtId="2" fontId="28913" fillId="8" borderId="1" xfId="0" applyNumberFormat="1" applyFont="1" applyFill="1" applyBorder="1" applyAlignment="1">
      <alignment horizontal="center" vertical="center"/>
    </xf>
    <xf numFmtId="2" fontId="28914" fillId="8" borderId="1" xfId="0" applyNumberFormat="1" applyFont="1" applyFill="1" applyBorder="1" applyAlignment="1">
      <alignment horizontal="center" vertical="center"/>
    </xf>
    <xf numFmtId="2" fontId="28915" fillId="8" borderId="1" xfId="0" applyNumberFormat="1" applyFont="1" applyFill="1" applyBorder="1" applyAlignment="1">
      <alignment horizontal="center" vertical="center"/>
    </xf>
    <xf numFmtId="2" fontId="28916" fillId="8" borderId="1" xfId="0" applyNumberFormat="1" applyFont="1" applyFill="1" applyBorder="1" applyAlignment="1">
      <alignment horizontal="center" vertical="center"/>
    </xf>
    <xf numFmtId="2" fontId="28917" fillId="8" borderId="1" xfId="0" applyNumberFormat="1" applyFont="1" applyFill="1" applyBorder="1" applyAlignment="1">
      <alignment horizontal="center" vertical="center"/>
    </xf>
    <xf numFmtId="2" fontId="28918" fillId="8" borderId="1" xfId="0" applyNumberFormat="1" applyFont="1" applyFill="1" applyBorder="1" applyAlignment="1">
      <alignment horizontal="center" vertical="center"/>
    </xf>
    <xf numFmtId="2" fontId="28919" fillId="8" borderId="1" xfId="0" applyNumberFormat="1" applyFont="1" applyFill="1" applyBorder="1" applyAlignment="1">
      <alignment horizontal="center" vertical="center"/>
    </xf>
    <xf numFmtId="2" fontId="28920" fillId="8" borderId="1" xfId="0" applyNumberFormat="1" applyFont="1" applyFill="1" applyBorder="1" applyAlignment="1">
      <alignment horizontal="center" vertical="center"/>
    </xf>
    <xf numFmtId="2" fontId="28921" fillId="8" borderId="1" xfId="0" applyNumberFormat="1" applyFont="1" applyFill="1" applyBorder="1" applyAlignment="1">
      <alignment horizontal="center" vertical="center"/>
    </xf>
    <xf numFmtId="2" fontId="28922" fillId="8" borderId="1" xfId="0" applyNumberFormat="1" applyFont="1" applyFill="1" applyBorder="1" applyAlignment="1">
      <alignment horizontal="center" vertical="center"/>
    </xf>
    <xf numFmtId="2" fontId="28923" fillId="8" borderId="1" xfId="0" applyNumberFormat="1" applyFont="1" applyFill="1" applyBorder="1" applyAlignment="1">
      <alignment horizontal="center" vertical="center"/>
    </xf>
    <xf numFmtId="2" fontId="28924" fillId="8" borderId="1" xfId="0" applyNumberFormat="1" applyFont="1" applyFill="1" applyBorder="1" applyAlignment="1">
      <alignment horizontal="center" vertical="center"/>
    </xf>
    <xf numFmtId="2" fontId="28925" fillId="8" borderId="1" xfId="0" applyNumberFormat="1" applyFont="1" applyFill="1" applyBorder="1" applyAlignment="1">
      <alignment horizontal="center" vertical="center"/>
    </xf>
    <xf numFmtId="2" fontId="28926" fillId="8" borderId="1" xfId="0" applyNumberFormat="1" applyFont="1" applyFill="1" applyBorder="1" applyAlignment="1">
      <alignment horizontal="center" vertical="center"/>
    </xf>
    <xf numFmtId="2" fontId="28927" fillId="8" borderId="1" xfId="0" applyNumberFormat="1" applyFont="1" applyFill="1" applyBorder="1" applyAlignment="1">
      <alignment horizontal="center" vertical="center"/>
    </xf>
    <xf numFmtId="2" fontId="28928" fillId="8" borderId="1" xfId="0" applyNumberFormat="1" applyFont="1" applyFill="1" applyBorder="1" applyAlignment="1">
      <alignment horizontal="center" vertical="center"/>
    </xf>
    <xf numFmtId="2" fontId="28929" fillId="8" borderId="1" xfId="0" applyNumberFormat="1" applyFont="1" applyFill="1" applyBorder="1" applyAlignment="1">
      <alignment horizontal="center" vertical="center"/>
    </xf>
    <xf numFmtId="2" fontId="28930" fillId="8" borderId="1" xfId="0" applyNumberFormat="1" applyFont="1" applyFill="1" applyBorder="1" applyAlignment="1">
      <alignment horizontal="center" vertical="center"/>
    </xf>
    <xf numFmtId="2" fontId="28931" fillId="8" borderId="1" xfId="0" applyNumberFormat="1" applyFont="1" applyFill="1" applyBorder="1" applyAlignment="1">
      <alignment horizontal="center" vertical="center"/>
    </xf>
    <xf numFmtId="2" fontId="28932" fillId="8" borderId="1" xfId="0" applyNumberFormat="1" applyFont="1" applyFill="1" applyBorder="1" applyAlignment="1">
      <alignment horizontal="center" vertical="center"/>
    </xf>
    <xf numFmtId="2" fontId="28933" fillId="8" borderId="1" xfId="0" applyNumberFormat="1" applyFont="1" applyFill="1" applyBorder="1" applyAlignment="1">
      <alignment horizontal="center" vertical="center"/>
    </xf>
    <xf numFmtId="2" fontId="28934" fillId="8" borderId="1" xfId="0" applyNumberFormat="1" applyFont="1" applyFill="1" applyBorder="1" applyAlignment="1">
      <alignment horizontal="center" vertical="center"/>
    </xf>
    <xf numFmtId="2" fontId="28935" fillId="8" borderId="1" xfId="0" applyNumberFormat="1" applyFont="1" applyFill="1" applyBorder="1" applyAlignment="1">
      <alignment horizontal="center" vertical="center"/>
    </xf>
    <xf numFmtId="2" fontId="28936" fillId="8" borderId="1" xfId="0" applyNumberFormat="1" applyFont="1" applyFill="1" applyBorder="1" applyAlignment="1">
      <alignment horizontal="center" vertical="center"/>
    </xf>
    <xf numFmtId="2" fontId="28937" fillId="8" borderId="1" xfId="0" applyNumberFormat="1" applyFont="1" applyFill="1" applyBorder="1" applyAlignment="1">
      <alignment horizontal="center" vertical="center"/>
    </xf>
    <xf numFmtId="2" fontId="28938" fillId="8" borderId="1" xfId="0" applyNumberFormat="1" applyFont="1" applyFill="1" applyBorder="1" applyAlignment="1">
      <alignment horizontal="center" vertical="center"/>
    </xf>
    <xf numFmtId="2" fontId="28939" fillId="8" borderId="1" xfId="0" applyNumberFormat="1" applyFont="1" applyFill="1" applyBorder="1" applyAlignment="1">
      <alignment horizontal="center" vertical="center"/>
    </xf>
    <xf numFmtId="2" fontId="28940" fillId="8" borderId="1" xfId="0" applyNumberFormat="1" applyFont="1" applyFill="1" applyBorder="1" applyAlignment="1">
      <alignment horizontal="center" vertical="center"/>
    </xf>
    <xf numFmtId="0" fontId="28941" fillId="7" borderId="1" xfId="0" applyNumberFormat="1" applyFont="1" applyFill="1" applyBorder="1" applyAlignment="1">
      <alignment horizontal="left" vertical="center"/>
    </xf>
    <xf numFmtId="0" fontId="28942" fillId="8" borderId="1" xfId="0" applyNumberFormat="1" applyFont="1" applyFill="1" applyBorder="1" applyAlignment="1">
      <alignment horizontal="center" vertical="center"/>
    </xf>
    <xf numFmtId="164" fontId="28943" fillId="8" borderId="1" xfId="0" applyNumberFormat="1" applyFont="1" applyFill="1" applyBorder="1" applyAlignment="1">
      <alignment horizontal="center" vertical="center"/>
    </xf>
    <xf numFmtId="1" fontId="28944" fillId="8" borderId="1" xfId="0" applyNumberFormat="1" applyFont="1" applyFill="1" applyBorder="1" applyAlignment="1">
      <alignment horizontal="center" vertical="center"/>
    </xf>
    <xf numFmtId="1" fontId="28945" fillId="8" borderId="1" xfId="0" applyNumberFormat="1" applyFont="1" applyFill="1" applyBorder="1" applyAlignment="1">
      <alignment horizontal="center" vertical="center"/>
    </xf>
    <xf numFmtId="1" fontId="28946" fillId="8" borderId="1" xfId="0" applyNumberFormat="1" applyFont="1" applyFill="1" applyBorder="1" applyAlignment="1">
      <alignment horizontal="center" vertical="center"/>
    </xf>
    <xf numFmtId="1" fontId="28947" fillId="8" borderId="1" xfId="0" applyNumberFormat="1" applyFont="1" applyFill="1" applyBorder="1" applyAlignment="1">
      <alignment horizontal="center" vertical="center"/>
    </xf>
    <xf numFmtId="1" fontId="28948" fillId="8" borderId="1" xfId="0" applyNumberFormat="1" applyFont="1" applyFill="1" applyBorder="1" applyAlignment="1">
      <alignment horizontal="center" vertical="center"/>
    </xf>
    <xf numFmtId="1" fontId="28949" fillId="8" borderId="1" xfId="0" applyNumberFormat="1" applyFont="1" applyFill="1" applyBorder="1" applyAlignment="1">
      <alignment horizontal="center" vertical="center"/>
    </xf>
    <xf numFmtId="1" fontId="28950" fillId="8" borderId="1" xfId="0" applyNumberFormat="1" applyFont="1" applyFill="1" applyBorder="1" applyAlignment="1">
      <alignment horizontal="center" vertical="center"/>
    </xf>
    <xf numFmtId="0" fontId="28951" fillId="8" borderId="1" xfId="0" applyNumberFormat="1" applyFont="1" applyFill="1" applyBorder="1" applyAlignment="1">
      <alignment horizontal="center" vertical="center"/>
    </xf>
    <xf numFmtId="0" fontId="28952" fillId="8" borderId="1" xfId="0" applyNumberFormat="1" applyFont="1" applyFill="1" applyBorder="1" applyAlignment="1">
      <alignment horizontal="center" vertical="center"/>
    </xf>
    <xf numFmtId="1" fontId="28953" fillId="8" borderId="1" xfId="0" applyNumberFormat="1" applyFont="1" applyFill="1" applyBorder="1" applyAlignment="1">
      <alignment horizontal="center" vertical="center"/>
    </xf>
    <xf numFmtId="1" fontId="28954" fillId="8" borderId="1" xfId="0" applyNumberFormat="1" applyFont="1" applyFill="1" applyBorder="1" applyAlignment="1">
      <alignment horizontal="center" vertical="center"/>
    </xf>
    <xf numFmtId="1" fontId="28955" fillId="8" borderId="1" xfId="0" applyNumberFormat="1" applyFont="1" applyFill="1" applyBorder="1" applyAlignment="1">
      <alignment horizontal="center" vertical="center"/>
    </xf>
    <xf numFmtId="165" fontId="28956" fillId="8" borderId="1" xfId="0" applyNumberFormat="1" applyFont="1" applyFill="1" applyBorder="1" applyAlignment="1">
      <alignment horizontal="center" vertical="center"/>
    </xf>
    <xf numFmtId="1" fontId="28957" fillId="8" borderId="1" xfId="0" applyNumberFormat="1" applyFont="1" applyFill="1" applyBorder="1" applyAlignment="1">
      <alignment horizontal="center" vertical="center"/>
    </xf>
    <xf numFmtId="165" fontId="28958" fillId="8" borderId="1" xfId="0" applyNumberFormat="1" applyFont="1" applyFill="1" applyBorder="1" applyAlignment="1">
      <alignment horizontal="center" vertical="center"/>
    </xf>
    <xf numFmtId="1" fontId="28959" fillId="8" borderId="1" xfId="0" applyNumberFormat="1" applyFont="1" applyFill="1" applyBorder="1" applyAlignment="1">
      <alignment horizontal="center" vertical="center"/>
    </xf>
    <xf numFmtId="165" fontId="28960" fillId="8" borderId="1" xfId="0" applyNumberFormat="1" applyFont="1" applyFill="1" applyBorder="1" applyAlignment="1">
      <alignment horizontal="center" vertical="center"/>
    </xf>
    <xf numFmtId="1" fontId="28961" fillId="8" borderId="1" xfId="0" applyNumberFormat="1" applyFont="1" applyFill="1" applyBorder="1" applyAlignment="1">
      <alignment horizontal="center" vertical="center"/>
    </xf>
    <xf numFmtId="165" fontId="28962" fillId="8" borderId="1" xfId="0" applyNumberFormat="1" applyFont="1" applyFill="1" applyBorder="1" applyAlignment="1">
      <alignment horizontal="center" vertical="center"/>
    </xf>
    <xf numFmtId="165" fontId="28963" fillId="8" borderId="1" xfId="0" applyNumberFormat="1" applyFont="1" applyFill="1" applyBorder="1" applyAlignment="1">
      <alignment horizontal="center" vertical="center"/>
    </xf>
    <xf numFmtId="1" fontId="28964" fillId="8" borderId="1" xfId="0" applyNumberFormat="1" applyFont="1" applyFill="1" applyBorder="1" applyAlignment="1">
      <alignment horizontal="center" vertical="center"/>
    </xf>
    <xf numFmtId="1" fontId="28965" fillId="8" borderId="1" xfId="0" applyNumberFormat="1" applyFont="1" applyFill="1" applyBorder="1" applyAlignment="1">
      <alignment horizontal="center" vertical="center"/>
    </xf>
    <xf numFmtId="1" fontId="28966" fillId="8" borderId="1" xfId="0" applyNumberFormat="1" applyFont="1" applyFill="1" applyBorder="1" applyAlignment="1">
      <alignment horizontal="center" vertical="center"/>
    </xf>
    <xf numFmtId="165" fontId="28967" fillId="8" borderId="1" xfId="0" applyNumberFormat="1" applyFont="1" applyFill="1" applyBorder="1" applyAlignment="1">
      <alignment horizontal="center" vertical="center"/>
    </xf>
    <xf numFmtId="164" fontId="28968" fillId="8" borderId="1" xfId="0" applyNumberFormat="1" applyFont="1" applyFill="1" applyBorder="1" applyAlignment="1">
      <alignment horizontal="center" vertical="center"/>
    </xf>
    <xf numFmtId="164" fontId="28969" fillId="8" borderId="1" xfId="0" applyNumberFormat="1" applyFont="1" applyFill="1" applyBorder="1" applyAlignment="1">
      <alignment horizontal="center" vertical="center"/>
    </xf>
    <xf numFmtId="1" fontId="28970" fillId="8" borderId="1" xfId="0" applyNumberFormat="1" applyFont="1" applyFill="1" applyBorder="1" applyAlignment="1">
      <alignment horizontal="center" vertical="center"/>
    </xf>
    <xf numFmtId="1" fontId="28971" fillId="8" borderId="1" xfId="0" applyNumberFormat="1" applyFont="1" applyFill="1" applyBorder="1" applyAlignment="1">
      <alignment horizontal="center" vertical="center"/>
    </xf>
    <xf numFmtId="1" fontId="28972" fillId="8" borderId="1" xfId="0" applyNumberFormat="1" applyFont="1" applyFill="1" applyBorder="1" applyAlignment="1">
      <alignment horizontal="center" vertical="center"/>
    </xf>
    <xf numFmtId="165" fontId="28973" fillId="8" borderId="1" xfId="0" applyNumberFormat="1" applyFont="1" applyFill="1" applyBorder="1" applyAlignment="1">
      <alignment horizontal="center" vertical="center"/>
    </xf>
    <xf numFmtId="1" fontId="28974" fillId="8" borderId="1" xfId="0" applyNumberFormat="1" applyFont="1" applyFill="1" applyBorder="1" applyAlignment="1">
      <alignment horizontal="center" vertical="center"/>
    </xf>
    <xf numFmtId="165" fontId="28975" fillId="8" borderId="1" xfId="0" applyNumberFormat="1" applyFont="1" applyFill="1" applyBorder="1" applyAlignment="1">
      <alignment horizontal="center" vertical="center"/>
    </xf>
    <xf numFmtId="1" fontId="28976" fillId="8" borderId="1" xfId="0" applyNumberFormat="1" applyFont="1" applyFill="1" applyBorder="1" applyAlignment="1">
      <alignment horizontal="center" vertical="center"/>
    </xf>
    <xf numFmtId="1" fontId="28977" fillId="8" borderId="1" xfId="0" applyNumberFormat="1" applyFont="1" applyFill="1" applyBorder="1" applyAlignment="1">
      <alignment horizontal="center" vertical="center"/>
    </xf>
    <xf numFmtId="1" fontId="28978" fillId="8" borderId="1" xfId="0" applyNumberFormat="1" applyFont="1" applyFill="1" applyBorder="1" applyAlignment="1">
      <alignment horizontal="center" vertical="center"/>
    </xf>
    <xf numFmtId="1" fontId="28979" fillId="8" borderId="1" xfId="0" applyNumberFormat="1" applyFont="1" applyFill="1" applyBorder="1" applyAlignment="1">
      <alignment horizontal="center" vertical="center"/>
    </xf>
    <xf numFmtId="165" fontId="28980" fillId="8" borderId="1" xfId="0" applyNumberFormat="1" applyFont="1" applyFill="1" applyBorder="1" applyAlignment="1">
      <alignment horizontal="center" vertical="center"/>
    </xf>
    <xf numFmtId="1" fontId="28981" fillId="8" borderId="1" xfId="0" applyNumberFormat="1" applyFont="1" applyFill="1" applyBorder="1" applyAlignment="1">
      <alignment horizontal="center" vertical="center"/>
    </xf>
    <xf numFmtId="165" fontId="28982" fillId="8" borderId="1" xfId="0" applyNumberFormat="1" applyFont="1" applyFill="1" applyBorder="1" applyAlignment="1">
      <alignment horizontal="center" vertical="center"/>
    </xf>
    <xf numFmtId="1" fontId="28983" fillId="8" borderId="1" xfId="0" applyNumberFormat="1" applyFont="1" applyFill="1" applyBorder="1" applyAlignment="1">
      <alignment horizontal="center" vertical="center"/>
    </xf>
    <xf numFmtId="165" fontId="28984" fillId="8" borderId="1" xfId="0" applyNumberFormat="1" applyFont="1" applyFill="1" applyBorder="1" applyAlignment="1">
      <alignment horizontal="center" vertical="center"/>
    </xf>
    <xf numFmtId="2" fontId="28985" fillId="8" borderId="1" xfId="0" applyNumberFormat="1" applyFont="1" applyFill="1" applyBorder="1" applyAlignment="1">
      <alignment horizontal="center" vertical="center"/>
    </xf>
    <xf numFmtId="2" fontId="28986" fillId="8" borderId="1" xfId="0" applyNumberFormat="1" applyFont="1" applyFill="1" applyBorder="1" applyAlignment="1">
      <alignment horizontal="center" vertical="center"/>
    </xf>
    <xf numFmtId="2" fontId="28987" fillId="8" borderId="1" xfId="0" applyNumberFormat="1" applyFont="1" applyFill="1" applyBorder="1" applyAlignment="1">
      <alignment horizontal="center" vertical="center"/>
    </xf>
    <xf numFmtId="2" fontId="28988" fillId="8" borderId="1" xfId="0" applyNumberFormat="1" applyFont="1" applyFill="1" applyBorder="1" applyAlignment="1">
      <alignment horizontal="center" vertical="center"/>
    </xf>
    <xf numFmtId="2" fontId="28989" fillId="8" borderId="1" xfId="0" applyNumberFormat="1" applyFont="1" applyFill="1" applyBorder="1" applyAlignment="1">
      <alignment horizontal="center" vertical="center"/>
    </xf>
    <xf numFmtId="2" fontId="28990" fillId="8" borderId="1" xfId="0" applyNumberFormat="1" applyFont="1" applyFill="1" applyBorder="1" applyAlignment="1">
      <alignment horizontal="center" vertical="center"/>
    </xf>
    <xf numFmtId="2" fontId="28991" fillId="8" borderId="1" xfId="0" applyNumberFormat="1" applyFont="1" applyFill="1" applyBorder="1" applyAlignment="1">
      <alignment horizontal="center" vertical="center"/>
    </xf>
    <xf numFmtId="2" fontId="28992" fillId="8" borderId="1" xfId="0" applyNumberFormat="1" applyFont="1" applyFill="1" applyBorder="1" applyAlignment="1">
      <alignment horizontal="center" vertical="center"/>
    </xf>
    <xf numFmtId="2" fontId="28993" fillId="8" borderId="1" xfId="0" applyNumberFormat="1" applyFont="1" applyFill="1" applyBorder="1" applyAlignment="1">
      <alignment horizontal="center" vertical="center"/>
    </xf>
    <xf numFmtId="2" fontId="28994" fillId="8" borderId="1" xfId="0" applyNumberFormat="1" applyFont="1" applyFill="1" applyBorder="1" applyAlignment="1">
      <alignment horizontal="center" vertical="center"/>
    </xf>
    <xf numFmtId="2" fontId="28995" fillId="8" borderId="1" xfId="0" applyNumberFormat="1" applyFont="1" applyFill="1" applyBorder="1" applyAlignment="1">
      <alignment horizontal="center" vertical="center"/>
    </xf>
    <xf numFmtId="2" fontId="28996" fillId="8" borderId="1" xfId="0" applyNumberFormat="1" applyFont="1" applyFill="1" applyBorder="1" applyAlignment="1">
      <alignment horizontal="center" vertical="center"/>
    </xf>
    <xf numFmtId="2" fontId="28997" fillId="8" borderId="1" xfId="0" applyNumberFormat="1" applyFont="1" applyFill="1" applyBorder="1" applyAlignment="1">
      <alignment horizontal="center" vertical="center"/>
    </xf>
    <xf numFmtId="2" fontId="28998" fillId="8" borderId="1" xfId="0" applyNumberFormat="1" applyFont="1" applyFill="1" applyBorder="1" applyAlignment="1">
      <alignment horizontal="center" vertical="center"/>
    </xf>
    <xf numFmtId="2" fontId="28999" fillId="8" borderId="1" xfId="0" applyNumberFormat="1" applyFont="1" applyFill="1" applyBorder="1" applyAlignment="1">
      <alignment horizontal="center" vertical="center"/>
    </xf>
    <xf numFmtId="2" fontId="29000" fillId="8" borderId="1" xfId="0" applyNumberFormat="1" applyFont="1" applyFill="1" applyBorder="1" applyAlignment="1">
      <alignment horizontal="center" vertical="center"/>
    </xf>
    <xf numFmtId="2" fontId="29001" fillId="8" borderId="1" xfId="0" applyNumberFormat="1" applyFont="1" applyFill="1" applyBorder="1" applyAlignment="1">
      <alignment horizontal="center" vertical="center"/>
    </xf>
    <xf numFmtId="2" fontId="29002" fillId="8" borderId="1" xfId="0" applyNumberFormat="1" applyFont="1" applyFill="1" applyBorder="1" applyAlignment="1">
      <alignment horizontal="center" vertical="center"/>
    </xf>
    <xf numFmtId="2" fontId="29003" fillId="8" borderId="1" xfId="0" applyNumberFormat="1" applyFont="1" applyFill="1" applyBorder="1" applyAlignment="1">
      <alignment horizontal="center" vertical="center"/>
    </xf>
    <xf numFmtId="2" fontId="29004" fillId="8" borderId="1" xfId="0" applyNumberFormat="1" applyFont="1" applyFill="1" applyBorder="1" applyAlignment="1">
      <alignment horizontal="center" vertical="center"/>
    </xf>
    <xf numFmtId="2" fontId="29005" fillId="8" borderId="1" xfId="0" applyNumberFormat="1" applyFont="1" applyFill="1" applyBorder="1" applyAlignment="1">
      <alignment horizontal="center" vertical="center"/>
    </xf>
    <xf numFmtId="2" fontId="29006" fillId="8" borderId="1" xfId="0" applyNumberFormat="1" applyFont="1" applyFill="1" applyBorder="1" applyAlignment="1">
      <alignment horizontal="center" vertical="center"/>
    </xf>
    <xf numFmtId="2" fontId="29007" fillId="8" borderId="1" xfId="0" applyNumberFormat="1" applyFont="1" applyFill="1" applyBorder="1" applyAlignment="1">
      <alignment horizontal="center" vertical="center"/>
    </xf>
    <xf numFmtId="2" fontId="29008" fillId="8" borderId="1" xfId="0" applyNumberFormat="1" applyFont="1" applyFill="1" applyBorder="1" applyAlignment="1">
      <alignment horizontal="center" vertical="center"/>
    </xf>
    <xf numFmtId="2" fontId="29009" fillId="8" borderId="1" xfId="0" applyNumberFormat="1" applyFont="1" applyFill="1" applyBorder="1" applyAlignment="1">
      <alignment horizontal="center" vertical="center"/>
    </xf>
    <xf numFmtId="2" fontId="29010" fillId="8" borderId="1" xfId="0" applyNumberFormat="1" applyFont="1" applyFill="1" applyBorder="1" applyAlignment="1">
      <alignment horizontal="center" vertical="center"/>
    </xf>
    <xf numFmtId="2" fontId="29011" fillId="8" borderId="1" xfId="0" applyNumberFormat="1" applyFont="1" applyFill="1" applyBorder="1" applyAlignment="1">
      <alignment horizontal="center" vertical="center"/>
    </xf>
    <xf numFmtId="2" fontId="29012" fillId="8" borderId="1" xfId="0" applyNumberFormat="1" applyFont="1" applyFill="1" applyBorder="1" applyAlignment="1">
      <alignment horizontal="center" vertical="center"/>
    </xf>
    <xf numFmtId="2" fontId="29013" fillId="8" borderId="1" xfId="0" applyNumberFormat="1" applyFont="1" applyFill="1" applyBorder="1" applyAlignment="1">
      <alignment horizontal="center" vertical="center"/>
    </xf>
    <xf numFmtId="2" fontId="29014" fillId="8" borderId="1" xfId="0" applyNumberFormat="1" applyFont="1" applyFill="1" applyBorder="1" applyAlignment="1">
      <alignment horizontal="center" vertical="center"/>
    </xf>
    <xf numFmtId="2" fontId="29015" fillId="8" borderId="1" xfId="0" applyNumberFormat="1" applyFont="1" applyFill="1" applyBorder="1" applyAlignment="1">
      <alignment horizontal="center" vertical="center"/>
    </xf>
    <xf numFmtId="2" fontId="29016" fillId="8" borderId="1" xfId="0" applyNumberFormat="1" applyFont="1" applyFill="1" applyBorder="1" applyAlignment="1">
      <alignment horizontal="center" vertical="center"/>
    </xf>
    <xf numFmtId="2" fontId="29017" fillId="8" borderId="1" xfId="0" applyNumberFormat="1" applyFont="1" applyFill="1" applyBorder="1" applyAlignment="1">
      <alignment horizontal="center" vertical="center"/>
    </xf>
    <xf numFmtId="2" fontId="29018" fillId="8" borderId="1" xfId="0" applyNumberFormat="1" applyFont="1" applyFill="1" applyBorder="1" applyAlignment="1">
      <alignment horizontal="center" vertical="center"/>
    </xf>
    <xf numFmtId="0" fontId="29019" fillId="7" borderId="1" xfId="0" applyNumberFormat="1" applyFont="1" applyFill="1" applyBorder="1" applyAlignment="1">
      <alignment horizontal="left" vertical="center"/>
    </xf>
    <xf numFmtId="0" fontId="29020" fillId="8" borderId="1" xfId="0" applyNumberFormat="1" applyFont="1" applyFill="1" applyBorder="1" applyAlignment="1">
      <alignment horizontal="center" vertical="center"/>
    </xf>
    <xf numFmtId="164" fontId="29021" fillId="8" borderId="1" xfId="0" applyNumberFormat="1" applyFont="1" applyFill="1" applyBorder="1" applyAlignment="1">
      <alignment horizontal="center" vertical="center"/>
    </xf>
    <xf numFmtId="1" fontId="29022" fillId="8" borderId="1" xfId="0" applyNumberFormat="1" applyFont="1" applyFill="1" applyBorder="1" applyAlignment="1">
      <alignment horizontal="center" vertical="center"/>
    </xf>
    <xf numFmtId="1" fontId="29023" fillId="8" borderId="1" xfId="0" applyNumberFormat="1" applyFont="1" applyFill="1" applyBorder="1" applyAlignment="1">
      <alignment horizontal="center" vertical="center"/>
    </xf>
    <xf numFmtId="1" fontId="29024" fillId="8" borderId="1" xfId="0" applyNumberFormat="1" applyFont="1" applyFill="1" applyBorder="1" applyAlignment="1">
      <alignment horizontal="center" vertical="center"/>
    </xf>
    <xf numFmtId="1" fontId="29025" fillId="8" borderId="1" xfId="0" applyNumberFormat="1" applyFont="1" applyFill="1" applyBorder="1" applyAlignment="1">
      <alignment horizontal="center" vertical="center"/>
    </xf>
    <xf numFmtId="1" fontId="29026" fillId="8" borderId="1" xfId="0" applyNumberFormat="1" applyFont="1" applyFill="1" applyBorder="1" applyAlignment="1">
      <alignment horizontal="center" vertical="center"/>
    </xf>
    <xf numFmtId="1" fontId="29027" fillId="8" borderId="1" xfId="0" applyNumberFormat="1" applyFont="1" applyFill="1" applyBorder="1" applyAlignment="1">
      <alignment horizontal="center" vertical="center"/>
    </xf>
    <xf numFmtId="1" fontId="29028" fillId="8" borderId="1" xfId="0" applyNumberFormat="1" applyFont="1" applyFill="1" applyBorder="1" applyAlignment="1">
      <alignment horizontal="center" vertical="center"/>
    </xf>
    <xf numFmtId="0" fontId="29029" fillId="8" borderId="1" xfId="0" applyNumberFormat="1" applyFont="1" applyFill="1" applyBorder="1" applyAlignment="1">
      <alignment horizontal="center" vertical="center"/>
    </xf>
    <xf numFmtId="0" fontId="29030" fillId="8" borderId="1" xfId="0" applyNumberFormat="1" applyFont="1" applyFill="1" applyBorder="1" applyAlignment="1">
      <alignment horizontal="center" vertical="center"/>
    </xf>
    <xf numFmtId="1" fontId="29031" fillId="8" borderId="1" xfId="0" applyNumberFormat="1" applyFont="1" applyFill="1" applyBorder="1" applyAlignment="1">
      <alignment horizontal="center" vertical="center"/>
    </xf>
    <xf numFmtId="1" fontId="29032" fillId="8" borderId="1" xfId="0" applyNumberFormat="1" applyFont="1" applyFill="1" applyBorder="1" applyAlignment="1">
      <alignment horizontal="center" vertical="center"/>
    </xf>
    <xf numFmtId="1" fontId="29033" fillId="8" borderId="1" xfId="0" applyNumberFormat="1" applyFont="1" applyFill="1" applyBorder="1" applyAlignment="1">
      <alignment horizontal="center" vertical="center"/>
    </xf>
    <xf numFmtId="165" fontId="29034" fillId="8" borderId="1" xfId="0" applyNumberFormat="1" applyFont="1" applyFill="1" applyBorder="1" applyAlignment="1">
      <alignment horizontal="center" vertical="center"/>
    </xf>
    <xf numFmtId="1" fontId="29035" fillId="8" borderId="1" xfId="0" applyNumberFormat="1" applyFont="1" applyFill="1" applyBorder="1" applyAlignment="1">
      <alignment horizontal="center" vertical="center"/>
    </xf>
    <xf numFmtId="165" fontId="29036" fillId="8" borderId="1" xfId="0" applyNumberFormat="1" applyFont="1" applyFill="1" applyBorder="1" applyAlignment="1">
      <alignment horizontal="center" vertical="center"/>
    </xf>
    <xf numFmtId="1" fontId="29037" fillId="8" borderId="1" xfId="0" applyNumberFormat="1" applyFont="1" applyFill="1" applyBorder="1" applyAlignment="1">
      <alignment horizontal="center" vertical="center"/>
    </xf>
    <xf numFmtId="165" fontId="29038" fillId="8" borderId="1" xfId="0" applyNumberFormat="1" applyFont="1" applyFill="1" applyBorder="1" applyAlignment="1">
      <alignment horizontal="center" vertical="center"/>
    </xf>
    <xf numFmtId="1" fontId="29039" fillId="8" borderId="1" xfId="0" applyNumberFormat="1" applyFont="1" applyFill="1" applyBorder="1" applyAlignment="1">
      <alignment horizontal="center" vertical="center"/>
    </xf>
    <xf numFmtId="165" fontId="29040" fillId="8" borderId="1" xfId="0" applyNumberFormat="1" applyFont="1" applyFill="1" applyBorder="1" applyAlignment="1">
      <alignment horizontal="center" vertical="center"/>
    </xf>
    <xf numFmtId="165" fontId="29041" fillId="8" borderId="1" xfId="0" applyNumberFormat="1" applyFont="1" applyFill="1" applyBorder="1" applyAlignment="1">
      <alignment horizontal="center" vertical="center"/>
    </xf>
    <xf numFmtId="1" fontId="29042" fillId="8" borderId="1" xfId="0" applyNumberFormat="1" applyFont="1" applyFill="1" applyBorder="1" applyAlignment="1">
      <alignment horizontal="center" vertical="center"/>
    </xf>
    <xf numFmtId="1" fontId="29043" fillId="8" borderId="1" xfId="0" applyNumberFormat="1" applyFont="1" applyFill="1" applyBorder="1" applyAlignment="1">
      <alignment horizontal="center" vertical="center"/>
    </xf>
    <xf numFmtId="1" fontId="29044" fillId="8" borderId="1" xfId="0" applyNumberFormat="1" applyFont="1" applyFill="1" applyBorder="1" applyAlignment="1">
      <alignment horizontal="center" vertical="center"/>
    </xf>
    <xf numFmtId="165" fontId="29045" fillId="8" borderId="1" xfId="0" applyNumberFormat="1" applyFont="1" applyFill="1" applyBorder="1" applyAlignment="1">
      <alignment horizontal="center" vertical="center"/>
    </xf>
    <xf numFmtId="164" fontId="29046" fillId="8" borderId="1" xfId="0" applyNumberFormat="1" applyFont="1" applyFill="1" applyBorder="1" applyAlignment="1">
      <alignment horizontal="center" vertical="center"/>
    </xf>
    <xf numFmtId="164" fontId="29047" fillId="8" borderId="1" xfId="0" applyNumberFormat="1" applyFont="1" applyFill="1" applyBorder="1" applyAlignment="1">
      <alignment horizontal="center" vertical="center"/>
    </xf>
    <xf numFmtId="1" fontId="29048" fillId="8" borderId="1" xfId="0" applyNumberFormat="1" applyFont="1" applyFill="1" applyBorder="1" applyAlignment="1">
      <alignment horizontal="center" vertical="center"/>
    </xf>
    <xf numFmtId="1" fontId="29049" fillId="8" borderId="1" xfId="0" applyNumberFormat="1" applyFont="1" applyFill="1" applyBorder="1" applyAlignment="1">
      <alignment horizontal="center" vertical="center"/>
    </xf>
    <xf numFmtId="1" fontId="29050" fillId="8" borderId="1" xfId="0" applyNumberFormat="1" applyFont="1" applyFill="1" applyBorder="1" applyAlignment="1">
      <alignment horizontal="center" vertical="center"/>
    </xf>
    <xf numFmtId="165" fontId="29051" fillId="8" borderId="1" xfId="0" applyNumberFormat="1" applyFont="1" applyFill="1" applyBorder="1" applyAlignment="1">
      <alignment horizontal="center" vertical="center"/>
    </xf>
    <xf numFmtId="1" fontId="29052" fillId="8" borderId="1" xfId="0" applyNumberFormat="1" applyFont="1" applyFill="1" applyBorder="1" applyAlignment="1">
      <alignment horizontal="center" vertical="center"/>
    </xf>
    <xf numFmtId="165" fontId="29053" fillId="8" borderId="1" xfId="0" applyNumberFormat="1" applyFont="1" applyFill="1" applyBorder="1" applyAlignment="1">
      <alignment horizontal="center" vertical="center"/>
    </xf>
    <xf numFmtId="1" fontId="29054" fillId="8" borderId="1" xfId="0" applyNumberFormat="1" applyFont="1" applyFill="1" applyBorder="1" applyAlignment="1">
      <alignment horizontal="center" vertical="center"/>
    </xf>
    <xf numFmtId="1" fontId="29055" fillId="8" borderId="1" xfId="0" applyNumberFormat="1" applyFont="1" applyFill="1" applyBorder="1" applyAlignment="1">
      <alignment horizontal="center" vertical="center"/>
    </xf>
    <xf numFmtId="1" fontId="29056" fillId="8" borderId="1" xfId="0" applyNumberFormat="1" applyFont="1" applyFill="1" applyBorder="1" applyAlignment="1">
      <alignment horizontal="center" vertical="center"/>
    </xf>
    <xf numFmtId="1" fontId="29057" fillId="8" borderId="1" xfId="0" applyNumberFormat="1" applyFont="1" applyFill="1" applyBorder="1" applyAlignment="1">
      <alignment horizontal="center" vertical="center"/>
    </xf>
    <xf numFmtId="165" fontId="29058" fillId="8" borderId="1" xfId="0" applyNumberFormat="1" applyFont="1" applyFill="1" applyBorder="1" applyAlignment="1">
      <alignment horizontal="center" vertical="center"/>
    </xf>
    <xf numFmtId="1" fontId="29059" fillId="8" borderId="1" xfId="0" applyNumberFormat="1" applyFont="1" applyFill="1" applyBorder="1" applyAlignment="1">
      <alignment horizontal="center" vertical="center"/>
    </xf>
    <xf numFmtId="165" fontId="29060" fillId="8" borderId="1" xfId="0" applyNumberFormat="1" applyFont="1" applyFill="1" applyBorder="1" applyAlignment="1">
      <alignment horizontal="center" vertical="center"/>
    </xf>
    <xf numFmtId="1" fontId="29061" fillId="8" borderId="1" xfId="0" applyNumberFormat="1" applyFont="1" applyFill="1" applyBorder="1" applyAlignment="1">
      <alignment horizontal="center" vertical="center"/>
    </xf>
    <xf numFmtId="165" fontId="29062" fillId="8" borderId="1" xfId="0" applyNumberFormat="1" applyFont="1" applyFill="1" applyBorder="1" applyAlignment="1">
      <alignment horizontal="center" vertical="center"/>
    </xf>
    <xf numFmtId="2" fontId="29063" fillId="8" borderId="1" xfId="0" applyNumberFormat="1" applyFont="1" applyFill="1" applyBorder="1" applyAlignment="1">
      <alignment horizontal="center" vertical="center"/>
    </xf>
    <xf numFmtId="2" fontId="29064" fillId="8" borderId="1" xfId="0" applyNumberFormat="1" applyFont="1" applyFill="1" applyBorder="1" applyAlignment="1">
      <alignment horizontal="center" vertical="center"/>
    </xf>
    <xf numFmtId="2" fontId="29065" fillId="8" borderId="1" xfId="0" applyNumberFormat="1" applyFont="1" applyFill="1" applyBorder="1" applyAlignment="1">
      <alignment horizontal="center" vertical="center"/>
    </xf>
    <xf numFmtId="2" fontId="29066" fillId="8" borderId="1" xfId="0" applyNumberFormat="1" applyFont="1" applyFill="1" applyBorder="1" applyAlignment="1">
      <alignment horizontal="center" vertical="center"/>
    </xf>
    <xf numFmtId="2" fontId="29067" fillId="8" borderId="1" xfId="0" applyNumberFormat="1" applyFont="1" applyFill="1" applyBorder="1" applyAlignment="1">
      <alignment horizontal="center" vertical="center"/>
    </xf>
    <xf numFmtId="2" fontId="29068" fillId="8" borderId="1" xfId="0" applyNumberFormat="1" applyFont="1" applyFill="1" applyBorder="1" applyAlignment="1">
      <alignment horizontal="center" vertical="center"/>
    </xf>
    <xf numFmtId="2" fontId="29069" fillId="8" borderId="1" xfId="0" applyNumberFormat="1" applyFont="1" applyFill="1" applyBorder="1" applyAlignment="1">
      <alignment horizontal="center" vertical="center"/>
    </xf>
    <xf numFmtId="2" fontId="29070" fillId="8" borderId="1" xfId="0" applyNumberFormat="1" applyFont="1" applyFill="1" applyBorder="1" applyAlignment="1">
      <alignment horizontal="center" vertical="center"/>
    </xf>
    <xf numFmtId="2" fontId="29071" fillId="8" borderId="1" xfId="0" applyNumberFormat="1" applyFont="1" applyFill="1" applyBorder="1" applyAlignment="1">
      <alignment horizontal="center" vertical="center"/>
    </xf>
    <xf numFmtId="2" fontId="29072" fillId="8" borderId="1" xfId="0" applyNumberFormat="1" applyFont="1" applyFill="1" applyBorder="1" applyAlignment="1">
      <alignment horizontal="center" vertical="center"/>
    </xf>
    <xf numFmtId="2" fontId="29073" fillId="8" borderId="1" xfId="0" applyNumberFormat="1" applyFont="1" applyFill="1" applyBorder="1" applyAlignment="1">
      <alignment horizontal="center" vertical="center"/>
    </xf>
    <xf numFmtId="2" fontId="29074" fillId="8" borderId="1" xfId="0" applyNumberFormat="1" applyFont="1" applyFill="1" applyBorder="1" applyAlignment="1">
      <alignment horizontal="center" vertical="center"/>
    </xf>
    <xf numFmtId="2" fontId="29075" fillId="8" borderId="1" xfId="0" applyNumberFormat="1" applyFont="1" applyFill="1" applyBorder="1" applyAlignment="1">
      <alignment horizontal="center" vertical="center"/>
    </xf>
    <xf numFmtId="2" fontId="29076" fillId="8" borderId="1" xfId="0" applyNumberFormat="1" applyFont="1" applyFill="1" applyBorder="1" applyAlignment="1">
      <alignment horizontal="center" vertical="center"/>
    </xf>
    <xf numFmtId="2" fontId="29077" fillId="8" borderId="1" xfId="0" applyNumberFormat="1" applyFont="1" applyFill="1" applyBorder="1" applyAlignment="1">
      <alignment horizontal="center" vertical="center"/>
    </xf>
    <xf numFmtId="2" fontId="29078" fillId="8" borderId="1" xfId="0" applyNumberFormat="1" applyFont="1" applyFill="1" applyBorder="1" applyAlignment="1">
      <alignment horizontal="center" vertical="center"/>
    </xf>
    <xf numFmtId="2" fontId="29079" fillId="8" borderId="1" xfId="0" applyNumberFormat="1" applyFont="1" applyFill="1" applyBorder="1" applyAlignment="1">
      <alignment horizontal="center" vertical="center"/>
    </xf>
    <xf numFmtId="2" fontId="29080" fillId="8" borderId="1" xfId="0" applyNumberFormat="1" applyFont="1" applyFill="1" applyBorder="1" applyAlignment="1">
      <alignment horizontal="center" vertical="center"/>
    </xf>
    <xf numFmtId="2" fontId="29081" fillId="8" borderId="1" xfId="0" applyNumberFormat="1" applyFont="1" applyFill="1" applyBorder="1" applyAlignment="1">
      <alignment horizontal="center" vertical="center"/>
    </xf>
    <xf numFmtId="2" fontId="29082" fillId="8" borderId="1" xfId="0" applyNumberFormat="1" applyFont="1" applyFill="1" applyBorder="1" applyAlignment="1">
      <alignment horizontal="center" vertical="center"/>
    </xf>
    <xf numFmtId="2" fontId="29083" fillId="8" borderId="1" xfId="0" applyNumberFormat="1" applyFont="1" applyFill="1" applyBorder="1" applyAlignment="1">
      <alignment horizontal="center" vertical="center"/>
    </xf>
    <xf numFmtId="2" fontId="29084" fillId="8" borderId="1" xfId="0" applyNumberFormat="1" applyFont="1" applyFill="1" applyBorder="1" applyAlignment="1">
      <alignment horizontal="center" vertical="center"/>
    </xf>
    <xf numFmtId="2" fontId="29085" fillId="8" borderId="1" xfId="0" applyNumberFormat="1" applyFont="1" applyFill="1" applyBorder="1" applyAlignment="1">
      <alignment horizontal="center" vertical="center"/>
    </xf>
    <xf numFmtId="2" fontId="29086" fillId="8" borderId="1" xfId="0" applyNumberFormat="1" applyFont="1" applyFill="1" applyBorder="1" applyAlignment="1">
      <alignment horizontal="center" vertical="center"/>
    </xf>
    <xf numFmtId="2" fontId="29087" fillId="8" borderId="1" xfId="0" applyNumberFormat="1" applyFont="1" applyFill="1" applyBorder="1" applyAlignment="1">
      <alignment horizontal="center" vertical="center"/>
    </xf>
    <xf numFmtId="2" fontId="29088" fillId="8" borderId="1" xfId="0" applyNumberFormat="1" applyFont="1" applyFill="1" applyBorder="1" applyAlignment="1">
      <alignment horizontal="center" vertical="center"/>
    </xf>
    <xf numFmtId="2" fontId="29089" fillId="8" borderId="1" xfId="0" applyNumberFormat="1" applyFont="1" applyFill="1" applyBorder="1" applyAlignment="1">
      <alignment horizontal="center" vertical="center"/>
    </xf>
    <xf numFmtId="2" fontId="29090" fillId="8" borderId="1" xfId="0" applyNumberFormat="1" applyFont="1" applyFill="1" applyBorder="1" applyAlignment="1">
      <alignment horizontal="center" vertical="center"/>
    </xf>
    <xf numFmtId="2" fontId="29091" fillId="8" borderId="1" xfId="0" applyNumberFormat="1" applyFont="1" applyFill="1" applyBorder="1" applyAlignment="1">
      <alignment horizontal="center" vertical="center"/>
    </xf>
    <xf numFmtId="2" fontId="29092" fillId="8" borderId="1" xfId="0" applyNumberFormat="1" applyFont="1" applyFill="1" applyBorder="1" applyAlignment="1">
      <alignment horizontal="center" vertical="center"/>
    </xf>
    <xf numFmtId="2" fontId="29093" fillId="8" borderId="1" xfId="0" applyNumberFormat="1" applyFont="1" applyFill="1" applyBorder="1" applyAlignment="1">
      <alignment horizontal="center" vertical="center"/>
    </xf>
    <xf numFmtId="2" fontId="29094" fillId="8" borderId="1" xfId="0" applyNumberFormat="1" applyFont="1" applyFill="1" applyBorder="1" applyAlignment="1">
      <alignment horizontal="center" vertical="center"/>
    </xf>
    <xf numFmtId="2" fontId="29095" fillId="8" borderId="1" xfId="0" applyNumberFormat="1" applyFont="1" applyFill="1" applyBorder="1" applyAlignment="1">
      <alignment horizontal="center" vertical="center"/>
    </xf>
    <xf numFmtId="2" fontId="29096" fillId="8" borderId="1" xfId="0" applyNumberFormat="1" applyFont="1" applyFill="1" applyBorder="1" applyAlignment="1">
      <alignment horizontal="center" vertical="center"/>
    </xf>
    <xf numFmtId="0" fontId="29097" fillId="7" borderId="1" xfId="0" applyNumberFormat="1" applyFont="1" applyFill="1" applyBorder="1" applyAlignment="1">
      <alignment horizontal="left" vertical="center"/>
    </xf>
    <xf numFmtId="0" fontId="29098" fillId="8" borderId="1" xfId="0" applyNumberFormat="1" applyFont="1" applyFill="1" applyBorder="1" applyAlignment="1">
      <alignment horizontal="center" vertical="center"/>
    </xf>
    <xf numFmtId="164" fontId="29099" fillId="8" borderId="1" xfId="0" applyNumberFormat="1" applyFont="1" applyFill="1" applyBorder="1" applyAlignment="1">
      <alignment horizontal="center" vertical="center"/>
    </xf>
    <xf numFmtId="1" fontId="29100" fillId="8" borderId="1" xfId="0" applyNumberFormat="1" applyFont="1" applyFill="1" applyBorder="1" applyAlignment="1">
      <alignment horizontal="center" vertical="center"/>
    </xf>
    <xf numFmtId="1" fontId="29101" fillId="8" borderId="1" xfId="0" applyNumberFormat="1" applyFont="1" applyFill="1" applyBorder="1" applyAlignment="1">
      <alignment horizontal="center" vertical="center"/>
    </xf>
    <xf numFmtId="1" fontId="29102" fillId="8" borderId="1" xfId="0" applyNumberFormat="1" applyFont="1" applyFill="1" applyBorder="1" applyAlignment="1">
      <alignment horizontal="center" vertical="center"/>
    </xf>
    <xf numFmtId="1" fontId="29103" fillId="8" borderId="1" xfId="0" applyNumberFormat="1" applyFont="1" applyFill="1" applyBorder="1" applyAlignment="1">
      <alignment horizontal="center" vertical="center"/>
    </xf>
    <xf numFmtId="1" fontId="29104" fillId="8" borderId="1" xfId="0" applyNumberFormat="1" applyFont="1" applyFill="1" applyBorder="1" applyAlignment="1">
      <alignment horizontal="center" vertical="center"/>
    </xf>
    <xf numFmtId="1" fontId="29105" fillId="8" borderId="1" xfId="0" applyNumberFormat="1" applyFont="1" applyFill="1" applyBorder="1" applyAlignment="1">
      <alignment horizontal="center" vertical="center"/>
    </xf>
    <xf numFmtId="1" fontId="29106" fillId="8" borderId="1" xfId="0" applyNumberFormat="1" applyFont="1" applyFill="1" applyBorder="1" applyAlignment="1">
      <alignment horizontal="center" vertical="center"/>
    </xf>
    <xf numFmtId="0" fontId="29107" fillId="8" borderId="1" xfId="0" applyNumberFormat="1" applyFont="1" applyFill="1" applyBorder="1" applyAlignment="1">
      <alignment horizontal="center" vertical="center"/>
    </xf>
    <xf numFmtId="0" fontId="29108" fillId="8" borderId="1" xfId="0" applyNumberFormat="1" applyFont="1" applyFill="1" applyBorder="1" applyAlignment="1">
      <alignment horizontal="center" vertical="center"/>
    </xf>
    <xf numFmtId="1" fontId="29109" fillId="8" borderId="1" xfId="0" applyNumberFormat="1" applyFont="1" applyFill="1" applyBorder="1" applyAlignment="1">
      <alignment horizontal="center" vertical="center"/>
    </xf>
    <xf numFmtId="1" fontId="29110" fillId="8" borderId="1" xfId="0" applyNumberFormat="1" applyFont="1" applyFill="1" applyBorder="1" applyAlignment="1">
      <alignment horizontal="center" vertical="center"/>
    </xf>
    <xf numFmtId="1" fontId="29111" fillId="8" borderId="1" xfId="0" applyNumberFormat="1" applyFont="1" applyFill="1" applyBorder="1" applyAlignment="1">
      <alignment horizontal="center" vertical="center"/>
    </xf>
    <xf numFmtId="165" fontId="29112" fillId="8" borderId="1" xfId="0" applyNumberFormat="1" applyFont="1" applyFill="1" applyBorder="1" applyAlignment="1">
      <alignment horizontal="center" vertical="center"/>
    </xf>
    <xf numFmtId="1" fontId="29113" fillId="8" borderId="1" xfId="0" applyNumberFormat="1" applyFont="1" applyFill="1" applyBorder="1" applyAlignment="1">
      <alignment horizontal="center" vertical="center"/>
    </xf>
    <xf numFmtId="165" fontId="29114" fillId="8" borderId="1" xfId="0" applyNumberFormat="1" applyFont="1" applyFill="1" applyBorder="1" applyAlignment="1">
      <alignment horizontal="center" vertical="center"/>
    </xf>
    <xf numFmtId="1" fontId="29115" fillId="8" borderId="1" xfId="0" applyNumberFormat="1" applyFont="1" applyFill="1" applyBorder="1" applyAlignment="1">
      <alignment horizontal="center" vertical="center"/>
    </xf>
    <xf numFmtId="165" fontId="29116" fillId="8" borderId="1" xfId="0" applyNumberFormat="1" applyFont="1" applyFill="1" applyBorder="1" applyAlignment="1">
      <alignment horizontal="center" vertical="center"/>
    </xf>
    <xf numFmtId="1" fontId="29117" fillId="8" borderId="1" xfId="0" applyNumberFormat="1" applyFont="1" applyFill="1" applyBorder="1" applyAlignment="1">
      <alignment horizontal="center" vertical="center"/>
    </xf>
    <xf numFmtId="165" fontId="29118" fillId="8" borderId="1" xfId="0" applyNumberFormat="1" applyFont="1" applyFill="1" applyBorder="1" applyAlignment="1">
      <alignment horizontal="center" vertical="center"/>
    </xf>
    <xf numFmtId="165" fontId="29119" fillId="8" borderId="1" xfId="0" applyNumberFormat="1" applyFont="1" applyFill="1" applyBorder="1" applyAlignment="1">
      <alignment horizontal="center" vertical="center"/>
    </xf>
    <xf numFmtId="1" fontId="29120" fillId="8" borderId="1" xfId="0" applyNumberFormat="1" applyFont="1" applyFill="1" applyBorder="1" applyAlignment="1">
      <alignment horizontal="center" vertical="center"/>
    </xf>
    <xf numFmtId="1" fontId="29121" fillId="8" borderId="1" xfId="0" applyNumberFormat="1" applyFont="1" applyFill="1" applyBorder="1" applyAlignment="1">
      <alignment horizontal="center" vertical="center"/>
    </xf>
    <xf numFmtId="1" fontId="29122" fillId="8" borderId="1" xfId="0" applyNumberFormat="1" applyFont="1" applyFill="1" applyBorder="1" applyAlignment="1">
      <alignment horizontal="center" vertical="center"/>
    </xf>
    <xf numFmtId="165" fontId="29123" fillId="8" borderId="1" xfId="0" applyNumberFormat="1" applyFont="1" applyFill="1" applyBorder="1" applyAlignment="1">
      <alignment horizontal="center" vertical="center"/>
    </xf>
    <xf numFmtId="164" fontId="29124" fillId="8" borderId="1" xfId="0" applyNumberFormat="1" applyFont="1" applyFill="1" applyBorder="1" applyAlignment="1">
      <alignment horizontal="center" vertical="center"/>
    </xf>
    <xf numFmtId="164" fontId="29125" fillId="8" borderId="1" xfId="0" applyNumberFormat="1" applyFont="1" applyFill="1" applyBorder="1" applyAlignment="1">
      <alignment horizontal="center" vertical="center"/>
    </xf>
    <xf numFmtId="1" fontId="29126" fillId="8" borderId="1" xfId="0" applyNumberFormat="1" applyFont="1" applyFill="1" applyBorder="1" applyAlignment="1">
      <alignment horizontal="center" vertical="center"/>
    </xf>
    <xf numFmtId="1" fontId="29127" fillId="8" borderId="1" xfId="0" applyNumberFormat="1" applyFont="1" applyFill="1" applyBorder="1" applyAlignment="1">
      <alignment horizontal="center" vertical="center"/>
    </xf>
    <xf numFmtId="1" fontId="29128" fillId="8" borderId="1" xfId="0" applyNumberFormat="1" applyFont="1" applyFill="1" applyBorder="1" applyAlignment="1">
      <alignment horizontal="center" vertical="center"/>
    </xf>
    <xf numFmtId="165" fontId="29129" fillId="8" borderId="1" xfId="0" applyNumberFormat="1" applyFont="1" applyFill="1" applyBorder="1" applyAlignment="1">
      <alignment horizontal="center" vertical="center"/>
    </xf>
    <xf numFmtId="1" fontId="29130" fillId="8" borderId="1" xfId="0" applyNumberFormat="1" applyFont="1" applyFill="1" applyBorder="1" applyAlignment="1">
      <alignment horizontal="center" vertical="center"/>
    </xf>
    <xf numFmtId="165" fontId="29131" fillId="8" borderId="1" xfId="0" applyNumberFormat="1" applyFont="1" applyFill="1" applyBorder="1" applyAlignment="1">
      <alignment horizontal="center" vertical="center"/>
    </xf>
    <xf numFmtId="1" fontId="29132" fillId="8" borderId="1" xfId="0" applyNumberFormat="1" applyFont="1" applyFill="1" applyBorder="1" applyAlignment="1">
      <alignment horizontal="center" vertical="center"/>
    </xf>
    <xf numFmtId="1" fontId="29133" fillId="8" borderId="1" xfId="0" applyNumberFormat="1" applyFont="1" applyFill="1" applyBorder="1" applyAlignment="1">
      <alignment horizontal="center" vertical="center"/>
    </xf>
    <xf numFmtId="1" fontId="29134" fillId="8" borderId="1" xfId="0" applyNumberFormat="1" applyFont="1" applyFill="1" applyBorder="1" applyAlignment="1">
      <alignment horizontal="center" vertical="center"/>
    </xf>
    <xf numFmtId="1" fontId="29135" fillId="8" borderId="1" xfId="0" applyNumberFormat="1" applyFont="1" applyFill="1" applyBorder="1" applyAlignment="1">
      <alignment horizontal="center" vertical="center"/>
    </xf>
    <xf numFmtId="165" fontId="29136" fillId="8" borderId="1" xfId="0" applyNumberFormat="1" applyFont="1" applyFill="1" applyBorder="1" applyAlignment="1">
      <alignment horizontal="center" vertical="center"/>
    </xf>
    <xf numFmtId="1" fontId="29137" fillId="8" borderId="1" xfId="0" applyNumberFormat="1" applyFont="1" applyFill="1" applyBorder="1" applyAlignment="1">
      <alignment horizontal="center" vertical="center"/>
    </xf>
    <xf numFmtId="165" fontId="29138" fillId="8" borderId="1" xfId="0" applyNumberFormat="1" applyFont="1" applyFill="1" applyBorder="1" applyAlignment="1">
      <alignment horizontal="center" vertical="center"/>
    </xf>
    <xf numFmtId="1" fontId="29139" fillId="8" borderId="1" xfId="0" applyNumberFormat="1" applyFont="1" applyFill="1" applyBorder="1" applyAlignment="1">
      <alignment horizontal="center" vertical="center"/>
    </xf>
    <xf numFmtId="165" fontId="29140" fillId="8" borderId="1" xfId="0" applyNumberFormat="1" applyFont="1" applyFill="1" applyBorder="1" applyAlignment="1">
      <alignment horizontal="center" vertical="center"/>
    </xf>
    <xf numFmtId="2" fontId="29141" fillId="8" borderId="1" xfId="0" applyNumberFormat="1" applyFont="1" applyFill="1" applyBorder="1" applyAlignment="1">
      <alignment horizontal="center" vertical="center"/>
    </xf>
    <xf numFmtId="2" fontId="29142" fillId="8" borderId="1" xfId="0" applyNumberFormat="1" applyFont="1" applyFill="1" applyBorder="1" applyAlignment="1">
      <alignment horizontal="center" vertical="center"/>
    </xf>
    <xf numFmtId="2" fontId="29143" fillId="8" borderId="1" xfId="0" applyNumberFormat="1" applyFont="1" applyFill="1" applyBorder="1" applyAlignment="1">
      <alignment horizontal="center" vertical="center"/>
    </xf>
    <xf numFmtId="2" fontId="29144" fillId="8" borderId="1" xfId="0" applyNumberFormat="1" applyFont="1" applyFill="1" applyBorder="1" applyAlignment="1">
      <alignment horizontal="center" vertical="center"/>
    </xf>
    <xf numFmtId="2" fontId="29145" fillId="8" borderId="1" xfId="0" applyNumberFormat="1" applyFont="1" applyFill="1" applyBorder="1" applyAlignment="1">
      <alignment horizontal="center" vertical="center"/>
    </xf>
    <xf numFmtId="2" fontId="29146" fillId="8" borderId="1" xfId="0" applyNumberFormat="1" applyFont="1" applyFill="1" applyBorder="1" applyAlignment="1">
      <alignment horizontal="center" vertical="center"/>
    </xf>
    <xf numFmtId="2" fontId="29147" fillId="8" borderId="1" xfId="0" applyNumberFormat="1" applyFont="1" applyFill="1" applyBorder="1" applyAlignment="1">
      <alignment horizontal="center" vertical="center"/>
    </xf>
    <xf numFmtId="2" fontId="29148" fillId="8" borderId="1" xfId="0" applyNumberFormat="1" applyFont="1" applyFill="1" applyBorder="1" applyAlignment="1">
      <alignment horizontal="center" vertical="center"/>
    </xf>
    <xf numFmtId="2" fontId="29149" fillId="8" borderId="1" xfId="0" applyNumberFormat="1" applyFont="1" applyFill="1" applyBorder="1" applyAlignment="1">
      <alignment horizontal="center" vertical="center"/>
    </xf>
    <xf numFmtId="2" fontId="29150" fillId="8" borderId="1" xfId="0" applyNumberFormat="1" applyFont="1" applyFill="1" applyBorder="1" applyAlignment="1">
      <alignment horizontal="center" vertical="center"/>
    </xf>
    <xf numFmtId="2" fontId="29151" fillId="8" borderId="1" xfId="0" applyNumberFormat="1" applyFont="1" applyFill="1" applyBorder="1" applyAlignment="1">
      <alignment horizontal="center" vertical="center"/>
    </xf>
    <xf numFmtId="2" fontId="29152" fillId="8" borderId="1" xfId="0" applyNumberFormat="1" applyFont="1" applyFill="1" applyBorder="1" applyAlignment="1">
      <alignment horizontal="center" vertical="center"/>
    </xf>
    <xf numFmtId="2" fontId="29153" fillId="8" borderId="1" xfId="0" applyNumberFormat="1" applyFont="1" applyFill="1" applyBorder="1" applyAlignment="1">
      <alignment horizontal="center" vertical="center"/>
    </xf>
    <xf numFmtId="2" fontId="29154" fillId="8" borderId="1" xfId="0" applyNumberFormat="1" applyFont="1" applyFill="1" applyBorder="1" applyAlignment="1">
      <alignment horizontal="center" vertical="center"/>
    </xf>
    <xf numFmtId="2" fontId="29155" fillId="8" borderId="1" xfId="0" applyNumberFormat="1" applyFont="1" applyFill="1" applyBorder="1" applyAlignment="1">
      <alignment horizontal="center" vertical="center"/>
    </xf>
    <xf numFmtId="2" fontId="29156" fillId="8" borderId="1" xfId="0" applyNumberFormat="1" applyFont="1" applyFill="1" applyBorder="1" applyAlignment="1">
      <alignment horizontal="center" vertical="center"/>
    </xf>
    <xf numFmtId="2" fontId="29157" fillId="8" borderId="1" xfId="0" applyNumberFormat="1" applyFont="1" applyFill="1" applyBorder="1" applyAlignment="1">
      <alignment horizontal="center" vertical="center"/>
    </xf>
    <xf numFmtId="2" fontId="29158" fillId="8" borderId="1" xfId="0" applyNumberFormat="1" applyFont="1" applyFill="1" applyBorder="1" applyAlignment="1">
      <alignment horizontal="center" vertical="center"/>
    </xf>
    <xf numFmtId="2" fontId="29159" fillId="8" borderId="1" xfId="0" applyNumberFormat="1" applyFont="1" applyFill="1" applyBorder="1" applyAlignment="1">
      <alignment horizontal="center" vertical="center"/>
    </xf>
    <xf numFmtId="2" fontId="29160" fillId="8" borderId="1" xfId="0" applyNumberFormat="1" applyFont="1" applyFill="1" applyBorder="1" applyAlignment="1">
      <alignment horizontal="center" vertical="center"/>
    </xf>
    <xf numFmtId="2" fontId="29161" fillId="8" borderId="1" xfId="0" applyNumberFormat="1" applyFont="1" applyFill="1" applyBorder="1" applyAlignment="1">
      <alignment horizontal="center" vertical="center"/>
    </xf>
    <xf numFmtId="2" fontId="29162" fillId="8" borderId="1" xfId="0" applyNumberFormat="1" applyFont="1" applyFill="1" applyBorder="1" applyAlignment="1">
      <alignment horizontal="center" vertical="center"/>
    </xf>
    <xf numFmtId="2" fontId="29163" fillId="8" borderId="1" xfId="0" applyNumberFormat="1" applyFont="1" applyFill="1" applyBorder="1" applyAlignment="1">
      <alignment horizontal="center" vertical="center"/>
    </xf>
    <xf numFmtId="2" fontId="29164" fillId="8" borderId="1" xfId="0" applyNumberFormat="1" applyFont="1" applyFill="1" applyBorder="1" applyAlignment="1">
      <alignment horizontal="center" vertical="center"/>
    </xf>
    <xf numFmtId="2" fontId="29165" fillId="8" borderId="1" xfId="0" applyNumberFormat="1" applyFont="1" applyFill="1" applyBorder="1" applyAlignment="1">
      <alignment horizontal="center" vertical="center"/>
    </xf>
    <xf numFmtId="2" fontId="29166" fillId="8" borderId="1" xfId="0" applyNumberFormat="1" applyFont="1" applyFill="1" applyBorder="1" applyAlignment="1">
      <alignment horizontal="center" vertical="center"/>
    </xf>
    <xf numFmtId="2" fontId="29167" fillId="8" borderId="1" xfId="0" applyNumberFormat="1" applyFont="1" applyFill="1" applyBorder="1" applyAlignment="1">
      <alignment horizontal="center" vertical="center"/>
    </xf>
    <xf numFmtId="2" fontId="29168" fillId="8" borderId="1" xfId="0" applyNumberFormat="1" applyFont="1" applyFill="1" applyBorder="1" applyAlignment="1">
      <alignment horizontal="center" vertical="center"/>
    </xf>
    <xf numFmtId="2" fontId="29169" fillId="8" borderId="1" xfId="0" applyNumberFormat="1" applyFont="1" applyFill="1" applyBorder="1" applyAlignment="1">
      <alignment horizontal="center" vertical="center"/>
    </xf>
    <xf numFmtId="2" fontId="29170" fillId="8" borderId="1" xfId="0" applyNumberFormat="1" applyFont="1" applyFill="1" applyBorder="1" applyAlignment="1">
      <alignment horizontal="center" vertical="center"/>
    </xf>
    <xf numFmtId="2" fontId="29171" fillId="8" borderId="1" xfId="0" applyNumberFormat="1" applyFont="1" applyFill="1" applyBorder="1" applyAlignment="1">
      <alignment horizontal="center" vertical="center"/>
    </xf>
    <xf numFmtId="2" fontId="29172" fillId="8" borderId="1" xfId="0" applyNumberFormat="1" applyFont="1" applyFill="1" applyBorder="1" applyAlignment="1">
      <alignment horizontal="center" vertical="center"/>
    </xf>
    <xf numFmtId="2" fontId="29173" fillId="8" borderId="1" xfId="0" applyNumberFormat="1" applyFont="1" applyFill="1" applyBorder="1" applyAlignment="1">
      <alignment horizontal="center" vertical="center"/>
    </xf>
    <xf numFmtId="2" fontId="29174" fillId="8" borderId="1" xfId="0" applyNumberFormat="1" applyFont="1" applyFill="1" applyBorder="1" applyAlignment="1">
      <alignment horizontal="center" vertical="center"/>
    </xf>
    <xf numFmtId="0" fontId="29175" fillId="7" borderId="1" xfId="0" applyNumberFormat="1" applyFont="1" applyFill="1" applyBorder="1" applyAlignment="1">
      <alignment horizontal="left" vertical="center"/>
    </xf>
    <xf numFmtId="0" fontId="29176" fillId="8" borderId="1" xfId="0" applyNumberFormat="1" applyFont="1" applyFill="1" applyBorder="1" applyAlignment="1">
      <alignment horizontal="center" vertical="center"/>
    </xf>
    <xf numFmtId="164" fontId="29177" fillId="8" borderId="1" xfId="0" applyNumberFormat="1" applyFont="1" applyFill="1" applyBorder="1" applyAlignment="1">
      <alignment horizontal="center" vertical="center"/>
    </xf>
    <xf numFmtId="1" fontId="29178" fillId="8" borderId="1" xfId="0" applyNumberFormat="1" applyFont="1" applyFill="1" applyBorder="1" applyAlignment="1">
      <alignment horizontal="center" vertical="center"/>
    </xf>
    <xf numFmtId="1" fontId="29179" fillId="8" borderId="1" xfId="0" applyNumberFormat="1" applyFont="1" applyFill="1" applyBorder="1" applyAlignment="1">
      <alignment horizontal="center" vertical="center"/>
    </xf>
    <xf numFmtId="1" fontId="29180" fillId="8" borderId="1" xfId="0" applyNumberFormat="1" applyFont="1" applyFill="1" applyBorder="1" applyAlignment="1">
      <alignment horizontal="center" vertical="center"/>
    </xf>
    <xf numFmtId="1" fontId="29181" fillId="8" borderId="1" xfId="0" applyNumberFormat="1" applyFont="1" applyFill="1" applyBorder="1" applyAlignment="1">
      <alignment horizontal="center" vertical="center"/>
    </xf>
    <xf numFmtId="1" fontId="29182" fillId="8" borderId="1" xfId="0" applyNumberFormat="1" applyFont="1" applyFill="1" applyBorder="1" applyAlignment="1">
      <alignment horizontal="center" vertical="center"/>
    </xf>
    <xf numFmtId="1" fontId="29183" fillId="8" borderId="1" xfId="0" applyNumberFormat="1" applyFont="1" applyFill="1" applyBorder="1" applyAlignment="1">
      <alignment horizontal="center" vertical="center"/>
    </xf>
    <xf numFmtId="1" fontId="29184" fillId="8" borderId="1" xfId="0" applyNumberFormat="1" applyFont="1" applyFill="1" applyBorder="1" applyAlignment="1">
      <alignment horizontal="center" vertical="center"/>
    </xf>
    <xf numFmtId="0" fontId="29185" fillId="8" borderId="1" xfId="0" applyNumberFormat="1" applyFont="1" applyFill="1" applyBorder="1" applyAlignment="1">
      <alignment horizontal="center" vertical="center"/>
    </xf>
    <xf numFmtId="0" fontId="29186" fillId="8" borderId="1" xfId="0" applyNumberFormat="1" applyFont="1" applyFill="1" applyBorder="1" applyAlignment="1">
      <alignment horizontal="center" vertical="center"/>
    </xf>
    <xf numFmtId="1" fontId="29187" fillId="8" borderId="1" xfId="0" applyNumberFormat="1" applyFont="1" applyFill="1" applyBorder="1" applyAlignment="1">
      <alignment horizontal="center" vertical="center"/>
    </xf>
    <xf numFmtId="1" fontId="29188" fillId="8" borderId="1" xfId="0" applyNumberFormat="1" applyFont="1" applyFill="1" applyBorder="1" applyAlignment="1">
      <alignment horizontal="center" vertical="center"/>
    </xf>
    <xf numFmtId="1" fontId="29189" fillId="8" borderId="1" xfId="0" applyNumberFormat="1" applyFont="1" applyFill="1" applyBorder="1" applyAlignment="1">
      <alignment horizontal="center" vertical="center"/>
    </xf>
    <xf numFmtId="165" fontId="29190" fillId="8" borderId="1" xfId="0" applyNumberFormat="1" applyFont="1" applyFill="1" applyBorder="1" applyAlignment="1">
      <alignment horizontal="center" vertical="center"/>
    </xf>
    <xf numFmtId="1" fontId="29191" fillId="8" borderId="1" xfId="0" applyNumberFormat="1" applyFont="1" applyFill="1" applyBorder="1" applyAlignment="1">
      <alignment horizontal="center" vertical="center"/>
    </xf>
    <xf numFmtId="165" fontId="29192" fillId="8" borderId="1" xfId="0" applyNumberFormat="1" applyFont="1" applyFill="1" applyBorder="1" applyAlignment="1">
      <alignment horizontal="center" vertical="center"/>
    </xf>
    <xf numFmtId="1" fontId="29193" fillId="8" borderId="1" xfId="0" applyNumberFormat="1" applyFont="1" applyFill="1" applyBorder="1" applyAlignment="1">
      <alignment horizontal="center" vertical="center"/>
    </xf>
    <xf numFmtId="165" fontId="29194" fillId="8" borderId="1" xfId="0" applyNumberFormat="1" applyFont="1" applyFill="1" applyBorder="1" applyAlignment="1">
      <alignment horizontal="center" vertical="center"/>
    </xf>
    <xf numFmtId="1" fontId="29195" fillId="8" borderId="1" xfId="0" applyNumberFormat="1" applyFont="1" applyFill="1" applyBorder="1" applyAlignment="1">
      <alignment horizontal="center" vertical="center"/>
    </xf>
    <xf numFmtId="165" fontId="29196" fillId="8" borderId="1" xfId="0" applyNumberFormat="1" applyFont="1" applyFill="1" applyBorder="1" applyAlignment="1">
      <alignment horizontal="center" vertical="center"/>
    </xf>
    <xf numFmtId="165" fontId="29197" fillId="8" borderId="1" xfId="0" applyNumberFormat="1" applyFont="1" applyFill="1" applyBorder="1" applyAlignment="1">
      <alignment horizontal="center" vertical="center"/>
    </xf>
    <xf numFmtId="1" fontId="29198" fillId="8" borderId="1" xfId="0" applyNumberFormat="1" applyFont="1" applyFill="1" applyBorder="1" applyAlignment="1">
      <alignment horizontal="center" vertical="center"/>
    </xf>
    <xf numFmtId="1" fontId="29199" fillId="8" borderId="1" xfId="0" applyNumberFormat="1" applyFont="1" applyFill="1" applyBorder="1" applyAlignment="1">
      <alignment horizontal="center" vertical="center"/>
    </xf>
    <xf numFmtId="1" fontId="29200" fillId="8" borderId="1" xfId="0" applyNumberFormat="1" applyFont="1" applyFill="1" applyBorder="1" applyAlignment="1">
      <alignment horizontal="center" vertical="center"/>
    </xf>
    <xf numFmtId="165" fontId="29201" fillId="8" borderId="1" xfId="0" applyNumberFormat="1" applyFont="1" applyFill="1" applyBorder="1" applyAlignment="1">
      <alignment horizontal="center" vertical="center"/>
    </xf>
    <xf numFmtId="164" fontId="29202" fillId="8" borderId="1" xfId="0" applyNumberFormat="1" applyFont="1" applyFill="1" applyBorder="1" applyAlignment="1">
      <alignment horizontal="center" vertical="center"/>
    </xf>
    <xf numFmtId="164" fontId="29203" fillId="8" borderId="1" xfId="0" applyNumberFormat="1" applyFont="1" applyFill="1" applyBorder="1" applyAlignment="1">
      <alignment horizontal="center" vertical="center"/>
    </xf>
    <xf numFmtId="1" fontId="29204" fillId="8" borderId="1" xfId="0" applyNumberFormat="1" applyFont="1" applyFill="1" applyBorder="1" applyAlignment="1">
      <alignment horizontal="center" vertical="center"/>
    </xf>
    <xf numFmtId="1" fontId="29205" fillId="8" borderId="1" xfId="0" applyNumberFormat="1" applyFont="1" applyFill="1" applyBorder="1" applyAlignment="1">
      <alignment horizontal="center" vertical="center"/>
    </xf>
    <xf numFmtId="1" fontId="29206" fillId="8" borderId="1" xfId="0" applyNumberFormat="1" applyFont="1" applyFill="1" applyBorder="1" applyAlignment="1">
      <alignment horizontal="center" vertical="center"/>
    </xf>
    <xf numFmtId="165" fontId="29207" fillId="8" borderId="1" xfId="0" applyNumberFormat="1" applyFont="1" applyFill="1" applyBorder="1" applyAlignment="1">
      <alignment horizontal="center" vertical="center"/>
    </xf>
    <xf numFmtId="1" fontId="29208" fillId="8" borderId="1" xfId="0" applyNumberFormat="1" applyFont="1" applyFill="1" applyBorder="1" applyAlignment="1">
      <alignment horizontal="center" vertical="center"/>
    </xf>
    <xf numFmtId="165" fontId="29209" fillId="8" borderId="1" xfId="0" applyNumberFormat="1" applyFont="1" applyFill="1" applyBorder="1" applyAlignment="1">
      <alignment horizontal="center" vertical="center"/>
    </xf>
    <xf numFmtId="1" fontId="29210" fillId="8" borderId="1" xfId="0" applyNumberFormat="1" applyFont="1" applyFill="1" applyBorder="1" applyAlignment="1">
      <alignment horizontal="center" vertical="center"/>
    </xf>
    <xf numFmtId="1" fontId="29211" fillId="8" borderId="1" xfId="0" applyNumberFormat="1" applyFont="1" applyFill="1" applyBorder="1" applyAlignment="1">
      <alignment horizontal="center" vertical="center"/>
    </xf>
    <xf numFmtId="1" fontId="29212" fillId="8" borderId="1" xfId="0" applyNumberFormat="1" applyFont="1" applyFill="1" applyBorder="1" applyAlignment="1">
      <alignment horizontal="center" vertical="center"/>
    </xf>
    <xf numFmtId="1" fontId="29213" fillId="8" borderId="1" xfId="0" applyNumberFormat="1" applyFont="1" applyFill="1" applyBorder="1" applyAlignment="1">
      <alignment horizontal="center" vertical="center"/>
    </xf>
    <xf numFmtId="165" fontId="29214" fillId="8" borderId="1" xfId="0" applyNumberFormat="1" applyFont="1" applyFill="1" applyBorder="1" applyAlignment="1">
      <alignment horizontal="center" vertical="center"/>
    </xf>
    <xf numFmtId="1" fontId="29215" fillId="8" borderId="1" xfId="0" applyNumberFormat="1" applyFont="1" applyFill="1" applyBorder="1" applyAlignment="1">
      <alignment horizontal="center" vertical="center"/>
    </xf>
    <xf numFmtId="165" fontId="29216" fillId="8" borderId="1" xfId="0" applyNumberFormat="1" applyFont="1" applyFill="1" applyBorder="1" applyAlignment="1">
      <alignment horizontal="center" vertical="center"/>
    </xf>
    <xf numFmtId="1" fontId="29217" fillId="8" borderId="1" xfId="0" applyNumberFormat="1" applyFont="1" applyFill="1" applyBorder="1" applyAlignment="1">
      <alignment horizontal="center" vertical="center"/>
    </xf>
    <xf numFmtId="165" fontId="29218" fillId="8" borderId="1" xfId="0" applyNumberFormat="1" applyFont="1" applyFill="1" applyBorder="1" applyAlignment="1">
      <alignment horizontal="center" vertical="center"/>
    </xf>
    <xf numFmtId="2" fontId="29219" fillId="8" borderId="1" xfId="0" applyNumberFormat="1" applyFont="1" applyFill="1" applyBorder="1" applyAlignment="1">
      <alignment horizontal="center" vertical="center"/>
    </xf>
    <xf numFmtId="2" fontId="29220" fillId="8" borderId="1" xfId="0" applyNumberFormat="1" applyFont="1" applyFill="1" applyBorder="1" applyAlignment="1">
      <alignment horizontal="center" vertical="center"/>
    </xf>
    <xf numFmtId="2" fontId="29221" fillId="8" borderId="1" xfId="0" applyNumberFormat="1" applyFont="1" applyFill="1" applyBorder="1" applyAlignment="1">
      <alignment horizontal="center" vertical="center"/>
    </xf>
    <xf numFmtId="2" fontId="29222" fillId="8" borderId="1" xfId="0" applyNumberFormat="1" applyFont="1" applyFill="1" applyBorder="1" applyAlignment="1">
      <alignment horizontal="center" vertical="center"/>
    </xf>
    <xf numFmtId="2" fontId="29223" fillId="8" borderId="1" xfId="0" applyNumberFormat="1" applyFont="1" applyFill="1" applyBorder="1" applyAlignment="1">
      <alignment horizontal="center" vertical="center"/>
    </xf>
    <xf numFmtId="2" fontId="29224" fillId="8" borderId="1" xfId="0" applyNumberFormat="1" applyFont="1" applyFill="1" applyBorder="1" applyAlignment="1">
      <alignment horizontal="center" vertical="center"/>
    </xf>
    <xf numFmtId="2" fontId="29225" fillId="8" borderId="1" xfId="0" applyNumberFormat="1" applyFont="1" applyFill="1" applyBorder="1" applyAlignment="1">
      <alignment horizontal="center" vertical="center"/>
    </xf>
    <xf numFmtId="2" fontId="29226" fillId="8" borderId="1" xfId="0" applyNumberFormat="1" applyFont="1" applyFill="1" applyBorder="1" applyAlignment="1">
      <alignment horizontal="center" vertical="center"/>
    </xf>
    <xf numFmtId="2" fontId="29227" fillId="8" borderId="1" xfId="0" applyNumberFormat="1" applyFont="1" applyFill="1" applyBorder="1" applyAlignment="1">
      <alignment horizontal="center" vertical="center"/>
    </xf>
    <xf numFmtId="2" fontId="29228" fillId="8" borderId="1" xfId="0" applyNumberFormat="1" applyFont="1" applyFill="1" applyBorder="1" applyAlignment="1">
      <alignment horizontal="center" vertical="center"/>
    </xf>
    <xf numFmtId="2" fontId="29229" fillId="8" borderId="1" xfId="0" applyNumberFormat="1" applyFont="1" applyFill="1" applyBorder="1" applyAlignment="1">
      <alignment horizontal="center" vertical="center"/>
    </xf>
    <xf numFmtId="2" fontId="29230" fillId="8" borderId="1" xfId="0" applyNumberFormat="1" applyFont="1" applyFill="1" applyBorder="1" applyAlignment="1">
      <alignment horizontal="center" vertical="center"/>
    </xf>
    <xf numFmtId="2" fontId="29231" fillId="8" borderId="1" xfId="0" applyNumberFormat="1" applyFont="1" applyFill="1" applyBorder="1" applyAlignment="1">
      <alignment horizontal="center" vertical="center"/>
    </xf>
    <xf numFmtId="2" fontId="29232" fillId="8" borderId="1" xfId="0" applyNumberFormat="1" applyFont="1" applyFill="1" applyBorder="1" applyAlignment="1">
      <alignment horizontal="center" vertical="center"/>
    </xf>
    <xf numFmtId="2" fontId="29233" fillId="8" borderId="1" xfId="0" applyNumberFormat="1" applyFont="1" applyFill="1" applyBorder="1" applyAlignment="1">
      <alignment horizontal="center" vertical="center"/>
    </xf>
    <xf numFmtId="2" fontId="29234" fillId="8" borderId="1" xfId="0" applyNumberFormat="1" applyFont="1" applyFill="1" applyBorder="1" applyAlignment="1">
      <alignment horizontal="center" vertical="center"/>
    </xf>
    <xf numFmtId="2" fontId="29235" fillId="8" borderId="1" xfId="0" applyNumberFormat="1" applyFont="1" applyFill="1" applyBorder="1" applyAlignment="1">
      <alignment horizontal="center" vertical="center"/>
    </xf>
    <xf numFmtId="2" fontId="29236" fillId="8" borderId="1" xfId="0" applyNumberFormat="1" applyFont="1" applyFill="1" applyBorder="1" applyAlignment="1">
      <alignment horizontal="center" vertical="center"/>
    </xf>
    <xf numFmtId="2" fontId="29237" fillId="8" borderId="1" xfId="0" applyNumberFormat="1" applyFont="1" applyFill="1" applyBorder="1" applyAlignment="1">
      <alignment horizontal="center" vertical="center"/>
    </xf>
    <xf numFmtId="2" fontId="29238" fillId="8" borderId="1" xfId="0" applyNumberFormat="1" applyFont="1" applyFill="1" applyBorder="1" applyAlignment="1">
      <alignment horizontal="center" vertical="center"/>
    </xf>
    <xf numFmtId="2" fontId="29239" fillId="8" borderId="1" xfId="0" applyNumberFormat="1" applyFont="1" applyFill="1" applyBorder="1" applyAlignment="1">
      <alignment horizontal="center" vertical="center"/>
    </xf>
    <xf numFmtId="2" fontId="29240" fillId="8" borderId="1" xfId="0" applyNumberFormat="1" applyFont="1" applyFill="1" applyBorder="1" applyAlignment="1">
      <alignment horizontal="center" vertical="center"/>
    </xf>
    <xf numFmtId="2" fontId="29241" fillId="8" borderId="1" xfId="0" applyNumberFormat="1" applyFont="1" applyFill="1" applyBorder="1" applyAlignment="1">
      <alignment horizontal="center" vertical="center"/>
    </xf>
    <xf numFmtId="2" fontId="29242" fillId="8" borderId="1" xfId="0" applyNumberFormat="1" applyFont="1" applyFill="1" applyBorder="1" applyAlignment="1">
      <alignment horizontal="center" vertical="center"/>
    </xf>
    <xf numFmtId="2" fontId="29243" fillId="8" borderId="1" xfId="0" applyNumberFormat="1" applyFont="1" applyFill="1" applyBorder="1" applyAlignment="1">
      <alignment horizontal="center" vertical="center"/>
    </xf>
    <xf numFmtId="2" fontId="29244" fillId="8" borderId="1" xfId="0" applyNumberFormat="1" applyFont="1" applyFill="1" applyBorder="1" applyAlignment="1">
      <alignment horizontal="center" vertical="center"/>
    </xf>
    <xf numFmtId="2" fontId="29245" fillId="8" borderId="1" xfId="0" applyNumberFormat="1" applyFont="1" applyFill="1" applyBorder="1" applyAlignment="1">
      <alignment horizontal="center" vertical="center"/>
    </xf>
    <xf numFmtId="2" fontId="29246" fillId="8" borderId="1" xfId="0" applyNumberFormat="1" applyFont="1" applyFill="1" applyBorder="1" applyAlignment="1">
      <alignment horizontal="center" vertical="center"/>
    </xf>
    <xf numFmtId="2" fontId="29247" fillId="8" borderId="1" xfId="0" applyNumberFormat="1" applyFont="1" applyFill="1" applyBorder="1" applyAlignment="1">
      <alignment horizontal="center" vertical="center"/>
    </xf>
    <xf numFmtId="2" fontId="29248" fillId="8" borderId="1" xfId="0" applyNumberFormat="1" applyFont="1" applyFill="1" applyBorder="1" applyAlignment="1">
      <alignment horizontal="center" vertical="center"/>
    </xf>
    <xf numFmtId="2" fontId="29249" fillId="8" borderId="1" xfId="0" applyNumberFormat="1" applyFont="1" applyFill="1" applyBorder="1" applyAlignment="1">
      <alignment horizontal="center" vertical="center"/>
    </xf>
    <xf numFmtId="2" fontId="29250" fillId="8" borderId="1" xfId="0" applyNumberFormat="1" applyFont="1" applyFill="1" applyBorder="1" applyAlignment="1">
      <alignment horizontal="center" vertical="center"/>
    </xf>
    <xf numFmtId="2" fontId="29251" fillId="8" borderId="1" xfId="0" applyNumberFormat="1" applyFont="1" applyFill="1" applyBorder="1" applyAlignment="1">
      <alignment horizontal="center" vertical="center"/>
    </xf>
    <xf numFmtId="2" fontId="29252" fillId="8" borderId="1" xfId="0" applyNumberFormat="1" applyFont="1" applyFill="1" applyBorder="1" applyAlignment="1">
      <alignment horizontal="center" vertical="center"/>
    </xf>
    <xf numFmtId="0" fontId="29253" fillId="7" borderId="1" xfId="0" applyNumberFormat="1" applyFont="1" applyFill="1" applyBorder="1" applyAlignment="1">
      <alignment horizontal="left" vertical="center"/>
    </xf>
    <xf numFmtId="0" fontId="29254" fillId="8" borderId="1" xfId="0" applyNumberFormat="1" applyFont="1" applyFill="1" applyBorder="1" applyAlignment="1">
      <alignment horizontal="center" vertical="center"/>
    </xf>
    <xf numFmtId="164" fontId="29255" fillId="8" borderId="1" xfId="0" applyNumberFormat="1" applyFont="1" applyFill="1" applyBorder="1" applyAlignment="1">
      <alignment horizontal="center" vertical="center"/>
    </xf>
    <xf numFmtId="1" fontId="29256" fillId="8" borderId="1" xfId="0" applyNumberFormat="1" applyFont="1" applyFill="1" applyBorder="1" applyAlignment="1">
      <alignment horizontal="center" vertical="center"/>
    </xf>
    <xf numFmtId="1" fontId="29257" fillId="8" borderId="1" xfId="0" applyNumberFormat="1" applyFont="1" applyFill="1" applyBorder="1" applyAlignment="1">
      <alignment horizontal="center" vertical="center"/>
    </xf>
    <xf numFmtId="1" fontId="29258" fillId="8" borderId="1" xfId="0" applyNumberFormat="1" applyFont="1" applyFill="1" applyBorder="1" applyAlignment="1">
      <alignment horizontal="center" vertical="center"/>
    </xf>
    <xf numFmtId="1" fontId="29259" fillId="8" borderId="1" xfId="0" applyNumberFormat="1" applyFont="1" applyFill="1" applyBorder="1" applyAlignment="1">
      <alignment horizontal="center" vertical="center"/>
    </xf>
    <xf numFmtId="1" fontId="29260" fillId="8" borderId="1" xfId="0" applyNumberFormat="1" applyFont="1" applyFill="1" applyBorder="1" applyAlignment="1">
      <alignment horizontal="center" vertical="center"/>
    </xf>
    <xf numFmtId="1" fontId="29261" fillId="8" borderId="1" xfId="0" applyNumberFormat="1" applyFont="1" applyFill="1" applyBorder="1" applyAlignment="1">
      <alignment horizontal="center" vertical="center"/>
    </xf>
    <xf numFmtId="1" fontId="29262" fillId="8" borderId="1" xfId="0" applyNumberFormat="1" applyFont="1" applyFill="1" applyBorder="1" applyAlignment="1">
      <alignment horizontal="center" vertical="center"/>
    </xf>
    <xf numFmtId="0" fontId="29263" fillId="8" borderId="1" xfId="0" applyNumberFormat="1" applyFont="1" applyFill="1" applyBorder="1" applyAlignment="1">
      <alignment horizontal="center" vertical="center"/>
    </xf>
    <xf numFmtId="0" fontId="29264" fillId="8" borderId="1" xfId="0" applyNumberFormat="1" applyFont="1" applyFill="1" applyBorder="1" applyAlignment="1">
      <alignment horizontal="center" vertical="center"/>
    </xf>
    <xf numFmtId="1" fontId="29265" fillId="8" borderId="1" xfId="0" applyNumberFormat="1" applyFont="1" applyFill="1" applyBorder="1" applyAlignment="1">
      <alignment horizontal="center" vertical="center"/>
    </xf>
    <xf numFmtId="1" fontId="29266" fillId="8" borderId="1" xfId="0" applyNumberFormat="1" applyFont="1" applyFill="1" applyBorder="1" applyAlignment="1">
      <alignment horizontal="center" vertical="center"/>
    </xf>
    <xf numFmtId="1" fontId="29267" fillId="8" borderId="1" xfId="0" applyNumberFormat="1" applyFont="1" applyFill="1" applyBorder="1" applyAlignment="1">
      <alignment horizontal="center" vertical="center"/>
    </xf>
    <xf numFmtId="165" fontId="29268" fillId="8" borderId="1" xfId="0" applyNumberFormat="1" applyFont="1" applyFill="1" applyBorder="1" applyAlignment="1">
      <alignment horizontal="center" vertical="center"/>
    </xf>
    <xf numFmtId="1" fontId="29269" fillId="8" borderId="1" xfId="0" applyNumberFormat="1" applyFont="1" applyFill="1" applyBorder="1" applyAlignment="1">
      <alignment horizontal="center" vertical="center"/>
    </xf>
    <xf numFmtId="165" fontId="29270" fillId="8" borderId="1" xfId="0" applyNumberFormat="1" applyFont="1" applyFill="1" applyBorder="1" applyAlignment="1">
      <alignment horizontal="center" vertical="center"/>
    </xf>
    <xf numFmtId="1" fontId="29271" fillId="8" borderId="1" xfId="0" applyNumberFormat="1" applyFont="1" applyFill="1" applyBorder="1" applyAlignment="1">
      <alignment horizontal="center" vertical="center"/>
    </xf>
    <xf numFmtId="165" fontId="29272" fillId="8" borderId="1" xfId="0" applyNumberFormat="1" applyFont="1" applyFill="1" applyBorder="1" applyAlignment="1">
      <alignment horizontal="center" vertical="center"/>
    </xf>
    <xf numFmtId="1" fontId="29273" fillId="8" borderId="1" xfId="0" applyNumberFormat="1" applyFont="1" applyFill="1" applyBorder="1" applyAlignment="1">
      <alignment horizontal="center" vertical="center"/>
    </xf>
    <xf numFmtId="165" fontId="29274" fillId="8" borderId="1" xfId="0" applyNumberFormat="1" applyFont="1" applyFill="1" applyBorder="1" applyAlignment="1">
      <alignment horizontal="center" vertical="center"/>
    </xf>
    <xf numFmtId="165" fontId="29275" fillId="8" borderId="1" xfId="0" applyNumberFormat="1" applyFont="1" applyFill="1" applyBorder="1" applyAlignment="1">
      <alignment horizontal="center" vertical="center"/>
    </xf>
    <xf numFmtId="1" fontId="29276" fillId="8" borderId="1" xfId="0" applyNumberFormat="1" applyFont="1" applyFill="1" applyBorder="1" applyAlignment="1">
      <alignment horizontal="center" vertical="center"/>
    </xf>
    <xf numFmtId="1" fontId="29277" fillId="8" borderId="1" xfId="0" applyNumberFormat="1" applyFont="1" applyFill="1" applyBorder="1" applyAlignment="1">
      <alignment horizontal="center" vertical="center"/>
    </xf>
    <xf numFmtId="1" fontId="29278" fillId="8" borderId="1" xfId="0" applyNumberFormat="1" applyFont="1" applyFill="1" applyBorder="1" applyAlignment="1">
      <alignment horizontal="center" vertical="center"/>
    </xf>
    <xf numFmtId="165" fontId="29279" fillId="8" borderId="1" xfId="0" applyNumberFormat="1" applyFont="1" applyFill="1" applyBorder="1" applyAlignment="1">
      <alignment horizontal="center" vertical="center"/>
    </xf>
    <xf numFmtId="164" fontId="29280" fillId="8" borderId="1" xfId="0" applyNumberFormat="1" applyFont="1" applyFill="1" applyBorder="1" applyAlignment="1">
      <alignment horizontal="center" vertical="center"/>
    </xf>
    <xf numFmtId="164" fontId="29281" fillId="8" borderId="1" xfId="0" applyNumberFormat="1" applyFont="1" applyFill="1" applyBorder="1" applyAlignment="1">
      <alignment horizontal="center" vertical="center"/>
    </xf>
    <xf numFmtId="1" fontId="29282" fillId="8" borderId="1" xfId="0" applyNumberFormat="1" applyFont="1" applyFill="1" applyBorder="1" applyAlignment="1">
      <alignment horizontal="center" vertical="center"/>
    </xf>
    <xf numFmtId="1" fontId="29283" fillId="8" borderId="1" xfId="0" applyNumberFormat="1" applyFont="1" applyFill="1" applyBorder="1" applyAlignment="1">
      <alignment horizontal="center" vertical="center"/>
    </xf>
    <xf numFmtId="1" fontId="29284" fillId="8" borderId="1" xfId="0" applyNumberFormat="1" applyFont="1" applyFill="1" applyBorder="1" applyAlignment="1">
      <alignment horizontal="center" vertical="center"/>
    </xf>
    <xf numFmtId="165" fontId="29285" fillId="8" borderId="1" xfId="0" applyNumberFormat="1" applyFont="1" applyFill="1" applyBorder="1" applyAlignment="1">
      <alignment horizontal="center" vertical="center"/>
    </xf>
    <xf numFmtId="1" fontId="29286" fillId="8" borderId="1" xfId="0" applyNumberFormat="1" applyFont="1" applyFill="1" applyBorder="1" applyAlignment="1">
      <alignment horizontal="center" vertical="center"/>
    </xf>
    <xf numFmtId="165" fontId="29287" fillId="8" borderId="1" xfId="0" applyNumberFormat="1" applyFont="1" applyFill="1" applyBorder="1" applyAlignment="1">
      <alignment horizontal="center" vertical="center"/>
    </xf>
    <xf numFmtId="1" fontId="29288" fillId="8" borderId="1" xfId="0" applyNumberFormat="1" applyFont="1" applyFill="1" applyBorder="1" applyAlignment="1">
      <alignment horizontal="center" vertical="center"/>
    </xf>
    <xf numFmtId="1" fontId="29289" fillId="8" borderId="1" xfId="0" applyNumberFormat="1" applyFont="1" applyFill="1" applyBorder="1" applyAlignment="1">
      <alignment horizontal="center" vertical="center"/>
    </xf>
    <xf numFmtId="1" fontId="29290" fillId="8" borderId="1" xfId="0" applyNumberFormat="1" applyFont="1" applyFill="1" applyBorder="1" applyAlignment="1">
      <alignment horizontal="center" vertical="center"/>
    </xf>
    <xf numFmtId="1" fontId="29291" fillId="8" borderId="1" xfId="0" applyNumberFormat="1" applyFont="1" applyFill="1" applyBorder="1" applyAlignment="1">
      <alignment horizontal="center" vertical="center"/>
    </xf>
    <xf numFmtId="165" fontId="29292" fillId="8" borderId="1" xfId="0" applyNumberFormat="1" applyFont="1" applyFill="1" applyBorder="1" applyAlignment="1">
      <alignment horizontal="center" vertical="center"/>
    </xf>
    <xf numFmtId="1" fontId="29293" fillId="8" borderId="1" xfId="0" applyNumberFormat="1" applyFont="1" applyFill="1" applyBorder="1" applyAlignment="1">
      <alignment horizontal="center" vertical="center"/>
    </xf>
    <xf numFmtId="165" fontId="29294" fillId="8" borderId="1" xfId="0" applyNumberFormat="1" applyFont="1" applyFill="1" applyBorder="1" applyAlignment="1">
      <alignment horizontal="center" vertical="center"/>
    </xf>
    <xf numFmtId="1" fontId="29295" fillId="8" borderId="1" xfId="0" applyNumberFormat="1" applyFont="1" applyFill="1" applyBorder="1" applyAlignment="1">
      <alignment horizontal="center" vertical="center"/>
    </xf>
    <xf numFmtId="165" fontId="29296" fillId="8" borderId="1" xfId="0" applyNumberFormat="1" applyFont="1" applyFill="1" applyBorder="1" applyAlignment="1">
      <alignment horizontal="center" vertical="center"/>
    </xf>
    <xf numFmtId="2" fontId="29297" fillId="8" borderId="1" xfId="0" applyNumberFormat="1" applyFont="1" applyFill="1" applyBorder="1" applyAlignment="1">
      <alignment horizontal="center" vertical="center"/>
    </xf>
    <xf numFmtId="2" fontId="29298" fillId="8" borderId="1" xfId="0" applyNumberFormat="1" applyFont="1" applyFill="1" applyBorder="1" applyAlignment="1">
      <alignment horizontal="center" vertical="center"/>
    </xf>
    <xf numFmtId="2" fontId="29299" fillId="8" borderId="1" xfId="0" applyNumberFormat="1" applyFont="1" applyFill="1" applyBorder="1" applyAlignment="1">
      <alignment horizontal="center" vertical="center"/>
    </xf>
    <xf numFmtId="2" fontId="29300" fillId="8" borderId="1" xfId="0" applyNumberFormat="1" applyFont="1" applyFill="1" applyBorder="1" applyAlignment="1">
      <alignment horizontal="center" vertical="center"/>
    </xf>
    <xf numFmtId="2" fontId="29301" fillId="8" borderId="1" xfId="0" applyNumberFormat="1" applyFont="1" applyFill="1" applyBorder="1" applyAlignment="1">
      <alignment horizontal="center" vertical="center"/>
    </xf>
    <xf numFmtId="2" fontId="29302" fillId="8" borderId="1" xfId="0" applyNumberFormat="1" applyFont="1" applyFill="1" applyBorder="1" applyAlignment="1">
      <alignment horizontal="center" vertical="center"/>
    </xf>
    <xf numFmtId="2" fontId="29303" fillId="8" borderId="1" xfId="0" applyNumberFormat="1" applyFont="1" applyFill="1" applyBorder="1" applyAlignment="1">
      <alignment horizontal="center" vertical="center"/>
    </xf>
    <xf numFmtId="2" fontId="29304" fillId="8" borderId="1" xfId="0" applyNumberFormat="1" applyFont="1" applyFill="1" applyBorder="1" applyAlignment="1">
      <alignment horizontal="center" vertical="center"/>
    </xf>
    <xf numFmtId="2" fontId="29305" fillId="8" borderId="1" xfId="0" applyNumberFormat="1" applyFont="1" applyFill="1" applyBorder="1" applyAlignment="1">
      <alignment horizontal="center" vertical="center"/>
    </xf>
    <xf numFmtId="2" fontId="29306" fillId="8" borderId="1" xfId="0" applyNumberFormat="1" applyFont="1" applyFill="1" applyBorder="1" applyAlignment="1">
      <alignment horizontal="center" vertical="center"/>
    </xf>
    <xf numFmtId="2" fontId="29307" fillId="8" borderId="1" xfId="0" applyNumberFormat="1" applyFont="1" applyFill="1" applyBorder="1" applyAlignment="1">
      <alignment horizontal="center" vertical="center"/>
    </xf>
    <xf numFmtId="2" fontId="29308" fillId="8" borderId="1" xfId="0" applyNumberFormat="1" applyFont="1" applyFill="1" applyBorder="1" applyAlignment="1">
      <alignment horizontal="center" vertical="center"/>
    </xf>
    <xf numFmtId="2" fontId="29309" fillId="8" borderId="1" xfId="0" applyNumberFormat="1" applyFont="1" applyFill="1" applyBorder="1" applyAlignment="1">
      <alignment horizontal="center" vertical="center"/>
    </xf>
    <xf numFmtId="2" fontId="29310" fillId="8" borderId="1" xfId="0" applyNumberFormat="1" applyFont="1" applyFill="1" applyBorder="1" applyAlignment="1">
      <alignment horizontal="center" vertical="center"/>
    </xf>
    <xf numFmtId="2" fontId="29311" fillId="8" borderId="1" xfId="0" applyNumberFormat="1" applyFont="1" applyFill="1" applyBorder="1" applyAlignment="1">
      <alignment horizontal="center" vertical="center"/>
    </xf>
    <xf numFmtId="2" fontId="29312" fillId="8" borderId="1" xfId="0" applyNumberFormat="1" applyFont="1" applyFill="1" applyBorder="1" applyAlignment="1">
      <alignment horizontal="center" vertical="center"/>
    </xf>
    <xf numFmtId="2" fontId="29313" fillId="8" borderId="1" xfId="0" applyNumberFormat="1" applyFont="1" applyFill="1" applyBorder="1" applyAlignment="1">
      <alignment horizontal="center" vertical="center"/>
    </xf>
    <xf numFmtId="2" fontId="29314" fillId="8" borderId="1" xfId="0" applyNumberFormat="1" applyFont="1" applyFill="1" applyBorder="1" applyAlignment="1">
      <alignment horizontal="center" vertical="center"/>
    </xf>
    <xf numFmtId="2" fontId="29315" fillId="8" borderId="1" xfId="0" applyNumberFormat="1" applyFont="1" applyFill="1" applyBorder="1" applyAlignment="1">
      <alignment horizontal="center" vertical="center"/>
    </xf>
    <xf numFmtId="2" fontId="29316" fillId="8" borderId="1" xfId="0" applyNumberFormat="1" applyFont="1" applyFill="1" applyBorder="1" applyAlignment="1">
      <alignment horizontal="center" vertical="center"/>
    </xf>
    <xf numFmtId="2" fontId="29317" fillId="8" borderId="1" xfId="0" applyNumberFormat="1" applyFont="1" applyFill="1" applyBorder="1" applyAlignment="1">
      <alignment horizontal="center" vertical="center"/>
    </xf>
    <xf numFmtId="2" fontId="29318" fillId="8" borderId="1" xfId="0" applyNumberFormat="1" applyFont="1" applyFill="1" applyBorder="1" applyAlignment="1">
      <alignment horizontal="center" vertical="center"/>
    </xf>
    <xf numFmtId="2" fontId="29319" fillId="8" borderId="1" xfId="0" applyNumberFormat="1" applyFont="1" applyFill="1" applyBorder="1" applyAlignment="1">
      <alignment horizontal="center" vertical="center"/>
    </xf>
    <xf numFmtId="2" fontId="29320" fillId="8" borderId="1" xfId="0" applyNumberFormat="1" applyFont="1" applyFill="1" applyBorder="1" applyAlignment="1">
      <alignment horizontal="center" vertical="center"/>
    </xf>
    <xf numFmtId="2" fontId="29321" fillId="8" borderId="1" xfId="0" applyNumberFormat="1" applyFont="1" applyFill="1" applyBorder="1" applyAlignment="1">
      <alignment horizontal="center" vertical="center"/>
    </xf>
    <xf numFmtId="2" fontId="29322" fillId="8" borderId="1" xfId="0" applyNumberFormat="1" applyFont="1" applyFill="1" applyBorder="1" applyAlignment="1">
      <alignment horizontal="center" vertical="center"/>
    </xf>
    <xf numFmtId="2" fontId="29323" fillId="8" borderId="1" xfId="0" applyNumberFormat="1" applyFont="1" applyFill="1" applyBorder="1" applyAlignment="1">
      <alignment horizontal="center" vertical="center"/>
    </xf>
    <xf numFmtId="2" fontId="29324" fillId="8" borderId="1" xfId="0" applyNumberFormat="1" applyFont="1" applyFill="1" applyBorder="1" applyAlignment="1">
      <alignment horizontal="center" vertical="center"/>
    </xf>
    <xf numFmtId="2" fontId="29325" fillId="8" borderId="1" xfId="0" applyNumberFormat="1" applyFont="1" applyFill="1" applyBorder="1" applyAlignment="1">
      <alignment horizontal="center" vertical="center"/>
    </xf>
    <xf numFmtId="2" fontId="29326" fillId="8" borderId="1" xfId="0" applyNumberFormat="1" applyFont="1" applyFill="1" applyBorder="1" applyAlignment="1">
      <alignment horizontal="center" vertical="center"/>
    </xf>
    <xf numFmtId="2" fontId="29327" fillId="8" borderId="1" xfId="0" applyNumberFormat="1" applyFont="1" applyFill="1" applyBorder="1" applyAlignment="1">
      <alignment horizontal="center" vertical="center"/>
    </xf>
    <xf numFmtId="2" fontId="29328" fillId="8" borderId="1" xfId="0" applyNumberFormat="1" applyFont="1" applyFill="1" applyBorder="1" applyAlignment="1">
      <alignment horizontal="center" vertical="center"/>
    </xf>
    <xf numFmtId="2" fontId="29329" fillId="8" borderId="1" xfId="0" applyNumberFormat="1" applyFont="1" applyFill="1" applyBorder="1" applyAlignment="1">
      <alignment horizontal="center" vertical="center"/>
    </xf>
    <xf numFmtId="2" fontId="29330" fillId="8" borderId="1" xfId="0" applyNumberFormat="1" applyFont="1" applyFill="1" applyBorder="1" applyAlignment="1">
      <alignment horizontal="center" vertical="center"/>
    </xf>
    <xf numFmtId="0" fontId="29331" fillId="7" borderId="1" xfId="0" applyNumberFormat="1" applyFont="1" applyFill="1" applyBorder="1" applyAlignment="1">
      <alignment horizontal="left" vertical="center"/>
    </xf>
    <xf numFmtId="0" fontId="29332" fillId="8" borderId="1" xfId="0" applyNumberFormat="1" applyFont="1" applyFill="1" applyBorder="1" applyAlignment="1">
      <alignment horizontal="center" vertical="center"/>
    </xf>
    <xf numFmtId="164" fontId="29333" fillId="8" borderId="1" xfId="0" applyNumberFormat="1" applyFont="1" applyFill="1" applyBorder="1" applyAlignment="1">
      <alignment horizontal="center" vertical="center"/>
    </xf>
    <xf numFmtId="1" fontId="29334" fillId="8" borderId="1" xfId="0" applyNumberFormat="1" applyFont="1" applyFill="1" applyBorder="1" applyAlignment="1">
      <alignment horizontal="center" vertical="center"/>
    </xf>
    <xf numFmtId="1" fontId="29335" fillId="8" borderId="1" xfId="0" applyNumberFormat="1" applyFont="1" applyFill="1" applyBorder="1" applyAlignment="1">
      <alignment horizontal="center" vertical="center"/>
    </xf>
    <xf numFmtId="1" fontId="29336" fillId="8" borderId="1" xfId="0" applyNumberFormat="1" applyFont="1" applyFill="1" applyBorder="1" applyAlignment="1">
      <alignment horizontal="center" vertical="center"/>
    </xf>
    <xf numFmtId="1" fontId="29337" fillId="8" borderId="1" xfId="0" applyNumberFormat="1" applyFont="1" applyFill="1" applyBorder="1" applyAlignment="1">
      <alignment horizontal="center" vertical="center"/>
    </xf>
    <xf numFmtId="1" fontId="29338" fillId="8" borderId="1" xfId="0" applyNumberFormat="1" applyFont="1" applyFill="1" applyBorder="1" applyAlignment="1">
      <alignment horizontal="center" vertical="center"/>
    </xf>
    <xf numFmtId="1" fontId="29339" fillId="8" borderId="1" xfId="0" applyNumberFormat="1" applyFont="1" applyFill="1" applyBorder="1" applyAlignment="1">
      <alignment horizontal="center" vertical="center"/>
    </xf>
    <xf numFmtId="1" fontId="29340" fillId="8" borderId="1" xfId="0" applyNumberFormat="1" applyFont="1" applyFill="1" applyBorder="1" applyAlignment="1">
      <alignment horizontal="center" vertical="center"/>
    </xf>
    <xf numFmtId="0" fontId="29341" fillId="8" borderId="1" xfId="0" applyNumberFormat="1" applyFont="1" applyFill="1" applyBorder="1" applyAlignment="1">
      <alignment horizontal="center" vertical="center"/>
    </xf>
    <xf numFmtId="0" fontId="29342" fillId="8" borderId="1" xfId="0" applyNumberFormat="1" applyFont="1" applyFill="1" applyBorder="1" applyAlignment="1">
      <alignment horizontal="center" vertical="center"/>
    </xf>
    <xf numFmtId="1" fontId="29343" fillId="8" borderId="1" xfId="0" applyNumberFormat="1" applyFont="1" applyFill="1" applyBorder="1" applyAlignment="1">
      <alignment horizontal="center" vertical="center"/>
    </xf>
    <xf numFmtId="1" fontId="29344" fillId="8" borderId="1" xfId="0" applyNumberFormat="1" applyFont="1" applyFill="1" applyBorder="1" applyAlignment="1">
      <alignment horizontal="center" vertical="center"/>
    </xf>
    <xf numFmtId="1" fontId="29345" fillId="8" borderId="1" xfId="0" applyNumberFormat="1" applyFont="1" applyFill="1" applyBorder="1" applyAlignment="1">
      <alignment horizontal="center" vertical="center"/>
    </xf>
    <xf numFmtId="165" fontId="29346" fillId="8" borderId="1" xfId="0" applyNumberFormat="1" applyFont="1" applyFill="1" applyBorder="1" applyAlignment="1">
      <alignment horizontal="center" vertical="center"/>
    </xf>
    <xf numFmtId="1" fontId="29347" fillId="8" borderId="1" xfId="0" applyNumberFormat="1" applyFont="1" applyFill="1" applyBorder="1" applyAlignment="1">
      <alignment horizontal="center" vertical="center"/>
    </xf>
    <xf numFmtId="165" fontId="29348" fillId="8" borderId="1" xfId="0" applyNumberFormat="1" applyFont="1" applyFill="1" applyBorder="1" applyAlignment="1">
      <alignment horizontal="center" vertical="center"/>
    </xf>
    <xf numFmtId="1" fontId="29349" fillId="8" borderId="1" xfId="0" applyNumberFormat="1" applyFont="1" applyFill="1" applyBorder="1" applyAlignment="1">
      <alignment horizontal="center" vertical="center"/>
    </xf>
    <xf numFmtId="165" fontId="29350" fillId="8" borderId="1" xfId="0" applyNumberFormat="1" applyFont="1" applyFill="1" applyBorder="1" applyAlignment="1">
      <alignment horizontal="center" vertical="center"/>
    </xf>
    <xf numFmtId="1" fontId="29351" fillId="8" borderId="1" xfId="0" applyNumberFormat="1" applyFont="1" applyFill="1" applyBorder="1" applyAlignment="1">
      <alignment horizontal="center" vertical="center"/>
    </xf>
    <xf numFmtId="165" fontId="29352" fillId="8" borderId="1" xfId="0" applyNumberFormat="1" applyFont="1" applyFill="1" applyBorder="1" applyAlignment="1">
      <alignment horizontal="center" vertical="center"/>
    </xf>
    <xf numFmtId="165" fontId="29353" fillId="8" borderId="1" xfId="0" applyNumberFormat="1" applyFont="1" applyFill="1" applyBorder="1" applyAlignment="1">
      <alignment horizontal="center" vertical="center"/>
    </xf>
    <xf numFmtId="1" fontId="29354" fillId="8" borderId="1" xfId="0" applyNumberFormat="1" applyFont="1" applyFill="1" applyBorder="1" applyAlignment="1">
      <alignment horizontal="center" vertical="center"/>
    </xf>
    <xf numFmtId="1" fontId="29355" fillId="8" borderId="1" xfId="0" applyNumberFormat="1" applyFont="1" applyFill="1" applyBorder="1" applyAlignment="1">
      <alignment horizontal="center" vertical="center"/>
    </xf>
    <xf numFmtId="1" fontId="29356" fillId="8" borderId="1" xfId="0" applyNumberFormat="1" applyFont="1" applyFill="1" applyBorder="1" applyAlignment="1">
      <alignment horizontal="center" vertical="center"/>
    </xf>
    <xf numFmtId="165" fontId="29357" fillId="8" borderId="1" xfId="0" applyNumberFormat="1" applyFont="1" applyFill="1" applyBorder="1" applyAlignment="1">
      <alignment horizontal="center" vertical="center"/>
    </xf>
    <xf numFmtId="164" fontId="29358" fillId="8" borderId="1" xfId="0" applyNumberFormat="1" applyFont="1" applyFill="1" applyBorder="1" applyAlignment="1">
      <alignment horizontal="center" vertical="center"/>
    </xf>
    <xf numFmtId="164" fontId="29359" fillId="8" borderId="1" xfId="0" applyNumberFormat="1" applyFont="1" applyFill="1" applyBorder="1" applyAlignment="1">
      <alignment horizontal="center" vertical="center"/>
    </xf>
    <xf numFmtId="1" fontId="29360" fillId="8" borderId="1" xfId="0" applyNumberFormat="1" applyFont="1" applyFill="1" applyBorder="1" applyAlignment="1">
      <alignment horizontal="center" vertical="center"/>
    </xf>
    <xf numFmtId="1" fontId="29361" fillId="8" borderId="1" xfId="0" applyNumberFormat="1" applyFont="1" applyFill="1" applyBorder="1" applyAlignment="1">
      <alignment horizontal="center" vertical="center"/>
    </xf>
    <xf numFmtId="1" fontId="29362" fillId="8" borderId="1" xfId="0" applyNumberFormat="1" applyFont="1" applyFill="1" applyBorder="1" applyAlignment="1">
      <alignment horizontal="center" vertical="center"/>
    </xf>
    <xf numFmtId="165" fontId="29363" fillId="8" borderId="1" xfId="0" applyNumberFormat="1" applyFont="1" applyFill="1" applyBorder="1" applyAlignment="1">
      <alignment horizontal="center" vertical="center"/>
    </xf>
    <xf numFmtId="1" fontId="29364" fillId="8" borderId="1" xfId="0" applyNumberFormat="1" applyFont="1" applyFill="1" applyBorder="1" applyAlignment="1">
      <alignment horizontal="center" vertical="center"/>
    </xf>
    <xf numFmtId="165" fontId="29365" fillId="8" borderId="1" xfId="0" applyNumberFormat="1" applyFont="1" applyFill="1" applyBorder="1" applyAlignment="1">
      <alignment horizontal="center" vertical="center"/>
    </xf>
    <xf numFmtId="1" fontId="29366" fillId="8" borderId="1" xfId="0" applyNumberFormat="1" applyFont="1" applyFill="1" applyBorder="1" applyAlignment="1">
      <alignment horizontal="center" vertical="center"/>
    </xf>
    <xf numFmtId="1" fontId="29367" fillId="8" borderId="1" xfId="0" applyNumberFormat="1" applyFont="1" applyFill="1" applyBorder="1" applyAlignment="1">
      <alignment horizontal="center" vertical="center"/>
    </xf>
    <xf numFmtId="1" fontId="29368" fillId="8" borderId="1" xfId="0" applyNumberFormat="1" applyFont="1" applyFill="1" applyBorder="1" applyAlignment="1">
      <alignment horizontal="center" vertical="center"/>
    </xf>
    <xf numFmtId="1" fontId="29369" fillId="8" borderId="1" xfId="0" applyNumberFormat="1" applyFont="1" applyFill="1" applyBorder="1" applyAlignment="1">
      <alignment horizontal="center" vertical="center"/>
    </xf>
    <xf numFmtId="165" fontId="29370" fillId="8" borderId="1" xfId="0" applyNumberFormat="1" applyFont="1" applyFill="1" applyBorder="1" applyAlignment="1">
      <alignment horizontal="center" vertical="center"/>
    </xf>
    <xf numFmtId="1" fontId="29371" fillId="8" borderId="1" xfId="0" applyNumberFormat="1" applyFont="1" applyFill="1" applyBorder="1" applyAlignment="1">
      <alignment horizontal="center" vertical="center"/>
    </xf>
    <xf numFmtId="165" fontId="29372" fillId="8" borderId="1" xfId="0" applyNumberFormat="1" applyFont="1" applyFill="1" applyBorder="1" applyAlignment="1">
      <alignment horizontal="center" vertical="center"/>
    </xf>
    <xf numFmtId="1" fontId="29373" fillId="8" borderId="1" xfId="0" applyNumberFormat="1" applyFont="1" applyFill="1" applyBorder="1" applyAlignment="1">
      <alignment horizontal="center" vertical="center"/>
    </xf>
    <xf numFmtId="165" fontId="29374" fillId="8" borderId="1" xfId="0" applyNumberFormat="1" applyFont="1" applyFill="1" applyBorder="1" applyAlignment="1">
      <alignment horizontal="center" vertical="center"/>
    </xf>
    <xf numFmtId="2" fontId="29375" fillId="8" borderId="1" xfId="0" applyNumberFormat="1" applyFont="1" applyFill="1" applyBorder="1" applyAlignment="1">
      <alignment horizontal="center" vertical="center"/>
    </xf>
    <xf numFmtId="2" fontId="29376" fillId="8" borderId="1" xfId="0" applyNumberFormat="1" applyFont="1" applyFill="1" applyBorder="1" applyAlignment="1">
      <alignment horizontal="center" vertical="center"/>
    </xf>
    <xf numFmtId="2" fontId="29377" fillId="8" borderId="1" xfId="0" applyNumberFormat="1" applyFont="1" applyFill="1" applyBorder="1" applyAlignment="1">
      <alignment horizontal="center" vertical="center"/>
    </xf>
    <xf numFmtId="2" fontId="29378" fillId="8" borderId="1" xfId="0" applyNumberFormat="1" applyFont="1" applyFill="1" applyBorder="1" applyAlignment="1">
      <alignment horizontal="center" vertical="center"/>
    </xf>
    <xf numFmtId="2" fontId="29379" fillId="8" borderId="1" xfId="0" applyNumberFormat="1" applyFont="1" applyFill="1" applyBorder="1" applyAlignment="1">
      <alignment horizontal="center" vertical="center"/>
    </xf>
    <xf numFmtId="2" fontId="29380" fillId="8" borderId="1" xfId="0" applyNumberFormat="1" applyFont="1" applyFill="1" applyBorder="1" applyAlignment="1">
      <alignment horizontal="center" vertical="center"/>
    </xf>
    <xf numFmtId="2" fontId="29381" fillId="8" borderId="1" xfId="0" applyNumberFormat="1" applyFont="1" applyFill="1" applyBorder="1" applyAlignment="1">
      <alignment horizontal="center" vertical="center"/>
    </xf>
    <xf numFmtId="2" fontId="29382" fillId="8" borderId="1" xfId="0" applyNumberFormat="1" applyFont="1" applyFill="1" applyBorder="1" applyAlignment="1">
      <alignment horizontal="center" vertical="center"/>
    </xf>
    <xf numFmtId="2" fontId="29383" fillId="8" borderId="1" xfId="0" applyNumberFormat="1" applyFont="1" applyFill="1" applyBorder="1" applyAlignment="1">
      <alignment horizontal="center" vertical="center"/>
    </xf>
    <xf numFmtId="2" fontId="29384" fillId="8" borderId="1" xfId="0" applyNumberFormat="1" applyFont="1" applyFill="1" applyBorder="1" applyAlignment="1">
      <alignment horizontal="center" vertical="center"/>
    </xf>
    <xf numFmtId="2" fontId="29385" fillId="8" borderId="1" xfId="0" applyNumberFormat="1" applyFont="1" applyFill="1" applyBorder="1" applyAlignment="1">
      <alignment horizontal="center" vertical="center"/>
    </xf>
    <xf numFmtId="2" fontId="29386" fillId="8" borderId="1" xfId="0" applyNumberFormat="1" applyFont="1" applyFill="1" applyBorder="1" applyAlignment="1">
      <alignment horizontal="center" vertical="center"/>
    </xf>
    <xf numFmtId="2" fontId="29387" fillId="8" borderId="1" xfId="0" applyNumberFormat="1" applyFont="1" applyFill="1" applyBorder="1" applyAlignment="1">
      <alignment horizontal="center" vertical="center"/>
    </xf>
    <xf numFmtId="2" fontId="29388" fillId="8" borderId="1" xfId="0" applyNumberFormat="1" applyFont="1" applyFill="1" applyBorder="1" applyAlignment="1">
      <alignment horizontal="center" vertical="center"/>
    </xf>
    <xf numFmtId="2" fontId="29389" fillId="8" borderId="1" xfId="0" applyNumberFormat="1" applyFont="1" applyFill="1" applyBorder="1" applyAlignment="1">
      <alignment horizontal="center" vertical="center"/>
    </xf>
    <xf numFmtId="2" fontId="29390" fillId="8" borderId="1" xfId="0" applyNumberFormat="1" applyFont="1" applyFill="1" applyBorder="1" applyAlignment="1">
      <alignment horizontal="center" vertical="center"/>
    </xf>
    <xf numFmtId="2" fontId="29391" fillId="8" borderId="1" xfId="0" applyNumberFormat="1" applyFont="1" applyFill="1" applyBorder="1" applyAlignment="1">
      <alignment horizontal="center" vertical="center"/>
    </xf>
    <xf numFmtId="2" fontId="29392" fillId="8" borderId="1" xfId="0" applyNumberFormat="1" applyFont="1" applyFill="1" applyBorder="1" applyAlignment="1">
      <alignment horizontal="center" vertical="center"/>
    </xf>
    <xf numFmtId="2" fontId="29393" fillId="8" borderId="1" xfId="0" applyNumberFormat="1" applyFont="1" applyFill="1" applyBorder="1" applyAlignment="1">
      <alignment horizontal="center" vertical="center"/>
    </xf>
    <xf numFmtId="2" fontId="29394" fillId="8" borderId="1" xfId="0" applyNumberFormat="1" applyFont="1" applyFill="1" applyBorder="1" applyAlignment="1">
      <alignment horizontal="center" vertical="center"/>
    </xf>
    <xf numFmtId="2" fontId="29395" fillId="8" borderId="1" xfId="0" applyNumberFormat="1" applyFont="1" applyFill="1" applyBorder="1" applyAlignment="1">
      <alignment horizontal="center" vertical="center"/>
    </xf>
    <xf numFmtId="2" fontId="29396" fillId="8" borderId="1" xfId="0" applyNumberFormat="1" applyFont="1" applyFill="1" applyBorder="1" applyAlignment="1">
      <alignment horizontal="center" vertical="center"/>
    </xf>
    <xf numFmtId="2" fontId="29397" fillId="8" borderId="1" xfId="0" applyNumberFormat="1" applyFont="1" applyFill="1" applyBorder="1" applyAlignment="1">
      <alignment horizontal="center" vertical="center"/>
    </xf>
    <xf numFmtId="2" fontId="29398" fillId="8" borderId="1" xfId="0" applyNumberFormat="1" applyFont="1" applyFill="1" applyBorder="1" applyAlignment="1">
      <alignment horizontal="center" vertical="center"/>
    </xf>
    <xf numFmtId="2" fontId="29399" fillId="8" borderId="1" xfId="0" applyNumberFormat="1" applyFont="1" applyFill="1" applyBorder="1" applyAlignment="1">
      <alignment horizontal="center" vertical="center"/>
    </xf>
    <xf numFmtId="2" fontId="29400" fillId="8" borderId="1" xfId="0" applyNumberFormat="1" applyFont="1" applyFill="1" applyBorder="1" applyAlignment="1">
      <alignment horizontal="center" vertical="center"/>
    </xf>
    <xf numFmtId="2" fontId="29401" fillId="8" borderId="1" xfId="0" applyNumberFormat="1" applyFont="1" applyFill="1" applyBorder="1" applyAlignment="1">
      <alignment horizontal="center" vertical="center"/>
    </xf>
    <xf numFmtId="2" fontId="29402" fillId="8" borderId="1" xfId="0" applyNumberFormat="1" applyFont="1" applyFill="1" applyBorder="1" applyAlignment="1">
      <alignment horizontal="center" vertical="center"/>
    </xf>
    <xf numFmtId="2" fontId="29403" fillId="8" borderId="1" xfId="0" applyNumberFormat="1" applyFont="1" applyFill="1" applyBorder="1" applyAlignment="1">
      <alignment horizontal="center" vertical="center"/>
    </xf>
    <xf numFmtId="2" fontId="29404" fillId="8" borderId="1" xfId="0" applyNumberFormat="1" applyFont="1" applyFill="1" applyBorder="1" applyAlignment="1">
      <alignment horizontal="center" vertical="center"/>
    </xf>
    <xf numFmtId="2" fontId="29405" fillId="8" borderId="1" xfId="0" applyNumberFormat="1" applyFont="1" applyFill="1" applyBorder="1" applyAlignment="1">
      <alignment horizontal="center" vertical="center"/>
    </xf>
    <xf numFmtId="2" fontId="29406" fillId="8" borderId="1" xfId="0" applyNumberFormat="1" applyFont="1" applyFill="1" applyBorder="1" applyAlignment="1">
      <alignment horizontal="center" vertical="center"/>
    </xf>
    <xf numFmtId="2" fontId="29407" fillId="8" borderId="1" xfId="0" applyNumberFormat="1" applyFont="1" applyFill="1" applyBorder="1" applyAlignment="1">
      <alignment horizontal="center" vertical="center"/>
    </xf>
    <xf numFmtId="2" fontId="29408" fillId="8" borderId="1" xfId="0" applyNumberFormat="1" applyFont="1" applyFill="1" applyBorder="1" applyAlignment="1">
      <alignment horizontal="center" vertical="center"/>
    </xf>
    <xf numFmtId="0" fontId="29409" fillId="7" borderId="1" xfId="0" applyNumberFormat="1" applyFont="1" applyFill="1" applyBorder="1" applyAlignment="1">
      <alignment horizontal="left" vertical="center"/>
    </xf>
    <xf numFmtId="0" fontId="29410" fillId="8" borderId="1" xfId="0" applyNumberFormat="1" applyFont="1" applyFill="1" applyBorder="1" applyAlignment="1">
      <alignment horizontal="center" vertical="center"/>
    </xf>
    <xf numFmtId="164" fontId="29411" fillId="8" borderId="1" xfId="0" applyNumberFormat="1" applyFont="1" applyFill="1" applyBorder="1" applyAlignment="1">
      <alignment horizontal="center" vertical="center"/>
    </xf>
    <xf numFmtId="1" fontId="29412" fillId="8" borderId="1" xfId="0" applyNumberFormat="1" applyFont="1" applyFill="1" applyBorder="1" applyAlignment="1">
      <alignment horizontal="center" vertical="center"/>
    </xf>
    <xf numFmtId="1" fontId="29413" fillId="8" borderId="1" xfId="0" applyNumberFormat="1" applyFont="1" applyFill="1" applyBorder="1" applyAlignment="1">
      <alignment horizontal="center" vertical="center"/>
    </xf>
    <xf numFmtId="1" fontId="29414" fillId="8" borderId="1" xfId="0" applyNumberFormat="1" applyFont="1" applyFill="1" applyBorder="1" applyAlignment="1">
      <alignment horizontal="center" vertical="center"/>
    </xf>
    <xf numFmtId="1" fontId="29415" fillId="8" borderId="1" xfId="0" applyNumberFormat="1" applyFont="1" applyFill="1" applyBorder="1" applyAlignment="1">
      <alignment horizontal="center" vertical="center"/>
    </xf>
    <xf numFmtId="1" fontId="29416" fillId="8" borderId="1" xfId="0" applyNumberFormat="1" applyFont="1" applyFill="1" applyBorder="1" applyAlignment="1">
      <alignment horizontal="center" vertical="center"/>
    </xf>
    <xf numFmtId="1" fontId="29417" fillId="8" borderId="1" xfId="0" applyNumberFormat="1" applyFont="1" applyFill="1" applyBorder="1" applyAlignment="1">
      <alignment horizontal="center" vertical="center"/>
    </xf>
    <xf numFmtId="1" fontId="29418" fillId="8" borderId="1" xfId="0" applyNumberFormat="1" applyFont="1" applyFill="1" applyBorder="1" applyAlignment="1">
      <alignment horizontal="center" vertical="center"/>
    </xf>
    <xf numFmtId="0" fontId="29419" fillId="8" borderId="1" xfId="0" applyNumberFormat="1" applyFont="1" applyFill="1" applyBorder="1" applyAlignment="1">
      <alignment horizontal="center" vertical="center"/>
    </xf>
    <xf numFmtId="0" fontId="29420" fillId="8" borderId="1" xfId="0" applyNumberFormat="1" applyFont="1" applyFill="1" applyBorder="1" applyAlignment="1">
      <alignment horizontal="center" vertical="center"/>
    </xf>
    <xf numFmtId="1" fontId="29421" fillId="8" borderId="1" xfId="0" applyNumberFormat="1" applyFont="1" applyFill="1" applyBorder="1" applyAlignment="1">
      <alignment horizontal="center" vertical="center"/>
    </xf>
    <xf numFmtId="1" fontId="29422" fillId="8" borderId="1" xfId="0" applyNumberFormat="1" applyFont="1" applyFill="1" applyBorder="1" applyAlignment="1">
      <alignment horizontal="center" vertical="center"/>
    </xf>
    <xf numFmtId="1" fontId="29423" fillId="8" borderId="1" xfId="0" applyNumberFormat="1" applyFont="1" applyFill="1" applyBorder="1" applyAlignment="1">
      <alignment horizontal="center" vertical="center"/>
    </xf>
    <xf numFmtId="165" fontId="29424" fillId="8" borderId="1" xfId="0" applyNumberFormat="1" applyFont="1" applyFill="1" applyBorder="1" applyAlignment="1">
      <alignment horizontal="center" vertical="center"/>
    </xf>
    <xf numFmtId="1" fontId="29425" fillId="8" borderId="1" xfId="0" applyNumberFormat="1" applyFont="1" applyFill="1" applyBorder="1" applyAlignment="1">
      <alignment horizontal="center" vertical="center"/>
    </xf>
    <xf numFmtId="165" fontId="29426" fillId="8" borderId="1" xfId="0" applyNumberFormat="1" applyFont="1" applyFill="1" applyBorder="1" applyAlignment="1">
      <alignment horizontal="center" vertical="center"/>
    </xf>
    <xf numFmtId="1" fontId="29427" fillId="8" borderId="1" xfId="0" applyNumberFormat="1" applyFont="1" applyFill="1" applyBorder="1" applyAlignment="1">
      <alignment horizontal="center" vertical="center"/>
    </xf>
    <xf numFmtId="165" fontId="29428" fillId="8" borderId="1" xfId="0" applyNumberFormat="1" applyFont="1" applyFill="1" applyBorder="1" applyAlignment="1">
      <alignment horizontal="center" vertical="center"/>
    </xf>
    <xf numFmtId="1" fontId="29429" fillId="8" borderId="1" xfId="0" applyNumberFormat="1" applyFont="1" applyFill="1" applyBorder="1" applyAlignment="1">
      <alignment horizontal="center" vertical="center"/>
    </xf>
    <xf numFmtId="165" fontId="29430" fillId="8" borderId="1" xfId="0" applyNumberFormat="1" applyFont="1" applyFill="1" applyBorder="1" applyAlignment="1">
      <alignment horizontal="center" vertical="center"/>
    </xf>
    <xf numFmtId="165" fontId="29431" fillId="8" borderId="1" xfId="0" applyNumberFormat="1" applyFont="1" applyFill="1" applyBorder="1" applyAlignment="1">
      <alignment horizontal="center" vertical="center"/>
    </xf>
    <xf numFmtId="1" fontId="29432" fillId="8" borderId="1" xfId="0" applyNumberFormat="1" applyFont="1" applyFill="1" applyBorder="1" applyAlignment="1">
      <alignment horizontal="center" vertical="center"/>
    </xf>
    <xf numFmtId="1" fontId="29433" fillId="8" borderId="1" xfId="0" applyNumberFormat="1" applyFont="1" applyFill="1" applyBorder="1" applyAlignment="1">
      <alignment horizontal="center" vertical="center"/>
    </xf>
    <xf numFmtId="1" fontId="29434" fillId="8" borderId="1" xfId="0" applyNumberFormat="1" applyFont="1" applyFill="1" applyBorder="1" applyAlignment="1">
      <alignment horizontal="center" vertical="center"/>
    </xf>
    <xf numFmtId="165" fontId="29435" fillId="8" borderId="1" xfId="0" applyNumberFormat="1" applyFont="1" applyFill="1" applyBorder="1" applyAlignment="1">
      <alignment horizontal="center" vertical="center"/>
    </xf>
    <xf numFmtId="164" fontId="29436" fillId="8" borderId="1" xfId="0" applyNumberFormat="1" applyFont="1" applyFill="1" applyBorder="1" applyAlignment="1">
      <alignment horizontal="center" vertical="center"/>
    </xf>
    <xf numFmtId="164" fontId="29437" fillId="8" borderId="1" xfId="0" applyNumberFormat="1" applyFont="1" applyFill="1" applyBorder="1" applyAlignment="1">
      <alignment horizontal="center" vertical="center"/>
    </xf>
    <xf numFmtId="1" fontId="29438" fillId="8" borderId="1" xfId="0" applyNumberFormat="1" applyFont="1" applyFill="1" applyBorder="1" applyAlignment="1">
      <alignment horizontal="center" vertical="center"/>
    </xf>
    <xf numFmtId="1" fontId="29439" fillId="8" borderId="1" xfId="0" applyNumberFormat="1" applyFont="1" applyFill="1" applyBorder="1" applyAlignment="1">
      <alignment horizontal="center" vertical="center"/>
    </xf>
    <xf numFmtId="1" fontId="29440" fillId="8" borderId="1" xfId="0" applyNumberFormat="1" applyFont="1" applyFill="1" applyBorder="1" applyAlignment="1">
      <alignment horizontal="center" vertical="center"/>
    </xf>
    <xf numFmtId="165" fontId="29441" fillId="8" borderId="1" xfId="0" applyNumberFormat="1" applyFont="1" applyFill="1" applyBorder="1" applyAlignment="1">
      <alignment horizontal="center" vertical="center"/>
    </xf>
    <xf numFmtId="1" fontId="29442" fillId="8" borderId="1" xfId="0" applyNumberFormat="1" applyFont="1" applyFill="1" applyBorder="1" applyAlignment="1">
      <alignment horizontal="center" vertical="center"/>
    </xf>
    <xf numFmtId="165" fontId="29443" fillId="8" borderId="1" xfId="0" applyNumberFormat="1" applyFont="1" applyFill="1" applyBorder="1" applyAlignment="1">
      <alignment horizontal="center" vertical="center"/>
    </xf>
    <xf numFmtId="1" fontId="29444" fillId="8" borderId="1" xfId="0" applyNumberFormat="1" applyFont="1" applyFill="1" applyBorder="1" applyAlignment="1">
      <alignment horizontal="center" vertical="center"/>
    </xf>
    <xf numFmtId="1" fontId="29445" fillId="8" borderId="1" xfId="0" applyNumberFormat="1" applyFont="1" applyFill="1" applyBorder="1" applyAlignment="1">
      <alignment horizontal="center" vertical="center"/>
    </xf>
    <xf numFmtId="1" fontId="29446" fillId="8" borderId="1" xfId="0" applyNumberFormat="1" applyFont="1" applyFill="1" applyBorder="1" applyAlignment="1">
      <alignment horizontal="center" vertical="center"/>
    </xf>
    <xf numFmtId="1" fontId="29447" fillId="8" borderId="1" xfId="0" applyNumberFormat="1" applyFont="1" applyFill="1" applyBorder="1" applyAlignment="1">
      <alignment horizontal="center" vertical="center"/>
    </xf>
    <xf numFmtId="165" fontId="29448" fillId="8" borderId="1" xfId="0" applyNumberFormat="1" applyFont="1" applyFill="1" applyBorder="1" applyAlignment="1">
      <alignment horizontal="center" vertical="center"/>
    </xf>
    <xf numFmtId="1" fontId="29449" fillId="8" borderId="1" xfId="0" applyNumberFormat="1" applyFont="1" applyFill="1" applyBorder="1" applyAlignment="1">
      <alignment horizontal="center" vertical="center"/>
    </xf>
    <xf numFmtId="165" fontId="29450" fillId="8" borderId="1" xfId="0" applyNumberFormat="1" applyFont="1" applyFill="1" applyBorder="1" applyAlignment="1">
      <alignment horizontal="center" vertical="center"/>
    </xf>
    <xf numFmtId="1" fontId="29451" fillId="8" borderId="1" xfId="0" applyNumberFormat="1" applyFont="1" applyFill="1" applyBorder="1" applyAlignment="1">
      <alignment horizontal="center" vertical="center"/>
    </xf>
    <xf numFmtId="165" fontId="29452" fillId="8" borderId="1" xfId="0" applyNumberFormat="1" applyFont="1" applyFill="1" applyBorder="1" applyAlignment="1">
      <alignment horizontal="center" vertical="center"/>
    </xf>
    <xf numFmtId="2" fontId="29453" fillId="8" borderId="1" xfId="0" applyNumberFormat="1" applyFont="1" applyFill="1" applyBorder="1" applyAlignment="1">
      <alignment horizontal="center" vertical="center"/>
    </xf>
    <xf numFmtId="2" fontId="29454" fillId="8" borderId="1" xfId="0" applyNumberFormat="1" applyFont="1" applyFill="1" applyBorder="1" applyAlignment="1">
      <alignment horizontal="center" vertical="center"/>
    </xf>
    <xf numFmtId="2" fontId="29455" fillId="8" borderId="1" xfId="0" applyNumberFormat="1" applyFont="1" applyFill="1" applyBorder="1" applyAlignment="1">
      <alignment horizontal="center" vertical="center"/>
    </xf>
    <xf numFmtId="2" fontId="29456" fillId="8" borderId="1" xfId="0" applyNumberFormat="1" applyFont="1" applyFill="1" applyBorder="1" applyAlignment="1">
      <alignment horizontal="center" vertical="center"/>
    </xf>
    <xf numFmtId="2" fontId="29457" fillId="8" borderId="1" xfId="0" applyNumberFormat="1" applyFont="1" applyFill="1" applyBorder="1" applyAlignment="1">
      <alignment horizontal="center" vertical="center"/>
    </xf>
    <xf numFmtId="2" fontId="29458" fillId="8" borderId="1" xfId="0" applyNumberFormat="1" applyFont="1" applyFill="1" applyBorder="1" applyAlignment="1">
      <alignment horizontal="center" vertical="center"/>
    </xf>
    <xf numFmtId="2" fontId="29459" fillId="8" borderId="1" xfId="0" applyNumberFormat="1" applyFont="1" applyFill="1" applyBorder="1" applyAlignment="1">
      <alignment horizontal="center" vertical="center"/>
    </xf>
    <xf numFmtId="2" fontId="29460" fillId="8" borderId="1" xfId="0" applyNumberFormat="1" applyFont="1" applyFill="1" applyBorder="1" applyAlignment="1">
      <alignment horizontal="center" vertical="center"/>
    </xf>
    <xf numFmtId="2" fontId="29461" fillId="8" borderId="1" xfId="0" applyNumberFormat="1" applyFont="1" applyFill="1" applyBorder="1" applyAlignment="1">
      <alignment horizontal="center" vertical="center"/>
    </xf>
    <xf numFmtId="2" fontId="29462" fillId="8" borderId="1" xfId="0" applyNumberFormat="1" applyFont="1" applyFill="1" applyBorder="1" applyAlignment="1">
      <alignment horizontal="center" vertical="center"/>
    </xf>
    <xf numFmtId="2" fontId="29463" fillId="8" borderId="1" xfId="0" applyNumberFormat="1" applyFont="1" applyFill="1" applyBorder="1" applyAlignment="1">
      <alignment horizontal="center" vertical="center"/>
    </xf>
    <xf numFmtId="2" fontId="29464" fillId="8" borderId="1" xfId="0" applyNumberFormat="1" applyFont="1" applyFill="1" applyBorder="1" applyAlignment="1">
      <alignment horizontal="center" vertical="center"/>
    </xf>
    <xf numFmtId="2" fontId="29465" fillId="8" borderId="1" xfId="0" applyNumberFormat="1" applyFont="1" applyFill="1" applyBorder="1" applyAlignment="1">
      <alignment horizontal="center" vertical="center"/>
    </xf>
    <xf numFmtId="2" fontId="29466" fillId="8" borderId="1" xfId="0" applyNumberFormat="1" applyFont="1" applyFill="1" applyBorder="1" applyAlignment="1">
      <alignment horizontal="center" vertical="center"/>
    </xf>
    <xf numFmtId="2" fontId="29467" fillId="8" borderId="1" xfId="0" applyNumberFormat="1" applyFont="1" applyFill="1" applyBorder="1" applyAlignment="1">
      <alignment horizontal="center" vertical="center"/>
    </xf>
    <xf numFmtId="2" fontId="29468" fillId="8" borderId="1" xfId="0" applyNumberFormat="1" applyFont="1" applyFill="1" applyBorder="1" applyAlignment="1">
      <alignment horizontal="center" vertical="center"/>
    </xf>
    <xf numFmtId="2" fontId="29469" fillId="8" borderId="1" xfId="0" applyNumberFormat="1" applyFont="1" applyFill="1" applyBorder="1" applyAlignment="1">
      <alignment horizontal="center" vertical="center"/>
    </xf>
    <xf numFmtId="2" fontId="29470" fillId="8" borderId="1" xfId="0" applyNumberFormat="1" applyFont="1" applyFill="1" applyBorder="1" applyAlignment="1">
      <alignment horizontal="center" vertical="center"/>
    </xf>
    <xf numFmtId="2" fontId="29471" fillId="8" borderId="1" xfId="0" applyNumberFormat="1" applyFont="1" applyFill="1" applyBorder="1" applyAlignment="1">
      <alignment horizontal="center" vertical="center"/>
    </xf>
    <xf numFmtId="2" fontId="29472" fillId="8" borderId="1" xfId="0" applyNumberFormat="1" applyFont="1" applyFill="1" applyBorder="1" applyAlignment="1">
      <alignment horizontal="center" vertical="center"/>
    </xf>
    <xf numFmtId="2" fontId="29473" fillId="8" borderId="1" xfId="0" applyNumberFormat="1" applyFont="1" applyFill="1" applyBorder="1" applyAlignment="1">
      <alignment horizontal="center" vertical="center"/>
    </xf>
    <xf numFmtId="2" fontId="29474" fillId="8" borderId="1" xfId="0" applyNumberFormat="1" applyFont="1" applyFill="1" applyBorder="1" applyAlignment="1">
      <alignment horizontal="center" vertical="center"/>
    </xf>
    <xf numFmtId="2" fontId="29475" fillId="8" borderId="1" xfId="0" applyNumberFormat="1" applyFont="1" applyFill="1" applyBorder="1" applyAlignment="1">
      <alignment horizontal="center" vertical="center"/>
    </xf>
    <xf numFmtId="2" fontId="29476" fillId="8" borderId="1" xfId="0" applyNumberFormat="1" applyFont="1" applyFill="1" applyBorder="1" applyAlignment="1">
      <alignment horizontal="center" vertical="center"/>
    </xf>
    <xf numFmtId="2" fontId="29477" fillId="8" borderId="1" xfId="0" applyNumberFormat="1" applyFont="1" applyFill="1" applyBorder="1" applyAlignment="1">
      <alignment horizontal="center" vertical="center"/>
    </xf>
    <xf numFmtId="2" fontId="29478" fillId="8" borderId="1" xfId="0" applyNumberFormat="1" applyFont="1" applyFill="1" applyBorder="1" applyAlignment="1">
      <alignment horizontal="center" vertical="center"/>
    </xf>
    <xf numFmtId="2" fontId="29479" fillId="8" borderId="1" xfId="0" applyNumberFormat="1" applyFont="1" applyFill="1" applyBorder="1" applyAlignment="1">
      <alignment horizontal="center" vertical="center"/>
    </xf>
    <xf numFmtId="2" fontId="29480" fillId="8" borderId="1" xfId="0" applyNumberFormat="1" applyFont="1" applyFill="1" applyBorder="1" applyAlignment="1">
      <alignment horizontal="center" vertical="center"/>
    </xf>
    <xf numFmtId="2" fontId="29481" fillId="8" borderId="1" xfId="0" applyNumberFormat="1" applyFont="1" applyFill="1" applyBorder="1" applyAlignment="1">
      <alignment horizontal="center" vertical="center"/>
    </xf>
    <xf numFmtId="2" fontId="29482" fillId="8" borderId="1" xfId="0" applyNumberFormat="1" applyFont="1" applyFill="1" applyBorder="1" applyAlignment="1">
      <alignment horizontal="center" vertical="center"/>
    </xf>
    <xf numFmtId="2" fontId="29483" fillId="8" borderId="1" xfId="0" applyNumberFormat="1" applyFont="1" applyFill="1" applyBorder="1" applyAlignment="1">
      <alignment horizontal="center" vertical="center"/>
    </xf>
    <xf numFmtId="2" fontId="29484" fillId="8" borderId="1" xfId="0" applyNumberFormat="1" applyFont="1" applyFill="1" applyBorder="1" applyAlignment="1">
      <alignment horizontal="center" vertical="center"/>
    </xf>
    <xf numFmtId="2" fontId="29485" fillId="8" borderId="1" xfId="0" applyNumberFormat="1" applyFont="1" applyFill="1" applyBorder="1" applyAlignment="1">
      <alignment horizontal="center" vertical="center"/>
    </xf>
    <xf numFmtId="2" fontId="29486" fillId="8" borderId="1" xfId="0" applyNumberFormat="1" applyFont="1" applyFill="1" applyBorder="1" applyAlignment="1">
      <alignment horizontal="center" vertical="center"/>
    </xf>
    <xf numFmtId="0" fontId="29487" fillId="7" borderId="1" xfId="0" applyNumberFormat="1" applyFont="1" applyFill="1" applyBorder="1" applyAlignment="1">
      <alignment horizontal="left" vertical="center"/>
    </xf>
    <xf numFmtId="0" fontId="29488" fillId="8" borderId="1" xfId="0" applyNumberFormat="1" applyFont="1" applyFill="1" applyBorder="1" applyAlignment="1">
      <alignment horizontal="center" vertical="center"/>
    </xf>
    <xf numFmtId="164" fontId="29489" fillId="8" borderId="1" xfId="0" applyNumberFormat="1" applyFont="1" applyFill="1" applyBorder="1" applyAlignment="1">
      <alignment horizontal="center" vertical="center"/>
    </xf>
    <xf numFmtId="1" fontId="29490" fillId="8" borderId="1" xfId="0" applyNumberFormat="1" applyFont="1" applyFill="1" applyBorder="1" applyAlignment="1">
      <alignment horizontal="center" vertical="center"/>
    </xf>
    <xf numFmtId="1" fontId="29491" fillId="8" borderId="1" xfId="0" applyNumberFormat="1" applyFont="1" applyFill="1" applyBorder="1" applyAlignment="1">
      <alignment horizontal="center" vertical="center"/>
    </xf>
    <xf numFmtId="1" fontId="29492" fillId="8" borderId="1" xfId="0" applyNumberFormat="1" applyFont="1" applyFill="1" applyBorder="1" applyAlignment="1">
      <alignment horizontal="center" vertical="center"/>
    </xf>
    <xf numFmtId="1" fontId="29493" fillId="8" borderId="1" xfId="0" applyNumberFormat="1" applyFont="1" applyFill="1" applyBorder="1" applyAlignment="1">
      <alignment horizontal="center" vertical="center"/>
    </xf>
    <xf numFmtId="1" fontId="29494" fillId="8" borderId="1" xfId="0" applyNumberFormat="1" applyFont="1" applyFill="1" applyBorder="1" applyAlignment="1">
      <alignment horizontal="center" vertical="center"/>
    </xf>
    <xf numFmtId="1" fontId="29495" fillId="8" borderId="1" xfId="0" applyNumberFormat="1" applyFont="1" applyFill="1" applyBorder="1" applyAlignment="1">
      <alignment horizontal="center" vertical="center"/>
    </xf>
    <xf numFmtId="1" fontId="29496" fillId="8" borderId="1" xfId="0" applyNumberFormat="1" applyFont="1" applyFill="1" applyBorder="1" applyAlignment="1">
      <alignment horizontal="center" vertical="center"/>
    </xf>
    <xf numFmtId="0" fontId="29497" fillId="8" borderId="1" xfId="0" applyNumberFormat="1" applyFont="1" applyFill="1" applyBorder="1" applyAlignment="1">
      <alignment horizontal="center" vertical="center"/>
    </xf>
    <xf numFmtId="0" fontId="29498" fillId="8" borderId="1" xfId="0" applyNumberFormat="1" applyFont="1" applyFill="1" applyBorder="1" applyAlignment="1">
      <alignment horizontal="center" vertical="center"/>
    </xf>
    <xf numFmtId="1" fontId="29499" fillId="8" borderId="1" xfId="0" applyNumberFormat="1" applyFont="1" applyFill="1" applyBorder="1" applyAlignment="1">
      <alignment horizontal="center" vertical="center"/>
    </xf>
    <xf numFmtId="1" fontId="29500" fillId="8" borderId="1" xfId="0" applyNumberFormat="1" applyFont="1" applyFill="1" applyBorder="1" applyAlignment="1">
      <alignment horizontal="center" vertical="center"/>
    </xf>
    <xf numFmtId="1" fontId="29501" fillId="8" borderId="1" xfId="0" applyNumberFormat="1" applyFont="1" applyFill="1" applyBorder="1" applyAlignment="1">
      <alignment horizontal="center" vertical="center"/>
    </xf>
    <xf numFmtId="165" fontId="29502" fillId="8" borderId="1" xfId="0" applyNumberFormat="1" applyFont="1" applyFill="1" applyBorder="1" applyAlignment="1">
      <alignment horizontal="center" vertical="center"/>
    </xf>
    <xf numFmtId="1" fontId="29503" fillId="8" borderId="1" xfId="0" applyNumberFormat="1" applyFont="1" applyFill="1" applyBorder="1" applyAlignment="1">
      <alignment horizontal="center" vertical="center"/>
    </xf>
    <xf numFmtId="165" fontId="29504" fillId="8" borderId="1" xfId="0" applyNumberFormat="1" applyFont="1" applyFill="1" applyBorder="1" applyAlignment="1">
      <alignment horizontal="center" vertical="center"/>
    </xf>
    <xf numFmtId="1" fontId="29505" fillId="8" borderId="1" xfId="0" applyNumberFormat="1" applyFont="1" applyFill="1" applyBorder="1" applyAlignment="1">
      <alignment horizontal="center" vertical="center"/>
    </xf>
    <xf numFmtId="165" fontId="29506" fillId="8" borderId="1" xfId="0" applyNumberFormat="1" applyFont="1" applyFill="1" applyBorder="1" applyAlignment="1">
      <alignment horizontal="center" vertical="center"/>
    </xf>
    <xf numFmtId="1" fontId="29507" fillId="8" borderId="1" xfId="0" applyNumberFormat="1" applyFont="1" applyFill="1" applyBorder="1" applyAlignment="1">
      <alignment horizontal="center" vertical="center"/>
    </xf>
    <xf numFmtId="165" fontId="29508" fillId="8" borderId="1" xfId="0" applyNumberFormat="1" applyFont="1" applyFill="1" applyBorder="1" applyAlignment="1">
      <alignment horizontal="center" vertical="center"/>
    </xf>
    <xf numFmtId="165" fontId="29509" fillId="8" borderId="1" xfId="0" applyNumberFormat="1" applyFont="1" applyFill="1" applyBorder="1" applyAlignment="1">
      <alignment horizontal="center" vertical="center"/>
    </xf>
    <xf numFmtId="1" fontId="29510" fillId="8" borderId="1" xfId="0" applyNumberFormat="1" applyFont="1" applyFill="1" applyBorder="1" applyAlignment="1">
      <alignment horizontal="center" vertical="center"/>
    </xf>
    <xf numFmtId="1" fontId="29511" fillId="8" borderId="1" xfId="0" applyNumberFormat="1" applyFont="1" applyFill="1" applyBorder="1" applyAlignment="1">
      <alignment horizontal="center" vertical="center"/>
    </xf>
    <xf numFmtId="1" fontId="29512" fillId="8" borderId="1" xfId="0" applyNumberFormat="1" applyFont="1" applyFill="1" applyBorder="1" applyAlignment="1">
      <alignment horizontal="center" vertical="center"/>
    </xf>
    <xf numFmtId="165" fontId="29513" fillId="8" borderId="1" xfId="0" applyNumberFormat="1" applyFont="1" applyFill="1" applyBorder="1" applyAlignment="1">
      <alignment horizontal="center" vertical="center"/>
    </xf>
    <xf numFmtId="164" fontId="29514" fillId="8" borderId="1" xfId="0" applyNumberFormat="1" applyFont="1" applyFill="1" applyBorder="1" applyAlignment="1">
      <alignment horizontal="center" vertical="center"/>
    </xf>
    <xf numFmtId="164" fontId="29515" fillId="8" borderId="1" xfId="0" applyNumberFormat="1" applyFont="1" applyFill="1" applyBorder="1" applyAlignment="1">
      <alignment horizontal="center" vertical="center"/>
    </xf>
    <xf numFmtId="1" fontId="29516" fillId="8" borderId="1" xfId="0" applyNumberFormat="1" applyFont="1" applyFill="1" applyBorder="1" applyAlignment="1">
      <alignment horizontal="center" vertical="center"/>
    </xf>
    <xf numFmtId="1" fontId="29517" fillId="8" borderId="1" xfId="0" applyNumberFormat="1" applyFont="1" applyFill="1" applyBorder="1" applyAlignment="1">
      <alignment horizontal="center" vertical="center"/>
    </xf>
    <xf numFmtId="1" fontId="29518" fillId="8" borderId="1" xfId="0" applyNumberFormat="1" applyFont="1" applyFill="1" applyBorder="1" applyAlignment="1">
      <alignment horizontal="center" vertical="center"/>
    </xf>
    <xf numFmtId="165" fontId="29519" fillId="8" borderId="1" xfId="0" applyNumberFormat="1" applyFont="1" applyFill="1" applyBorder="1" applyAlignment="1">
      <alignment horizontal="center" vertical="center"/>
    </xf>
    <xf numFmtId="1" fontId="29520" fillId="8" borderId="1" xfId="0" applyNumberFormat="1" applyFont="1" applyFill="1" applyBorder="1" applyAlignment="1">
      <alignment horizontal="center" vertical="center"/>
    </xf>
    <xf numFmtId="165" fontId="29521" fillId="8" borderId="1" xfId="0" applyNumberFormat="1" applyFont="1" applyFill="1" applyBorder="1" applyAlignment="1">
      <alignment horizontal="center" vertical="center"/>
    </xf>
    <xf numFmtId="1" fontId="29522" fillId="8" borderId="1" xfId="0" applyNumberFormat="1" applyFont="1" applyFill="1" applyBorder="1" applyAlignment="1">
      <alignment horizontal="center" vertical="center"/>
    </xf>
    <xf numFmtId="1" fontId="29523" fillId="8" borderId="1" xfId="0" applyNumberFormat="1" applyFont="1" applyFill="1" applyBorder="1" applyAlignment="1">
      <alignment horizontal="center" vertical="center"/>
    </xf>
    <xf numFmtId="1" fontId="29524" fillId="8" borderId="1" xfId="0" applyNumberFormat="1" applyFont="1" applyFill="1" applyBorder="1" applyAlignment="1">
      <alignment horizontal="center" vertical="center"/>
    </xf>
    <xf numFmtId="1" fontId="29525" fillId="8" borderId="1" xfId="0" applyNumberFormat="1" applyFont="1" applyFill="1" applyBorder="1" applyAlignment="1">
      <alignment horizontal="center" vertical="center"/>
    </xf>
    <xf numFmtId="165" fontId="29526" fillId="8" borderId="1" xfId="0" applyNumberFormat="1" applyFont="1" applyFill="1" applyBorder="1" applyAlignment="1">
      <alignment horizontal="center" vertical="center"/>
    </xf>
    <xf numFmtId="1" fontId="29527" fillId="8" borderId="1" xfId="0" applyNumberFormat="1" applyFont="1" applyFill="1" applyBorder="1" applyAlignment="1">
      <alignment horizontal="center" vertical="center"/>
    </xf>
    <xf numFmtId="165" fontId="29528" fillId="8" borderId="1" xfId="0" applyNumberFormat="1" applyFont="1" applyFill="1" applyBorder="1" applyAlignment="1">
      <alignment horizontal="center" vertical="center"/>
    </xf>
    <xf numFmtId="1" fontId="29529" fillId="8" borderId="1" xfId="0" applyNumberFormat="1" applyFont="1" applyFill="1" applyBorder="1" applyAlignment="1">
      <alignment horizontal="center" vertical="center"/>
    </xf>
    <xf numFmtId="165" fontId="29530" fillId="8" borderId="1" xfId="0" applyNumberFormat="1" applyFont="1" applyFill="1" applyBorder="1" applyAlignment="1">
      <alignment horizontal="center" vertical="center"/>
    </xf>
    <xf numFmtId="2" fontId="29531" fillId="8" borderId="1" xfId="0" applyNumberFormat="1" applyFont="1" applyFill="1" applyBorder="1" applyAlignment="1">
      <alignment horizontal="center" vertical="center"/>
    </xf>
    <xf numFmtId="2" fontId="29532" fillId="8" borderId="1" xfId="0" applyNumberFormat="1" applyFont="1" applyFill="1" applyBorder="1" applyAlignment="1">
      <alignment horizontal="center" vertical="center"/>
    </xf>
    <xf numFmtId="2" fontId="29533" fillId="8" borderId="1" xfId="0" applyNumberFormat="1" applyFont="1" applyFill="1" applyBorder="1" applyAlignment="1">
      <alignment horizontal="center" vertical="center"/>
    </xf>
    <xf numFmtId="2" fontId="29534" fillId="8" borderId="1" xfId="0" applyNumberFormat="1" applyFont="1" applyFill="1" applyBorder="1" applyAlignment="1">
      <alignment horizontal="center" vertical="center"/>
    </xf>
    <xf numFmtId="2" fontId="29535" fillId="8" borderId="1" xfId="0" applyNumberFormat="1" applyFont="1" applyFill="1" applyBorder="1" applyAlignment="1">
      <alignment horizontal="center" vertical="center"/>
    </xf>
    <xf numFmtId="2" fontId="29536" fillId="8" borderId="1" xfId="0" applyNumberFormat="1" applyFont="1" applyFill="1" applyBorder="1" applyAlignment="1">
      <alignment horizontal="center" vertical="center"/>
    </xf>
    <xf numFmtId="2" fontId="29537" fillId="8" borderId="1" xfId="0" applyNumberFormat="1" applyFont="1" applyFill="1" applyBorder="1" applyAlignment="1">
      <alignment horizontal="center" vertical="center"/>
    </xf>
    <xf numFmtId="2" fontId="29538" fillId="8" borderId="1" xfId="0" applyNumberFormat="1" applyFont="1" applyFill="1" applyBorder="1" applyAlignment="1">
      <alignment horizontal="center" vertical="center"/>
    </xf>
    <xf numFmtId="2" fontId="29539" fillId="8" borderId="1" xfId="0" applyNumberFormat="1" applyFont="1" applyFill="1" applyBorder="1" applyAlignment="1">
      <alignment horizontal="center" vertical="center"/>
    </xf>
    <xf numFmtId="2" fontId="29540" fillId="8" borderId="1" xfId="0" applyNumberFormat="1" applyFont="1" applyFill="1" applyBorder="1" applyAlignment="1">
      <alignment horizontal="center" vertical="center"/>
    </xf>
    <xf numFmtId="2" fontId="29541" fillId="8" borderId="1" xfId="0" applyNumberFormat="1" applyFont="1" applyFill="1" applyBorder="1" applyAlignment="1">
      <alignment horizontal="center" vertical="center"/>
    </xf>
    <xf numFmtId="2" fontId="29542" fillId="8" borderId="1" xfId="0" applyNumberFormat="1" applyFont="1" applyFill="1" applyBorder="1" applyAlignment="1">
      <alignment horizontal="center" vertical="center"/>
    </xf>
    <xf numFmtId="2" fontId="29543" fillId="8" borderId="1" xfId="0" applyNumberFormat="1" applyFont="1" applyFill="1" applyBorder="1" applyAlignment="1">
      <alignment horizontal="center" vertical="center"/>
    </xf>
    <xf numFmtId="2" fontId="29544" fillId="8" borderId="1" xfId="0" applyNumberFormat="1" applyFont="1" applyFill="1" applyBorder="1" applyAlignment="1">
      <alignment horizontal="center" vertical="center"/>
    </xf>
    <xf numFmtId="2" fontId="29545" fillId="8" borderId="1" xfId="0" applyNumberFormat="1" applyFont="1" applyFill="1" applyBorder="1" applyAlignment="1">
      <alignment horizontal="center" vertical="center"/>
    </xf>
    <xf numFmtId="2" fontId="29546" fillId="8" borderId="1" xfId="0" applyNumberFormat="1" applyFont="1" applyFill="1" applyBorder="1" applyAlignment="1">
      <alignment horizontal="center" vertical="center"/>
    </xf>
    <xf numFmtId="2" fontId="29547" fillId="8" borderId="1" xfId="0" applyNumberFormat="1" applyFont="1" applyFill="1" applyBorder="1" applyAlignment="1">
      <alignment horizontal="center" vertical="center"/>
    </xf>
    <xf numFmtId="2" fontId="29548" fillId="8" borderId="1" xfId="0" applyNumberFormat="1" applyFont="1" applyFill="1" applyBorder="1" applyAlignment="1">
      <alignment horizontal="center" vertical="center"/>
    </xf>
    <xf numFmtId="2" fontId="29549" fillId="8" borderId="1" xfId="0" applyNumberFormat="1" applyFont="1" applyFill="1" applyBorder="1" applyAlignment="1">
      <alignment horizontal="center" vertical="center"/>
    </xf>
    <xf numFmtId="2" fontId="29550" fillId="8" borderId="1" xfId="0" applyNumberFormat="1" applyFont="1" applyFill="1" applyBorder="1" applyAlignment="1">
      <alignment horizontal="center" vertical="center"/>
    </xf>
    <xf numFmtId="2" fontId="29551" fillId="8" borderId="1" xfId="0" applyNumberFormat="1" applyFont="1" applyFill="1" applyBorder="1" applyAlignment="1">
      <alignment horizontal="center" vertical="center"/>
    </xf>
    <xf numFmtId="2" fontId="29552" fillId="8" borderId="1" xfId="0" applyNumberFormat="1" applyFont="1" applyFill="1" applyBorder="1" applyAlignment="1">
      <alignment horizontal="center" vertical="center"/>
    </xf>
    <xf numFmtId="2" fontId="29553" fillId="8" borderId="1" xfId="0" applyNumberFormat="1" applyFont="1" applyFill="1" applyBorder="1" applyAlignment="1">
      <alignment horizontal="center" vertical="center"/>
    </xf>
    <xf numFmtId="2" fontId="29554" fillId="8" borderId="1" xfId="0" applyNumberFormat="1" applyFont="1" applyFill="1" applyBorder="1" applyAlignment="1">
      <alignment horizontal="center" vertical="center"/>
    </xf>
    <xf numFmtId="2" fontId="29555" fillId="8" borderId="1" xfId="0" applyNumberFormat="1" applyFont="1" applyFill="1" applyBorder="1" applyAlignment="1">
      <alignment horizontal="center" vertical="center"/>
    </xf>
    <xf numFmtId="2" fontId="29556" fillId="8" borderId="1" xfId="0" applyNumberFormat="1" applyFont="1" applyFill="1" applyBorder="1" applyAlignment="1">
      <alignment horizontal="center" vertical="center"/>
    </xf>
    <xf numFmtId="2" fontId="29557" fillId="8" borderId="1" xfId="0" applyNumberFormat="1" applyFont="1" applyFill="1" applyBorder="1" applyAlignment="1">
      <alignment horizontal="center" vertical="center"/>
    </xf>
    <xf numFmtId="2" fontId="29558" fillId="8" borderId="1" xfId="0" applyNumberFormat="1" applyFont="1" applyFill="1" applyBorder="1" applyAlignment="1">
      <alignment horizontal="center" vertical="center"/>
    </xf>
    <xf numFmtId="2" fontId="29559" fillId="8" borderId="1" xfId="0" applyNumberFormat="1" applyFont="1" applyFill="1" applyBorder="1" applyAlignment="1">
      <alignment horizontal="center" vertical="center"/>
    </xf>
    <xf numFmtId="2" fontId="29560" fillId="8" borderId="1" xfId="0" applyNumberFormat="1" applyFont="1" applyFill="1" applyBorder="1" applyAlignment="1">
      <alignment horizontal="center" vertical="center"/>
    </xf>
    <xf numFmtId="2" fontId="29561" fillId="8" borderId="1" xfId="0" applyNumberFormat="1" applyFont="1" applyFill="1" applyBorder="1" applyAlignment="1">
      <alignment horizontal="center" vertical="center"/>
    </xf>
    <xf numFmtId="2" fontId="29562" fillId="8" borderId="1" xfId="0" applyNumberFormat="1" applyFont="1" applyFill="1" applyBorder="1" applyAlignment="1">
      <alignment horizontal="center" vertical="center"/>
    </xf>
    <xf numFmtId="2" fontId="29563" fillId="8" borderId="1" xfId="0" applyNumberFormat="1" applyFont="1" applyFill="1" applyBorder="1" applyAlignment="1">
      <alignment horizontal="center" vertical="center"/>
    </xf>
    <xf numFmtId="2" fontId="29564" fillId="8" borderId="1" xfId="0" applyNumberFormat="1" applyFont="1" applyFill="1" applyBorder="1" applyAlignment="1">
      <alignment horizontal="center" vertical="center"/>
    </xf>
    <xf numFmtId="0" fontId="29565" fillId="7" borderId="1" xfId="0" applyNumberFormat="1" applyFont="1" applyFill="1" applyBorder="1" applyAlignment="1">
      <alignment horizontal="left" vertical="center"/>
    </xf>
    <xf numFmtId="0" fontId="29566" fillId="8" borderId="1" xfId="0" applyNumberFormat="1" applyFont="1" applyFill="1" applyBorder="1" applyAlignment="1">
      <alignment horizontal="center" vertical="center"/>
    </xf>
    <xf numFmtId="164" fontId="29567" fillId="8" borderId="1" xfId="0" applyNumberFormat="1" applyFont="1" applyFill="1" applyBorder="1" applyAlignment="1">
      <alignment horizontal="center" vertical="center"/>
    </xf>
    <xf numFmtId="1" fontId="29568" fillId="8" borderId="1" xfId="0" applyNumberFormat="1" applyFont="1" applyFill="1" applyBorder="1" applyAlignment="1">
      <alignment horizontal="center" vertical="center"/>
    </xf>
    <xf numFmtId="1" fontId="29569" fillId="8" borderId="1" xfId="0" applyNumberFormat="1" applyFont="1" applyFill="1" applyBorder="1" applyAlignment="1">
      <alignment horizontal="center" vertical="center"/>
    </xf>
    <xf numFmtId="1" fontId="29570" fillId="8" borderId="1" xfId="0" applyNumberFormat="1" applyFont="1" applyFill="1" applyBorder="1" applyAlignment="1">
      <alignment horizontal="center" vertical="center"/>
    </xf>
    <xf numFmtId="1" fontId="29571" fillId="8" borderId="1" xfId="0" applyNumberFormat="1" applyFont="1" applyFill="1" applyBorder="1" applyAlignment="1">
      <alignment horizontal="center" vertical="center"/>
    </xf>
    <xf numFmtId="1" fontId="29572" fillId="8" borderId="1" xfId="0" applyNumberFormat="1" applyFont="1" applyFill="1" applyBorder="1" applyAlignment="1">
      <alignment horizontal="center" vertical="center"/>
    </xf>
    <xf numFmtId="1" fontId="29573" fillId="8" borderId="1" xfId="0" applyNumberFormat="1" applyFont="1" applyFill="1" applyBorder="1" applyAlignment="1">
      <alignment horizontal="center" vertical="center"/>
    </xf>
    <xf numFmtId="1" fontId="29574" fillId="8" borderId="1" xfId="0" applyNumberFormat="1" applyFont="1" applyFill="1" applyBorder="1" applyAlignment="1">
      <alignment horizontal="center" vertical="center"/>
    </xf>
    <xf numFmtId="0" fontId="29575" fillId="8" borderId="1" xfId="0" applyNumberFormat="1" applyFont="1" applyFill="1" applyBorder="1" applyAlignment="1">
      <alignment horizontal="center" vertical="center"/>
    </xf>
    <xf numFmtId="0" fontId="29576" fillId="8" borderId="1" xfId="0" applyNumberFormat="1" applyFont="1" applyFill="1" applyBorder="1" applyAlignment="1">
      <alignment horizontal="center" vertical="center"/>
    </xf>
    <xf numFmtId="1" fontId="29577" fillId="8" borderId="1" xfId="0" applyNumberFormat="1" applyFont="1" applyFill="1" applyBorder="1" applyAlignment="1">
      <alignment horizontal="center" vertical="center"/>
    </xf>
    <xf numFmtId="1" fontId="29578" fillId="8" borderId="1" xfId="0" applyNumberFormat="1" applyFont="1" applyFill="1" applyBorder="1" applyAlignment="1">
      <alignment horizontal="center" vertical="center"/>
    </xf>
    <xf numFmtId="1" fontId="29579" fillId="8" borderId="1" xfId="0" applyNumberFormat="1" applyFont="1" applyFill="1" applyBorder="1" applyAlignment="1">
      <alignment horizontal="center" vertical="center"/>
    </xf>
    <xf numFmtId="165" fontId="29580" fillId="8" borderId="1" xfId="0" applyNumberFormat="1" applyFont="1" applyFill="1" applyBorder="1" applyAlignment="1">
      <alignment horizontal="center" vertical="center"/>
    </xf>
    <xf numFmtId="1" fontId="29581" fillId="8" borderId="1" xfId="0" applyNumberFormat="1" applyFont="1" applyFill="1" applyBorder="1" applyAlignment="1">
      <alignment horizontal="center" vertical="center"/>
    </xf>
    <xf numFmtId="165" fontId="29582" fillId="8" borderId="1" xfId="0" applyNumberFormat="1" applyFont="1" applyFill="1" applyBorder="1" applyAlignment="1">
      <alignment horizontal="center" vertical="center"/>
    </xf>
    <xf numFmtId="1" fontId="29583" fillId="8" borderId="1" xfId="0" applyNumberFormat="1" applyFont="1" applyFill="1" applyBorder="1" applyAlignment="1">
      <alignment horizontal="center" vertical="center"/>
    </xf>
    <xf numFmtId="165" fontId="29584" fillId="8" borderId="1" xfId="0" applyNumberFormat="1" applyFont="1" applyFill="1" applyBorder="1" applyAlignment="1">
      <alignment horizontal="center" vertical="center"/>
    </xf>
    <xf numFmtId="1" fontId="29585" fillId="8" borderId="1" xfId="0" applyNumberFormat="1" applyFont="1" applyFill="1" applyBorder="1" applyAlignment="1">
      <alignment horizontal="center" vertical="center"/>
    </xf>
    <xf numFmtId="165" fontId="29586" fillId="8" borderId="1" xfId="0" applyNumberFormat="1" applyFont="1" applyFill="1" applyBorder="1" applyAlignment="1">
      <alignment horizontal="center" vertical="center"/>
    </xf>
    <xf numFmtId="165" fontId="29587" fillId="8" borderId="1" xfId="0" applyNumberFormat="1" applyFont="1" applyFill="1" applyBorder="1" applyAlignment="1">
      <alignment horizontal="center" vertical="center"/>
    </xf>
    <xf numFmtId="1" fontId="29588" fillId="8" borderId="1" xfId="0" applyNumberFormat="1" applyFont="1" applyFill="1" applyBorder="1" applyAlignment="1">
      <alignment horizontal="center" vertical="center"/>
    </xf>
    <xf numFmtId="1" fontId="29589" fillId="8" borderId="1" xfId="0" applyNumberFormat="1" applyFont="1" applyFill="1" applyBorder="1" applyAlignment="1">
      <alignment horizontal="center" vertical="center"/>
    </xf>
    <xf numFmtId="1" fontId="29590" fillId="8" borderId="1" xfId="0" applyNumberFormat="1" applyFont="1" applyFill="1" applyBorder="1" applyAlignment="1">
      <alignment horizontal="center" vertical="center"/>
    </xf>
    <xf numFmtId="165" fontId="29591" fillId="8" borderId="1" xfId="0" applyNumberFormat="1" applyFont="1" applyFill="1" applyBorder="1" applyAlignment="1">
      <alignment horizontal="center" vertical="center"/>
    </xf>
    <xf numFmtId="164" fontId="29592" fillId="8" borderId="1" xfId="0" applyNumberFormat="1" applyFont="1" applyFill="1" applyBorder="1" applyAlignment="1">
      <alignment horizontal="center" vertical="center"/>
    </xf>
    <xf numFmtId="164" fontId="29593" fillId="8" borderId="1" xfId="0" applyNumberFormat="1" applyFont="1" applyFill="1" applyBorder="1" applyAlignment="1">
      <alignment horizontal="center" vertical="center"/>
    </xf>
    <xf numFmtId="1" fontId="29594" fillId="8" borderId="1" xfId="0" applyNumberFormat="1" applyFont="1" applyFill="1" applyBorder="1" applyAlignment="1">
      <alignment horizontal="center" vertical="center"/>
    </xf>
    <xf numFmtId="1" fontId="29595" fillId="8" borderId="1" xfId="0" applyNumberFormat="1" applyFont="1" applyFill="1" applyBorder="1" applyAlignment="1">
      <alignment horizontal="center" vertical="center"/>
    </xf>
    <xf numFmtId="1" fontId="29596" fillId="8" borderId="1" xfId="0" applyNumberFormat="1" applyFont="1" applyFill="1" applyBorder="1" applyAlignment="1">
      <alignment horizontal="center" vertical="center"/>
    </xf>
    <xf numFmtId="165" fontId="29597" fillId="8" borderId="1" xfId="0" applyNumberFormat="1" applyFont="1" applyFill="1" applyBorder="1" applyAlignment="1">
      <alignment horizontal="center" vertical="center"/>
    </xf>
    <xf numFmtId="1" fontId="29598" fillId="8" borderId="1" xfId="0" applyNumberFormat="1" applyFont="1" applyFill="1" applyBorder="1" applyAlignment="1">
      <alignment horizontal="center" vertical="center"/>
    </xf>
    <xf numFmtId="165" fontId="29599" fillId="8" borderId="1" xfId="0" applyNumberFormat="1" applyFont="1" applyFill="1" applyBorder="1" applyAlignment="1">
      <alignment horizontal="center" vertical="center"/>
    </xf>
    <xf numFmtId="1" fontId="29600" fillId="8" borderId="1" xfId="0" applyNumberFormat="1" applyFont="1" applyFill="1" applyBorder="1" applyAlignment="1">
      <alignment horizontal="center" vertical="center"/>
    </xf>
    <xf numFmtId="1" fontId="29601" fillId="8" borderId="1" xfId="0" applyNumberFormat="1" applyFont="1" applyFill="1" applyBorder="1" applyAlignment="1">
      <alignment horizontal="center" vertical="center"/>
    </xf>
    <xf numFmtId="1" fontId="29602" fillId="8" borderId="1" xfId="0" applyNumberFormat="1" applyFont="1" applyFill="1" applyBorder="1" applyAlignment="1">
      <alignment horizontal="center" vertical="center"/>
    </xf>
    <xf numFmtId="1" fontId="29603" fillId="8" borderId="1" xfId="0" applyNumberFormat="1" applyFont="1" applyFill="1" applyBorder="1" applyAlignment="1">
      <alignment horizontal="center" vertical="center"/>
    </xf>
    <xf numFmtId="165" fontId="29604" fillId="8" borderId="1" xfId="0" applyNumberFormat="1" applyFont="1" applyFill="1" applyBorder="1" applyAlignment="1">
      <alignment horizontal="center" vertical="center"/>
    </xf>
    <xf numFmtId="1" fontId="29605" fillId="8" borderId="1" xfId="0" applyNumberFormat="1" applyFont="1" applyFill="1" applyBorder="1" applyAlignment="1">
      <alignment horizontal="center" vertical="center"/>
    </xf>
    <xf numFmtId="165" fontId="29606" fillId="8" borderId="1" xfId="0" applyNumberFormat="1" applyFont="1" applyFill="1" applyBorder="1" applyAlignment="1">
      <alignment horizontal="center" vertical="center"/>
    </xf>
    <xf numFmtId="1" fontId="29607" fillId="8" borderId="1" xfId="0" applyNumberFormat="1" applyFont="1" applyFill="1" applyBorder="1" applyAlignment="1">
      <alignment horizontal="center" vertical="center"/>
    </xf>
    <xf numFmtId="165" fontId="29608" fillId="8" borderId="1" xfId="0" applyNumberFormat="1" applyFont="1" applyFill="1" applyBorder="1" applyAlignment="1">
      <alignment horizontal="center" vertical="center"/>
    </xf>
    <xf numFmtId="2" fontId="29609" fillId="8" borderId="1" xfId="0" applyNumberFormat="1" applyFont="1" applyFill="1" applyBorder="1" applyAlignment="1">
      <alignment horizontal="center" vertical="center"/>
    </xf>
    <xf numFmtId="2" fontId="29610" fillId="8" borderId="1" xfId="0" applyNumberFormat="1" applyFont="1" applyFill="1" applyBorder="1" applyAlignment="1">
      <alignment horizontal="center" vertical="center"/>
    </xf>
    <xf numFmtId="2" fontId="29611" fillId="8" borderId="1" xfId="0" applyNumberFormat="1" applyFont="1" applyFill="1" applyBorder="1" applyAlignment="1">
      <alignment horizontal="center" vertical="center"/>
    </xf>
    <xf numFmtId="2" fontId="29612" fillId="8" borderId="1" xfId="0" applyNumberFormat="1" applyFont="1" applyFill="1" applyBorder="1" applyAlignment="1">
      <alignment horizontal="center" vertical="center"/>
    </xf>
    <xf numFmtId="2" fontId="29613" fillId="8" borderId="1" xfId="0" applyNumberFormat="1" applyFont="1" applyFill="1" applyBorder="1" applyAlignment="1">
      <alignment horizontal="center" vertical="center"/>
    </xf>
    <xf numFmtId="2" fontId="29614" fillId="8" borderId="1" xfId="0" applyNumberFormat="1" applyFont="1" applyFill="1" applyBorder="1" applyAlignment="1">
      <alignment horizontal="center" vertical="center"/>
    </xf>
    <xf numFmtId="2" fontId="29615" fillId="8" borderId="1" xfId="0" applyNumberFormat="1" applyFont="1" applyFill="1" applyBorder="1" applyAlignment="1">
      <alignment horizontal="center" vertical="center"/>
    </xf>
    <xf numFmtId="2" fontId="29616" fillId="8" borderId="1" xfId="0" applyNumberFormat="1" applyFont="1" applyFill="1" applyBorder="1" applyAlignment="1">
      <alignment horizontal="center" vertical="center"/>
    </xf>
    <xf numFmtId="2" fontId="29617" fillId="8" borderId="1" xfId="0" applyNumberFormat="1" applyFont="1" applyFill="1" applyBorder="1" applyAlignment="1">
      <alignment horizontal="center" vertical="center"/>
    </xf>
    <xf numFmtId="2" fontId="29618" fillId="8" borderId="1" xfId="0" applyNumberFormat="1" applyFont="1" applyFill="1" applyBorder="1" applyAlignment="1">
      <alignment horizontal="center" vertical="center"/>
    </xf>
    <xf numFmtId="2" fontId="29619" fillId="8" borderId="1" xfId="0" applyNumberFormat="1" applyFont="1" applyFill="1" applyBorder="1" applyAlignment="1">
      <alignment horizontal="center" vertical="center"/>
    </xf>
    <xf numFmtId="2" fontId="29620" fillId="8" borderId="1" xfId="0" applyNumberFormat="1" applyFont="1" applyFill="1" applyBorder="1" applyAlignment="1">
      <alignment horizontal="center" vertical="center"/>
    </xf>
    <xf numFmtId="2" fontId="29621" fillId="8" borderId="1" xfId="0" applyNumberFormat="1" applyFont="1" applyFill="1" applyBorder="1" applyAlignment="1">
      <alignment horizontal="center" vertical="center"/>
    </xf>
    <xf numFmtId="2" fontId="29622" fillId="8" borderId="1" xfId="0" applyNumberFormat="1" applyFont="1" applyFill="1" applyBorder="1" applyAlignment="1">
      <alignment horizontal="center" vertical="center"/>
    </xf>
    <xf numFmtId="2" fontId="29623" fillId="8" borderId="1" xfId="0" applyNumberFormat="1" applyFont="1" applyFill="1" applyBorder="1" applyAlignment="1">
      <alignment horizontal="center" vertical="center"/>
    </xf>
    <xf numFmtId="2" fontId="29624" fillId="8" borderId="1" xfId="0" applyNumberFormat="1" applyFont="1" applyFill="1" applyBorder="1" applyAlignment="1">
      <alignment horizontal="center" vertical="center"/>
    </xf>
    <xf numFmtId="2" fontId="29625" fillId="8" borderId="1" xfId="0" applyNumberFormat="1" applyFont="1" applyFill="1" applyBorder="1" applyAlignment="1">
      <alignment horizontal="center" vertical="center"/>
    </xf>
    <xf numFmtId="2" fontId="29626" fillId="8" borderId="1" xfId="0" applyNumberFormat="1" applyFont="1" applyFill="1" applyBorder="1" applyAlignment="1">
      <alignment horizontal="center" vertical="center"/>
    </xf>
    <xf numFmtId="2" fontId="29627" fillId="8" borderId="1" xfId="0" applyNumberFormat="1" applyFont="1" applyFill="1" applyBorder="1" applyAlignment="1">
      <alignment horizontal="center" vertical="center"/>
    </xf>
    <xf numFmtId="2" fontId="29628" fillId="8" borderId="1" xfId="0" applyNumberFormat="1" applyFont="1" applyFill="1" applyBorder="1" applyAlignment="1">
      <alignment horizontal="center" vertical="center"/>
    </xf>
    <xf numFmtId="2" fontId="29629" fillId="8" borderId="1" xfId="0" applyNumberFormat="1" applyFont="1" applyFill="1" applyBorder="1" applyAlignment="1">
      <alignment horizontal="center" vertical="center"/>
    </xf>
    <xf numFmtId="2" fontId="29630" fillId="8" borderId="1" xfId="0" applyNumberFormat="1" applyFont="1" applyFill="1" applyBorder="1" applyAlignment="1">
      <alignment horizontal="center" vertical="center"/>
    </xf>
    <xf numFmtId="2" fontId="29631" fillId="8" borderId="1" xfId="0" applyNumberFormat="1" applyFont="1" applyFill="1" applyBorder="1" applyAlignment="1">
      <alignment horizontal="center" vertical="center"/>
    </xf>
    <xf numFmtId="2" fontId="29632" fillId="8" borderId="1" xfId="0" applyNumberFormat="1" applyFont="1" applyFill="1" applyBorder="1" applyAlignment="1">
      <alignment horizontal="center" vertical="center"/>
    </xf>
    <xf numFmtId="2" fontId="29633" fillId="8" borderId="1" xfId="0" applyNumberFormat="1" applyFont="1" applyFill="1" applyBorder="1" applyAlignment="1">
      <alignment horizontal="center" vertical="center"/>
    </xf>
    <xf numFmtId="2" fontId="29634" fillId="8" borderId="1" xfId="0" applyNumberFormat="1" applyFont="1" applyFill="1" applyBorder="1" applyAlignment="1">
      <alignment horizontal="center" vertical="center"/>
    </xf>
    <xf numFmtId="2" fontId="29635" fillId="8" borderId="1" xfId="0" applyNumberFormat="1" applyFont="1" applyFill="1" applyBorder="1" applyAlignment="1">
      <alignment horizontal="center" vertical="center"/>
    </xf>
    <xf numFmtId="2" fontId="29636" fillId="8" borderId="1" xfId="0" applyNumberFormat="1" applyFont="1" applyFill="1" applyBorder="1" applyAlignment="1">
      <alignment horizontal="center" vertical="center"/>
    </xf>
    <xf numFmtId="2" fontId="29637" fillId="8" borderId="1" xfId="0" applyNumberFormat="1" applyFont="1" applyFill="1" applyBorder="1" applyAlignment="1">
      <alignment horizontal="center" vertical="center"/>
    </xf>
    <xf numFmtId="2" fontId="29638" fillId="8" borderId="1" xfId="0" applyNumberFormat="1" applyFont="1" applyFill="1" applyBorder="1" applyAlignment="1">
      <alignment horizontal="center" vertical="center"/>
    </xf>
    <xf numFmtId="2" fontId="29639" fillId="8" borderId="1" xfId="0" applyNumberFormat="1" applyFont="1" applyFill="1" applyBorder="1" applyAlignment="1">
      <alignment horizontal="center" vertical="center"/>
    </xf>
    <xf numFmtId="2" fontId="29640" fillId="8" borderId="1" xfId="0" applyNumberFormat="1" applyFont="1" applyFill="1" applyBorder="1" applyAlignment="1">
      <alignment horizontal="center" vertical="center"/>
    </xf>
    <xf numFmtId="2" fontId="29641" fillId="8" borderId="1" xfId="0" applyNumberFormat="1" applyFont="1" applyFill="1" applyBorder="1" applyAlignment="1">
      <alignment horizontal="center" vertical="center"/>
    </xf>
    <xf numFmtId="2" fontId="29642" fillId="8" borderId="1" xfId="0" applyNumberFormat="1" applyFont="1" applyFill="1" applyBorder="1" applyAlignment="1">
      <alignment horizontal="center" vertical="center"/>
    </xf>
    <xf numFmtId="0" fontId="29643" fillId="7" borderId="1" xfId="0" applyNumberFormat="1" applyFont="1" applyFill="1" applyBorder="1" applyAlignment="1">
      <alignment horizontal="left" vertical="center"/>
    </xf>
    <xf numFmtId="0" fontId="29644" fillId="8" borderId="1" xfId="0" applyNumberFormat="1" applyFont="1" applyFill="1" applyBorder="1" applyAlignment="1">
      <alignment horizontal="center" vertical="center"/>
    </xf>
    <xf numFmtId="164" fontId="29645" fillId="8" borderId="1" xfId="0" applyNumberFormat="1" applyFont="1" applyFill="1" applyBorder="1" applyAlignment="1">
      <alignment horizontal="center" vertical="center"/>
    </xf>
    <xf numFmtId="1" fontId="29646" fillId="8" borderId="1" xfId="0" applyNumberFormat="1" applyFont="1" applyFill="1" applyBorder="1" applyAlignment="1">
      <alignment horizontal="center" vertical="center"/>
    </xf>
    <xf numFmtId="1" fontId="29647" fillId="8" borderId="1" xfId="0" applyNumberFormat="1" applyFont="1" applyFill="1" applyBorder="1" applyAlignment="1">
      <alignment horizontal="center" vertical="center"/>
    </xf>
    <xf numFmtId="1" fontId="29648" fillId="8" borderId="1" xfId="0" applyNumberFormat="1" applyFont="1" applyFill="1" applyBorder="1" applyAlignment="1">
      <alignment horizontal="center" vertical="center"/>
    </xf>
    <xf numFmtId="1" fontId="29649" fillId="8" borderId="1" xfId="0" applyNumberFormat="1" applyFont="1" applyFill="1" applyBorder="1" applyAlignment="1">
      <alignment horizontal="center" vertical="center"/>
    </xf>
    <xf numFmtId="1" fontId="29650" fillId="8" borderId="1" xfId="0" applyNumberFormat="1" applyFont="1" applyFill="1" applyBorder="1" applyAlignment="1">
      <alignment horizontal="center" vertical="center"/>
    </xf>
    <xf numFmtId="1" fontId="29651" fillId="8" borderId="1" xfId="0" applyNumberFormat="1" applyFont="1" applyFill="1" applyBorder="1" applyAlignment="1">
      <alignment horizontal="center" vertical="center"/>
    </xf>
    <xf numFmtId="1" fontId="29652" fillId="8" borderId="1" xfId="0" applyNumberFormat="1" applyFont="1" applyFill="1" applyBorder="1" applyAlignment="1">
      <alignment horizontal="center" vertical="center"/>
    </xf>
    <xf numFmtId="0" fontId="29653" fillId="8" borderId="1" xfId="0" applyNumberFormat="1" applyFont="1" applyFill="1" applyBorder="1" applyAlignment="1">
      <alignment horizontal="center" vertical="center"/>
    </xf>
    <xf numFmtId="0" fontId="29654" fillId="8" borderId="1" xfId="0" applyNumberFormat="1" applyFont="1" applyFill="1" applyBorder="1" applyAlignment="1">
      <alignment horizontal="center" vertical="center"/>
    </xf>
    <xf numFmtId="1" fontId="29655" fillId="8" borderId="1" xfId="0" applyNumberFormat="1" applyFont="1" applyFill="1" applyBorder="1" applyAlignment="1">
      <alignment horizontal="center" vertical="center"/>
    </xf>
    <xf numFmtId="1" fontId="29656" fillId="8" borderId="1" xfId="0" applyNumberFormat="1" applyFont="1" applyFill="1" applyBorder="1" applyAlignment="1">
      <alignment horizontal="center" vertical="center"/>
    </xf>
    <xf numFmtId="1" fontId="29657" fillId="8" borderId="1" xfId="0" applyNumberFormat="1" applyFont="1" applyFill="1" applyBorder="1" applyAlignment="1">
      <alignment horizontal="center" vertical="center"/>
    </xf>
    <xf numFmtId="165" fontId="29658" fillId="8" borderId="1" xfId="0" applyNumberFormat="1" applyFont="1" applyFill="1" applyBorder="1" applyAlignment="1">
      <alignment horizontal="center" vertical="center"/>
    </xf>
    <xf numFmtId="1" fontId="29659" fillId="8" borderId="1" xfId="0" applyNumberFormat="1" applyFont="1" applyFill="1" applyBorder="1" applyAlignment="1">
      <alignment horizontal="center" vertical="center"/>
    </xf>
    <xf numFmtId="165" fontId="29660" fillId="8" borderId="1" xfId="0" applyNumberFormat="1" applyFont="1" applyFill="1" applyBorder="1" applyAlignment="1">
      <alignment horizontal="center" vertical="center"/>
    </xf>
    <xf numFmtId="1" fontId="29661" fillId="8" borderId="1" xfId="0" applyNumberFormat="1" applyFont="1" applyFill="1" applyBorder="1" applyAlignment="1">
      <alignment horizontal="center" vertical="center"/>
    </xf>
    <xf numFmtId="165" fontId="29662" fillId="8" borderId="1" xfId="0" applyNumberFormat="1" applyFont="1" applyFill="1" applyBorder="1" applyAlignment="1">
      <alignment horizontal="center" vertical="center"/>
    </xf>
    <xf numFmtId="1" fontId="29663" fillId="8" borderId="1" xfId="0" applyNumberFormat="1" applyFont="1" applyFill="1" applyBorder="1" applyAlignment="1">
      <alignment horizontal="center" vertical="center"/>
    </xf>
    <xf numFmtId="165" fontId="29664" fillId="8" borderId="1" xfId="0" applyNumberFormat="1" applyFont="1" applyFill="1" applyBorder="1" applyAlignment="1">
      <alignment horizontal="center" vertical="center"/>
    </xf>
    <xf numFmtId="165" fontId="29665" fillId="8" borderId="1" xfId="0" applyNumberFormat="1" applyFont="1" applyFill="1" applyBorder="1" applyAlignment="1">
      <alignment horizontal="center" vertical="center"/>
    </xf>
    <xf numFmtId="1" fontId="29666" fillId="8" borderId="1" xfId="0" applyNumberFormat="1" applyFont="1" applyFill="1" applyBorder="1" applyAlignment="1">
      <alignment horizontal="center" vertical="center"/>
    </xf>
    <xf numFmtId="1" fontId="29667" fillId="8" borderId="1" xfId="0" applyNumberFormat="1" applyFont="1" applyFill="1" applyBorder="1" applyAlignment="1">
      <alignment horizontal="center" vertical="center"/>
    </xf>
    <xf numFmtId="1" fontId="29668" fillId="8" borderId="1" xfId="0" applyNumberFormat="1" applyFont="1" applyFill="1" applyBorder="1" applyAlignment="1">
      <alignment horizontal="center" vertical="center"/>
    </xf>
    <xf numFmtId="165" fontId="29669" fillId="8" borderId="1" xfId="0" applyNumberFormat="1" applyFont="1" applyFill="1" applyBorder="1" applyAlignment="1">
      <alignment horizontal="center" vertical="center"/>
    </xf>
    <xf numFmtId="164" fontId="29670" fillId="8" borderId="1" xfId="0" applyNumberFormat="1" applyFont="1" applyFill="1" applyBorder="1" applyAlignment="1">
      <alignment horizontal="center" vertical="center"/>
    </xf>
    <xf numFmtId="164" fontId="29671" fillId="8" borderId="1" xfId="0" applyNumberFormat="1" applyFont="1" applyFill="1" applyBorder="1" applyAlignment="1">
      <alignment horizontal="center" vertical="center"/>
    </xf>
    <xf numFmtId="1" fontId="29672" fillId="8" borderId="1" xfId="0" applyNumberFormat="1" applyFont="1" applyFill="1" applyBorder="1" applyAlignment="1">
      <alignment horizontal="center" vertical="center"/>
    </xf>
    <xf numFmtId="1" fontId="29673" fillId="8" borderId="1" xfId="0" applyNumberFormat="1" applyFont="1" applyFill="1" applyBorder="1" applyAlignment="1">
      <alignment horizontal="center" vertical="center"/>
    </xf>
    <xf numFmtId="1" fontId="29674" fillId="8" borderId="1" xfId="0" applyNumberFormat="1" applyFont="1" applyFill="1" applyBorder="1" applyAlignment="1">
      <alignment horizontal="center" vertical="center"/>
    </xf>
    <xf numFmtId="165" fontId="29675" fillId="8" borderId="1" xfId="0" applyNumberFormat="1" applyFont="1" applyFill="1" applyBorder="1" applyAlignment="1">
      <alignment horizontal="center" vertical="center"/>
    </xf>
    <xf numFmtId="1" fontId="29676" fillId="8" borderId="1" xfId="0" applyNumberFormat="1" applyFont="1" applyFill="1" applyBorder="1" applyAlignment="1">
      <alignment horizontal="center" vertical="center"/>
    </xf>
    <xf numFmtId="165" fontId="29677" fillId="8" borderId="1" xfId="0" applyNumberFormat="1" applyFont="1" applyFill="1" applyBorder="1" applyAlignment="1">
      <alignment horizontal="center" vertical="center"/>
    </xf>
    <xf numFmtId="1" fontId="29678" fillId="8" borderId="1" xfId="0" applyNumberFormat="1" applyFont="1" applyFill="1" applyBorder="1" applyAlignment="1">
      <alignment horizontal="center" vertical="center"/>
    </xf>
    <xf numFmtId="1" fontId="29679" fillId="8" borderId="1" xfId="0" applyNumberFormat="1" applyFont="1" applyFill="1" applyBorder="1" applyAlignment="1">
      <alignment horizontal="center" vertical="center"/>
    </xf>
    <xf numFmtId="1" fontId="29680" fillId="8" borderId="1" xfId="0" applyNumberFormat="1" applyFont="1" applyFill="1" applyBorder="1" applyAlignment="1">
      <alignment horizontal="center" vertical="center"/>
    </xf>
    <xf numFmtId="1" fontId="29681" fillId="8" borderId="1" xfId="0" applyNumberFormat="1" applyFont="1" applyFill="1" applyBorder="1" applyAlignment="1">
      <alignment horizontal="center" vertical="center"/>
    </xf>
    <xf numFmtId="165" fontId="29682" fillId="8" borderId="1" xfId="0" applyNumberFormat="1" applyFont="1" applyFill="1" applyBorder="1" applyAlignment="1">
      <alignment horizontal="center" vertical="center"/>
    </xf>
    <xf numFmtId="1" fontId="29683" fillId="8" borderId="1" xfId="0" applyNumberFormat="1" applyFont="1" applyFill="1" applyBorder="1" applyAlignment="1">
      <alignment horizontal="center" vertical="center"/>
    </xf>
    <xf numFmtId="165" fontId="29684" fillId="8" borderId="1" xfId="0" applyNumberFormat="1" applyFont="1" applyFill="1" applyBorder="1" applyAlignment="1">
      <alignment horizontal="center" vertical="center"/>
    </xf>
    <xf numFmtId="1" fontId="29685" fillId="8" borderId="1" xfId="0" applyNumberFormat="1" applyFont="1" applyFill="1" applyBorder="1" applyAlignment="1">
      <alignment horizontal="center" vertical="center"/>
    </xf>
    <xf numFmtId="165" fontId="29686" fillId="8" borderId="1" xfId="0" applyNumberFormat="1" applyFont="1" applyFill="1" applyBorder="1" applyAlignment="1">
      <alignment horizontal="center" vertical="center"/>
    </xf>
    <xf numFmtId="2" fontId="29687" fillId="8" borderId="1" xfId="0" applyNumberFormat="1" applyFont="1" applyFill="1" applyBorder="1" applyAlignment="1">
      <alignment horizontal="center" vertical="center"/>
    </xf>
    <xf numFmtId="2" fontId="29688" fillId="8" borderId="1" xfId="0" applyNumberFormat="1" applyFont="1" applyFill="1" applyBorder="1" applyAlignment="1">
      <alignment horizontal="center" vertical="center"/>
    </xf>
    <xf numFmtId="2" fontId="29689" fillId="8" borderId="1" xfId="0" applyNumberFormat="1" applyFont="1" applyFill="1" applyBorder="1" applyAlignment="1">
      <alignment horizontal="center" vertical="center"/>
    </xf>
    <xf numFmtId="2" fontId="29690" fillId="8" borderId="1" xfId="0" applyNumberFormat="1" applyFont="1" applyFill="1" applyBorder="1" applyAlignment="1">
      <alignment horizontal="center" vertical="center"/>
    </xf>
    <xf numFmtId="2" fontId="29691" fillId="8" borderId="1" xfId="0" applyNumberFormat="1" applyFont="1" applyFill="1" applyBorder="1" applyAlignment="1">
      <alignment horizontal="center" vertical="center"/>
    </xf>
    <xf numFmtId="2" fontId="29692" fillId="8" borderId="1" xfId="0" applyNumberFormat="1" applyFont="1" applyFill="1" applyBorder="1" applyAlignment="1">
      <alignment horizontal="center" vertical="center"/>
    </xf>
    <xf numFmtId="2" fontId="29693" fillId="8" borderId="1" xfId="0" applyNumberFormat="1" applyFont="1" applyFill="1" applyBorder="1" applyAlignment="1">
      <alignment horizontal="center" vertical="center"/>
    </xf>
    <xf numFmtId="2" fontId="29694" fillId="8" borderId="1" xfId="0" applyNumberFormat="1" applyFont="1" applyFill="1" applyBorder="1" applyAlignment="1">
      <alignment horizontal="center" vertical="center"/>
    </xf>
    <xf numFmtId="2" fontId="29695" fillId="8" borderId="1" xfId="0" applyNumberFormat="1" applyFont="1" applyFill="1" applyBorder="1" applyAlignment="1">
      <alignment horizontal="center" vertical="center"/>
    </xf>
    <xf numFmtId="2" fontId="29696" fillId="8" borderId="1" xfId="0" applyNumberFormat="1" applyFont="1" applyFill="1" applyBorder="1" applyAlignment="1">
      <alignment horizontal="center" vertical="center"/>
    </xf>
    <xf numFmtId="2" fontId="29697" fillId="8" borderId="1" xfId="0" applyNumberFormat="1" applyFont="1" applyFill="1" applyBorder="1" applyAlignment="1">
      <alignment horizontal="center" vertical="center"/>
    </xf>
    <xf numFmtId="2" fontId="29698" fillId="8" borderId="1" xfId="0" applyNumberFormat="1" applyFont="1" applyFill="1" applyBorder="1" applyAlignment="1">
      <alignment horizontal="center" vertical="center"/>
    </xf>
    <xf numFmtId="2" fontId="29699" fillId="8" borderId="1" xfId="0" applyNumberFormat="1" applyFont="1" applyFill="1" applyBorder="1" applyAlignment="1">
      <alignment horizontal="center" vertical="center"/>
    </xf>
    <xf numFmtId="2" fontId="29700" fillId="8" borderId="1" xfId="0" applyNumberFormat="1" applyFont="1" applyFill="1" applyBorder="1" applyAlignment="1">
      <alignment horizontal="center" vertical="center"/>
    </xf>
    <xf numFmtId="2" fontId="29701" fillId="8" borderId="1" xfId="0" applyNumberFormat="1" applyFont="1" applyFill="1" applyBorder="1" applyAlignment="1">
      <alignment horizontal="center" vertical="center"/>
    </xf>
    <xf numFmtId="2" fontId="29702" fillId="8" borderId="1" xfId="0" applyNumberFormat="1" applyFont="1" applyFill="1" applyBorder="1" applyAlignment="1">
      <alignment horizontal="center" vertical="center"/>
    </xf>
    <xf numFmtId="2" fontId="29703" fillId="8" borderId="1" xfId="0" applyNumberFormat="1" applyFont="1" applyFill="1" applyBorder="1" applyAlignment="1">
      <alignment horizontal="center" vertical="center"/>
    </xf>
    <xf numFmtId="2" fontId="29704" fillId="8" borderId="1" xfId="0" applyNumberFormat="1" applyFont="1" applyFill="1" applyBorder="1" applyAlignment="1">
      <alignment horizontal="center" vertical="center"/>
    </xf>
    <xf numFmtId="2" fontId="29705" fillId="8" borderId="1" xfId="0" applyNumberFormat="1" applyFont="1" applyFill="1" applyBorder="1" applyAlignment="1">
      <alignment horizontal="center" vertical="center"/>
    </xf>
    <xf numFmtId="2" fontId="29706" fillId="8" borderId="1" xfId="0" applyNumberFormat="1" applyFont="1" applyFill="1" applyBorder="1" applyAlignment="1">
      <alignment horizontal="center" vertical="center"/>
    </xf>
    <xf numFmtId="2" fontId="29707" fillId="8" borderId="1" xfId="0" applyNumberFormat="1" applyFont="1" applyFill="1" applyBorder="1" applyAlignment="1">
      <alignment horizontal="center" vertical="center"/>
    </xf>
    <xf numFmtId="2" fontId="29708" fillId="8" borderId="1" xfId="0" applyNumberFormat="1" applyFont="1" applyFill="1" applyBorder="1" applyAlignment="1">
      <alignment horizontal="center" vertical="center"/>
    </xf>
    <xf numFmtId="2" fontId="29709" fillId="8" borderId="1" xfId="0" applyNumberFormat="1" applyFont="1" applyFill="1" applyBorder="1" applyAlignment="1">
      <alignment horizontal="center" vertical="center"/>
    </xf>
    <xf numFmtId="2" fontId="29710" fillId="8" borderId="1" xfId="0" applyNumberFormat="1" applyFont="1" applyFill="1" applyBorder="1" applyAlignment="1">
      <alignment horizontal="center" vertical="center"/>
    </xf>
    <xf numFmtId="2" fontId="29711" fillId="8" borderId="1" xfId="0" applyNumberFormat="1" applyFont="1" applyFill="1" applyBorder="1" applyAlignment="1">
      <alignment horizontal="center" vertical="center"/>
    </xf>
    <xf numFmtId="2" fontId="29712" fillId="8" borderId="1" xfId="0" applyNumberFormat="1" applyFont="1" applyFill="1" applyBorder="1" applyAlignment="1">
      <alignment horizontal="center" vertical="center"/>
    </xf>
    <xf numFmtId="2" fontId="29713" fillId="8" borderId="1" xfId="0" applyNumberFormat="1" applyFont="1" applyFill="1" applyBorder="1" applyAlignment="1">
      <alignment horizontal="center" vertical="center"/>
    </xf>
    <xf numFmtId="2" fontId="29714" fillId="8" borderId="1" xfId="0" applyNumberFormat="1" applyFont="1" applyFill="1" applyBorder="1" applyAlignment="1">
      <alignment horizontal="center" vertical="center"/>
    </xf>
    <xf numFmtId="2" fontId="29715" fillId="8" borderId="1" xfId="0" applyNumberFormat="1" applyFont="1" applyFill="1" applyBorder="1" applyAlignment="1">
      <alignment horizontal="center" vertical="center"/>
    </xf>
    <xf numFmtId="2" fontId="29716" fillId="8" borderId="1" xfId="0" applyNumberFormat="1" applyFont="1" applyFill="1" applyBorder="1" applyAlignment="1">
      <alignment horizontal="center" vertical="center"/>
    </xf>
    <xf numFmtId="2" fontId="29717" fillId="8" borderId="1" xfId="0" applyNumberFormat="1" applyFont="1" applyFill="1" applyBorder="1" applyAlignment="1">
      <alignment horizontal="center" vertical="center"/>
    </xf>
    <xf numFmtId="2" fontId="29718" fillId="8" borderId="1" xfId="0" applyNumberFormat="1" applyFont="1" applyFill="1" applyBorder="1" applyAlignment="1">
      <alignment horizontal="center" vertical="center"/>
    </xf>
    <xf numFmtId="2" fontId="29719" fillId="8" borderId="1" xfId="0" applyNumberFormat="1" applyFont="1" applyFill="1" applyBorder="1" applyAlignment="1">
      <alignment horizontal="center" vertical="center"/>
    </xf>
    <xf numFmtId="2" fontId="29720" fillId="8" borderId="1" xfId="0" applyNumberFormat="1" applyFont="1" applyFill="1" applyBorder="1" applyAlignment="1">
      <alignment horizontal="center" vertical="center"/>
    </xf>
    <xf numFmtId="0" fontId="29721" fillId="7" borderId="1" xfId="0" applyNumberFormat="1" applyFont="1" applyFill="1" applyBorder="1" applyAlignment="1">
      <alignment horizontal="left" vertical="center"/>
    </xf>
    <xf numFmtId="0" fontId="29722" fillId="8" borderId="1" xfId="0" applyNumberFormat="1" applyFont="1" applyFill="1" applyBorder="1" applyAlignment="1">
      <alignment horizontal="center" vertical="center"/>
    </xf>
    <xf numFmtId="164" fontId="29723" fillId="8" borderId="1" xfId="0" applyNumberFormat="1" applyFont="1" applyFill="1" applyBorder="1" applyAlignment="1">
      <alignment horizontal="center" vertical="center"/>
    </xf>
    <xf numFmtId="1" fontId="29724" fillId="8" borderId="1" xfId="0" applyNumberFormat="1" applyFont="1" applyFill="1" applyBorder="1" applyAlignment="1">
      <alignment horizontal="center" vertical="center"/>
    </xf>
    <xf numFmtId="1" fontId="29725" fillId="8" borderId="1" xfId="0" applyNumberFormat="1" applyFont="1" applyFill="1" applyBorder="1" applyAlignment="1">
      <alignment horizontal="center" vertical="center"/>
    </xf>
    <xf numFmtId="1" fontId="29726" fillId="8" borderId="1" xfId="0" applyNumberFormat="1" applyFont="1" applyFill="1" applyBorder="1" applyAlignment="1">
      <alignment horizontal="center" vertical="center"/>
    </xf>
    <xf numFmtId="1" fontId="29727" fillId="8" borderId="1" xfId="0" applyNumberFormat="1" applyFont="1" applyFill="1" applyBorder="1" applyAlignment="1">
      <alignment horizontal="center" vertical="center"/>
    </xf>
    <xf numFmtId="1" fontId="29728" fillId="8" borderId="1" xfId="0" applyNumberFormat="1" applyFont="1" applyFill="1" applyBorder="1" applyAlignment="1">
      <alignment horizontal="center" vertical="center"/>
    </xf>
    <xf numFmtId="1" fontId="29729" fillId="8" borderId="1" xfId="0" applyNumberFormat="1" applyFont="1" applyFill="1" applyBorder="1" applyAlignment="1">
      <alignment horizontal="center" vertical="center"/>
    </xf>
    <xf numFmtId="1" fontId="29730" fillId="8" borderId="1" xfId="0" applyNumberFormat="1" applyFont="1" applyFill="1" applyBorder="1" applyAlignment="1">
      <alignment horizontal="center" vertical="center"/>
    </xf>
    <xf numFmtId="0" fontId="29731" fillId="8" borderId="1" xfId="0" applyNumberFormat="1" applyFont="1" applyFill="1" applyBorder="1" applyAlignment="1">
      <alignment horizontal="center" vertical="center"/>
    </xf>
    <xf numFmtId="0" fontId="29732" fillId="8" borderId="1" xfId="0" applyNumberFormat="1" applyFont="1" applyFill="1" applyBorder="1" applyAlignment="1">
      <alignment horizontal="center" vertical="center"/>
    </xf>
    <xf numFmtId="1" fontId="29733" fillId="8" borderId="1" xfId="0" applyNumberFormat="1" applyFont="1" applyFill="1" applyBorder="1" applyAlignment="1">
      <alignment horizontal="center" vertical="center"/>
    </xf>
    <xf numFmtId="1" fontId="29734" fillId="8" borderId="1" xfId="0" applyNumberFormat="1" applyFont="1" applyFill="1" applyBorder="1" applyAlignment="1">
      <alignment horizontal="center" vertical="center"/>
    </xf>
    <xf numFmtId="1" fontId="29735" fillId="8" borderId="1" xfId="0" applyNumberFormat="1" applyFont="1" applyFill="1" applyBorder="1" applyAlignment="1">
      <alignment horizontal="center" vertical="center"/>
    </xf>
    <xf numFmtId="165" fontId="29736" fillId="8" borderId="1" xfId="0" applyNumberFormat="1" applyFont="1" applyFill="1" applyBorder="1" applyAlignment="1">
      <alignment horizontal="center" vertical="center"/>
    </xf>
    <xf numFmtId="1" fontId="29737" fillId="8" borderId="1" xfId="0" applyNumberFormat="1" applyFont="1" applyFill="1" applyBorder="1" applyAlignment="1">
      <alignment horizontal="center" vertical="center"/>
    </xf>
    <xf numFmtId="165" fontId="29738" fillId="8" borderId="1" xfId="0" applyNumberFormat="1" applyFont="1" applyFill="1" applyBorder="1" applyAlignment="1">
      <alignment horizontal="center" vertical="center"/>
    </xf>
    <xf numFmtId="1" fontId="29739" fillId="8" borderId="1" xfId="0" applyNumberFormat="1" applyFont="1" applyFill="1" applyBorder="1" applyAlignment="1">
      <alignment horizontal="center" vertical="center"/>
    </xf>
    <xf numFmtId="165" fontId="29740" fillId="8" borderId="1" xfId="0" applyNumberFormat="1" applyFont="1" applyFill="1" applyBorder="1" applyAlignment="1">
      <alignment horizontal="center" vertical="center"/>
    </xf>
    <xf numFmtId="1" fontId="29741" fillId="8" borderId="1" xfId="0" applyNumberFormat="1" applyFont="1" applyFill="1" applyBorder="1" applyAlignment="1">
      <alignment horizontal="center" vertical="center"/>
    </xf>
    <xf numFmtId="165" fontId="29742" fillId="8" borderId="1" xfId="0" applyNumberFormat="1" applyFont="1" applyFill="1" applyBorder="1" applyAlignment="1">
      <alignment horizontal="center" vertical="center"/>
    </xf>
    <xf numFmtId="165" fontId="29743" fillId="8" borderId="1" xfId="0" applyNumberFormat="1" applyFont="1" applyFill="1" applyBorder="1" applyAlignment="1">
      <alignment horizontal="center" vertical="center"/>
    </xf>
    <xf numFmtId="1" fontId="29744" fillId="8" borderId="1" xfId="0" applyNumberFormat="1" applyFont="1" applyFill="1" applyBorder="1" applyAlignment="1">
      <alignment horizontal="center" vertical="center"/>
    </xf>
    <xf numFmtId="1" fontId="29745" fillId="8" borderId="1" xfId="0" applyNumberFormat="1" applyFont="1" applyFill="1" applyBorder="1" applyAlignment="1">
      <alignment horizontal="center" vertical="center"/>
    </xf>
    <xf numFmtId="1" fontId="29746" fillId="8" borderId="1" xfId="0" applyNumberFormat="1" applyFont="1" applyFill="1" applyBorder="1" applyAlignment="1">
      <alignment horizontal="center" vertical="center"/>
    </xf>
    <xf numFmtId="165" fontId="29747" fillId="8" borderId="1" xfId="0" applyNumberFormat="1" applyFont="1" applyFill="1" applyBorder="1" applyAlignment="1">
      <alignment horizontal="center" vertical="center"/>
    </xf>
    <xf numFmtId="164" fontId="29748" fillId="8" borderId="1" xfId="0" applyNumberFormat="1" applyFont="1" applyFill="1" applyBorder="1" applyAlignment="1">
      <alignment horizontal="center" vertical="center"/>
    </xf>
    <xf numFmtId="164" fontId="29749" fillId="8" borderId="1" xfId="0" applyNumberFormat="1" applyFont="1" applyFill="1" applyBorder="1" applyAlignment="1">
      <alignment horizontal="center" vertical="center"/>
    </xf>
    <xf numFmtId="1" fontId="29750" fillId="8" borderId="1" xfId="0" applyNumberFormat="1" applyFont="1" applyFill="1" applyBorder="1" applyAlignment="1">
      <alignment horizontal="center" vertical="center"/>
    </xf>
    <xf numFmtId="1" fontId="29751" fillId="8" borderId="1" xfId="0" applyNumberFormat="1" applyFont="1" applyFill="1" applyBorder="1" applyAlignment="1">
      <alignment horizontal="center" vertical="center"/>
    </xf>
    <xf numFmtId="1" fontId="29752" fillId="8" borderId="1" xfId="0" applyNumberFormat="1" applyFont="1" applyFill="1" applyBorder="1" applyAlignment="1">
      <alignment horizontal="center" vertical="center"/>
    </xf>
    <xf numFmtId="165" fontId="29753" fillId="8" borderId="1" xfId="0" applyNumberFormat="1" applyFont="1" applyFill="1" applyBorder="1" applyAlignment="1">
      <alignment horizontal="center" vertical="center"/>
    </xf>
    <xf numFmtId="1" fontId="29754" fillId="8" borderId="1" xfId="0" applyNumberFormat="1" applyFont="1" applyFill="1" applyBorder="1" applyAlignment="1">
      <alignment horizontal="center" vertical="center"/>
    </xf>
    <xf numFmtId="165" fontId="29755" fillId="8" borderId="1" xfId="0" applyNumberFormat="1" applyFont="1" applyFill="1" applyBorder="1" applyAlignment="1">
      <alignment horizontal="center" vertical="center"/>
    </xf>
    <xf numFmtId="1" fontId="29756" fillId="8" borderId="1" xfId="0" applyNumberFormat="1" applyFont="1" applyFill="1" applyBorder="1" applyAlignment="1">
      <alignment horizontal="center" vertical="center"/>
    </xf>
    <xf numFmtId="1" fontId="29757" fillId="8" borderId="1" xfId="0" applyNumberFormat="1" applyFont="1" applyFill="1" applyBorder="1" applyAlignment="1">
      <alignment horizontal="center" vertical="center"/>
    </xf>
    <xf numFmtId="1" fontId="29758" fillId="8" borderId="1" xfId="0" applyNumberFormat="1" applyFont="1" applyFill="1" applyBorder="1" applyAlignment="1">
      <alignment horizontal="center" vertical="center"/>
    </xf>
    <xf numFmtId="1" fontId="29759" fillId="8" borderId="1" xfId="0" applyNumberFormat="1" applyFont="1" applyFill="1" applyBorder="1" applyAlignment="1">
      <alignment horizontal="center" vertical="center"/>
    </xf>
    <xf numFmtId="165" fontId="29760" fillId="8" borderId="1" xfId="0" applyNumberFormat="1" applyFont="1" applyFill="1" applyBorder="1" applyAlignment="1">
      <alignment horizontal="center" vertical="center"/>
    </xf>
    <xf numFmtId="1" fontId="29761" fillId="8" borderId="1" xfId="0" applyNumberFormat="1" applyFont="1" applyFill="1" applyBorder="1" applyAlignment="1">
      <alignment horizontal="center" vertical="center"/>
    </xf>
    <xf numFmtId="165" fontId="29762" fillId="8" borderId="1" xfId="0" applyNumberFormat="1" applyFont="1" applyFill="1" applyBorder="1" applyAlignment="1">
      <alignment horizontal="center" vertical="center"/>
    </xf>
    <xf numFmtId="1" fontId="29763" fillId="8" borderId="1" xfId="0" applyNumberFormat="1" applyFont="1" applyFill="1" applyBorder="1" applyAlignment="1">
      <alignment horizontal="center" vertical="center"/>
    </xf>
    <xf numFmtId="165" fontId="29764" fillId="8" borderId="1" xfId="0" applyNumberFormat="1" applyFont="1" applyFill="1" applyBorder="1" applyAlignment="1">
      <alignment horizontal="center" vertical="center"/>
    </xf>
    <xf numFmtId="2" fontId="29765" fillId="8" borderId="1" xfId="0" applyNumberFormat="1" applyFont="1" applyFill="1" applyBorder="1" applyAlignment="1">
      <alignment horizontal="center" vertical="center"/>
    </xf>
    <xf numFmtId="2" fontId="29766" fillId="8" borderId="1" xfId="0" applyNumberFormat="1" applyFont="1" applyFill="1" applyBorder="1" applyAlignment="1">
      <alignment horizontal="center" vertical="center"/>
    </xf>
    <xf numFmtId="2" fontId="29767" fillId="8" borderId="1" xfId="0" applyNumberFormat="1" applyFont="1" applyFill="1" applyBorder="1" applyAlignment="1">
      <alignment horizontal="center" vertical="center"/>
    </xf>
    <xf numFmtId="2" fontId="29768" fillId="8" borderId="1" xfId="0" applyNumberFormat="1" applyFont="1" applyFill="1" applyBorder="1" applyAlignment="1">
      <alignment horizontal="center" vertical="center"/>
    </xf>
    <xf numFmtId="2" fontId="29769" fillId="8" borderId="1" xfId="0" applyNumberFormat="1" applyFont="1" applyFill="1" applyBorder="1" applyAlignment="1">
      <alignment horizontal="center" vertical="center"/>
    </xf>
    <xf numFmtId="2" fontId="29770" fillId="8" borderId="1" xfId="0" applyNumberFormat="1" applyFont="1" applyFill="1" applyBorder="1" applyAlignment="1">
      <alignment horizontal="center" vertical="center"/>
    </xf>
    <xf numFmtId="2" fontId="29771" fillId="8" borderId="1" xfId="0" applyNumberFormat="1" applyFont="1" applyFill="1" applyBorder="1" applyAlignment="1">
      <alignment horizontal="center" vertical="center"/>
    </xf>
    <xf numFmtId="2" fontId="29772" fillId="8" borderId="1" xfId="0" applyNumberFormat="1" applyFont="1" applyFill="1" applyBorder="1" applyAlignment="1">
      <alignment horizontal="center" vertical="center"/>
    </xf>
    <xf numFmtId="2" fontId="29773" fillId="8" borderId="1" xfId="0" applyNumberFormat="1" applyFont="1" applyFill="1" applyBorder="1" applyAlignment="1">
      <alignment horizontal="center" vertical="center"/>
    </xf>
    <xf numFmtId="2" fontId="29774" fillId="8" borderId="1" xfId="0" applyNumberFormat="1" applyFont="1" applyFill="1" applyBorder="1" applyAlignment="1">
      <alignment horizontal="center" vertical="center"/>
    </xf>
    <xf numFmtId="2" fontId="29775" fillId="8" borderId="1" xfId="0" applyNumberFormat="1" applyFont="1" applyFill="1" applyBorder="1" applyAlignment="1">
      <alignment horizontal="center" vertical="center"/>
    </xf>
    <xf numFmtId="2" fontId="29776" fillId="8" borderId="1" xfId="0" applyNumberFormat="1" applyFont="1" applyFill="1" applyBorder="1" applyAlignment="1">
      <alignment horizontal="center" vertical="center"/>
    </xf>
    <xf numFmtId="2" fontId="29777" fillId="8" borderId="1" xfId="0" applyNumberFormat="1" applyFont="1" applyFill="1" applyBorder="1" applyAlignment="1">
      <alignment horizontal="center" vertical="center"/>
    </xf>
    <xf numFmtId="2" fontId="29778" fillId="8" borderId="1" xfId="0" applyNumberFormat="1" applyFont="1" applyFill="1" applyBorder="1" applyAlignment="1">
      <alignment horizontal="center" vertical="center"/>
    </xf>
    <xf numFmtId="2" fontId="29779" fillId="8" borderId="1" xfId="0" applyNumberFormat="1" applyFont="1" applyFill="1" applyBorder="1" applyAlignment="1">
      <alignment horizontal="center" vertical="center"/>
    </xf>
    <xf numFmtId="2" fontId="29780" fillId="8" borderId="1" xfId="0" applyNumberFormat="1" applyFont="1" applyFill="1" applyBorder="1" applyAlignment="1">
      <alignment horizontal="center" vertical="center"/>
    </xf>
    <xf numFmtId="2" fontId="29781" fillId="8" borderId="1" xfId="0" applyNumberFormat="1" applyFont="1" applyFill="1" applyBorder="1" applyAlignment="1">
      <alignment horizontal="center" vertical="center"/>
    </xf>
    <xf numFmtId="2" fontId="29782" fillId="8" borderId="1" xfId="0" applyNumberFormat="1" applyFont="1" applyFill="1" applyBorder="1" applyAlignment="1">
      <alignment horizontal="center" vertical="center"/>
    </xf>
    <xf numFmtId="2" fontId="29783" fillId="8" borderId="1" xfId="0" applyNumberFormat="1" applyFont="1" applyFill="1" applyBorder="1" applyAlignment="1">
      <alignment horizontal="center" vertical="center"/>
    </xf>
    <xf numFmtId="2" fontId="29784" fillId="8" borderId="1" xfId="0" applyNumberFormat="1" applyFont="1" applyFill="1" applyBorder="1" applyAlignment="1">
      <alignment horizontal="center" vertical="center"/>
    </xf>
    <xf numFmtId="2" fontId="29785" fillId="8" borderId="1" xfId="0" applyNumberFormat="1" applyFont="1" applyFill="1" applyBorder="1" applyAlignment="1">
      <alignment horizontal="center" vertical="center"/>
    </xf>
    <xf numFmtId="2" fontId="29786" fillId="8" borderId="1" xfId="0" applyNumberFormat="1" applyFont="1" applyFill="1" applyBorder="1" applyAlignment="1">
      <alignment horizontal="center" vertical="center"/>
    </xf>
    <xf numFmtId="2" fontId="29787" fillId="8" borderId="1" xfId="0" applyNumberFormat="1" applyFont="1" applyFill="1" applyBorder="1" applyAlignment="1">
      <alignment horizontal="center" vertical="center"/>
    </xf>
    <xf numFmtId="2" fontId="29788" fillId="8" borderId="1" xfId="0" applyNumberFormat="1" applyFont="1" applyFill="1" applyBorder="1" applyAlignment="1">
      <alignment horizontal="center" vertical="center"/>
    </xf>
    <xf numFmtId="2" fontId="29789" fillId="8" borderId="1" xfId="0" applyNumberFormat="1" applyFont="1" applyFill="1" applyBorder="1" applyAlignment="1">
      <alignment horizontal="center" vertical="center"/>
    </xf>
    <xf numFmtId="2" fontId="29790" fillId="8" borderId="1" xfId="0" applyNumberFormat="1" applyFont="1" applyFill="1" applyBorder="1" applyAlignment="1">
      <alignment horizontal="center" vertical="center"/>
    </xf>
    <xf numFmtId="2" fontId="29791" fillId="8" borderId="1" xfId="0" applyNumberFormat="1" applyFont="1" applyFill="1" applyBorder="1" applyAlignment="1">
      <alignment horizontal="center" vertical="center"/>
    </xf>
    <xf numFmtId="2" fontId="29792" fillId="8" borderId="1" xfId="0" applyNumberFormat="1" applyFont="1" applyFill="1" applyBorder="1" applyAlignment="1">
      <alignment horizontal="center" vertical="center"/>
    </xf>
    <xf numFmtId="2" fontId="29793" fillId="8" borderId="1" xfId="0" applyNumberFormat="1" applyFont="1" applyFill="1" applyBorder="1" applyAlignment="1">
      <alignment horizontal="center" vertical="center"/>
    </xf>
    <xf numFmtId="2" fontId="29794" fillId="8" borderId="1" xfId="0" applyNumberFormat="1" applyFont="1" applyFill="1" applyBorder="1" applyAlignment="1">
      <alignment horizontal="center" vertical="center"/>
    </xf>
    <xf numFmtId="2" fontId="29795" fillId="8" borderId="1" xfId="0" applyNumberFormat="1" applyFont="1" applyFill="1" applyBorder="1" applyAlignment="1">
      <alignment horizontal="center" vertical="center"/>
    </xf>
    <xf numFmtId="2" fontId="29796" fillId="8" borderId="1" xfId="0" applyNumberFormat="1" applyFont="1" applyFill="1" applyBorder="1" applyAlignment="1">
      <alignment horizontal="center" vertical="center"/>
    </xf>
    <xf numFmtId="2" fontId="29797" fillId="8" borderId="1" xfId="0" applyNumberFormat="1" applyFont="1" applyFill="1" applyBorder="1" applyAlignment="1">
      <alignment horizontal="center" vertical="center"/>
    </xf>
    <xf numFmtId="2" fontId="29798" fillId="8" borderId="1" xfId="0" applyNumberFormat="1" applyFont="1" applyFill="1" applyBorder="1" applyAlignment="1">
      <alignment horizontal="center" vertical="center"/>
    </xf>
    <xf numFmtId="0" fontId="29799" fillId="7" borderId="1" xfId="0" applyNumberFormat="1" applyFont="1" applyFill="1" applyBorder="1" applyAlignment="1">
      <alignment horizontal="left" vertical="center"/>
    </xf>
    <xf numFmtId="0" fontId="29800" fillId="8" borderId="1" xfId="0" applyNumberFormat="1" applyFont="1" applyFill="1" applyBorder="1" applyAlignment="1">
      <alignment horizontal="center" vertical="center"/>
    </xf>
    <xf numFmtId="164" fontId="29801" fillId="8" borderId="1" xfId="0" applyNumberFormat="1" applyFont="1" applyFill="1" applyBorder="1" applyAlignment="1">
      <alignment horizontal="center" vertical="center"/>
    </xf>
    <xf numFmtId="1" fontId="29802" fillId="8" borderId="1" xfId="0" applyNumberFormat="1" applyFont="1" applyFill="1" applyBorder="1" applyAlignment="1">
      <alignment horizontal="center" vertical="center"/>
    </xf>
    <xf numFmtId="1" fontId="29803" fillId="8" borderId="1" xfId="0" applyNumberFormat="1" applyFont="1" applyFill="1" applyBorder="1" applyAlignment="1">
      <alignment horizontal="center" vertical="center"/>
    </xf>
    <xf numFmtId="1" fontId="29804" fillId="8" borderId="1" xfId="0" applyNumberFormat="1" applyFont="1" applyFill="1" applyBorder="1" applyAlignment="1">
      <alignment horizontal="center" vertical="center"/>
    </xf>
    <xf numFmtId="1" fontId="29805" fillId="8" borderId="1" xfId="0" applyNumberFormat="1" applyFont="1" applyFill="1" applyBorder="1" applyAlignment="1">
      <alignment horizontal="center" vertical="center"/>
    </xf>
    <xf numFmtId="1" fontId="29806" fillId="8" borderId="1" xfId="0" applyNumberFormat="1" applyFont="1" applyFill="1" applyBorder="1" applyAlignment="1">
      <alignment horizontal="center" vertical="center"/>
    </xf>
    <xf numFmtId="1" fontId="29807" fillId="8" borderId="1" xfId="0" applyNumberFormat="1" applyFont="1" applyFill="1" applyBorder="1" applyAlignment="1">
      <alignment horizontal="center" vertical="center"/>
    </xf>
    <xf numFmtId="1" fontId="29808" fillId="8" borderId="1" xfId="0" applyNumberFormat="1" applyFont="1" applyFill="1" applyBorder="1" applyAlignment="1">
      <alignment horizontal="center" vertical="center"/>
    </xf>
    <xf numFmtId="0" fontId="29809" fillId="8" borderId="1" xfId="0" applyNumberFormat="1" applyFont="1" applyFill="1" applyBorder="1" applyAlignment="1">
      <alignment horizontal="center" vertical="center"/>
    </xf>
    <xf numFmtId="0" fontId="29810" fillId="8" borderId="1" xfId="0" applyNumberFormat="1" applyFont="1" applyFill="1" applyBorder="1" applyAlignment="1">
      <alignment horizontal="center" vertical="center"/>
    </xf>
    <xf numFmtId="1" fontId="29811" fillId="8" borderId="1" xfId="0" applyNumberFormat="1" applyFont="1" applyFill="1" applyBorder="1" applyAlignment="1">
      <alignment horizontal="center" vertical="center"/>
    </xf>
    <xf numFmtId="1" fontId="29812" fillId="8" borderId="1" xfId="0" applyNumberFormat="1" applyFont="1" applyFill="1" applyBorder="1" applyAlignment="1">
      <alignment horizontal="center" vertical="center"/>
    </xf>
    <xf numFmtId="1" fontId="29813" fillId="8" borderId="1" xfId="0" applyNumberFormat="1" applyFont="1" applyFill="1" applyBorder="1" applyAlignment="1">
      <alignment horizontal="center" vertical="center"/>
    </xf>
    <xf numFmtId="165" fontId="29814" fillId="8" borderId="1" xfId="0" applyNumberFormat="1" applyFont="1" applyFill="1" applyBorder="1" applyAlignment="1">
      <alignment horizontal="center" vertical="center"/>
    </xf>
    <xf numFmtId="1" fontId="29815" fillId="8" borderId="1" xfId="0" applyNumberFormat="1" applyFont="1" applyFill="1" applyBorder="1" applyAlignment="1">
      <alignment horizontal="center" vertical="center"/>
    </xf>
    <xf numFmtId="165" fontId="29816" fillId="8" borderId="1" xfId="0" applyNumberFormat="1" applyFont="1" applyFill="1" applyBorder="1" applyAlignment="1">
      <alignment horizontal="center" vertical="center"/>
    </xf>
    <xf numFmtId="1" fontId="29817" fillId="8" borderId="1" xfId="0" applyNumberFormat="1" applyFont="1" applyFill="1" applyBorder="1" applyAlignment="1">
      <alignment horizontal="center" vertical="center"/>
    </xf>
    <xf numFmtId="165" fontId="29818" fillId="8" borderId="1" xfId="0" applyNumberFormat="1" applyFont="1" applyFill="1" applyBorder="1" applyAlignment="1">
      <alignment horizontal="center" vertical="center"/>
    </xf>
    <xf numFmtId="1" fontId="29819" fillId="8" borderId="1" xfId="0" applyNumberFormat="1" applyFont="1" applyFill="1" applyBorder="1" applyAlignment="1">
      <alignment horizontal="center" vertical="center"/>
    </xf>
    <xf numFmtId="165" fontId="29820" fillId="8" borderId="1" xfId="0" applyNumberFormat="1" applyFont="1" applyFill="1" applyBorder="1" applyAlignment="1">
      <alignment horizontal="center" vertical="center"/>
    </xf>
    <xf numFmtId="165" fontId="29821" fillId="8" borderId="1" xfId="0" applyNumberFormat="1" applyFont="1" applyFill="1" applyBorder="1" applyAlignment="1">
      <alignment horizontal="center" vertical="center"/>
    </xf>
    <xf numFmtId="1" fontId="29822" fillId="8" borderId="1" xfId="0" applyNumberFormat="1" applyFont="1" applyFill="1" applyBorder="1" applyAlignment="1">
      <alignment horizontal="center" vertical="center"/>
    </xf>
    <xf numFmtId="1" fontId="29823" fillId="8" borderId="1" xfId="0" applyNumberFormat="1" applyFont="1" applyFill="1" applyBorder="1" applyAlignment="1">
      <alignment horizontal="center" vertical="center"/>
    </xf>
    <xf numFmtId="1" fontId="29824" fillId="8" borderId="1" xfId="0" applyNumberFormat="1" applyFont="1" applyFill="1" applyBorder="1" applyAlignment="1">
      <alignment horizontal="center" vertical="center"/>
    </xf>
    <xf numFmtId="165" fontId="29825" fillId="8" borderId="1" xfId="0" applyNumberFormat="1" applyFont="1" applyFill="1" applyBorder="1" applyAlignment="1">
      <alignment horizontal="center" vertical="center"/>
    </xf>
    <xf numFmtId="164" fontId="29826" fillId="8" borderId="1" xfId="0" applyNumberFormat="1" applyFont="1" applyFill="1" applyBorder="1" applyAlignment="1">
      <alignment horizontal="center" vertical="center"/>
    </xf>
    <xf numFmtId="164" fontId="29827" fillId="8" borderId="1" xfId="0" applyNumberFormat="1" applyFont="1" applyFill="1" applyBorder="1" applyAlignment="1">
      <alignment horizontal="center" vertical="center"/>
    </xf>
    <xf numFmtId="1" fontId="29828" fillId="8" borderId="1" xfId="0" applyNumberFormat="1" applyFont="1" applyFill="1" applyBorder="1" applyAlignment="1">
      <alignment horizontal="center" vertical="center"/>
    </xf>
    <xf numFmtId="1" fontId="29829" fillId="8" borderId="1" xfId="0" applyNumberFormat="1" applyFont="1" applyFill="1" applyBorder="1" applyAlignment="1">
      <alignment horizontal="center" vertical="center"/>
    </xf>
    <xf numFmtId="1" fontId="29830" fillId="8" borderId="1" xfId="0" applyNumberFormat="1" applyFont="1" applyFill="1" applyBorder="1" applyAlignment="1">
      <alignment horizontal="center" vertical="center"/>
    </xf>
    <xf numFmtId="165" fontId="29831" fillId="8" borderId="1" xfId="0" applyNumberFormat="1" applyFont="1" applyFill="1" applyBorder="1" applyAlignment="1">
      <alignment horizontal="center" vertical="center"/>
    </xf>
    <xf numFmtId="1" fontId="29832" fillId="8" borderId="1" xfId="0" applyNumberFormat="1" applyFont="1" applyFill="1" applyBorder="1" applyAlignment="1">
      <alignment horizontal="center" vertical="center"/>
    </xf>
    <xf numFmtId="165" fontId="29833" fillId="8" borderId="1" xfId="0" applyNumberFormat="1" applyFont="1" applyFill="1" applyBorder="1" applyAlignment="1">
      <alignment horizontal="center" vertical="center"/>
    </xf>
    <xf numFmtId="1" fontId="29834" fillId="8" borderId="1" xfId="0" applyNumberFormat="1" applyFont="1" applyFill="1" applyBorder="1" applyAlignment="1">
      <alignment horizontal="center" vertical="center"/>
    </xf>
    <xf numFmtId="1" fontId="29835" fillId="8" borderId="1" xfId="0" applyNumberFormat="1" applyFont="1" applyFill="1" applyBorder="1" applyAlignment="1">
      <alignment horizontal="center" vertical="center"/>
    </xf>
    <xf numFmtId="1" fontId="29836" fillId="8" borderId="1" xfId="0" applyNumberFormat="1" applyFont="1" applyFill="1" applyBorder="1" applyAlignment="1">
      <alignment horizontal="center" vertical="center"/>
    </xf>
    <xf numFmtId="1" fontId="29837" fillId="8" borderId="1" xfId="0" applyNumberFormat="1" applyFont="1" applyFill="1" applyBorder="1" applyAlignment="1">
      <alignment horizontal="center" vertical="center"/>
    </xf>
    <xf numFmtId="165" fontId="29838" fillId="8" borderId="1" xfId="0" applyNumberFormat="1" applyFont="1" applyFill="1" applyBorder="1" applyAlignment="1">
      <alignment horizontal="center" vertical="center"/>
    </xf>
    <xf numFmtId="1" fontId="29839" fillId="8" borderId="1" xfId="0" applyNumberFormat="1" applyFont="1" applyFill="1" applyBorder="1" applyAlignment="1">
      <alignment horizontal="center" vertical="center"/>
    </xf>
    <xf numFmtId="165" fontId="29840" fillId="8" borderId="1" xfId="0" applyNumberFormat="1" applyFont="1" applyFill="1" applyBorder="1" applyAlignment="1">
      <alignment horizontal="center" vertical="center"/>
    </xf>
    <xf numFmtId="1" fontId="29841" fillId="8" borderId="1" xfId="0" applyNumberFormat="1" applyFont="1" applyFill="1" applyBorder="1" applyAlignment="1">
      <alignment horizontal="center" vertical="center"/>
    </xf>
    <xf numFmtId="165" fontId="29842" fillId="8" borderId="1" xfId="0" applyNumberFormat="1" applyFont="1" applyFill="1" applyBorder="1" applyAlignment="1">
      <alignment horizontal="center" vertical="center"/>
    </xf>
    <xf numFmtId="2" fontId="29843" fillId="8" borderId="1" xfId="0" applyNumberFormat="1" applyFont="1" applyFill="1" applyBorder="1" applyAlignment="1">
      <alignment horizontal="center" vertical="center"/>
    </xf>
    <xf numFmtId="2" fontId="29844" fillId="8" borderId="1" xfId="0" applyNumberFormat="1" applyFont="1" applyFill="1" applyBorder="1" applyAlignment="1">
      <alignment horizontal="center" vertical="center"/>
    </xf>
    <xf numFmtId="2" fontId="29845" fillId="8" borderId="1" xfId="0" applyNumberFormat="1" applyFont="1" applyFill="1" applyBorder="1" applyAlignment="1">
      <alignment horizontal="center" vertical="center"/>
    </xf>
    <xf numFmtId="2" fontId="29846" fillId="8" borderId="1" xfId="0" applyNumberFormat="1" applyFont="1" applyFill="1" applyBorder="1" applyAlignment="1">
      <alignment horizontal="center" vertical="center"/>
    </xf>
    <xf numFmtId="2" fontId="29847" fillId="8" borderId="1" xfId="0" applyNumberFormat="1" applyFont="1" applyFill="1" applyBorder="1" applyAlignment="1">
      <alignment horizontal="center" vertical="center"/>
    </xf>
    <xf numFmtId="2" fontId="29848" fillId="8" borderId="1" xfId="0" applyNumberFormat="1" applyFont="1" applyFill="1" applyBorder="1" applyAlignment="1">
      <alignment horizontal="center" vertical="center"/>
    </xf>
    <xf numFmtId="2" fontId="29849" fillId="8" borderId="1" xfId="0" applyNumberFormat="1" applyFont="1" applyFill="1" applyBorder="1" applyAlignment="1">
      <alignment horizontal="center" vertical="center"/>
    </xf>
    <xf numFmtId="2" fontId="29850" fillId="8" borderId="1" xfId="0" applyNumberFormat="1" applyFont="1" applyFill="1" applyBorder="1" applyAlignment="1">
      <alignment horizontal="center" vertical="center"/>
    </xf>
    <xf numFmtId="2" fontId="29851" fillId="8" borderId="1" xfId="0" applyNumberFormat="1" applyFont="1" applyFill="1" applyBorder="1" applyAlignment="1">
      <alignment horizontal="center" vertical="center"/>
    </xf>
    <xf numFmtId="2" fontId="29852" fillId="8" borderId="1" xfId="0" applyNumberFormat="1" applyFont="1" applyFill="1" applyBorder="1" applyAlignment="1">
      <alignment horizontal="center" vertical="center"/>
    </xf>
    <xf numFmtId="2" fontId="29853" fillId="8" borderId="1" xfId="0" applyNumberFormat="1" applyFont="1" applyFill="1" applyBorder="1" applyAlignment="1">
      <alignment horizontal="center" vertical="center"/>
    </xf>
    <xf numFmtId="2" fontId="29854" fillId="8" borderId="1" xfId="0" applyNumberFormat="1" applyFont="1" applyFill="1" applyBorder="1" applyAlignment="1">
      <alignment horizontal="center" vertical="center"/>
    </xf>
    <xf numFmtId="2" fontId="29855" fillId="8" borderId="1" xfId="0" applyNumberFormat="1" applyFont="1" applyFill="1" applyBorder="1" applyAlignment="1">
      <alignment horizontal="center" vertical="center"/>
    </xf>
    <xf numFmtId="2" fontId="29856" fillId="8" borderId="1" xfId="0" applyNumberFormat="1" applyFont="1" applyFill="1" applyBorder="1" applyAlignment="1">
      <alignment horizontal="center" vertical="center"/>
    </xf>
    <xf numFmtId="2" fontId="29857" fillId="8" borderId="1" xfId="0" applyNumberFormat="1" applyFont="1" applyFill="1" applyBorder="1" applyAlignment="1">
      <alignment horizontal="center" vertical="center"/>
    </xf>
    <xf numFmtId="2" fontId="29858" fillId="8" borderId="1" xfId="0" applyNumberFormat="1" applyFont="1" applyFill="1" applyBorder="1" applyAlignment="1">
      <alignment horizontal="center" vertical="center"/>
    </xf>
    <xf numFmtId="2" fontId="29859" fillId="8" borderId="1" xfId="0" applyNumberFormat="1" applyFont="1" applyFill="1" applyBorder="1" applyAlignment="1">
      <alignment horizontal="center" vertical="center"/>
    </xf>
    <xf numFmtId="2" fontId="29860" fillId="8" borderId="1" xfId="0" applyNumberFormat="1" applyFont="1" applyFill="1" applyBorder="1" applyAlignment="1">
      <alignment horizontal="center" vertical="center"/>
    </xf>
    <xf numFmtId="2" fontId="29861" fillId="8" borderId="1" xfId="0" applyNumberFormat="1" applyFont="1" applyFill="1" applyBorder="1" applyAlignment="1">
      <alignment horizontal="center" vertical="center"/>
    </xf>
    <xf numFmtId="2" fontId="29862" fillId="8" borderId="1" xfId="0" applyNumberFormat="1" applyFont="1" applyFill="1" applyBorder="1" applyAlignment="1">
      <alignment horizontal="center" vertical="center"/>
    </xf>
    <xf numFmtId="2" fontId="29863" fillId="8" borderId="1" xfId="0" applyNumberFormat="1" applyFont="1" applyFill="1" applyBorder="1" applyAlignment="1">
      <alignment horizontal="center" vertical="center"/>
    </xf>
    <xf numFmtId="2" fontId="29864" fillId="8" borderId="1" xfId="0" applyNumberFormat="1" applyFont="1" applyFill="1" applyBorder="1" applyAlignment="1">
      <alignment horizontal="center" vertical="center"/>
    </xf>
    <xf numFmtId="2" fontId="29865" fillId="8" borderId="1" xfId="0" applyNumberFormat="1" applyFont="1" applyFill="1" applyBorder="1" applyAlignment="1">
      <alignment horizontal="center" vertical="center"/>
    </xf>
    <xf numFmtId="2" fontId="29866" fillId="8" borderId="1" xfId="0" applyNumberFormat="1" applyFont="1" applyFill="1" applyBorder="1" applyAlignment="1">
      <alignment horizontal="center" vertical="center"/>
    </xf>
    <xf numFmtId="2" fontId="29867" fillId="8" borderId="1" xfId="0" applyNumberFormat="1" applyFont="1" applyFill="1" applyBorder="1" applyAlignment="1">
      <alignment horizontal="center" vertical="center"/>
    </xf>
    <xf numFmtId="2" fontId="29868" fillId="8" borderId="1" xfId="0" applyNumberFormat="1" applyFont="1" applyFill="1" applyBorder="1" applyAlignment="1">
      <alignment horizontal="center" vertical="center"/>
    </xf>
    <xf numFmtId="2" fontId="29869" fillId="8" borderId="1" xfId="0" applyNumberFormat="1" applyFont="1" applyFill="1" applyBorder="1" applyAlignment="1">
      <alignment horizontal="center" vertical="center"/>
    </xf>
    <xf numFmtId="2" fontId="29870" fillId="8" borderId="1" xfId="0" applyNumberFormat="1" applyFont="1" applyFill="1" applyBorder="1" applyAlignment="1">
      <alignment horizontal="center" vertical="center"/>
    </xf>
    <xf numFmtId="2" fontId="29871" fillId="8" borderId="1" xfId="0" applyNumberFormat="1" applyFont="1" applyFill="1" applyBorder="1" applyAlignment="1">
      <alignment horizontal="center" vertical="center"/>
    </xf>
    <xf numFmtId="2" fontId="29872" fillId="8" borderId="1" xfId="0" applyNumberFormat="1" applyFont="1" applyFill="1" applyBorder="1" applyAlignment="1">
      <alignment horizontal="center" vertical="center"/>
    </xf>
    <xf numFmtId="2" fontId="29873" fillId="8" borderId="1" xfId="0" applyNumberFormat="1" applyFont="1" applyFill="1" applyBorder="1" applyAlignment="1">
      <alignment horizontal="center" vertical="center"/>
    </xf>
    <xf numFmtId="2" fontId="29874" fillId="8" borderId="1" xfId="0" applyNumberFormat="1" applyFont="1" applyFill="1" applyBorder="1" applyAlignment="1">
      <alignment horizontal="center" vertical="center"/>
    </xf>
    <xf numFmtId="2" fontId="29875" fillId="8" borderId="1" xfId="0" applyNumberFormat="1" applyFont="1" applyFill="1" applyBorder="1" applyAlignment="1">
      <alignment horizontal="center" vertical="center"/>
    </xf>
    <xf numFmtId="2" fontId="29876" fillId="8" borderId="1" xfId="0" applyNumberFormat="1" applyFont="1" applyFill="1" applyBorder="1" applyAlignment="1">
      <alignment horizontal="center" vertical="center"/>
    </xf>
    <xf numFmtId="0" fontId="29877" fillId="7" borderId="1" xfId="0" applyNumberFormat="1" applyFont="1" applyFill="1" applyBorder="1" applyAlignment="1">
      <alignment horizontal="left" vertical="center"/>
    </xf>
    <xf numFmtId="0" fontId="29878" fillId="8" borderId="1" xfId="0" applyNumberFormat="1" applyFont="1" applyFill="1" applyBorder="1" applyAlignment="1">
      <alignment horizontal="center" vertical="center"/>
    </xf>
    <xf numFmtId="164" fontId="29879" fillId="8" borderId="1" xfId="0" applyNumberFormat="1" applyFont="1" applyFill="1" applyBorder="1" applyAlignment="1">
      <alignment horizontal="center" vertical="center"/>
    </xf>
    <xf numFmtId="1" fontId="29880" fillId="8" borderId="1" xfId="0" applyNumberFormat="1" applyFont="1" applyFill="1" applyBorder="1" applyAlignment="1">
      <alignment horizontal="center" vertical="center"/>
    </xf>
    <xf numFmtId="1" fontId="29881" fillId="8" borderId="1" xfId="0" applyNumberFormat="1" applyFont="1" applyFill="1" applyBorder="1" applyAlignment="1">
      <alignment horizontal="center" vertical="center"/>
    </xf>
    <xf numFmtId="1" fontId="29882" fillId="8" borderId="1" xfId="0" applyNumberFormat="1" applyFont="1" applyFill="1" applyBorder="1" applyAlignment="1">
      <alignment horizontal="center" vertical="center"/>
    </xf>
    <xf numFmtId="1" fontId="29883" fillId="8" borderId="1" xfId="0" applyNumberFormat="1" applyFont="1" applyFill="1" applyBorder="1" applyAlignment="1">
      <alignment horizontal="center" vertical="center"/>
    </xf>
    <xf numFmtId="1" fontId="29884" fillId="8" borderId="1" xfId="0" applyNumberFormat="1" applyFont="1" applyFill="1" applyBorder="1" applyAlignment="1">
      <alignment horizontal="center" vertical="center"/>
    </xf>
    <xf numFmtId="1" fontId="29885" fillId="8" borderId="1" xfId="0" applyNumberFormat="1" applyFont="1" applyFill="1" applyBorder="1" applyAlignment="1">
      <alignment horizontal="center" vertical="center"/>
    </xf>
    <xf numFmtId="1" fontId="29886" fillId="8" borderId="1" xfId="0" applyNumberFormat="1" applyFont="1" applyFill="1" applyBorder="1" applyAlignment="1">
      <alignment horizontal="center" vertical="center"/>
    </xf>
    <xf numFmtId="0" fontId="29887" fillId="8" borderId="1" xfId="0" applyNumberFormat="1" applyFont="1" applyFill="1" applyBorder="1" applyAlignment="1">
      <alignment horizontal="center" vertical="center"/>
    </xf>
    <xf numFmtId="0" fontId="29888" fillId="8" borderId="1" xfId="0" applyNumberFormat="1" applyFont="1" applyFill="1" applyBorder="1" applyAlignment="1">
      <alignment horizontal="center" vertical="center"/>
    </xf>
    <xf numFmtId="1" fontId="29889" fillId="8" borderId="1" xfId="0" applyNumberFormat="1" applyFont="1" applyFill="1" applyBorder="1" applyAlignment="1">
      <alignment horizontal="center" vertical="center"/>
    </xf>
    <xf numFmtId="1" fontId="29890" fillId="8" borderId="1" xfId="0" applyNumberFormat="1" applyFont="1" applyFill="1" applyBorder="1" applyAlignment="1">
      <alignment horizontal="center" vertical="center"/>
    </xf>
    <xf numFmtId="1" fontId="29891" fillId="8" borderId="1" xfId="0" applyNumberFormat="1" applyFont="1" applyFill="1" applyBorder="1" applyAlignment="1">
      <alignment horizontal="center" vertical="center"/>
    </xf>
    <xf numFmtId="165" fontId="29892" fillId="8" borderId="1" xfId="0" applyNumberFormat="1" applyFont="1" applyFill="1" applyBorder="1" applyAlignment="1">
      <alignment horizontal="center" vertical="center"/>
    </xf>
    <xf numFmtId="1" fontId="29893" fillId="8" borderId="1" xfId="0" applyNumberFormat="1" applyFont="1" applyFill="1" applyBorder="1" applyAlignment="1">
      <alignment horizontal="center" vertical="center"/>
    </xf>
    <xf numFmtId="165" fontId="29894" fillId="8" borderId="1" xfId="0" applyNumberFormat="1" applyFont="1" applyFill="1" applyBorder="1" applyAlignment="1">
      <alignment horizontal="center" vertical="center"/>
    </xf>
    <xf numFmtId="1" fontId="29895" fillId="8" borderId="1" xfId="0" applyNumberFormat="1" applyFont="1" applyFill="1" applyBorder="1" applyAlignment="1">
      <alignment horizontal="center" vertical="center"/>
    </xf>
    <xf numFmtId="165" fontId="29896" fillId="8" borderId="1" xfId="0" applyNumberFormat="1" applyFont="1" applyFill="1" applyBorder="1" applyAlignment="1">
      <alignment horizontal="center" vertical="center"/>
    </xf>
    <xf numFmtId="1" fontId="29897" fillId="8" borderId="1" xfId="0" applyNumberFormat="1" applyFont="1" applyFill="1" applyBorder="1" applyAlignment="1">
      <alignment horizontal="center" vertical="center"/>
    </xf>
    <xf numFmtId="165" fontId="29898" fillId="8" borderId="1" xfId="0" applyNumberFormat="1" applyFont="1" applyFill="1" applyBorder="1" applyAlignment="1">
      <alignment horizontal="center" vertical="center"/>
    </xf>
    <xf numFmtId="165" fontId="29899" fillId="8" borderId="1" xfId="0" applyNumberFormat="1" applyFont="1" applyFill="1" applyBorder="1" applyAlignment="1">
      <alignment horizontal="center" vertical="center"/>
    </xf>
    <xf numFmtId="1" fontId="29900" fillId="8" borderId="1" xfId="0" applyNumberFormat="1" applyFont="1" applyFill="1" applyBorder="1" applyAlignment="1">
      <alignment horizontal="center" vertical="center"/>
    </xf>
    <xf numFmtId="1" fontId="29901" fillId="8" borderId="1" xfId="0" applyNumberFormat="1" applyFont="1" applyFill="1" applyBorder="1" applyAlignment="1">
      <alignment horizontal="center" vertical="center"/>
    </xf>
    <xf numFmtId="1" fontId="29902" fillId="8" borderId="1" xfId="0" applyNumberFormat="1" applyFont="1" applyFill="1" applyBorder="1" applyAlignment="1">
      <alignment horizontal="center" vertical="center"/>
    </xf>
    <xf numFmtId="165" fontId="29903" fillId="8" borderId="1" xfId="0" applyNumberFormat="1" applyFont="1" applyFill="1" applyBorder="1" applyAlignment="1">
      <alignment horizontal="center" vertical="center"/>
    </xf>
    <xf numFmtId="164" fontId="29904" fillId="8" borderId="1" xfId="0" applyNumberFormat="1" applyFont="1" applyFill="1" applyBorder="1" applyAlignment="1">
      <alignment horizontal="center" vertical="center"/>
    </xf>
    <xf numFmtId="164" fontId="29905" fillId="8" borderId="1" xfId="0" applyNumberFormat="1" applyFont="1" applyFill="1" applyBorder="1" applyAlignment="1">
      <alignment horizontal="center" vertical="center"/>
    </xf>
    <xf numFmtId="1" fontId="29906" fillId="8" borderId="1" xfId="0" applyNumberFormat="1" applyFont="1" applyFill="1" applyBorder="1" applyAlignment="1">
      <alignment horizontal="center" vertical="center"/>
    </xf>
    <xf numFmtId="1" fontId="29907" fillId="8" borderId="1" xfId="0" applyNumberFormat="1" applyFont="1" applyFill="1" applyBorder="1" applyAlignment="1">
      <alignment horizontal="center" vertical="center"/>
    </xf>
    <xf numFmtId="1" fontId="29908" fillId="8" borderId="1" xfId="0" applyNumberFormat="1" applyFont="1" applyFill="1" applyBorder="1" applyAlignment="1">
      <alignment horizontal="center" vertical="center"/>
    </xf>
    <xf numFmtId="165" fontId="29909" fillId="8" borderId="1" xfId="0" applyNumberFormat="1" applyFont="1" applyFill="1" applyBorder="1" applyAlignment="1">
      <alignment horizontal="center" vertical="center"/>
    </xf>
    <xf numFmtId="1" fontId="29910" fillId="8" borderId="1" xfId="0" applyNumberFormat="1" applyFont="1" applyFill="1" applyBorder="1" applyAlignment="1">
      <alignment horizontal="center" vertical="center"/>
    </xf>
    <xf numFmtId="165" fontId="29911" fillId="8" borderId="1" xfId="0" applyNumberFormat="1" applyFont="1" applyFill="1" applyBorder="1" applyAlignment="1">
      <alignment horizontal="center" vertical="center"/>
    </xf>
    <xf numFmtId="1" fontId="29912" fillId="8" borderId="1" xfId="0" applyNumberFormat="1" applyFont="1" applyFill="1" applyBorder="1" applyAlignment="1">
      <alignment horizontal="center" vertical="center"/>
    </xf>
    <xf numFmtId="1" fontId="29913" fillId="8" borderId="1" xfId="0" applyNumberFormat="1" applyFont="1" applyFill="1" applyBorder="1" applyAlignment="1">
      <alignment horizontal="center" vertical="center"/>
    </xf>
    <xf numFmtId="1" fontId="29914" fillId="8" borderId="1" xfId="0" applyNumberFormat="1" applyFont="1" applyFill="1" applyBorder="1" applyAlignment="1">
      <alignment horizontal="center" vertical="center"/>
    </xf>
    <xf numFmtId="1" fontId="29915" fillId="8" borderId="1" xfId="0" applyNumberFormat="1" applyFont="1" applyFill="1" applyBorder="1" applyAlignment="1">
      <alignment horizontal="center" vertical="center"/>
    </xf>
    <xf numFmtId="165" fontId="29916" fillId="8" borderId="1" xfId="0" applyNumberFormat="1" applyFont="1" applyFill="1" applyBorder="1" applyAlignment="1">
      <alignment horizontal="center" vertical="center"/>
    </xf>
    <xf numFmtId="1" fontId="29917" fillId="8" borderId="1" xfId="0" applyNumberFormat="1" applyFont="1" applyFill="1" applyBorder="1" applyAlignment="1">
      <alignment horizontal="center" vertical="center"/>
    </xf>
    <xf numFmtId="165" fontId="29918" fillId="8" borderId="1" xfId="0" applyNumberFormat="1" applyFont="1" applyFill="1" applyBorder="1" applyAlignment="1">
      <alignment horizontal="center" vertical="center"/>
    </xf>
    <xf numFmtId="1" fontId="29919" fillId="8" borderId="1" xfId="0" applyNumberFormat="1" applyFont="1" applyFill="1" applyBorder="1" applyAlignment="1">
      <alignment horizontal="center" vertical="center"/>
    </xf>
    <xf numFmtId="165" fontId="29920" fillId="8" borderId="1" xfId="0" applyNumberFormat="1" applyFont="1" applyFill="1" applyBorder="1" applyAlignment="1">
      <alignment horizontal="center" vertical="center"/>
    </xf>
    <xf numFmtId="2" fontId="29921" fillId="8" borderId="1" xfId="0" applyNumberFormat="1" applyFont="1" applyFill="1" applyBorder="1" applyAlignment="1">
      <alignment horizontal="center" vertical="center"/>
    </xf>
    <xf numFmtId="2" fontId="29922" fillId="8" borderId="1" xfId="0" applyNumberFormat="1" applyFont="1" applyFill="1" applyBorder="1" applyAlignment="1">
      <alignment horizontal="center" vertical="center"/>
    </xf>
    <xf numFmtId="2" fontId="29923" fillId="8" borderId="1" xfId="0" applyNumberFormat="1" applyFont="1" applyFill="1" applyBorder="1" applyAlignment="1">
      <alignment horizontal="center" vertical="center"/>
    </xf>
    <xf numFmtId="2" fontId="29924" fillId="8" borderId="1" xfId="0" applyNumberFormat="1" applyFont="1" applyFill="1" applyBorder="1" applyAlignment="1">
      <alignment horizontal="center" vertical="center"/>
    </xf>
    <xf numFmtId="2" fontId="29925" fillId="8" borderId="1" xfId="0" applyNumberFormat="1" applyFont="1" applyFill="1" applyBorder="1" applyAlignment="1">
      <alignment horizontal="center" vertical="center"/>
    </xf>
    <xf numFmtId="2" fontId="29926" fillId="8" borderId="1" xfId="0" applyNumberFormat="1" applyFont="1" applyFill="1" applyBorder="1" applyAlignment="1">
      <alignment horizontal="center" vertical="center"/>
    </xf>
    <xf numFmtId="2" fontId="29927" fillId="8" borderId="1" xfId="0" applyNumberFormat="1" applyFont="1" applyFill="1" applyBorder="1" applyAlignment="1">
      <alignment horizontal="center" vertical="center"/>
    </xf>
    <xf numFmtId="2" fontId="29928" fillId="8" borderId="1" xfId="0" applyNumberFormat="1" applyFont="1" applyFill="1" applyBorder="1" applyAlignment="1">
      <alignment horizontal="center" vertical="center"/>
    </xf>
    <xf numFmtId="2" fontId="29929" fillId="8" borderId="1" xfId="0" applyNumberFormat="1" applyFont="1" applyFill="1" applyBorder="1" applyAlignment="1">
      <alignment horizontal="center" vertical="center"/>
    </xf>
    <xf numFmtId="2" fontId="29930" fillId="8" borderId="1" xfId="0" applyNumberFormat="1" applyFont="1" applyFill="1" applyBorder="1" applyAlignment="1">
      <alignment horizontal="center" vertical="center"/>
    </xf>
    <xf numFmtId="2" fontId="29931" fillId="8" borderId="1" xfId="0" applyNumberFormat="1" applyFont="1" applyFill="1" applyBorder="1" applyAlignment="1">
      <alignment horizontal="center" vertical="center"/>
    </xf>
    <xf numFmtId="2" fontId="29932" fillId="8" borderId="1" xfId="0" applyNumberFormat="1" applyFont="1" applyFill="1" applyBorder="1" applyAlignment="1">
      <alignment horizontal="center" vertical="center"/>
    </xf>
    <xf numFmtId="2" fontId="29933" fillId="8" borderId="1" xfId="0" applyNumberFormat="1" applyFont="1" applyFill="1" applyBorder="1" applyAlignment="1">
      <alignment horizontal="center" vertical="center"/>
    </xf>
    <xf numFmtId="2" fontId="29934" fillId="8" borderId="1" xfId="0" applyNumberFormat="1" applyFont="1" applyFill="1" applyBorder="1" applyAlignment="1">
      <alignment horizontal="center" vertical="center"/>
    </xf>
    <xf numFmtId="2" fontId="29935" fillId="8" borderId="1" xfId="0" applyNumberFormat="1" applyFont="1" applyFill="1" applyBorder="1" applyAlignment="1">
      <alignment horizontal="center" vertical="center"/>
    </xf>
    <xf numFmtId="2" fontId="29936" fillId="8" borderId="1" xfId="0" applyNumberFormat="1" applyFont="1" applyFill="1" applyBorder="1" applyAlignment="1">
      <alignment horizontal="center" vertical="center"/>
    </xf>
    <xf numFmtId="2" fontId="29937" fillId="8" borderId="1" xfId="0" applyNumberFormat="1" applyFont="1" applyFill="1" applyBorder="1" applyAlignment="1">
      <alignment horizontal="center" vertical="center"/>
    </xf>
    <xf numFmtId="2" fontId="29938" fillId="8" borderId="1" xfId="0" applyNumberFormat="1" applyFont="1" applyFill="1" applyBorder="1" applyAlignment="1">
      <alignment horizontal="center" vertical="center"/>
    </xf>
    <xf numFmtId="2" fontId="29939" fillId="8" borderId="1" xfId="0" applyNumberFormat="1" applyFont="1" applyFill="1" applyBorder="1" applyAlignment="1">
      <alignment horizontal="center" vertical="center"/>
    </xf>
    <xf numFmtId="2" fontId="29940" fillId="8" borderId="1" xfId="0" applyNumberFormat="1" applyFont="1" applyFill="1" applyBorder="1" applyAlignment="1">
      <alignment horizontal="center" vertical="center"/>
    </xf>
    <xf numFmtId="2" fontId="29941" fillId="8" borderId="1" xfId="0" applyNumberFormat="1" applyFont="1" applyFill="1" applyBorder="1" applyAlignment="1">
      <alignment horizontal="center" vertical="center"/>
    </xf>
    <xf numFmtId="2" fontId="29942" fillId="8" borderId="1" xfId="0" applyNumberFormat="1" applyFont="1" applyFill="1" applyBorder="1" applyAlignment="1">
      <alignment horizontal="center" vertical="center"/>
    </xf>
    <xf numFmtId="2" fontId="29943" fillId="8" borderId="1" xfId="0" applyNumberFormat="1" applyFont="1" applyFill="1" applyBorder="1" applyAlignment="1">
      <alignment horizontal="center" vertical="center"/>
    </xf>
    <xf numFmtId="2" fontId="29944" fillId="8" borderId="1" xfId="0" applyNumberFormat="1" applyFont="1" applyFill="1" applyBorder="1" applyAlignment="1">
      <alignment horizontal="center" vertical="center"/>
    </xf>
    <xf numFmtId="2" fontId="29945" fillId="8" borderId="1" xfId="0" applyNumberFormat="1" applyFont="1" applyFill="1" applyBorder="1" applyAlignment="1">
      <alignment horizontal="center" vertical="center"/>
    </xf>
    <xf numFmtId="2" fontId="29946" fillId="8" borderId="1" xfId="0" applyNumberFormat="1" applyFont="1" applyFill="1" applyBorder="1" applyAlignment="1">
      <alignment horizontal="center" vertical="center"/>
    </xf>
    <xf numFmtId="2" fontId="29947" fillId="8" borderId="1" xfId="0" applyNumberFormat="1" applyFont="1" applyFill="1" applyBorder="1" applyAlignment="1">
      <alignment horizontal="center" vertical="center"/>
    </xf>
    <xf numFmtId="2" fontId="29948" fillId="8" borderId="1" xfId="0" applyNumberFormat="1" applyFont="1" applyFill="1" applyBorder="1" applyAlignment="1">
      <alignment horizontal="center" vertical="center"/>
    </xf>
    <xf numFmtId="2" fontId="29949" fillId="8" borderId="1" xfId="0" applyNumberFormat="1" applyFont="1" applyFill="1" applyBorder="1" applyAlignment="1">
      <alignment horizontal="center" vertical="center"/>
    </xf>
    <xf numFmtId="2" fontId="29950" fillId="8" borderId="1" xfId="0" applyNumberFormat="1" applyFont="1" applyFill="1" applyBorder="1" applyAlignment="1">
      <alignment horizontal="center" vertical="center"/>
    </xf>
    <xf numFmtId="2" fontId="29951" fillId="8" borderId="1" xfId="0" applyNumberFormat="1" applyFont="1" applyFill="1" applyBorder="1" applyAlignment="1">
      <alignment horizontal="center" vertical="center"/>
    </xf>
    <xf numFmtId="2" fontId="29952" fillId="8" borderId="1" xfId="0" applyNumberFormat="1" applyFont="1" applyFill="1" applyBorder="1" applyAlignment="1">
      <alignment horizontal="center" vertical="center"/>
    </xf>
    <xf numFmtId="2" fontId="29953" fillId="8" borderId="1" xfId="0" applyNumberFormat="1" applyFont="1" applyFill="1" applyBorder="1" applyAlignment="1">
      <alignment horizontal="center" vertical="center"/>
    </xf>
    <xf numFmtId="2" fontId="29954" fillId="8" borderId="1" xfId="0" applyNumberFormat="1" applyFont="1" applyFill="1" applyBorder="1" applyAlignment="1">
      <alignment horizontal="center" vertical="center"/>
    </xf>
    <xf numFmtId="0" fontId="29955" fillId="7" borderId="1" xfId="0" applyNumberFormat="1" applyFont="1" applyFill="1" applyBorder="1" applyAlignment="1">
      <alignment horizontal="left" vertical="center"/>
    </xf>
    <xf numFmtId="0" fontId="29956" fillId="8" borderId="1" xfId="0" applyNumberFormat="1" applyFont="1" applyFill="1" applyBorder="1" applyAlignment="1">
      <alignment horizontal="center" vertical="center"/>
    </xf>
    <xf numFmtId="164" fontId="29957" fillId="8" borderId="1" xfId="0" applyNumberFormat="1" applyFont="1" applyFill="1" applyBorder="1" applyAlignment="1">
      <alignment horizontal="center" vertical="center"/>
    </xf>
    <xf numFmtId="1" fontId="29958" fillId="8" borderId="1" xfId="0" applyNumberFormat="1" applyFont="1" applyFill="1" applyBorder="1" applyAlignment="1">
      <alignment horizontal="center" vertical="center"/>
    </xf>
    <xf numFmtId="1" fontId="29959" fillId="8" borderId="1" xfId="0" applyNumberFormat="1" applyFont="1" applyFill="1" applyBorder="1" applyAlignment="1">
      <alignment horizontal="center" vertical="center"/>
    </xf>
    <xf numFmtId="1" fontId="29960" fillId="8" borderId="1" xfId="0" applyNumberFormat="1" applyFont="1" applyFill="1" applyBorder="1" applyAlignment="1">
      <alignment horizontal="center" vertical="center"/>
    </xf>
    <xf numFmtId="1" fontId="29961" fillId="8" borderId="1" xfId="0" applyNumberFormat="1" applyFont="1" applyFill="1" applyBorder="1" applyAlignment="1">
      <alignment horizontal="center" vertical="center"/>
    </xf>
    <xf numFmtId="1" fontId="29962" fillId="8" borderId="1" xfId="0" applyNumberFormat="1" applyFont="1" applyFill="1" applyBorder="1" applyAlignment="1">
      <alignment horizontal="center" vertical="center"/>
    </xf>
    <xf numFmtId="1" fontId="29963" fillId="8" borderId="1" xfId="0" applyNumberFormat="1" applyFont="1" applyFill="1" applyBorder="1" applyAlignment="1">
      <alignment horizontal="center" vertical="center"/>
    </xf>
    <xf numFmtId="1" fontId="29964" fillId="8" borderId="1" xfId="0" applyNumberFormat="1" applyFont="1" applyFill="1" applyBorder="1" applyAlignment="1">
      <alignment horizontal="center" vertical="center"/>
    </xf>
    <xf numFmtId="0" fontId="29965" fillId="8" borderId="1" xfId="0" applyNumberFormat="1" applyFont="1" applyFill="1" applyBorder="1" applyAlignment="1">
      <alignment horizontal="center" vertical="center"/>
    </xf>
    <xf numFmtId="0" fontId="29966" fillId="8" borderId="1" xfId="0" applyNumberFormat="1" applyFont="1" applyFill="1" applyBorder="1" applyAlignment="1">
      <alignment horizontal="center" vertical="center"/>
    </xf>
    <xf numFmtId="1" fontId="29967" fillId="8" borderId="1" xfId="0" applyNumberFormat="1" applyFont="1" applyFill="1" applyBorder="1" applyAlignment="1">
      <alignment horizontal="center" vertical="center"/>
    </xf>
    <xf numFmtId="1" fontId="29968" fillId="8" borderId="1" xfId="0" applyNumberFormat="1" applyFont="1" applyFill="1" applyBorder="1" applyAlignment="1">
      <alignment horizontal="center" vertical="center"/>
    </xf>
    <xf numFmtId="1" fontId="29969" fillId="8" borderId="1" xfId="0" applyNumberFormat="1" applyFont="1" applyFill="1" applyBorder="1" applyAlignment="1">
      <alignment horizontal="center" vertical="center"/>
    </xf>
    <xf numFmtId="165" fontId="29970" fillId="8" borderId="1" xfId="0" applyNumberFormat="1" applyFont="1" applyFill="1" applyBorder="1" applyAlignment="1">
      <alignment horizontal="center" vertical="center"/>
    </xf>
    <xf numFmtId="1" fontId="29971" fillId="8" borderId="1" xfId="0" applyNumberFormat="1" applyFont="1" applyFill="1" applyBorder="1" applyAlignment="1">
      <alignment horizontal="center" vertical="center"/>
    </xf>
    <xf numFmtId="165" fontId="29972" fillId="8" borderId="1" xfId="0" applyNumberFormat="1" applyFont="1" applyFill="1" applyBorder="1" applyAlignment="1">
      <alignment horizontal="center" vertical="center"/>
    </xf>
    <xf numFmtId="1" fontId="29973" fillId="8" borderId="1" xfId="0" applyNumberFormat="1" applyFont="1" applyFill="1" applyBorder="1" applyAlignment="1">
      <alignment horizontal="center" vertical="center"/>
    </xf>
    <xf numFmtId="165" fontId="29974" fillId="8" borderId="1" xfId="0" applyNumberFormat="1" applyFont="1" applyFill="1" applyBorder="1" applyAlignment="1">
      <alignment horizontal="center" vertical="center"/>
    </xf>
    <xf numFmtId="1" fontId="29975" fillId="8" borderId="1" xfId="0" applyNumberFormat="1" applyFont="1" applyFill="1" applyBorder="1" applyAlignment="1">
      <alignment horizontal="center" vertical="center"/>
    </xf>
    <xf numFmtId="165" fontId="29976" fillId="8" borderId="1" xfId="0" applyNumberFormat="1" applyFont="1" applyFill="1" applyBorder="1" applyAlignment="1">
      <alignment horizontal="center" vertical="center"/>
    </xf>
    <xf numFmtId="165" fontId="29977" fillId="8" borderId="1" xfId="0" applyNumberFormat="1" applyFont="1" applyFill="1" applyBorder="1" applyAlignment="1">
      <alignment horizontal="center" vertical="center"/>
    </xf>
    <xf numFmtId="1" fontId="29978" fillId="8" borderId="1" xfId="0" applyNumberFormat="1" applyFont="1" applyFill="1" applyBorder="1" applyAlignment="1">
      <alignment horizontal="center" vertical="center"/>
    </xf>
    <xf numFmtId="1" fontId="29979" fillId="8" borderId="1" xfId="0" applyNumberFormat="1" applyFont="1" applyFill="1" applyBorder="1" applyAlignment="1">
      <alignment horizontal="center" vertical="center"/>
    </xf>
    <xf numFmtId="1" fontId="29980" fillId="8" borderId="1" xfId="0" applyNumberFormat="1" applyFont="1" applyFill="1" applyBorder="1" applyAlignment="1">
      <alignment horizontal="center" vertical="center"/>
    </xf>
    <xf numFmtId="165" fontId="29981" fillId="8" borderId="1" xfId="0" applyNumberFormat="1" applyFont="1" applyFill="1" applyBorder="1" applyAlignment="1">
      <alignment horizontal="center" vertical="center"/>
    </xf>
    <xf numFmtId="164" fontId="29982" fillId="8" borderId="1" xfId="0" applyNumberFormat="1" applyFont="1" applyFill="1" applyBorder="1" applyAlignment="1">
      <alignment horizontal="center" vertical="center"/>
    </xf>
    <xf numFmtId="164" fontId="29983" fillId="8" borderId="1" xfId="0" applyNumberFormat="1" applyFont="1" applyFill="1" applyBorder="1" applyAlignment="1">
      <alignment horizontal="center" vertical="center"/>
    </xf>
    <xf numFmtId="1" fontId="29984" fillId="8" borderId="1" xfId="0" applyNumberFormat="1" applyFont="1" applyFill="1" applyBorder="1" applyAlignment="1">
      <alignment horizontal="center" vertical="center"/>
    </xf>
    <xf numFmtId="1" fontId="29985" fillId="8" borderId="1" xfId="0" applyNumberFormat="1" applyFont="1" applyFill="1" applyBorder="1" applyAlignment="1">
      <alignment horizontal="center" vertical="center"/>
    </xf>
    <xf numFmtId="1" fontId="29986" fillId="8" borderId="1" xfId="0" applyNumberFormat="1" applyFont="1" applyFill="1" applyBorder="1" applyAlignment="1">
      <alignment horizontal="center" vertical="center"/>
    </xf>
    <xf numFmtId="165" fontId="29987" fillId="8" borderId="1" xfId="0" applyNumberFormat="1" applyFont="1" applyFill="1" applyBorder="1" applyAlignment="1">
      <alignment horizontal="center" vertical="center"/>
    </xf>
    <xf numFmtId="1" fontId="29988" fillId="8" borderId="1" xfId="0" applyNumberFormat="1" applyFont="1" applyFill="1" applyBorder="1" applyAlignment="1">
      <alignment horizontal="center" vertical="center"/>
    </xf>
    <xf numFmtId="165" fontId="29989" fillId="8" borderId="1" xfId="0" applyNumberFormat="1" applyFont="1" applyFill="1" applyBorder="1" applyAlignment="1">
      <alignment horizontal="center" vertical="center"/>
    </xf>
    <xf numFmtId="1" fontId="29990" fillId="8" borderId="1" xfId="0" applyNumberFormat="1" applyFont="1" applyFill="1" applyBorder="1" applyAlignment="1">
      <alignment horizontal="center" vertical="center"/>
    </xf>
    <xf numFmtId="1" fontId="29991" fillId="8" borderId="1" xfId="0" applyNumberFormat="1" applyFont="1" applyFill="1" applyBorder="1" applyAlignment="1">
      <alignment horizontal="center" vertical="center"/>
    </xf>
    <xf numFmtId="1" fontId="29992" fillId="8" borderId="1" xfId="0" applyNumberFormat="1" applyFont="1" applyFill="1" applyBorder="1" applyAlignment="1">
      <alignment horizontal="center" vertical="center"/>
    </xf>
    <xf numFmtId="1" fontId="29993" fillId="8" borderId="1" xfId="0" applyNumberFormat="1" applyFont="1" applyFill="1" applyBorder="1" applyAlignment="1">
      <alignment horizontal="center" vertical="center"/>
    </xf>
    <xf numFmtId="165" fontId="29994" fillId="8" borderId="1" xfId="0" applyNumberFormat="1" applyFont="1" applyFill="1" applyBorder="1" applyAlignment="1">
      <alignment horizontal="center" vertical="center"/>
    </xf>
    <xf numFmtId="1" fontId="29995" fillId="8" borderId="1" xfId="0" applyNumberFormat="1" applyFont="1" applyFill="1" applyBorder="1" applyAlignment="1">
      <alignment horizontal="center" vertical="center"/>
    </xf>
    <xf numFmtId="165" fontId="29996" fillId="8" borderId="1" xfId="0" applyNumberFormat="1" applyFont="1" applyFill="1" applyBorder="1" applyAlignment="1">
      <alignment horizontal="center" vertical="center"/>
    </xf>
    <xf numFmtId="1" fontId="29997" fillId="8" borderId="1" xfId="0" applyNumberFormat="1" applyFont="1" applyFill="1" applyBorder="1" applyAlignment="1">
      <alignment horizontal="center" vertical="center"/>
    </xf>
    <xf numFmtId="165" fontId="29998" fillId="8" borderId="1" xfId="0" applyNumberFormat="1" applyFont="1" applyFill="1" applyBorder="1" applyAlignment="1">
      <alignment horizontal="center" vertical="center"/>
    </xf>
    <xf numFmtId="2" fontId="29999" fillId="8" borderId="1" xfId="0" applyNumberFormat="1" applyFont="1" applyFill="1" applyBorder="1" applyAlignment="1">
      <alignment horizontal="center" vertical="center"/>
    </xf>
    <xf numFmtId="2" fontId="30000" fillId="8" borderId="1" xfId="0" applyNumberFormat="1" applyFont="1" applyFill="1" applyBorder="1" applyAlignment="1">
      <alignment horizontal="center" vertical="center"/>
    </xf>
    <xf numFmtId="2" fontId="30001" fillId="8" borderId="1" xfId="0" applyNumberFormat="1" applyFont="1" applyFill="1" applyBorder="1" applyAlignment="1">
      <alignment horizontal="center" vertical="center"/>
    </xf>
    <xf numFmtId="2" fontId="30002" fillId="8" borderId="1" xfId="0" applyNumberFormat="1" applyFont="1" applyFill="1" applyBorder="1" applyAlignment="1">
      <alignment horizontal="center" vertical="center"/>
    </xf>
    <xf numFmtId="2" fontId="30003" fillId="8" borderId="1" xfId="0" applyNumberFormat="1" applyFont="1" applyFill="1" applyBorder="1" applyAlignment="1">
      <alignment horizontal="center" vertical="center"/>
    </xf>
    <xf numFmtId="2" fontId="30004" fillId="8" borderId="1" xfId="0" applyNumberFormat="1" applyFont="1" applyFill="1" applyBorder="1" applyAlignment="1">
      <alignment horizontal="center" vertical="center"/>
    </xf>
    <xf numFmtId="2" fontId="30005" fillId="8" borderId="1" xfId="0" applyNumberFormat="1" applyFont="1" applyFill="1" applyBorder="1" applyAlignment="1">
      <alignment horizontal="center" vertical="center"/>
    </xf>
    <xf numFmtId="2" fontId="30006" fillId="8" borderId="1" xfId="0" applyNumberFormat="1" applyFont="1" applyFill="1" applyBorder="1" applyAlignment="1">
      <alignment horizontal="center" vertical="center"/>
    </xf>
    <xf numFmtId="2" fontId="30007" fillId="8" borderId="1" xfId="0" applyNumberFormat="1" applyFont="1" applyFill="1" applyBorder="1" applyAlignment="1">
      <alignment horizontal="center" vertical="center"/>
    </xf>
    <xf numFmtId="2" fontId="30008" fillId="8" borderId="1" xfId="0" applyNumberFormat="1" applyFont="1" applyFill="1" applyBorder="1" applyAlignment="1">
      <alignment horizontal="center" vertical="center"/>
    </xf>
    <xf numFmtId="2" fontId="30009" fillId="8" borderId="1" xfId="0" applyNumberFormat="1" applyFont="1" applyFill="1" applyBorder="1" applyAlignment="1">
      <alignment horizontal="center" vertical="center"/>
    </xf>
    <xf numFmtId="2" fontId="30010" fillId="8" borderId="1" xfId="0" applyNumberFormat="1" applyFont="1" applyFill="1" applyBorder="1" applyAlignment="1">
      <alignment horizontal="center" vertical="center"/>
    </xf>
    <xf numFmtId="2" fontId="30011" fillId="8" borderId="1" xfId="0" applyNumberFormat="1" applyFont="1" applyFill="1" applyBorder="1" applyAlignment="1">
      <alignment horizontal="center" vertical="center"/>
    </xf>
    <xf numFmtId="2" fontId="30012" fillId="8" borderId="1" xfId="0" applyNumberFormat="1" applyFont="1" applyFill="1" applyBorder="1" applyAlignment="1">
      <alignment horizontal="center" vertical="center"/>
    </xf>
    <xf numFmtId="2" fontId="30013" fillId="8" borderId="1" xfId="0" applyNumberFormat="1" applyFont="1" applyFill="1" applyBorder="1" applyAlignment="1">
      <alignment horizontal="center" vertical="center"/>
    </xf>
    <xf numFmtId="2" fontId="30014" fillId="8" borderId="1" xfId="0" applyNumberFormat="1" applyFont="1" applyFill="1" applyBorder="1" applyAlignment="1">
      <alignment horizontal="center" vertical="center"/>
    </xf>
    <xf numFmtId="2" fontId="30015" fillId="8" borderId="1" xfId="0" applyNumberFormat="1" applyFont="1" applyFill="1" applyBorder="1" applyAlignment="1">
      <alignment horizontal="center" vertical="center"/>
    </xf>
    <xf numFmtId="2" fontId="30016" fillId="8" borderId="1" xfId="0" applyNumberFormat="1" applyFont="1" applyFill="1" applyBorder="1" applyAlignment="1">
      <alignment horizontal="center" vertical="center"/>
    </xf>
    <xf numFmtId="2" fontId="30017" fillId="8" borderId="1" xfId="0" applyNumberFormat="1" applyFont="1" applyFill="1" applyBorder="1" applyAlignment="1">
      <alignment horizontal="center" vertical="center"/>
    </xf>
    <xf numFmtId="2" fontId="30018" fillId="8" borderId="1" xfId="0" applyNumberFormat="1" applyFont="1" applyFill="1" applyBorder="1" applyAlignment="1">
      <alignment horizontal="center" vertical="center"/>
    </xf>
    <xf numFmtId="2" fontId="30019" fillId="8" borderId="1" xfId="0" applyNumberFormat="1" applyFont="1" applyFill="1" applyBorder="1" applyAlignment="1">
      <alignment horizontal="center" vertical="center"/>
    </xf>
    <xf numFmtId="2" fontId="30020" fillId="8" borderId="1" xfId="0" applyNumberFormat="1" applyFont="1" applyFill="1" applyBorder="1" applyAlignment="1">
      <alignment horizontal="center" vertical="center"/>
    </xf>
    <xf numFmtId="2" fontId="30021" fillId="8" borderId="1" xfId="0" applyNumberFormat="1" applyFont="1" applyFill="1" applyBorder="1" applyAlignment="1">
      <alignment horizontal="center" vertical="center"/>
    </xf>
    <xf numFmtId="2" fontId="30022" fillId="8" borderId="1" xfId="0" applyNumberFormat="1" applyFont="1" applyFill="1" applyBorder="1" applyAlignment="1">
      <alignment horizontal="center" vertical="center"/>
    </xf>
    <xf numFmtId="2" fontId="30023" fillId="8" borderId="1" xfId="0" applyNumberFormat="1" applyFont="1" applyFill="1" applyBorder="1" applyAlignment="1">
      <alignment horizontal="center" vertical="center"/>
    </xf>
    <xf numFmtId="2" fontId="30024" fillId="8" borderId="1" xfId="0" applyNumberFormat="1" applyFont="1" applyFill="1" applyBorder="1" applyAlignment="1">
      <alignment horizontal="center" vertical="center"/>
    </xf>
    <xf numFmtId="2" fontId="30025" fillId="8" borderId="1" xfId="0" applyNumberFormat="1" applyFont="1" applyFill="1" applyBorder="1" applyAlignment="1">
      <alignment horizontal="center" vertical="center"/>
    </xf>
    <xf numFmtId="2" fontId="30026" fillId="8" borderId="1" xfId="0" applyNumberFormat="1" applyFont="1" applyFill="1" applyBorder="1" applyAlignment="1">
      <alignment horizontal="center" vertical="center"/>
    </xf>
    <xf numFmtId="2" fontId="30027" fillId="8" borderId="1" xfId="0" applyNumberFormat="1" applyFont="1" applyFill="1" applyBorder="1" applyAlignment="1">
      <alignment horizontal="center" vertical="center"/>
    </xf>
    <xf numFmtId="2" fontId="30028" fillId="8" borderId="1" xfId="0" applyNumberFormat="1" applyFont="1" applyFill="1" applyBorder="1" applyAlignment="1">
      <alignment horizontal="center" vertical="center"/>
    </xf>
    <xf numFmtId="2" fontId="30029" fillId="8" borderId="1" xfId="0" applyNumberFormat="1" applyFont="1" applyFill="1" applyBorder="1" applyAlignment="1">
      <alignment horizontal="center" vertical="center"/>
    </xf>
    <xf numFmtId="2" fontId="30030" fillId="8" borderId="1" xfId="0" applyNumberFormat="1" applyFont="1" applyFill="1" applyBorder="1" applyAlignment="1">
      <alignment horizontal="center" vertical="center"/>
    </xf>
    <xf numFmtId="2" fontId="30031" fillId="8" borderId="1" xfId="0" applyNumberFormat="1" applyFont="1" applyFill="1" applyBorder="1" applyAlignment="1">
      <alignment horizontal="center" vertical="center"/>
    </xf>
    <xf numFmtId="2" fontId="30032" fillId="8" borderId="1" xfId="0" applyNumberFormat="1" applyFont="1" applyFill="1" applyBorder="1" applyAlignment="1">
      <alignment horizontal="center" vertical="center"/>
    </xf>
    <xf numFmtId="0" fontId="30033" fillId="7" borderId="1" xfId="0" applyNumberFormat="1" applyFont="1" applyFill="1" applyBorder="1" applyAlignment="1">
      <alignment horizontal="left" vertical="center"/>
    </xf>
    <xf numFmtId="0" fontId="30034" fillId="8" borderId="1" xfId="0" applyNumberFormat="1" applyFont="1" applyFill="1" applyBorder="1" applyAlignment="1">
      <alignment horizontal="center" vertical="center"/>
    </xf>
    <xf numFmtId="164" fontId="30035" fillId="8" borderId="1" xfId="0" applyNumberFormat="1" applyFont="1" applyFill="1" applyBorder="1" applyAlignment="1">
      <alignment horizontal="center" vertical="center"/>
    </xf>
    <xf numFmtId="1" fontId="30036" fillId="8" borderId="1" xfId="0" applyNumberFormat="1" applyFont="1" applyFill="1" applyBorder="1" applyAlignment="1">
      <alignment horizontal="center" vertical="center"/>
    </xf>
    <xf numFmtId="1" fontId="30037" fillId="8" borderId="1" xfId="0" applyNumberFormat="1" applyFont="1" applyFill="1" applyBorder="1" applyAlignment="1">
      <alignment horizontal="center" vertical="center"/>
    </xf>
    <xf numFmtId="1" fontId="30038" fillId="8" borderId="1" xfId="0" applyNumberFormat="1" applyFont="1" applyFill="1" applyBorder="1" applyAlignment="1">
      <alignment horizontal="center" vertical="center"/>
    </xf>
    <xf numFmtId="1" fontId="30039" fillId="8" borderId="1" xfId="0" applyNumberFormat="1" applyFont="1" applyFill="1" applyBorder="1" applyAlignment="1">
      <alignment horizontal="center" vertical="center"/>
    </xf>
    <xf numFmtId="1" fontId="30040" fillId="8" borderId="1" xfId="0" applyNumberFormat="1" applyFont="1" applyFill="1" applyBorder="1" applyAlignment="1">
      <alignment horizontal="center" vertical="center"/>
    </xf>
    <xf numFmtId="1" fontId="30041" fillId="8" borderId="1" xfId="0" applyNumberFormat="1" applyFont="1" applyFill="1" applyBorder="1" applyAlignment="1">
      <alignment horizontal="center" vertical="center"/>
    </xf>
    <xf numFmtId="1" fontId="30042" fillId="8" borderId="1" xfId="0" applyNumberFormat="1" applyFont="1" applyFill="1" applyBorder="1" applyAlignment="1">
      <alignment horizontal="center" vertical="center"/>
    </xf>
    <xf numFmtId="0" fontId="30043" fillId="8" borderId="1" xfId="0" applyNumberFormat="1" applyFont="1" applyFill="1" applyBorder="1" applyAlignment="1">
      <alignment horizontal="center" vertical="center"/>
    </xf>
    <xf numFmtId="0" fontId="30044" fillId="8" borderId="1" xfId="0" applyNumberFormat="1" applyFont="1" applyFill="1" applyBorder="1" applyAlignment="1">
      <alignment horizontal="center" vertical="center"/>
    </xf>
    <xf numFmtId="1" fontId="30045" fillId="8" borderId="1" xfId="0" applyNumberFormat="1" applyFont="1" applyFill="1" applyBorder="1" applyAlignment="1">
      <alignment horizontal="center" vertical="center"/>
    </xf>
    <xf numFmtId="1" fontId="30046" fillId="8" borderId="1" xfId="0" applyNumberFormat="1" applyFont="1" applyFill="1" applyBorder="1" applyAlignment="1">
      <alignment horizontal="center" vertical="center"/>
    </xf>
    <xf numFmtId="1" fontId="30047" fillId="8" borderId="1" xfId="0" applyNumberFormat="1" applyFont="1" applyFill="1" applyBorder="1" applyAlignment="1">
      <alignment horizontal="center" vertical="center"/>
    </xf>
    <xf numFmtId="165" fontId="30048" fillId="8" borderId="1" xfId="0" applyNumberFormat="1" applyFont="1" applyFill="1" applyBorder="1" applyAlignment="1">
      <alignment horizontal="center" vertical="center"/>
    </xf>
    <xf numFmtId="1" fontId="30049" fillId="8" borderId="1" xfId="0" applyNumberFormat="1" applyFont="1" applyFill="1" applyBorder="1" applyAlignment="1">
      <alignment horizontal="center" vertical="center"/>
    </xf>
    <xf numFmtId="165" fontId="30050" fillId="8" borderId="1" xfId="0" applyNumberFormat="1" applyFont="1" applyFill="1" applyBorder="1" applyAlignment="1">
      <alignment horizontal="center" vertical="center"/>
    </xf>
    <xf numFmtId="1" fontId="30051" fillId="8" borderId="1" xfId="0" applyNumberFormat="1" applyFont="1" applyFill="1" applyBorder="1" applyAlignment="1">
      <alignment horizontal="center" vertical="center"/>
    </xf>
    <xf numFmtId="165" fontId="30052" fillId="8" borderId="1" xfId="0" applyNumberFormat="1" applyFont="1" applyFill="1" applyBorder="1" applyAlignment="1">
      <alignment horizontal="center" vertical="center"/>
    </xf>
    <xf numFmtId="1" fontId="30053" fillId="8" borderId="1" xfId="0" applyNumberFormat="1" applyFont="1" applyFill="1" applyBorder="1" applyAlignment="1">
      <alignment horizontal="center" vertical="center"/>
    </xf>
    <xf numFmtId="165" fontId="30054" fillId="8" borderId="1" xfId="0" applyNumberFormat="1" applyFont="1" applyFill="1" applyBorder="1" applyAlignment="1">
      <alignment horizontal="center" vertical="center"/>
    </xf>
    <xf numFmtId="165" fontId="30055" fillId="8" borderId="1" xfId="0" applyNumberFormat="1" applyFont="1" applyFill="1" applyBorder="1" applyAlignment="1">
      <alignment horizontal="center" vertical="center"/>
    </xf>
    <xf numFmtId="1" fontId="30056" fillId="8" borderId="1" xfId="0" applyNumberFormat="1" applyFont="1" applyFill="1" applyBorder="1" applyAlignment="1">
      <alignment horizontal="center" vertical="center"/>
    </xf>
    <xf numFmtId="1" fontId="30057" fillId="8" borderId="1" xfId="0" applyNumberFormat="1" applyFont="1" applyFill="1" applyBorder="1" applyAlignment="1">
      <alignment horizontal="center" vertical="center"/>
    </xf>
    <xf numFmtId="1" fontId="30058" fillId="8" borderId="1" xfId="0" applyNumberFormat="1" applyFont="1" applyFill="1" applyBorder="1" applyAlignment="1">
      <alignment horizontal="center" vertical="center"/>
    </xf>
    <xf numFmtId="165" fontId="30059" fillId="8" borderId="1" xfId="0" applyNumberFormat="1" applyFont="1" applyFill="1" applyBorder="1" applyAlignment="1">
      <alignment horizontal="center" vertical="center"/>
    </xf>
    <xf numFmtId="164" fontId="30060" fillId="8" borderId="1" xfId="0" applyNumberFormat="1" applyFont="1" applyFill="1" applyBorder="1" applyAlignment="1">
      <alignment horizontal="center" vertical="center"/>
    </xf>
    <xf numFmtId="164" fontId="30061" fillId="8" borderId="1" xfId="0" applyNumberFormat="1" applyFont="1" applyFill="1" applyBorder="1" applyAlignment="1">
      <alignment horizontal="center" vertical="center"/>
    </xf>
    <xf numFmtId="1" fontId="30062" fillId="8" borderId="1" xfId="0" applyNumberFormat="1" applyFont="1" applyFill="1" applyBorder="1" applyAlignment="1">
      <alignment horizontal="center" vertical="center"/>
    </xf>
    <xf numFmtId="1" fontId="30063" fillId="8" borderId="1" xfId="0" applyNumberFormat="1" applyFont="1" applyFill="1" applyBorder="1" applyAlignment="1">
      <alignment horizontal="center" vertical="center"/>
    </xf>
    <xf numFmtId="1" fontId="30064" fillId="8" borderId="1" xfId="0" applyNumberFormat="1" applyFont="1" applyFill="1" applyBorder="1" applyAlignment="1">
      <alignment horizontal="center" vertical="center"/>
    </xf>
    <xf numFmtId="165" fontId="30065" fillId="8" borderId="1" xfId="0" applyNumberFormat="1" applyFont="1" applyFill="1" applyBorder="1" applyAlignment="1">
      <alignment horizontal="center" vertical="center"/>
    </xf>
    <xf numFmtId="1" fontId="30066" fillId="8" borderId="1" xfId="0" applyNumberFormat="1" applyFont="1" applyFill="1" applyBorder="1" applyAlignment="1">
      <alignment horizontal="center" vertical="center"/>
    </xf>
    <xf numFmtId="165" fontId="30067" fillId="8" borderId="1" xfId="0" applyNumberFormat="1" applyFont="1" applyFill="1" applyBorder="1" applyAlignment="1">
      <alignment horizontal="center" vertical="center"/>
    </xf>
    <xf numFmtId="1" fontId="30068" fillId="8" borderId="1" xfId="0" applyNumberFormat="1" applyFont="1" applyFill="1" applyBorder="1" applyAlignment="1">
      <alignment horizontal="center" vertical="center"/>
    </xf>
    <xf numFmtId="1" fontId="30069" fillId="8" borderId="1" xfId="0" applyNumberFormat="1" applyFont="1" applyFill="1" applyBorder="1" applyAlignment="1">
      <alignment horizontal="center" vertical="center"/>
    </xf>
    <xf numFmtId="1" fontId="30070" fillId="8" borderId="1" xfId="0" applyNumberFormat="1" applyFont="1" applyFill="1" applyBorder="1" applyAlignment="1">
      <alignment horizontal="center" vertical="center"/>
    </xf>
    <xf numFmtId="1" fontId="30071" fillId="8" borderId="1" xfId="0" applyNumberFormat="1" applyFont="1" applyFill="1" applyBorder="1" applyAlignment="1">
      <alignment horizontal="center" vertical="center"/>
    </xf>
    <xf numFmtId="165" fontId="30072" fillId="8" borderId="1" xfId="0" applyNumberFormat="1" applyFont="1" applyFill="1" applyBorder="1" applyAlignment="1">
      <alignment horizontal="center" vertical="center"/>
    </xf>
    <xf numFmtId="1" fontId="30073" fillId="8" borderId="1" xfId="0" applyNumberFormat="1" applyFont="1" applyFill="1" applyBorder="1" applyAlignment="1">
      <alignment horizontal="center" vertical="center"/>
    </xf>
    <xf numFmtId="165" fontId="30074" fillId="8" borderId="1" xfId="0" applyNumberFormat="1" applyFont="1" applyFill="1" applyBorder="1" applyAlignment="1">
      <alignment horizontal="center" vertical="center"/>
    </xf>
    <xf numFmtId="1" fontId="30075" fillId="8" borderId="1" xfId="0" applyNumberFormat="1" applyFont="1" applyFill="1" applyBorder="1" applyAlignment="1">
      <alignment horizontal="center" vertical="center"/>
    </xf>
    <xf numFmtId="165" fontId="30076" fillId="8" borderId="1" xfId="0" applyNumberFormat="1" applyFont="1" applyFill="1" applyBorder="1" applyAlignment="1">
      <alignment horizontal="center" vertical="center"/>
    </xf>
    <xf numFmtId="2" fontId="30077" fillId="8" borderId="1" xfId="0" applyNumberFormat="1" applyFont="1" applyFill="1" applyBorder="1" applyAlignment="1">
      <alignment horizontal="center" vertical="center"/>
    </xf>
    <xf numFmtId="2" fontId="30078" fillId="8" borderId="1" xfId="0" applyNumberFormat="1" applyFont="1" applyFill="1" applyBorder="1" applyAlignment="1">
      <alignment horizontal="center" vertical="center"/>
    </xf>
    <xf numFmtId="2" fontId="30079" fillId="8" borderId="1" xfId="0" applyNumberFormat="1" applyFont="1" applyFill="1" applyBorder="1" applyAlignment="1">
      <alignment horizontal="center" vertical="center"/>
    </xf>
    <xf numFmtId="2" fontId="30080" fillId="8" borderId="1" xfId="0" applyNumberFormat="1" applyFont="1" applyFill="1" applyBorder="1" applyAlignment="1">
      <alignment horizontal="center" vertical="center"/>
    </xf>
    <xf numFmtId="2" fontId="30081" fillId="8" borderId="1" xfId="0" applyNumberFormat="1" applyFont="1" applyFill="1" applyBorder="1" applyAlignment="1">
      <alignment horizontal="center" vertical="center"/>
    </xf>
    <xf numFmtId="2" fontId="30082" fillId="8" borderId="1" xfId="0" applyNumberFormat="1" applyFont="1" applyFill="1" applyBorder="1" applyAlignment="1">
      <alignment horizontal="center" vertical="center"/>
    </xf>
    <xf numFmtId="2" fontId="30083" fillId="8" borderId="1" xfId="0" applyNumberFormat="1" applyFont="1" applyFill="1" applyBorder="1" applyAlignment="1">
      <alignment horizontal="center" vertical="center"/>
    </xf>
    <xf numFmtId="2" fontId="30084" fillId="8" borderId="1" xfId="0" applyNumberFormat="1" applyFont="1" applyFill="1" applyBorder="1" applyAlignment="1">
      <alignment horizontal="center" vertical="center"/>
    </xf>
    <xf numFmtId="2" fontId="30085" fillId="8" borderId="1" xfId="0" applyNumberFormat="1" applyFont="1" applyFill="1" applyBorder="1" applyAlignment="1">
      <alignment horizontal="center" vertical="center"/>
    </xf>
    <xf numFmtId="2" fontId="30086" fillId="8" borderId="1" xfId="0" applyNumberFormat="1" applyFont="1" applyFill="1" applyBorder="1" applyAlignment="1">
      <alignment horizontal="center" vertical="center"/>
    </xf>
    <xf numFmtId="2" fontId="30087" fillId="8" borderId="1" xfId="0" applyNumberFormat="1" applyFont="1" applyFill="1" applyBorder="1" applyAlignment="1">
      <alignment horizontal="center" vertical="center"/>
    </xf>
    <xf numFmtId="2" fontId="30088" fillId="8" borderId="1" xfId="0" applyNumberFormat="1" applyFont="1" applyFill="1" applyBorder="1" applyAlignment="1">
      <alignment horizontal="center" vertical="center"/>
    </xf>
    <xf numFmtId="2" fontId="30089" fillId="8" borderId="1" xfId="0" applyNumberFormat="1" applyFont="1" applyFill="1" applyBorder="1" applyAlignment="1">
      <alignment horizontal="center" vertical="center"/>
    </xf>
    <xf numFmtId="2" fontId="30090" fillId="8" borderId="1" xfId="0" applyNumberFormat="1" applyFont="1" applyFill="1" applyBorder="1" applyAlignment="1">
      <alignment horizontal="center" vertical="center"/>
    </xf>
    <xf numFmtId="2" fontId="30091" fillId="8" borderId="1" xfId="0" applyNumberFormat="1" applyFont="1" applyFill="1" applyBorder="1" applyAlignment="1">
      <alignment horizontal="center" vertical="center"/>
    </xf>
    <xf numFmtId="2" fontId="30092" fillId="8" borderId="1" xfId="0" applyNumberFormat="1" applyFont="1" applyFill="1" applyBorder="1" applyAlignment="1">
      <alignment horizontal="center" vertical="center"/>
    </xf>
    <xf numFmtId="2" fontId="30093" fillId="8" borderId="1" xfId="0" applyNumberFormat="1" applyFont="1" applyFill="1" applyBorder="1" applyAlignment="1">
      <alignment horizontal="center" vertical="center"/>
    </xf>
    <xf numFmtId="2" fontId="30094" fillId="8" borderId="1" xfId="0" applyNumberFormat="1" applyFont="1" applyFill="1" applyBorder="1" applyAlignment="1">
      <alignment horizontal="center" vertical="center"/>
    </xf>
    <xf numFmtId="2" fontId="30095" fillId="8" borderId="1" xfId="0" applyNumberFormat="1" applyFont="1" applyFill="1" applyBorder="1" applyAlignment="1">
      <alignment horizontal="center" vertical="center"/>
    </xf>
    <xf numFmtId="2" fontId="30096" fillId="8" borderId="1" xfId="0" applyNumberFormat="1" applyFont="1" applyFill="1" applyBorder="1" applyAlignment="1">
      <alignment horizontal="center" vertical="center"/>
    </xf>
    <xf numFmtId="2" fontId="30097" fillId="8" borderId="1" xfId="0" applyNumberFormat="1" applyFont="1" applyFill="1" applyBorder="1" applyAlignment="1">
      <alignment horizontal="center" vertical="center"/>
    </xf>
    <xf numFmtId="2" fontId="30098" fillId="8" borderId="1" xfId="0" applyNumberFormat="1" applyFont="1" applyFill="1" applyBorder="1" applyAlignment="1">
      <alignment horizontal="center" vertical="center"/>
    </xf>
    <xf numFmtId="2" fontId="30099" fillId="8" borderId="1" xfId="0" applyNumberFormat="1" applyFont="1" applyFill="1" applyBorder="1" applyAlignment="1">
      <alignment horizontal="center" vertical="center"/>
    </xf>
    <xf numFmtId="2" fontId="30100" fillId="8" borderId="1" xfId="0" applyNumberFormat="1" applyFont="1" applyFill="1" applyBorder="1" applyAlignment="1">
      <alignment horizontal="center" vertical="center"/>
    </xf>
    <xf numFmtId="2" fontId="30101" fillId="8" borderId="1" xfId="0" applyNumberFormat="1" applyFont="1" applyFill="1" applyBorder="1" applyAlignment="1">
      <alignment horizontal="center" vertical="center"/>
    </xf>
    <xf numFmtId="2" fontId="30102" fillId="8" borderId="1" xfId="0" applyNumberFormat="1" applyFont="1" applyFill="1" applyBorder="1" applyAlignment="1">
      <alignment horizontal="center" vertical="center"/>
    </xf>
    <xf numFmtId="2" fontId="30103" fillId="8" borderId="1" xfId="0" applyNumberFormat="1" applyFont="1" applyFill="1" applyBorder="1" applyAlignment="1">
      <alignment horizontal="center" vertical="center"/>
    </xf>
    <xf numFmtId="2" fontId="30104" fillId="8" borderId="1" xfId="0" applyNumberFormat="1" applyFont="1" applyFill="1" applyBorder="1" applyAlignment="1">
      <alignment horizontal="center" vertical="center"/>
    </xf>
    <xf numFmtId="2" fontId="30105" fillId="8" borderId="1" xfId="0" applyNumberFormat="1" applyFont="1" applyFill="1" applyBorder="1" applyAlignment="1">
      <alignment horizontal="center" vertical="center"/>
    </xf>
    <xf numFmtId="2" fontId="30106" fillId="8" borderId="1" xfId="0" applyNumberFormat="1" applyFont="1" applyFill="1" applyBorder="1" applyAlignment="1">
      <alignment horizontal="center" vertical="center"/>
    </xf>
    <xf numFmtId="2" fontId="30107" fillId="8" borderId="1" xfId="0" applyNumberFormat="1" applyFont="1" applyFill="1" applyBorder="1" applyAlignment="1">
      <alignment horizontal="center" vertical="center"/>
    </xf>
    <xf numFmtId="2" fontId="30108" fillId="8" borderId="1" xfId="0" applyNumberFormat="1" applyFont="1" applyFill="1" applyBorder="1" applyAlignment="1">
      <alignment horizontal="center" vertical="center"/>
    </xf>
    <xf numFmtId="2" fontId="30109" fillId="8" borderId="1" xfId="0" applyNumberFormat="1" applyFont="1" applyFill="1" applyBorder="1" applyAlignment="1">
      <alignment horizontal="center" vertical="center"/>
    </xf>
    <xf numFmtId="2" fontId="30110" fillId="8" borderId="1" xfId="0" applyNumberFormat="1" applyFont="1" applyFill="1" applyBorder="1" applyAlignment="1">
      <alignment horizontal="center" vertical="center"/>
    </xf>
    <xf numFmtId="0" fontId="30111" fillId="7" borderId="1" xfId="0" applyNumberFormat="1" applyFont="1" applyFill="1" applyBorder="1" applyAlignment="1">
      <alignment horizontal="left" vertical="center"/>
    </xf>
    <xf numFmtId="0" fontId="30112" fillId="8" borderId="1" xfId="0" applyNumberFormat="1" applyFont="1" applyFill="1" applyBorder="1" applyAlignment="1">
      <alignment horizontal="center" vertical="center"/>
    </xf>
    <xf numFmtId="164" fontId="30113" fillId="8" borderId="1" xfId="0" applyNumberFormat="1" applyFont="1" applyFill="1" applyBorder="1" applyAlignment="1">
      <alignment horizontal="center" vertical="center"/>
    </xf>
    <xf numFmtId="1" fontId="30114" fillId="8" borderId="1" xfId="0" applyNumberFormat="1" applyFont="1" applyFill="1" applyBorder="1" applyAlignment="1">
      <alignment horizontal="center" vertical="center"/>
    </xf>
    <xf numFmtId="1" fontId="30115" fillId="8" borderId="1" xfId="0" applyNumberFormat="1" applyFont="1" applyFill="1" applyBorder="1" applyAlignment="1">
      <alignment horizontal="center" vertical="center"/>
    </xf>
    <xf numFmtId="1" fontId="30116" fillId="8" borderId="1" xfId="0" applyNumberFormat="1" applyFont="1" applyFill="1" applyBorder="1" applyAlignment="1">
      <alignment horizontal="center" vertical="center"/>
    </xf>
    <xf numFmtId="1" fontId="30117" fillId="8" borderId="1" xfId="0" applyNumberFormat="1" applyFont="1" applyFill="1" applyBorder="1" applyAlignment="1">
      <alignment horizontal="center" vertical="center"/>
    </xf>
    <xf numFmtId="1" fontId="30118" fillId="8" borderId="1" xfId="0" applyNumberFormat="1" applyFont="1" applyFill="1" applyBorder="1" applyAlignment="1">
      <alignment horizontal="center" vertical="center"/>
    </xf>
    <xf numFmtId="1" fontId="30119" fillId="8" borderId="1" xfId="0" applyNumberFormat="1" applyFont="1" applyFill="1" applyBorder="1" applyAlignment="1">
      <alignment horizontal="center" vertical="center"/>
    </xf>
    <xf numFmtId="1" fontId="30120" fillId="8" borderId="1" xfId="0" applyNumberFormat="1" applyFont="1" applyFill="1" applyBorder="1" applyAlignment="1">
      <alignment horizontal="center" vertical="center"/>
    </xf>
    <xf numFmtId="0" fontId="30121" fillId="8" borderId="1" xfId="0" applyNumberFormat="1" applyFont="1" applyFill="1" applyBorder="1" applyAlignment="1">
      <alignment horizontal="center" vertical="center"/>
    </xf>
    <xf numFmtId="0" fontId="30122" fillId="8" borderId="1" xfId="0" applyNumberFormat="1" applyFont="1" applyFill="1" applyBorder="1" applyAlignment="1">
      <alignment horizontal="center" vertical="center"/>
    </xf>
    <xf numFmtId="1" fontId="30123" fillId="8" borderId="1" xfId="0" applyNumberFormat="1" applyFont="1" applyFill="1" applyBorder="1" applyAlignment="1">
      <alignment horizontal="center" vertical="center"/>
    </xf>
    <xf numFmtId="1" fontId="30124" fillId="8" borderId="1" xfId="0" applyNumberFormat="1" applyFont="1" applyFill="1" applyBorder="1" applyAlignment="1">
      <alignment horizontal="center" vertical="center"/>
    </xf>
    <xf numFmtId="1" fontId="30125" fillId="8" borderId="1" xfId="0" applyNumberFormat="1" applyFont="1" applyFill="1" applyBorder="1" applyAlignment="1">
      <alignment horizontal="center" vertical="center"/>
    </xf>
    <xf numFmtId="165" fontId="30126" fillId="8" borderId="1" xfId="0" applyNumberFormat="1" applyFont="1" applyFill="1" applyBorder="1" applyAlignment="1">
      <alignment horizontal="center" vertical="center"/>
    </xf>
    <xf numFmtId="1" fontId="30127" fillId="8" borderId="1" xfId="0" applyNumberFormat="1" applyFont="1" applyFill="1" applyBorder="1" applyAlignment="1">
      <alignment horizontal="center" vertical="center"/>
    </xf>
    <xf numFmtId="165" fontId="30128" fillId="8" borderId="1" xfId="0" applyNumberFormat="1" applyFont="1" applyFill="1" applyBorder="1" applyAlignment="1">
      <alignment horizontal="center" vertical="center"/>
    </xf>
    <xf numFmtId="1" fontId="30129" fillId="8" borderId="1" xfId="0" applyNumberFormat="1" applyFont="1" applyFill="1" applyBorder="1" applyAlignment="1">
      <alignment horizontal="center" vertical="center"/>
    </xf>
    <xf numFmtId="165" fontId="30130" fillId="8" borderId="1" xfId="0" applyNumberFormat="1" applyFont="1" applyFill="1" applyBorder="1" applyAlignment="1">
      <alignment horizontal="center" vertical="center"/>
    </xf>
    <xf numFmtId="1" fontId="30131" fillId="8" borderId="1" xfId="0" applyNumberFormat="1" applyFont="1" applyFill="1" applyBorder="1" applyAlignment="1">
      <alignment horizontal="center" vertical="center"/>
    </xf>
    <xf numFmtId="165" fontId="30132" fillId="8" borderId="1" xfId="0" applyNumberFormat="1" applyFont="1" applyFill="1" applyBorder="1" applyAlignment="1">
      <alignment horizontal="center" vertical="center"/>
    </xf>
    <xf numFmtId="165" fontId="30133" fillId="8" borderId="1" xfId="0" applyNumberFormat="1" applyFont="1" applyFill="1" applyBorder="1" applyAlignment="1">
      <alignment horizontal="center" vertical="center"/>
    </xf>
    <xf numFmtId="1" fontId="30134" fillId="8" borderId="1" xfId="0" applyNumberFormat="1" applyFont="1" applyFill="1" applyBorder="1" applyAlignment="1">
      <alignment horizontal="center" vertical="center"/>
    </xf>
    <xf numFmtId="1" fontId="30135" fillId="8" borderId="1" xfId="0" applyNumberFormat="1" applyFont="1" applyFill="1" applyBorder="1" applyAlignment="1">
      <alignment horizontal="center" vertical="center"/>
    </xf>
    <xf numFmtId="1" fontId="30136" fillId="8" borderId="1" xfId="0" applyNumberFormat="1" applyFont="1" applyFill="1" applyBorder="1" applyAlignment="1">
      <alignment horizontal="center" vertical="center"/>
    </xf>
    <xf numFmtId="165" fontId="30137" fillId="8" borderId="1" xfId="0" applyNumberFormat="1" applyFont="1" applyFill="1" applyBorder="1" applyAlignment="1">
      <alignment horizontal="center" vertical="center"/>
    </xf>
    <xf numFmtId="164" fontId="30138" fillId="8" borderId="1" xfId="0" applyNumberFormat="1" applyFont="1" applyFill="1" applyBorder="1" applyAlignment="1">
      <alignment horizontal="center" vertical="center"/>
    </xf>
    <xf numFmtId="164" fontId="30139" fillId="8" borderId="1" xfId="0" applyNumberFormat="1" applyFont="1" applyFill="1" applyBorder="1" applyAlignment="1">
      <alignment horizontal="center" vertical="center"/>
    </xf>
    <xf numFmtId="1" fontId="30140" fillId="8" borderId="1" xfId="0" applyNumberFormat="1" applyFont="1" applyFill="1" applyBorder="1" applyAlignment="1">
      <alignment horizontal="center" vertical="center"/>
    </xf>
    <xf numFmtId="1" fontId="30141" fillId="8" borderId="1" xfId="0" applyNumberFormat="1" applyFont="1" applyFill="1" applyBorder="1" applyAlignment="1">
      <alignment horizontal="center" vertical="center"/>
    </xf>
    <xf numFmtId="1" fontId="30142" fillId="8" borderId="1" xfId="0" applyNumberFormat="1" applyFont="1" applyFill="1" applyBorder="1" applyAlignment="1">
      <alignment horizontal="center" vertical="center"/>
    </xf>
    <xf numFmtId="165" fontId="30143" fillId="8" borderId="1" xfId="0" applyNumberFormat="1" applyFont="1" applyFill="1" applyBorder="1" applyAlignment="1">
      <alignment horizontal="center" vertical="center"/>
    </xf>
    <xf numFmtId="1" fontId="30144" fillId="8" borderId="1" xfId="0" applyNumberFormat="1" applyFont="1" applyFill="1" applyBorder="1" applyAlignment="1">
      <alignment horizontal="center" vertical="center"/>
    </xf>
    <xf numFmtId="165" fontId="30145" fillId="8" borderId="1" xfId="0" applyNumberFormat="1" applyFont="1" applyFill="1" applyBorder="1" applyAlignment="1">
      <alignment horizontal="center" vertical="center"/>
    </xf>
    <xf numFmtId="1" fontId="30146" fillId="8" borderId="1" xfId="0" applyNumberFormat="1" applyFont="1" applyFill="1" applyBorder="1" applyAlignment="1">
      <alignment horizontal="center" vertical="center"/>
    </xf>
    <xf numFmtId="1" fontId="30147" fillId="8" borderId="1" xfId="0" applyNumberFormat="1" applyFont="1" applyFill="1" applyBorder="1" applyAlignment="1">
      <alignment horizontal="center" vertical="center"/>
    </xf>
    <xf numFmtId="1" fontId="30148" fillId="8" borderId="1" xfId="0" applyNumberFormat="1" applyFont="1" applyFill="1" applyBorder="1" applyAlignment="1">
      <alignment horizontal="center" vertical="center"/>
    </xf>
    <xf numFmtId="1" fontId="30149" fillId="8" borderId="1" xfId="0" applyNumberFormat="1" applyFont="1" applyFill="1" applyBorder="1" applyAlignment="1">
      <alignment horizontal="center" vertical="center"/>
    </xf>
    <xf numFmtId="165" fontId="30150" fillId="8" borderId="1" xfId="0" applyNumberFormat="1" applyFont="1" applyFill="1" applyBorder="1" applyAlignment="1">
      <alignment horizontal="center" vertical="center"/>
    </xf>
    <xf numFmtId="1" fontId="30151" fillId="8" borderId="1" xfId="0" applyNumberFormat="1" applyFont="1" applyFill="1" applyBorder="1" applyAlignment="1">
      <alignment horizontal="center" vertical="center"/>
    </xf>
    <xf numFmtId="165" fontId="30152" fillId="8" borderId="1" xfId="0" applyNumberFormat="1" applyFont="1" applyFill="1" applyBorder="1" applyAlignment="1">
      <alignment horizontal="center" vertical="center"/>
    </xf>
    <xf numFmtId="1" fontId="30153" fillId="8" borderId="1" xfId="0" applyNumberFormat="1" applyFont="1" applyFill="1" applyBorder="1" applyAlignment="1">
      <alignment horizontal="center" vertical="center"/>
    </xf>
    <xf numFmtId="165" fontId="30154" fillId="8" borderId="1" xfId="0" applyNumberFormat="1" applyFont="1" applyFill="1" applyBorder="1" applyAlignment="1">
      <alignment horizontal="center" vertical="center"/>
    </xf>
    <xf numFmtId="2" fontId="30155" fillId="8" borderId="1" xfId="0" applyNumberFormat="1" applyFont="1" applyFill="1" applyBorder="1" applyAlignment="1">
      <alignment horizontal="center" vertical="center"/>
    </xf>
    <xf numFmtId="2" fontId="30156" fillId="8" borderId="1" xfId="0" applyNumberFormat="1" applyFont="1" applyFill="1" applyBorder="1" applyAlignment="1">
      <alignment horizontal="center" vertical="center"/>
    </xf>
    <xf numFmtId="2" fontId="30157" fillId="8" borderId="1" xfId="0" applyNumberFormat="1" applyFont="1" applyFill="1" applyBorder="1" applyAlignment="1">
      <alignment horizontal="center" vertical="center"/>
    </xf>
    <xf numFmtId="2" fontId="30158" fillId="8" borderId="1" xfId="0" applyNumberFormat="1" applyFont="1" applyFill="1" applyBorder="1" applyAlignment="1">
      <alignment horizontal="center" vertical="center"/>
    </xf>
    <xf numFmtId="2" fontId="30159" fillId="8" borderId="1" xfId="0" applyNumberFormat="1" applyFont="1" applyFill="1" applyBorder="1" applyAlignment="1">
      <alignment horizontal="center" vertical="center"/>
    </xf>
    <xf numFmtId="2" fontId="30160" fillId="8" borderId="1" xfId="0" applyNumberFormat="1" applyFont="1" applyFill="1" applyBorder="1" applyAlignment="1">
      <alignment horizontal="center" vertical="center"/>
    </xf>
    <xf numFmtId="2" fontId="30161" fillId="8" borderId="1" xfId="0" applyNumberFormat="1" applyFont="1" applyFill="1" applyBorder="1" applyAlignment="1">
      <alignment horizontal="center" vertical="center"/>
    </xf>
    <xf numFmtId="2" fontId="30162" fillId="8" borderId="1" xfId="0" applyNumberFormat="1" applyFont="1" applyFill="1" applyBorder="1" applyAlignment="1">
      <alignment horizontal="center" vertical="center"/>
    </xf>
    <xf numFmtId="2" fontId="30163" fillId="8" borderId="1" xfId="0" applyNumberFormat="1" applyFont="1" applyFill="1" applyBorder="1" applyAlignment="1">
      <alignment horizontal="center" vertical="center"/>
    </xf>
    <xf numFmtId="2" fontId="30164" fillId="8" borderId="1" xfId="0" applyNumberFormat="1" applyFont="1" applyFill="1" applyBorder="1" applyAlignment="1">
      <alignment horizontal="center" vertical="center"/>
    </xf>
    <xf numFmtId="2" fontId="30165" fillId="8" borderId="1" xfId="0" applyNumberFormat="1" applyFont="1" applyFill="1" applyBorder="1" applyAlignment="1">
      <alignment horizontal="center" vertical="center"/>
    </xf>
    <xf numFmtId="2" fontId="30166" fillId="8" borderId="1" xfId="0" applyNumberFormat="1" applyFont="1" applyFill="1" applyBorder="1" applyAlignment="1">
      <alignment horizontal="center" vertical="center"/>
    </xf>
    <xf numFmtId="2" fontId="30167" fillId="8" borderId="1" xfId="0" applyNumberFormat="1" applyFont="1" applyFill="1" applyBorder="1" applyAlignment="1">
      <alignment horizontal="center" vertical="center"/>
    </xf>
    <xf numFmtId="2" fontId="30168" fillId="8" borderId="1" xfId="0" applyNumberFormat="1" applyFont="1" applyFill="1" applyBorder="1" applyAlignment="1">
      <alignment horizontal="center" vertical="center"/>
    </xf>
    <xf numFmtId="2" fontId="30169" fillId="8" borderId="1" xfId="0" applyNumberFormat="1" applyFont="1" applyFill="1" applyBorder="1" applyAlignment="1">
      <alignment horizontal="center" vertical="center"/>
    </xf>
    <xf numFmtId="2" fontId="30170" fillId="8" borderId="1" xfId="0" applyNumberFormat="1" applyFont="1" applyFill="1" applyBorder="1" applyAlignment="1">
      <alignment horizontal="center" vertical="center"/>
    </xf>
    <xf numFmtId="2" fontId="30171" fillId="8" borderId="1" xfId="0" applyNumberFormat="1" applyFont="1" applyFill="1" applyBorder="1" applyAlignment="1">
      <alignment horizontal="center" vertical="center"/>
    </xf>
    <xf numFmtId="2" fontId="30172" fillId="8" borderId="1" xfId="0" applyNumberFormat="1" applyFont="1" applyFill="1" applyBorder="1" applyAlignment="1">
      <alignment horizontal="center" vertical="center"/>
    </xf>
    <xf numFmtId="2" fontId="30173" fillId="8" borderId="1" xfId="0" applyNumberFormat="1" applyFont="1" applyFill="1" applyBorder="1" applyAlignment="1">
      <alignment horizontal="center" vertical="center"/>
    </xf>
    <xf numFmtId="2" fontId="30174" fillId="8" borderId="1" xfId="0" applyNumberFormat="1" applyFont="1" applyFill="1" applyBorder="1" applyAlignment="1">
      <alignment horizontal="center" vertical="center"/>
    </xf>
    <xf numFmtId="2" fontId="30175" fillId="8" borderId="1" xfId="0" applyNumberFormat="1" applyFont="1" applyFill="1" applyBorder="1" applyAlignment="1">
      <alignment horizontal="center" vertical="center"/>
    </xf>
    <xf numFmtId="2" fontId="30176" fillId="8" borderId="1" xfId="0" applyNumberFormat="1" applyFont="1" applyFill="1" applyBorder="1" applyAlignment="1">
      <alignment horizontal="center" vertical="center"/>
    </xf>
    <xf numFmtId="2" fontId="30177" fillId="8" borderId="1" xfId="0" applyNumberFormat="1" applyFont="1" applyFill="1" applyBorder="1" applyAlignment="1">
      <alignment horizontal="center" vertical="center"/>
    </xf>
    <xf numFmtId="2" fontId="30178" fillId="8" borderId="1" xfId="0" applyNumberFormat="1" applyFont="1" applyFill="1" applyBorder="1" applyAlignment="1">
      <alignment horizontal="center" vertical="center"/>
    </xf>
    <xf numFmtId="2" fontId="30179" fillId="8" borderId="1" xfId="0" applyNumberFormat="1" applyFont="1" applyFill="1" applyBorder="1" applyAlignment="1">
      <alignment horizontal="center" vertical="center"/>
    </xf>
    <xf numFmtId="2" fontId="30180" fillId="8" borderId="1" xfId="0" applyNumberFormat="1" applyFont="1" applyFill="1" applyBorder="1" applyAlignment="1">
      <alignment horizontal="center" vertical="center"/>
    </xf>
    <xf numFmtId="2" fontId="30181" fillId="8" borderId="1" xfId="0" applyNumberFormat="1" applyFont="1" applyFill="1" applyBorder="1" applyAlignment="1">
      <alignment horizontal="center" vertical="center"/>
    </xf>
    <xf numFmtId="2" fontId="30182" fillId="8" borderId="1" xfId="0" applyNumberFormat="1" applyFont="1" applyFill="1" applyBorder="1" applyAlignment="1">
      <alignment horizontal="center" vertical="center"/>
    </xf>
    <xf numFmtId="2" fontId="30183" fillId="8" borderId="1" xfId="0" applyNumberFormat="1" applyFont="1" applyFill="1" applyBorder="1" applyAlignment="1">
      <alignment horizontal="center" vertical="center"/>
    </xf>
    <xf numFmtId="2" fontId="30184" fillId="8" borderId="1" xfId="0" applyNumberFormat="1" applyFont="1" applyFill="1" applyBorder="1" applyAlignment="1">
      <alignment horizontal="center" vertical="center"/>
    </xf>
    <xf numFmtId="2" fontId="30185" fillId="8" borderId="1" xfId="0" applyNumberFormat="1" applyFont="1" applyFill="1" applyBorder="1" applyAlignment="1">
      <alignment horizontal="center" vertical="center"/>
    </xf>
    <xf numFmtId="2" fontId="30186" fillId="8" borderId="1" xfId="0" applyNumberFormat="1" applyFont="1" applyFill="1" applyBorder="1" applyAlignment="1">
      <alignment horizontal="center" vertical="center"/>
    </xf>
    <xf numFmtId="2" fontId="30187" fillId="8" borderId="1" xfId="0" applyNumberFormat="1" applyFont="1" applyFill="1" applyBorder="1" applyAlignment="1">
      <alignment horizontal="center" vertical="center"/>
    </xf>
    <xf numFmtId="2" fontId="30188" fillId="8" borderId="1" xfId="0" applyNumberFormat="1" applyFont="1" applyFill="1" applyBorder="1" applyAlignment="1">
      <alignment horizontal="center" vertical="center"/>
    </xf>
    <xf numFmtId="0" fontId="30189" fillId="7" borderId="1" xfId="0" applyNumberFormat="1" applyFont="1" applyFill="1" applyBorder="1" applyAlignment="1">
      <alignment horizontal="left" vertical="center"/>
    </xf>
    <xf numFmtId="0" fontId="30190" fillId="8" borderId="1" xfId="0" applyNumberFormat="1" applyFont="1" applyFill="1" applyBorder="1" applyAlignment="1">
      <alignment horizontal="center" vertical="center"/>
    </xf>
    <xf numFmtId="164" fontId="30191" fillId="8" borderId="1" xfId="0" applyNumberFormat="1" applyFont="1" applyFill="1" applyBorder="1" applyAlignment="1">
      <alignment horizontal="center" vertical="center"/>
    </xf>
    <xf numFmtId="1" fontId="30192" fillId="8" borderId="1" xfId="0" applyNumberFormat="1" applyFont="1" applyFill="1" applyBorder="1" applyAlignment="1">
      <alignment horizontal="center" vertical="center"/>
    </xf>
    <xf numFmtId="1" fontId="30193" fillId="8" borderId="1" xfId="0" applyNumberFormat="1" applyFont="1" applyFill="1" applyBorder="1" applyAlignment="1">
      <alignment horizontal="center" vertical="center"/>
    </xf>
    <xf numFmtId="1" fontId="30194" fillId="8" borderId="1" xfId="0" applyNumberFormat="1" applyFont="1" applyFill="1" applyBorder="1" applyAlignment="1">
      <alignment horizontal="center" vertical="center"/>
    </xf>
    <xf numFmtId="1" fontId="30195" fillId="8" borderId="1" xfId="0" applyNumberFormat="1" applyFont="1" applyFill="1" applyBorder="1" applyAlignment="1">
      <alignment horizontal="center" vertical="center"/>
    </xf>
    <xf numFmtId="1" fontId="30196" fillId="8" borderId="1" xfId="0" applyNumberFormat="1" applyFont="1" applyFill="1" applyBorder="1" applyAlignment="1">
      <alignment horizontal="center" vertical="center"/>
    </xf>
    <xf numFmtId="1" fontId="30197" fillId="8" borderId="1" xfId="0" applyNumberFormat="1" applyFont="1" applyFill="1" applyBorder="1" applyAlignment="1">
      <alignment horizontal="center" vertical="center"/>
    </xf>
    <xf numFmtId="1" fontId="30198" fillId="8" borderId="1" xfId="0" applyNumberFormat="1" applyFont="1" applyFill="1" applyBorder="1" applyAlignment="1">
      <alignment horizontal="center" vertical="center"/>
    </xf>
    <xf numFmtId="0" fontId="30199" fillId="8" borderId="1" xfId="0" applyNumberFormat="1" applyFont="1" applyFill="1" applyBorder="1" applyAlignment="1">
      <alignment horizontal="center" vertical="center"/>
    </xf>
    <xf numFmtId="0" fontId="30200" fillId="8" borderId="1" xfId="0" applyNumberFormat="1" applyFont="1" applyFill="1" applyBorder="1" applyAlignment="1">
      <alignment horizontal="center" vertical="center"/>
    </xf>
    <xf numFmtId="1" fontId="30201" fillId="8" borderId="1" xfId="0" applyNumberFormat="1" applyFont="1" applyFill="1" applyBorder="1" applyAlignment="1">
      <alignment horizontal="center" vertical="center"/>
    </xf>
    <xf numFmtId="1" fontId="30202" fillId="8" borderId="1" xfId="0" applyNumberFormat="1" applyFont="1" applyFill="1" applyBorder="1" applyAlignment="1">
      <alignment horizontal="center" vertical="center"/>
    </xf>
    <xf numFmtId="1" fontId="30203" fillId="8" borderId="1" xfId="0" applyNumberFormat="1" applyFont="1" applyFill="1" applyBorder="1" applyAlignment="1">
      <alignment horizontal="center" vertical="center"/>
    </xf>
    <xf numFmtId="165" fontId="30204" fillId="8" borderId="1" xfId="0" applyNumberFormat="1" applyFont="1" applyFill="1" applyBorder="1" applyAlignment="1">
      <alignment horizontal="center" vertical="center"/>
    </xf>
    <xf numFmtId="1" fontId="30205" fillId="8" borderId="1" xfId="0" applyNumberFormat="1" applyFont="1" applyFill="1" applyBorder="1" applyAlignment="1">
      <alignment horizontal="center" vertical="center"/>
    </xf>
    <xf numFmtId="165" fontId="30206" fillId="8" borderId="1" xfId="0" applyNumberFormat="1" applyFont="1" applyFill="1" applyBorder="1" applyAlignment="1">
      <alignment horizontal="center" vertical="center"/>
    </xf>
    <xf numFmtId="1" fontId="30207" fillId="8" borderId="1" xfId="0" applyNumberFormat="1" applyFont="1" applyFill="1" applyBorder="1" applyAlignment="1">
      <alignment horizontal="center" vertical="center"/>
    </xf>
    <xf numFmtId="165" fontId="30208" fillId="8" borderId="1" xfId="0" applyNumberFormat="1" applyFont="1" applyFill="1" applyBorder="1" applyAlignment="1">
      <alignment horizontal="center" vertical="center"/>
    </xf>
    <xf numFmtId="1" fontId="30209" fillId="8" borderId="1" xfId="0" applyNumberFormat="1" applyFont="1" applyFill="1" applyBorder="1" applyAlignment="1">
      <alignment horizontal="center" vertical="center"/>
    </xf>
    <xf numFmtId="165" fontId="30210" fillId="8" borderId="1" xfId="0" applyNumberFormat="1" applyFont="1" applyFill="1" applyBorder="1" applyAlignment="1">
      <alignment horizontal="center" vertical="center"/>
    </xf>
    <xf numFmtId="165" fontId="30211" fillId="8" borderId="1" xfId="0" applyNumberFormat="1" applyFont="1" applyFill="1" applyBorder="1" applyAlignment="1">
      <alignment horizontal="center" vertical="center"/>
    </xf>
    <xf numFmtId="1" fontId="30212" fillId="8" borderId="1" xfId="0" applyNumberFormat="1" applyFont="1" applyFill="1" applyBorder="1" applyAlignment="1">
      <alignment horizontal="center" vertical="center"/>
    </xf>
    <xf numFmtId="1" fontId="30213" fillId="8" borderId="1" xfId="0" applyNumberFormat="1" applyFont="1" applyFill="1" applyBorder="1" applyAlignment="1">
      <alignment horizontal="center" vertical="center"/>
    </xf>
    <xf numFmtId="1" fontId="30214" fillId="8" borderId="1" xfId="0" applyNumberFormat="1" applyFont="1" applyFill="1" applyBorder="1" applyAlignment="1">
      <alignment horizontal="center" vertical="center"/>
    </xf>
    <xf numFmtId="165" fontId="30215" fillId="8" borderId="1" xfId="0" applyNumberFormat="1" applyFont="1" applyFill="1" applyBorder="1" applyAlignment="1">
      <alignment horizontal="center" vertical="center"/>
    </xf>
    <xf numFmtId="164" fontId="30216" fillId="8" borderId="1" xfId="0" applyNumberFormat="1" applyFont="1" applyFill="1" applyBorder="1" applyAlignment="1">
      <alignment horizontal="center" vertical="center"/>
    </xf>
    <xf numFmtId="164" fontId="30217" fillId="8" borderId="1" xfId="0" applyNumberFormat="1" applyFont="1" applyFill="1" applyBorder="1" applyAlignment="1">
      <alignment horizontal="center" vertical="center"/>
    </xf>
    <xf numFmtId="1" fontId="30218" fillId="8" borderId="1" xfId="0" applyNumberFormat="1" applyFont="1" applyFill="1" applyBorder="1" applyAlignment="1">
      <alignment horizontal="center" vertical="center"/>
    </xf>
    <xf numFmtId="1" fontId="30219" fillId="8" borderId="1" xfId="0" applyNumberFormat="1" applyFont="1" applyFill="1" applyBorder="1" applyAlignment="1">
      <alignment horizontal="center" vertical="center"/>
    </xf>
    <xf numFmtId="1" fontId="30220" fillId="8" borderId="1" xfId="0" applyNumberFormat="1" applyFont="1" applyFill="1" applyBorder="1" applyAlignment="1">
      <alignment horizontal="center" vertical="center"/>
    </xf>
    <xf numFmtId="165" fontId="30221" fillId="8" borderId="1" xfId="0" applyNumberFormat="1" applyFont="1" applyFill="1" applyBorder="1" applyAlignment="1">
      <alignment horizontal="center" vertical="center"/>
    </xf>
    <xf numFmtId="1" fontId="30222" fillId="8" borderId="1" xfId="0" applyNumberFormat="1" applyFont="1" applyFill="1" applyBorder="1" applyAlignment="1">
      <alignment horizontal="center" vertical="center"/>
    </xf>
    <xf numFmtId="165" fontId="30223" fillId="8" borderId="1" xfId="0" applyNumberFormat="1" applyFont="1" applyFill="1" applyBorder="1" applyAlignment="1">
      <alignment horizontal="center" vertical="center"/>
    </xf>
    <xf numFmtId="1" fontId="30224" fillId="8" borderId="1" xfId="0" applyNumberFormat="1" applyFont="1" applyFill="1" applyBorder="1" applyAlignment="1">
      <alignment horizontal="center" vertical="center"/>
    </xf>
    <xf numFmtId="1" fontId="30225" fillId="8" borderId="1" xfId="0" applyNumberFormat="1" applyFont="1" applyFill="1" applyBorder="1" applyAlignment="1">
      <alignment horizontal="center" vertical="center"/>
    </xf>
    <xf numFmtId="1" fontId="30226" fillId="8" borderId="1" xfId="0" applyNumberFormat="1" applyFont="1" applyFill="1" applyBorder="1" applyAlignment="1">
      <alignment horizontal="center" vertical="center"/>
    </xf>
    <xf numFmtId="1" fontId="30227" fillId="8" borderId="1" xfId="0" applyNumberFormat="1" applyFont="1" applyFill="1" applyBorder="1" applyAlignment="1">
      <alignment horizontal="center" vertical="center"/>
    </xf>
    <xf numFmtId="165" fontId="30228" fillId="8" borderId="1" xfId="0" applyNumberFormat="1" applyFont="1" applyFill="1" applyBorder="1" applyAlignment="1">
      <alignment horizontal="center" vertical="center"/>
    </xf>
    <xf numFmtId="1" fontId="30229" fillId="8" borderId="1" xfId="0" applyNumberFormat="1" applyFont="1" applyFill="1" applyBorder="1" applyAlignment="1">
      <alignment horizontal="center" vertical="center"/>
    </xf>
    <xf numFmtId="165" fontId="30230" fillId="8" borderId="1" xfId="0" applyNumberFormat="1" applyFont="1" applyFill="1" applyBorder="1" applyAlignment="1">
      <alignment horizontal="center" vertical="center"/>
    </xf>
    <xf numFmtId="1" fontId="30231" fillId="8" borderId="1" xfId="0" applyNumberFormat="1" applyFont="1" applyFill="1" applyBorder="1" applyAlignment="1">
      <alignment horizontal="center" vertical="center"/>
    </xf>
    <xf numFmtId="165" fontId="30232" fillId="8" borderId="1" xfId="0" applyNumberFormat="1" applyFont="1" applyFill="1" applyBorder="1" applyAlignment="1">
      <alignment horizontal="center" vertical="center"/>
    </xf>
    <xf numFmtId="2" fontId="30233" fillId="8" borderId="1" xfId="0" applyNumberFormat="1" applyFont="1" applyFill="1" applyBorder="1" applyAlignment="1">
      <alignment horizontal="center" vertical="center"/>
    </xf>
    <xf numFmtId="2" fontId="30234" fillId="8" borderId="1" xfId="0" applyNumberFormat="1" applyFont="1" applyFill="1" applyBorder="1" applyAlignment="1">
      <alignment horizontal="center" vertical="center"/>
    </xf>
    <xf numFmtId="2" fontId="30235" fillId="8" borderId="1" xfId="0" applyNumberFormat="1" applyFont="1" applyFill="1" applyBorder="1" applyAlignment="1">
      <alignment horizontal="center" vertical="center"/>
    </xf>
    <xf numFmtId="2" fontId="30236" fillId="8" borderId="1" xfId="0" applyNumberFormat="1" applyFont="1" applyFill="1" applyBorder="1" applyAlignment="1">
      <alignment horizontal="center" vertical="center"/>
    </xf>
    <xf numFmtId="2" fontId="30237" fillId="8" borderId="1" xfId="0" applyNumberFormat="1" applyFont="1" applyFill="1" applyBorder="1" applyAlignment="1">
      <alignment horizontal="center" vertical="center"/>
    </xf>
    <xf numFmtId="2" fontId="30238" fillId="8" borderId="1" xfId="0" applyNumberFormat="1" applyFont="1" applyFill="1" applyBorder="1" applyAlignment="1">
      <alignment horizontal="center" vertical="center"/>
    </xf>
    <xf numFmtId="2" fontId="30239" fillId="8" borderId="1" xfId="0" applyNumberFormat="1" applyFont="1" applyFill="1" applyBorder="1" applyAlignment="1">
      <alignment horizontal="center" vertical="center"/>
    </xf>
    <xf numFmtId="2" fontId="30240" fillId="8" borderId="1" xfId="0" applyNumberFormat="1" applyFont="1" applyFill="1" applyBorder="1" applyAlignment="1">
      <alignment horizontal="center" vertical="center"/>
    </xf>
    <xf numFmtId="2" fontId="30241" fillId="8" borderId="1" xfId="0" applyNumberFormat="1" applyFont="1" applyFill="1" applyBorder="1" applyAlignment="1">
      <alignment horizontal="center" vertical="center"/>
    </xf>
    <xf numFmtId="2" fontId="30242" fillId="8" borderId="1" xfId="0" applyNumberFormat="1" applyFont="1" applyFill="1" applyBorder="1" applyAlignment="1">
      <alignment horizontal="center" vertical="center"/>
    </xf>
    <xf numFmtId="2" fontId="30243" fillId="8" borderId="1" xfId="0" applyNumberFormat="1" applyFont="1" applyFill="1" applyBorder="1" applyAlignment="1">
      <alignment horizontal="center" vertical="center"/>
    </xf>
    <xf numFmtId="2" fontId="30244" fillId="8" borderId="1" xfId="0" applyNumberFormat="1" applyFont="1" applyFill="1" applyBorder="1" applyAlignment="1">
      <alignment horizontal="center" vertical="center"/>
    </xf>
    <xf numFmtId="2" fontId="30245" fillId="8" borderId="1" xfId="0" applyNumberFormat="1" applyFont="1" applyFill="1" applyBorder="1" applyAlignment="1">
      <alignment horizontal="center" vertical="center"/>
    </xf>
    <xf numFmtId="2" fontId="30246" fillId="8" borderId="1" xfId="0" applyNumberFormat="1" applyFont="1" applyFill="1" applyBorder="1" applyAlignment="1">
      <alignment horizontal="center" vertical="center"/>
    </xf>
    <xf numFmtId="2" fontId="30247" fillId="8" borderId="1" xfId="0" applyNumberFormat="1" applyFont="1" applyFill="1" applyBorder="1" applyAlignment="1">
      <alignment horizontal="center" vertical="center"/>
    </xf>
    <xf numFmtId="2" fontId="30248" fillId="8" borderId="1" xfId="0" applyNumberFormat="1" applyFont="1" applyFill="1" applyBorder="1" applyAlignment="1">
      <alignment horizontal="center" vertical="center"/>
    </xf>
    <xf numFmtId="2" fontId="30249" fillId="8" borderId="1" xfId="0" applyNumberFormat="1" applyFont="1" applyFill="1" applyBorder="1" applyAlignment="1">
      <alignment horizontal="center" vertical="center"/>
    </xf>
    <xf numFmtId="2" fontId="30250" fillId="8" borderId="1" xfId="0" applyNumberFormat="1" applyFont="1" applyFill="1" applyBorder="1" applyAlignment="1">
      <alignment horizontal="center" vertical="center"/>
    </xf>
    <xf numFmtId="2" fontId="30251" fillId="8" borderId="1" xfId="0" applyNumberFormat="1" applyFont="1" applyFill="1" applyBorder="1" applyAlignment="1">
      <alignment horizontal="center" vertical="center"/>
    </xf>
    <xf numFmtId="2" fontId="30252" fillId="8" borderId="1" xfId="0" applyNumberFormat="1" applyFont="1" applyFill="1" applyBorder="1" applyAlignment="1">
      <alignment horizontal="center" vertical="center"/>
    </xf>
    <xf numFmtId="2" fontId="30253" fillId="8" borderId="1" xfId="0" applyNumberFormat="1" applyFont="1" applyFill="1" applyBorder="1" applyAlignment="1">
      <alignment horizontal="center" vertical="center"/>
    </xf>
    <xf numFmtId="2" fontId="30254" fillId="8" borderId="1" xfId="0" applyNumberFormat="1" applyFont="1" applyFill="1" applyBorder="1" applyAlignment="1">
      <alignment horizontal="center" vertical="center"/>
    </xf>
    <xf numFmtId="2" fontId="30255" fillId="8" borderId="1" xfId="0" applyNumberFormat="1" applyFont="1" applyFill="1" applyBorder="1" applyAlignment="1">
      <alignment horizontal="center" vertical="center"/>
    </xf>
    <xf numFmtId="2" fontId="30256" fillId="8" borderId="1" xfId="0" applyNumberFormat="1" applyFont="1" applyFill="1" applyBorder="1" applyAlignment="1">
      <alignment horizontal="center" vertical="center"/>
    </xf>
    <xf numFmtId="2" fontId="30257" fillId="8" borderId="1" xfId="0" applyNumberFormat="1" applyFont="1" applyFill="1" applyBorder="1" applyAlignment="1">
      <alignment horizontal="center" vertical="center"/>
    </xf>
    <xf numFmtId="2" fontId="30258" fillId="8" borderId="1" xfId="0" applyNumberFormat="1" applyFont="1" applyFill="1" applyBorder="1" applyAlignment="1">
      <alignment horizontal="center" vertical="center"/>
    </xf>
    <xf numFmtId="2" fontId="30259" fillId="8" borderId="1" xfId="0" applyNumberFormat="1" applyFont="1" applyFill="1" applyBorder="1" applyAlignment="1">
      <alignment horizontal="center" vertical="center"/>
    </xf>
    <xf numFmtId="2" fontId="30260" fillId="8" borderId="1" xfId="0" applyNumberFormat="1" applyFont="1" applyFill="1" applyBorder="1" applyAlignment="1">
      <alignment horizontal="center" vertical="center"/>
    </xf>
    <xf numFmtId="2" fontId="30261" fillId="8" borderId="1" xfId="0" applyNumberFormat="1" applyFont="1" applyFill="1" applyBorder="1" applyAlignment="1">
      <alignment horizontal="center" vertical="center"/>
    </xf>
    <xf numFmtId="2" fontId="30262" fillId="8" borderId="1" xfId="0" applyNumberFormat="1" applyFont="1" applyFill="1" applyBorder="1" applyAlignment="1">
      <alignment horizontal="center" vertical="center"/>
    </xf>
    <xf numFmtId="2" fontId="30263" fillId="8" borderId="1" xfId="0" applyNumberFormat="1" applyFont="1" applyFill="1" applyBorder="1" applyAlignment="1">
      <alignment horizontal="center" vertical="center"/>
    </xf>
    <xf numFmtId="2" fontId="30264" fillId="8" borderId="1" xfId="0" applyNumberFormat="1" applyFont="1" applyFill="1" applyBorder="1" applyAlignment="1">
      <alignment horizontal="center" vertical="center"/>
    </xf>
    <xf numFmtId="2" fontId="30265" fillId="8" borderId="1" xfId="0" applyNumberFormat="1" applyFont="1" applyFill="1" applyBorder="1" applyAlignment="1">
      <alignment horizontal="center" vertical="center"/>
    </xf>
    <xf numFmtId="2" fontId="30266" fillId="8" borderId="1" xfId="0" applyNumberFormat="1" applyFont="1" applyFill="1" applyBorder="1" applyAlignment="1">
      <alignment horizontal="center" vertical="center"/>
    </xf>
    <xf numFmtId="0" fontId="30267" fillId="7" borderId="1" xfId="0" applyNumberFormat="1" applyFont="1" applyFill="1" applyBorder="1" applyAlignment="1">
      <alignment horizontal="left" vertical="center"/>
    </xf>
    <xf numFmtId="0" fontId="30268" fillId="8" borderId="1" xfId="0" applyNumberFormat="1" applyFont="1" applyFill="1" applyBorder="1" applyAlignment="1">
      <alignment horizontal="center" vertical="center"/>
    </xf>
    <xf numFmtId="164" fontId="30269" fillId="8" borderId="1" xfId="0" applyNumberFormat="1" applyFont="1" applyFill="1" applyBorder="1" applyAlignment="1">
      <alignment horizontal="center" vertical="center"/>
    </xf>
    <xf numFmtId="1" fontId="30270" fillId="8" borderId="1" xfId="0" applyNumberFormat="1" applyFont="1" applyFill="1" applyBorder="1" applyAlignment="1">
      <alignment horizontal="center" vertical="center"/>
    </xf>
    <xf numFmtId="1" fontId="30271" fillId="8" borderId="1" xfId="0" applyNumberFormat="1" applyFont="1" applyFill="1" applyBorder="1" applyAlignment="1">
      <alignment horizontal="center" vertical="center"/>
    </xf>
    <xf numFmtId="1" fontId="30272" fillId="8" borderId="1" xfId="0" applyNumberFormat="1" applyFont="1" applyFill="1" applyBorder="1" applyAlignment="1">
      <alignment horizontal="center" vertical="center"/>
    </xf>
    <xf numFmtId="1" fontId="30273" fillId="8" borderId="1" xfId="0" applyNumberFormat="1" applyFont="1" applyFill="1" applyBorder="1" applyAlignment="1">
      <alignment horizontal="center" vertical="center"/>
    </xf>
    <xf numFmtId="1" fontId="30274" fillId="8" borderId="1" xfId="0" applyNumberFormat="1" applyFont="1" applyFill="1" applyBorder="1" applyAlignment="1">
      <alignment horizontal="center" vertical="center"/>
    </xf>
    <xf numFmtId="1" fontId="30275" fillId="8" borderId="1" xfId="0" applyNumberFormat="1" applyFont="1" applyFill="1" applyBorder="1" applyAlignment="1">
      <alignment horizontal="center" vertical="center"/>
    </xf>
    <xf numFmtId="1" fontId="30276" fillId="8" borderId="1" xfId="0" applyNumberFormat="1" applyFont="1" applyFill="1" applyBorder="1" applyAlignment="1">
      <alignment horizontal="center" vertical="center"/>
    </xf>
    <xf numFmtId="0" fontId="30277" fillId="8" borderId="1" xfId="0" applyNumberFormat="1" applyFont="1" applyFill="1" applyBorder="1" applyAlignment="1">
      <alignment horizontal="center" vertical="center"/>
    </xf>
    <xf numFmtId="0" fontId="30278" fillId="8" borderId="1" xfId="0" applyNumberFormat="1" applyFont="1" applyFill="1" applyBorder="1" applyAlignment="1">
      <alignment horizontal="center" vertical="center"/>
    </xf>
    <xf numFmtId="1" fontId="30279" fillId="8" borderId="1" xfId="0" applyNumberFormat="1" applyFont="1" applyFill="1" applyBorder="1" applyAlignment="1">
      <alignment horizontal="center" vertical="center"/>
    </xf>
    <xf numFmtId="1" fontId="30280" fillId="8" borderId="1" xfId="0" applyNumberFormat="1" applyFont="1" applyFill="1" applyBorder="1" applyAlignment="1">
      <alignment horizontal="center" vertical="center"/>
    </xf>
    <xf numFmtId="1" fontId="30281" fillId="8" borderId="1" xfId="0" applyNumberFormat="1" applyFont="1" applyFill="1" applyBorder="1" applyAlignment="1">
      <alignment horizontal="center" vertical="center"/>
    </xf>
    <xf numFmtId="165" fontId="30282" fillId="8" borderId="1" xfId="0" applyNumberFormat="1" applyFont="1" applyFill="1" applyBorder="1" applyAlignment="1">
      <alignment horizontal="center" vertical="center"/>
    </xf>
    <xf numFmtId="1" fontId="30283" fillId="8" borderId="1" xfId="0" applyNumberFormat="1" applyFont="1" applyFill="1" applyBorder="1" applyAlignment="1">
      <alignment horizontal="center" vertical="center"/>
    </xf>
    <xf numFmtId="165" fontId="30284" fillId="8" borderId="1" xfId="0" applyNumberFormat="1" applyFont="1" applyFill="1" applyBorder="1" applyAlignment="1">
      <alignment horizontal="center" vertical="center"/>
    </xf>
    <xf numFmtId="1" fontId="30285" fillId="8" borderId="1" xfId="0" applyNumberFormat="1" applyFont="1" applyFill="1" applyBorder="1" applyAlignment="1">
      <alignment horizontal="center" vertical="center"/>
    </xf>
    <xf numFmtId="165" fontId="30286" fillId="8" borderId="1" xfId="0" applyNumberFormat="1" applyFont="1" applyFill="1" applyBorder="1" applyAlignment="1">
      <alignment horizontal="center" vertical="center"/>
    </xf>
    <xf numFmtId="1" fontId="30287" fillId="8" borderId="1" xfId="0" applyNumberFormat="1" applyFont="1" applyFill="1" applyBorder="1" applyAlignment="1">
      <alignment horizontal="center" vertical="center"/>
    </xf>
    <xf numFmtId="165" fontId="30288" fillId="8" borderId="1" xfId="0" applyNumberFormat="1" applyFont="1" applyFill="1" applyBorder="1" applyAlignment="1">
      <alignment horizontal="center" vertical="center"/>
    </xf>
    <xf numFmtId="165" fontId="30289" fillId="8" borderId="1" xfId="0" applyNumberFormat="1" applyFont="1" applyFill="1" applyBorder="1" applyAlignment="1">
      <alignment horizontal="center" vertical="center"/>
    </xf>
    <xf numFmtId="1" fontId="30290" fillId="8" borderId="1" xfId="0" applyNumberFormat="1" applyFont="1" applyFill="1" applyBorder="1" applyAlignment="1">
      <alignment horizontal="center" vertical="center"/>
    </xf>
    <xf numFmtId="1" fontId="30291" fillId="8" borderId="1" xfId="0" applyNumberFormat="1" applyFont="1" applyFill="1" applyBorder="1" applyAlignment="1">
      <alignment horizontal="center" vertical="center"/>
    </xf>
    <xf numFmtId="1" fontId="30292" fillId="8" borderId="1" xfId="0" applyNumberFormat="1" applyFont="1" applyFill="1" applyBorder="1" applyAlignment="1">
      <alignment horizontal="center" vertical="center"/>
    </xf>
    <xf numFmtId="165" fontId="30293" fillId="8" borderId="1" xfId="0" applyNumberFormat="1" applyFont="1" applyFill="1" applyBorder="1" applyAlignment="1">
      <alignment horizontal="center" vertical="center"/>
    </xf>
    <xf numFmtId="164" fontId="30294" fillId="8" borderId="1" xfId="0" applyNumberFormat="1" applyFont="1" applyFill="1" applyBorder="1" applyAlignment="1">
      <alignment horizontal="center" vertical="center"/>
    </xf>
    <xf numFmtId="164" fontId="30295" fillId="8" borderId="1" xfId="0" applyNumberFormat="1" applyFont="1" applyFill="1" applyBorder="1" applyAlignment="1">
      <alignment horizontal="center" vertical="center"/>
    </xf>
    <xf numFmtId="1" fontId="30296" fillId="8" borderId="1" xfId="0" applyNumberFormat="1" applyFont="1" applyFill="1" applyBorder="1" applyAlignment="1">
      <alignment horizontal="center" vertical="center"/>
    </xf>
    <xf numFmtId="1" fontId="30297" fillId="8" borderId="1" xfId="0" applyNumberFormat="1" applyFont="1" applyFill="1" applyBorder="1" applyAlignment="1">
      <alignment horizontal="center" vertical="center"/>
    </xf>
    <xf numFmtId="1" fontId="30298" fillId="8" borderId="1" xfId="0" applyNumberFormat="1" applyFont="1" applyFill="1" applyBorder="1" applyAlignment="1">
      <alignment horizontal="center" vertical="center"/>
    </xf>
    <xf numFmtId="165" fontId="30299" fillId="8" borderId="1" xfId="0" applyNumberFormat="1" applyFont="1" applyFill="1" applyBorder="1" applyAlignment="1">
      <alignment horizontal="center" vertical="center"/>
    </xf>
    <xf numFmtId="1" fontId="30300" fillId="8" borderId="1" xfId="0" applyNumberFormat="1" applyFont="1" applyFill="1" applyBorder="1" applyAlignment="1">
      <alignment horizontal="center" vertical="center"/>
    </xf>
    <xf numFmtId="165" fontId="30301" fillId="8" borderId="1" xfId="0" applyNumberFormat="1" applyFont="1" applyFill="1" applyBorder="1" applyAlignment="1">
      <alignment horizontal="center" vertical="center"/>
    </xf>
    <xf numFmtId="1" fontId="30302" fillId="8" borderId="1" xfId="0" applyNumberFormat="1" applyFont="1" applyFill="1" applyBorder="1" applyAlignment="1">
      <alignment horizontal="center" vertical="center"/>
    </xf>
    <xf numFmtId="1" fontId="30303" fillId="8" borderId="1" xfId="0" applyNumberFormat="1" applyFont="1" applyFill="1" applyBorder="1" applyAlignment="1">
      <alignment horizontal="center" vertical="center"/>
    </xf>
    <xf numFmtId="1" fontId="30304" fillId="8" borderId="1" xfId="0" applyNumberFormat="1" applyFont="1" applyFill="1" applyBorder="1" applyAlignment="1">
      <alignment horizontal="center" vertical="center"/>
    </xf>
    <xf numFmtId="1" fontId="30305" fillId="8" borderId="1" xfId="0" applyNumberFormat="1" applyFont="1" applyFill="1" applyBorder="1" applyAlignment="1">
      <alignment horizontal="center" vertical="center"/>
    </xf>
    <xf numFmtId="165" fontId="30306" fillId="8" borderId="1" xfId="0" applyNumberFormat="1" applyFont="1" applyFill="1" applyBorder="1" applyAlignment="1">
      <alignment horizontal="center" vertical="center"/>
    </xf>
    <xf numFmtId="1" fontId="30307" fillId="8" borderId="1" xfId="0" applyNumberFormat="1" applyFont="1" applyFill="1" applyBorder="1" applyAlignment="1">
      <alignment horizontal="center" vertical="center"/>
    </xf>
    <xf numFmtId="165" fontId="30308" fillId="8" borderId="1" xfId="0" applyNumberFormat="1" applyFont="1" applyFill="1" applyBorder="1" applyAlignment="1">
      <alignment horizontal="center" vertical="center"/>
    </xf>
    <xf numFmtId="1" fontId="30309" fillId="8" borderId="1" xfId="0" applyNumberFormat="1" applyFont="1" applyFill="1" applyBorder="1" applyAlignment="1">
      <alignment horizontal="center" vertical="center"/>
    </xf>
    <xf numFmtId="165" fontId="30310" fillId="8" borderId="1" xfId="0" applyNumberFormat="1" applyFont="1" applyFill="1" applyBorder="1" applyAlignment="1">
      <alignment horizontal="center" vertical="center"/>
    </xf>
    <xf numFmtId="2" fontId="30311" fillId="8" borderId="1" xfId="0" applyNumberFormat="1" applyFont="1" applyFill="1" applyBorder="1" applyAlignment="1">
      <alignment horizontal="center" vertical="center"/>
    </xf>
    <xf numFmtId="2" fontId="30312" fillId="8" borderId="1" xfId="0" applyNumberFormat="1" applyFont="1" applyFill="1" applyBorder="1" applyAlignment="1">
      <alignment horizontal="center" vertical="center"/>
    </xf>
    <xf numFmtId="2" fontId="30313" fillId="8" borderId="1" xfId="0" applyNumberFormat="1" applyFont="1" applyFill="1" applyBorder="1" applyAlignment="1">
      <alignment horizontal="center" vertical="center"/>
    </xf>
    <xf numFmtId="2" fontId="30314" fillId="8" borderId="1" xfId="0" applyNumberFormat="1" applyFont="1" applyFill="1" applyBorder="1" applyAlignment="1">
      <alignment horizontal="center" vertical="center"/>
    </xf>
    <xf numFmtId="2" fontId="30315" fillId="8" borderId="1" xfId="0" applyNumberFormat="1" applyFont="1" applyFill="1" applyBorder="1" applyAlignment="1">
      <alignment horizontal="center" vertical="center"/>
    </xf>
    <xf numFmtId="2" fontId="30316" fillId="8" borderId="1" xfId="0" applyNumberFormat="1" applyFont="1" applyFill="1" applyBorder="1" applyAlignment="1">
      <alignment horizontal="center" vertical="center"/>
    </xf>
    <xf numFmtId="2" fontId="30317" fillId="8" borderId="1" xfId="0" applyNumberFormat="1" applyFont="1" applyFill="1" applyBorder="1" applyAlignment="1">
      <alignment horizontal="center" vertical="center"/>
    </xf>
    <xf numFmtId="2" fontId="30318" fillId="8" borderId="1" xfId="0" applyNumberFormat="1" applyFont="1" applyFill="1" applyBorder="1" applyAlignment="1">
      <alignment horizontal="center" vertical="center"/>
    </xf>
    <xf numFmtId="2" fontId="30319" fillId="8" borderId="1" xfId="0" applyNumberFormat="1" applyFont="1" applyFill="1" applyBorder="1" applyAlignment="1">
      <alignment horizontal="center" vertical="center"/>
    </xf>
    <xf numFmtId="2" fontId="30320" fillId="8" borderId="1" xfId="0" applyNumberFormat="1" applyFont="1" applyFill="1" applyBorder="1" applyAlignment="1">
      <alignment horizontal="center" vertical="center"/>
    </xf>
    <xf numFmtId="2" fontId="30321" fillId="8" borderId="1" xfId="0" applyNumberFormat="1" applyFont="1" applyFill="1" applyBorder="1" applyAlignment="1">
      <alignment horizontal="center" vertical="center"/>
    </xf>
    <xf numFmtId="2" fontId="30322" fillId="8" borderId="1" xfId="0" applyNumberFormat="1" applyFont="1" applyFill="1" applyBorder="1" applyAlignment="1">
      <alignment horizontal="center" vertical="center"/>
    </xf>
    <xf numFmtId="2" fontId="30323" fillId="8" borderId="1" xfId="0" applyNumberFormat="1" applyFont="1" applyFill="1" applyBorder="1" applyAlignment="1">
      <alignment horizontal="center" vertical="center"/>
    </xf>
    <xf numFmtId="2" fontId="30324" fillId="8" borderId="1" xfId="0" applyNumberFormat="1" applyFont="1" applyFill="1" applyBorder="1" applyAlignment="1">
      <alignment horizontal="center" vertical="center"/>
    </xf>
    <xf numFmtId="2" fontId="30325" fillId="8" borderId="1" xfId="0" applyNumberFormat="1" applyFont="1" applyFill="1" applyBorder="1" applyAlignment="1">
      <alignment horizontal="center" vertical="center"/>
    </xf>
    <xf numFmtId="2" fontId="30326" fillId="8" borderId="1" xfId="0" applyNumberFormat="1" applyFont="1" applyFill="1" applyBorder="1" applyAlignment="1">
      <alignment horizontal="center" vertical="center"/>
    </xf>
    <xf numFmtId="2" fontId="30327" fillId="8" borderId="1" xfId="0" applyNumberFormat="1" applyFont="1" applyFill="1" applyBorder="1" applyAlignment="1">
      <alignment horizontal="center" vertical="center"/>
    </xf>
    <xf numFmtId="2" fontId="30328" fillId="8" borderId="1" xfId="0" applyNumberFormat="1" applyFont="1" applyFill="1" applyBorder="1" applyAlignment="1">
      <alignment horizontal="center" vertical="center"/>
    </xf>
    <xf numFmtId="2" fontId="30329" fillId="8" borderId="1" xfId="0" applyNumberFormat="1" applyFont="1" applyFill="1" applyBorder="1" applyAlignment="1">
      <alignment horizontal="center" vertical="center"/>
    </xf>
    <xf numFmtId="2" fontId="30330" fillId="8" borderId="1" xfId="0" applyNumberFormat="1" applyFont="1" applyFill="1" applyBorder="1" applyAlignment="1">
      <alignment horizontal="center" vertical="center"/>
    </xf>
    <xf numFmtId="2" fontId="30331" fillId="8" borderId="1" xfId="0" applyNumberFormat="1" applyFont="1" applyFill="1" applyBorder="1" applyAlignment="1">
      <alignment horizontal="center" vertical="center"/>
    </xf>
    <xf numFmtId="2" fontId="30332" fillId="8" borderId="1" xfId="0" applyNumberFormat="1" applyFont="1" applyFill="1" applyBorder="1" applyAlignment="1">
      <alignment horizontal="center" vertical="center"/>
    </xf>
    <xf numFmtId="2" fontId="30333" fillId="8" borderId="1" xfId="0" applyNumberFormat="1" applyFont="1" applyFill="1" applyBorder="1" applyAlignment="1">
      <alignment horizontal="center" vertical="center"/>
    </xf>
    <xf numFmtId="2" fontId="30334" fillId="8" borderId="1" xfId="0" applyNumberFormat="1" applyFont="1" applyFill="1" applyBorder="1" applyAlignment="1">
      <alignment horizontal="center" vertical="center"/>
    </xf>
    <xf numFmtId="2" fontId="30335" fillId="8" borderId="1" xfId="0" applyNumberFormat="1" applyFont="1" applyFill="1" applyBorder="1" applyAlignment="1">
      <alignment horizontal="center" vertical="center"/>
    </xf>
    <xf numFmtId="2" fontId="30336" fillId="8" borderId="1" xfId="0" applyNumberFormat="1" applyFont="1" applyFill="1" applyBorder="1" applyAlignment="1">
      <alignment horizontal="center" vertical="center"/>
    </xf>
    <xf numFmtId="2" fontId="30337" fillId="8" borderId="1" xfId="0" applyNumberFormat="1" applyFont="1" applyFill="1" applyBorder="1" applyAlignment="1">
      <alignment horizontal="center" vertical="center"/>
    </xf>
    <xf numFmtId="2" fontId="30338" fillId="8" borderId="1" xfId="0" applyNumberFormat="1" applyFont="1" applyFill="1" applyBorder="1" applyAlignment="1">
      <alignment horizontal="center" vertical="center"/>
    </xf>
    <xf numFmtId="2" fontId="30339" fillId="8" borderId="1" xfId="0" applyNumberFormat="1" applyFont="1" applyFill="1" applyBorder="1" applyAlignment="1">
      <alignment horizontal="center" vertical="center"/>
    </xf>
    <xf numFmtId="2" fontId="30340" fillId="8" borderId="1" xfId="0" applyNumberFormat="1" applyFont="1" applyFill="1" applyBorder="1" applyAlignment="1">
      <alignment horizontal="center" vertical="center"/>
    </xf>
    <xf numFmtId="2" fontId="30341" fillId="8" borderId="1" xfId="0" applyNumberFormat="1" applyFont="1" applyFill="1" applyBorder="1" applyAlignment="1">
      <alignment horizontal="center" vertical="center"/>
    </xf>
    <xf numFmtId="2" fontId="30342" fillId="8" borderId="1" xfId="0" applyNumberFormat="1" applyFont="1" applyFill="1" applyBorder="1" applyAlignment="1">
      <alignment horizontal="center" vertical="center"/>
    </xf>
    <xf numFmtId="2" fontId="30343" fillId="8" borderId="1" xfId="0" applyNumberFormat="1" applyFont="1" applyFill="1" applyBorder="1" applyAlignment="1">
      <alignment horizontal="center" vertical="center"/>
    </xf>
    <xf numFmtId="2" fontId="30344" fillId="8" borderId="1" xfId="0" applyNumberFormat="1" applyFont="1" applyFill="1" applyBorder="1" applyAlignment="1">
      <alignment horizontal="center" vertical="center"/>
    </xf>
    <xf numFmtId="0" fontId="30345" fillId="7" borderId="1" xfId="0" applyNumberFormat="1" applyFont="1" applyFill="1" applyBorder="1" applyAlignment="1">
      <alignment horizontal="left" vertical="center"/>
    </xf>
    <xf numFmtId="0" fontId="30346" fillId="8" borderId="1" xfId="0" applyNumberFormat="1" applyFont="1" applyFill="1" applyBorder="1" applyAlignment="1">
      <alignment horizontal="center" vertical="center"/>
    </xf>
    <xf numFmtId="164" fontId="30347" fillId="8" borderId="1" xfId="0" applyNumberFormat="1" applyFont="1" applyFill="1" applyBorder="1" applyAlignment="1">
      <alignment horizontal="center" vertical="center"/>
    </xf>
    <xf numFmtId="1" fontId="30348" fillId="8" borderId="1" xfId="0" applyNumberFormat="1" applyFont="1" applyFill="1" applyBorder="1" applyAlignment="1">
      <alignment horizontal="center" vertical="center"/>
    </xf>
    <xf numFmtId="1" fontId="30349" fillId="8" borderId="1" xfId="0" applyNumberFormat="1" applyFont="1" applyFill="1" applyBorder="1" applyAlignment="1">
      <alignment horizontal="center" vertical="center"/>
    </xf>
    <xf numFmtId="1" fontId="30350" fillId="8" borderId="1" xfId="0" applyNumberFormat="1" applyFont="1" applyFill="1" applyBorder="1" applyAlignment="1">
      <alignment horizontal="center" vertical="center"/>
    </xf>
    <xf numFmtId="1" fontId="30351" fillId="8" borderId="1" xfId="0" applyNumberFormat="1" applyFont="1" applyFill="1" applyBorder="1" applyAlignment="1">
      <alignment horizontal="center" vertical="center"/>
    </xf>
    <xf numFmtId="1" fontId="30352" fillId="8" borderId="1" xfId="0" applyNumberFormat="1" applyFont="1" applyFill="1" applyBorder="1" applyAlignment="1">
      <alignment horizontal="center" vertical="center"/>
    </xf>
    <xf numFmtId="1" fontId="30353" fillId="8" borderId="1" xfId="0" applyNumberFormat="1" applyFont="1" applyFill="1" applyBorder="1" applyAlignment="1">
      <alignment horizontal="center" vertical="center"/>
    </xf>
    <xf numFmtId="1" fontId="30354" fillId="8" borderId="1" xfId="0" applyNumberFormat="1" applyFont="1" applyFill="1" applyBorder="1" applyAlignment="1">
      <alignment horizontal="center" vertical="center"/>
    </xf>
    <xf numFmtId="0" fontId="30355" fillId="8" borderId="1" xfId="0" applyNumberFormat="1" applyFont="1" applyFill="1" applyBorder="1" applyAlignment="1">
      <alignment horizontal="center" vertical="center"/>
    </xf>
    <xf numFmtId="0" fontId="30356" fillId="8" borderId="1" xfId="0" applyNumberFormat="1" applyFont="1" applyFill="1" applyBorder="1" applyAlignment="1">
      <alignment horizontal="center" vertical="center"/>
    </xf>
    <xf numFmtId="1" fontId="30357" fillId="8" borderId="1" xfId="0" applyNumberFormat="1" applyFont="1" applyFill="1" applyBorder="1" applyAlignment="1">
      <alignment horizontal="center" vertical="center"/>
    </xf>
    <xf numFmtId="1" fontId="30358" fillId="8" borderId="1" xfId="0" applyNumberFormat="1" applyFont="1" applyFill="1" applyBorder="1" applyAlignment="1">
      <alignment horizontal="center" vertical="center"/>
    </xf>
    <xf numFmtId="1" fontId="30359" fillId="8" borderId="1" xfId="0" applyNumberFormat="1" applyFont="1" applyFill="1" applyBorder="1" applyAlignment="1">
      <alignment horizontal="center" vertical="center"/>
    </xf>
    <xf numFmtId="165" fontId="30360" fillId="8" borderId="1" xfId="0" applyNumberFormat="1" applyFont="1" applyFill="1" applyBorder="1" applyAlignment="1">
      <alignment horizontal="center" vertical="center"/>
    </xf>
    <xf numFmtId="1" fontId="30361" fillId="8" borderId="1" xfId="0" applyNumberFormat="1" applyFont="1" applyFill="1" applyBorder="1" applyAlignment="1">
      <alignment horizontal="center" vertical="center"/>
    </xf>
    <xf numFmtId="165" fontId="30362" fillId="8" borderId="1" xfId="0" applyNumberFormat="1" applyFont="1" applyFill="1" applyBorder="1" applyAlignment="1">
      <alignment horizontal="center" vertical="center"/>
    </xf>
    <xf numFmtId="1" fontId="30363" fillId="8" borderId="1" xfId="0" applyNumberFormat="1" applyFont="1" applyFill="1" applyBorder="1" applyAlignment="1">
      <alignment horizontal="center" vertical="center"/>
    </xf>
    <xf numFmtId="165" fontId="30364" fillId="8" borderId="1" xfId="0" applyNumberFormat="1" applyFont="1" applyFill="1" applyBorder="1" applyAlignment="1">
      <alignment horizontal="center" vertical="center"/>
    </xf>
    <xf numFmtId="1" fontId="30365" fillId="8" borderId="1" xfId="0" applyNumberFormat="1" applyFont="1" applyFill="1" applyBorder="1" applyAlignment="1">
      <alignment horizontal="center" vertical="center"/>
    </xf>
    <xf numFmtId="165" fontId="30366" fillId="8" borderId="1" xfId="0" applyNumberFormat="1" applyFont="1" applyFill="1" applyBorder="1" applyAlignment="1">
      <alignment horizontal="center" vertical="center"/>
    </xf>
    <xf numFmtId="165" fontId="30367" fillId="8" borderId="1" xfId="0" applyNumberFormat="1" applyFont="1" applyFill="1" applyBorder="1" applyAlignment="1">
      <alignment horizontal="center" vertical="center"/>
    </xf>
    <xf numFmtId="1" fontId="30368" fillId="8" borderId="1" xfId="0" applyNumberFormat="1" applyFont="1" applyFill="1" applyBorder="1" applyAlignment="1">
      <alignment horizontal="center" vertical="center"/>
    </xf>
    <xf numFmtId="1" fontId="30369" fillId="8" borderId="1" xfId="0" applyNumberFormat="1" applyFont="1" applyFill="1" applyBorder="1" applyAlignment="1">
      <alignment horizontal="center" vertical="center"/>
    </xf>
    <xf numFmtId="1" fontId="30370" fillId="8" borderId="1" xfId="0" applyNumberFormat="1" applyFont="1" applyFill="1" applyBorder="1" applyAlignment="1">
      <alignment horizontal="center" vertical="center"/>
    </xf>
    <xf numFmtId="165" fontId="30371" fillId="8" borderId="1" xfId="0" applyNumberFormat="1" applyFont="1" applyFill="1" applyBorder="1" applyAlignment="1">
      <alignment horizontal="center" vertical="center"/>
    </xf>
    <xf numFmtId="164" fontId="30372" fillId="8" borderId="1" xfId="0" applyNumberFormat="1" applyFont="1" applyFill="1" applyBorder="1" applyAlignment="1">
      <alignment horizontal="center" vertical="center"/>
    </xf>
    <xf numFmtId="164" fontId="30373" fillId="8" borderId="1" xfId="0" applyNumberFormat="1" applyFont="1" applyFill="1" applyBorder="1" applyAlignment="1">
      <alignment horizontal="center" vertical="center"/>
    </xf>
    <xf numFmtId="1" fontId="30374" fillId="8" borderId="1" xfId="0" applyNumberFormat="1" applyFont="1" applyFill="1" applyBorder="1" applyAlignment="1">
      <alignment horizontal="center" vertical="center"/>
    </xf>
    <xf numFmtId="1" fontId="30375" fillId="8" borderId="1" xfId="0" applyNumberFormat="1" applyFont="1" applyFill="1" applyBorder="1" applyAlignment="1">
      <alignment horizontal="center" vertical="center"/>
    </xf>
    <xf numFmtId="1" fontId="30376" fillId="8" borderId="1" xfId="0" applyNumberFormat="1" applyFont="1" applyFill="1" applyBorder="1" applyAlignment="1">
      <alignment horizontal="center" vertical="center"/>
    </xf>
    <xf numFmtId="165" fontId="30377" fillId="8" borderId="1" xfId="0" applyNumberFormat="1" applyFont="1" applyFill="1" applyBorder="1" applyAlignment="1">
      <alignment horizontal="center" vertical="center"/>
    </xf>
    <xf numFmtId="1" fontId="30378" fillId="8" borderId="1" xfId="0" applyNumberFormat="1" applyFont="1" applyFill="1" applyBorder="1" applyAlignment="1">
      <alignment horizontal="center" vertical="center"/>
    </xf>
    <xf numFmtId="165" fontId="30379" fillId="8" borderId="1" xfId="0" applyNumberFormat="1" applyFont="1" applyFill="1" applyBorder="1" applyAlignment="1">
      <alignment horizontal="center" vertical="center"/>
    </xf>
    <xf numFmtId="1" fontId="30380" fillId="8" borderId="1" xfId="0" applyNumberFormat="1" applyFont="1" applyFill="1" applyBorder="1" applyAlignment="1">
      <alignment horizontal="center" vertical="center"/>
    </xf>
    <xf numFmtId="1" fontId="30381" fillId="8" borderId="1" xfId="0" applyNumberFormat="1" applyFont="1" applyFill="1" applyBorder="1" applyAlignment="1">
      <alignment horizontal="center" vertical="center"/>
    </xf>
    <xf numFmtId="1" fontId="30382" fillId="8" borderId="1" xfId="0" applyNumberFormat="1" applyFont="1" applyFill="1" applyBorder="1" applyAlignment="1">
      <alignment horizontal="center" vertical="center"/>
    </xf>
    <xf numFmtId="1" fontId="30383" fillId="8" borderId="1" xfId="0" applyNumberFormat="1" applyFont="1" applyFill="1" applyBorder="1" applyAlignment="1">
      <alignment horizontal="center" vertical="center"/>
    </xf>
    <xf numFmtId="165" fontId="30384" fillId="8" borderId="1" xfId="0" applyNumberFormat="1" applyFont="1" applyFill="1" applyBorder="1" applyAlignment="1">
      <alignment horizontal="center" vertical="center"/>
    </xf>
    <xf numFmtId="1" fontId="30385" fillId="8" borderId="1" xfId="0" applyNumberFormat="1" applyFont="1" applyFill="1" applyBorder="1" applyAlignment="1">
      <alignment horizontal="center" vertical="center"/>
    </xf>
    <xf numFmtId="165" fontId="30386" fillId="8" borderId="1" xfId="0" applyNumberFormat="1" applyFont="1" applyFill="1" applyBorder="1" applyAlignment="1">
      <alignment horizontal="center" vertical="center"/>
    </xf>
    <xf numFmtId="1" fontId="30387" fillId="8" borderId="1" xfId="0" applyNumberFormat="1" applyFont="1" applyFill="1" applyBorder="1" applyAlignment="1">
      <alignment horizontal="center" vertical="center"/>
    </xf>
    <xf numFmtId="165" fontId="30388" fillId="8" borderId="1" xfId="0" applyNumberFormat="1" applyFont="1" applyFill="1" applyBorder="1" applyAlignment="1">
      <alignment horizontal="center" vertical="center"/>
    </xf>
    <xf numFmtId="2" fontId="30389" fillId="8" borderId="1" xfId="0" applyNumberFormat="1" applyFont="1" applyFill="1" applyBorder="1" applyAlignment="1">
      <alignment horizontal="center" vertical="center"/>
    </xf>
    <xf numFmtId="2" fontId="30390" fillId="8" borderId="1" xfId="0" applyNumberFormat="1" applyFont="1" applyFill="1" applyBorder="1" applyAlignment="1">
      <alignment horizontal="center" vertical="center"/>
    </xf>
    <xf numFmtId="2" fontId="30391" fillId="8" borderId="1" xfId="0" applyNumberFormat="1" applyFont="1" applyFill="1" applyBorder="1" applyAlignment="1">
      <alignment horizontal="center" vertical="center"/>
    </xf>
    <xf numFmtId="2" fontId="30392" fillId="8" borderId="1" xfId="0" applyNumberFormat="1" applyFont="1" applyFill="1" applyBorder="1" applyAlignment="1">
      <alignment horizontal="center" vertical="center"/>
    </xf>
    <xf numFmtId="2" fontId="30393" fillId="8" borderId="1" xfId="0" applyNumberFormat="1" applyFont="1" applyFill="1" applyBorder="1" applyAlignment="1">
      <alignment horizontal="center" vertical="center"/>
    </xf>
    <xf numFmtId="2" fontId="30394" fillId="8" borderId="1" xfId="0" applyNumberFormat="1" applyFont="1" applyFill="1" applyBorder="1" applyAlignment="1">
      <alignment horizontal="center" vertical="center"/>
    </xf>
    <xf numFmtId="2" fontId="30395" fillId="8" borderId="1" xfId="0" applyNumberFormat="1" applyFont="1" applyFill="1" applyBorder="1" applyAlignment="1">
      <alignment horizontal="center" vertical="center"/>
    </xf>
    <xf numFmtId="2" fontId="30396" fillId="8" borderId="1" xfId="0" applyNumberFormat="1" applyFont="1" applyFill="1" applyBorder="1" applyAlignment="1">
      <alignment horizontal="center" vertical="center"/>
    </xf>
    <xf numFmtId="2" fontId="30397" fillId="8" borderId="1" xfId="0" applyNumberFormat="1" applyFont="1" applyFill="1" applyBorder="1" applyAlignment="1">
      <alignment horizontal="center" vertical="center"/>
    </xf>
    <xf numFmtId="2" fontId="30398" fillId="8" borderId="1" xfId="0" applyNumberFormat="1" applyFont="1" applyFill="1" applyBorder="1" applyAlignment="1">
      <alignment horizontal="center" vertical="center"/>
    </xf>
    <xf numFmtId="2" fontId="30399" fillId="8" borderId="1" xfId="0" applyNumberFormat="1" applyFont="1" applyFill="1" applyBorder="1" applyAlignment="1">
      <alignment horizontal="center" vertical="center"/>
    </xf>
    <xf numFmtId="2" fontId="30400" fillId="8" borderId="1" xfId="0" applyNumberFormat="1" applyFont="1" applyFill="1" applyBorder="1" applyAlignment="1">
      <alignment horizontal="center" vertical="center"/>
    </xf>
    <xf numFmtId="2" fontId="30401" fillId="8" borderId="1" xfId="0" applyNumberFormat="1" applyFont="1" applyFill="1" applyBorder="1" applyAlignment="1">
      <alignment horizontal="center" vertical="center"/>
    </xf>
    <xf numFmtId="2" fontId="30402" fillId="8" borderId="1" xfId="0" applyNumberFormat="1" applyFont="1" applyFill="1" applyBorder="1" applyAlignment="1">
      <alignment horizontal="center" vertical="center"/>
    </xf>
    <xf numFmtId="2" fontId="30403" fillId="8" borderId="1" xfId="0" applyNumberFormat="1" applyFont="1" applyFill="1" applyBorder="1" applyAlignment="1">
      <alignment horizontal="center" vertical="center"/>
    </xf>
    <xf numFmtId="2" fontId="30404" fillId="8" borderId="1" xfId="0" applyNumberFormat="1" applyFont="1" applyFill="1" applyBorder="1" applyAlignment="1">
      <alignment horizontal="center" vertical="center"/>
    </xf>
    <xf numFmtId="2" fontId="30405" fillId="8" borderId="1" xfId="0" applyNumberFormat="1" applyFont="1" applyFill="1" applyBorder="1" applyAlignment="1">
      <alignment horizontal="center" vertical="center"/>
    </xf>
    <xf numFmtId="2" fontId="30406" fillId="8" borderId="1" xfId="0" applyNumberFormat="1" applyFont="1" applyFill="1" applyBorder="1" applyAlignment="1">
      <alignment horizontal="center" vertical="center"/>
    </xf>
    <xf numFmtId="2" fontId="30407" fillId="8" borderId="1" xfId="0" applyNumberFormat="1" applyFont="1" applyFill="1" applyBorder="1" applyAlignment="1">
      <alignment horizontal="center" vertical="center"/>
    </xf>
    <xf numFmtId="2" fontId="30408" fillId="8" borderId="1" xfId="0" applyNumberFormat="1" applyFont="1" applyFill="1" applyBorder="1" applyAlignment="1">
      <alignment horizontal="center" vertical="center"/>
    </xf>
    <xf numFmtId="2" fontId="30409" fillId="8" borderId="1" xfId="0" applyNumberFormat="1" applyFont="1" applyFill="1" applyBorder="1" applyAlignment="1">
      <alignment horizontal="center" vertical="center"/>
    </xf>
    <xf numFmtId="2" fontId="30410" fillId="8" borderId="1" xfId="0" applyNumberFormat="1" applyFont="1" applyFill="1" applyBorder="1" applyAlignment="1">
      <alignment horizontal="center" vertical="center"/>
    </xf>
    <xf numFmtId="2" fontId="30411" fillId="8" borderId="1" xfId="0" applyNumberFormat="1" applyFont="1" applyFill="1" applyBorder="1" applyAlignment="1">
      <alignment horizontal="center" vertical="center"/>
    </xf>
    <xf numFmtId="2" fontId="30412" fillId="8" borderId="1" xfId="0" applyNumberFormat="1" applyFont="1" applyFill="1" applyBorder="1" applyAlignment="1">
      <alignment horizontal="center" vertical="center"/>
    </xf>
    <xf numFmtId="2" fontId="30413" fillId="8" borderId="1" xfId="0" applyNumberFormat="1" applyFont="1" applyFill="1" applyBorder="1" applyAlignment="1">
      <alignment horizontal="center" vertical="center"/>
    </xf>
    <xf numFmtId="2" fontId="30414" fillId="8" borderId="1" xfId="0" applyNumberFormat="1" applyFont="1" applyFill="1" applyBorder="1" applyAlignment="1">
      <alignment horizontal="center" vertical="center"/>
    </xf>
    <xf numFmtId="2" fontId="30415" fillId="8" borderId="1" xfId="0" applyNumberFormat="1" applyFont="1" applyFill="1" applyBorder="1" applyAlignment="1">
      <alignment horizontal="center" vertical="center"/>
    </xf>
    <xf numFmtId="2" fontId="30416" fillId="8" borderId="1" xfId="0" applyNumberFormat="1" applyFont="1" applyFill="1" applyBorder="1" applyAlignment="1">
      <alignment horizontal="center" vertical="center"/>
    </xf>
    <xf numFmtId="2" fontId="30417" fillId="8" borderId="1" xfId="0" applyNumberFormat="1" applyFont="1" applyFill="1" applyBorder="1" applyAlignment="1">
      <alignment horizontal="center" vertical="center"/>
    </xf>
    <xf numFmtId="2" fontId="30418" fillId="8" borderId="1" xfId="0" applyNumberFormat="1" applyFont="1" applyFill="1" applyBorder="1" applyAlignment="1">
      <alignment horizontal="center" vertical="center"/>
    </xf>
    <xf numFmtId="2" fontId="30419" fillId="8" borderId="1" xfId="0" applyNumberFormat="1" applyFont="1" applyFill="1" applyBorder="1" applyAlignment="1">
      <alignment horizontal="center" vertical="center"/>
    </xf>
    <xf numFmtId="2" fontId="30420" fillId="8" borderId="1" xfId="0" applyNumberFormat="1" applyFont="1" applyFill="1" applyBorder="1" applyAlignment="1">
      <alignment horizontal="center" vertical="center"/>
    </xf>
    <xf numFmtId="2" fontId="30421" fillId="8" borderId="1" xfId="0" applyNumberFormat="1" applyFont="1" applyFill="1" applyBorder="1" applyAlignment="1">
      <alignment horizontal="center" vertical="center"/>
    </xf>
    <xf numFmtId="2" fontId="30422" fillId="8" borderId="1" xfId="0" applyNumberFormat="1" applyFont="1" applyFill="1" applyBorder="1" applyAlignment="1">
      <alignment horizontal="center" vertical="center"/>
    </xf>
    <xf numFmtId="0" fontId="30423" fillId="7" borderId="1" xfId="0" applyNumberFormat="1" applyFont="1" applyFill="1" applyBorder="1" applyAlignment="1">
      <alignment horizontal="left" vertical="center"/>
    </xf>
    <xf numFmtId="0" fontId="30424" fillId="8" borderId="1" xfId="0" applyNumberFormat="1" applyFont="1" applyFill="1" applyBorder="1" applyAlignment="1">
      <alignment horizontal="center" vertical="center"/>
    </xf>
    <xf numFmtId="164" fontId="30425" fillId="8" borderId="1" xfId="0" applyNumberFormat="1" applyFont="1" applyFill="1" applyBorder="1" applyAlignment="1">
      <alignment horizontal="center" vertical="center"/>
    </xf>
    <xf numFmtId="1" fontId="30426" fillId="8" borderId="1" xfId="0" applyNumberFormat="1" applyFont="1" applyFill="1" applyBorder="1" applyAlignment="1">
      <alignment horizontal="center" vertical="center"/>
    </xf>
    <xf numFmtId="1" fontId="30427" fillId="8" borderId="1" xfId="0" applyNumberFormat="1" applyFont="1" applyFill="1" applyBorder="1" applyAlignment="1">
      <alignment horizontal="center" vertical="center"/>
    </xf>
    <xf numFmtId="1" fontId="30428" fillId="8" borderId="1" xfId="0" applyNumberFormat="1" applyFont="1" applyFill="1" applyBorder="1" applyAlignment="1">
      <alignment horizontal="center" vertical="center"/>
    </xf>
    <xf numFmtId="1" fontId="30429" fillId="8" borderId="1" xfId="0" applyNumberFormat="1" applyFont="1" applyFill="1" applyBorder="1" applyAlignment="1">
      <alignment horizontal="center" vertical="center"/>
    </xf>
    <xf numFmtId="1" fontId="30430" fillId="8" borderId="1" xfId="0" applyNumberFormat="1" applyFont="1" applyFill="1" applyBorder="1" applyAlignment="1">
      <alignment horizontal="center" vertical="center"/>
    </xf>
    <xf numFmtId="1" fontId="30431" fillId="8" borderId="1" xfId="0" applyNumberFormat="1" applyFont="1" applyFill="1" applyBorder="1" applyAlignment="1">
      <alignment horizontal="center" vertical="center"/>
    </xf>
    <xf numFmtId="1" fontId="30432" fillId="8" borderId="1" xfId="0" applyNumberFormat="1" applyFont="1" applyFill="1" applyBorder="1" applyAlignment="1">
      <alignment horizontal="center" vertical="center"/>
    </xf>
    <xf numFmtId="0" fontId="30433" fillId="8" borderId="1" xfId="0" applyNumberFormat="1" applyFont="1" applyFill="1" applyBorder="1" applyAlignment="1">
      <alignment horizontal="center" vertical="center"/>
    </xf>
    <xf numFmtId="0" fontId="30434" fillId="8" borderId="1" xfId="0" applyNumberFormat="1" applyFont="1" applyFill="1" applyBorder="1" applyAlignment="1">
      <alignment horizontal="center" vertical="center"/>
    </xf>
    <xf numFmtId="1" fontId="30435" fillId="8" borderId="1" xfId="0" applyNumberFormat="1" applyFont="1" applyFill="1" applyBorder="1" applyAlignment="1">
      <alignment horizontal="center" vertical="center"/>
    </xf>
    <xf numFmtId="1" fontId="30436" fillId="8" borderId="1" xfId="0" applyNumberFormat="1" applyFont="1" applyFill="1" applyBorder="1" applyAlignment="1">
      <alignment horizontal="center" vertical="center"/>
    </xf>
    <xf numFmtId="1" fontId="30437" fillId="8" borderId="1" xfId="0" applyNumberFormat="1" applyFont="1" applyFill="1" applyBorder="1" applyAlignment="1">
      <alignment horizontal="center" vertical="center"/>
    </xf>
    <xf numFmtId="165" fontId="30438" fillId="8" borderId="1" xfId="0" applyNumberFormat="1" applyFont="1" applyFill="1" applyBorder="1" applyAlignment="1">
      <alignment horizontal="center" vertical="center"/>
    </xf>
    <xf numFmtId="1" fontId="30439" fillId="8" borderId="1" xfId="0" applyNumberFormat="1" applyFont="1" applyFill="1" applyBorder="1" applyAlignment="1">
      <alignment horizontal="center" vertical="center"/>
    </xf>
    <xf numFmtId="165" fontId="30440" fillId="8" borderId="1" xfId="0" applyNumberFormat="1" applyFont="1" applyFill="1" applyBorder="1" applyAlignment="1">
      <alignment horizontal="center" vertical="center"/>
    </xf>
    <xf numFmtId="1" fontId="30441" fillId="8" borderId="1" xfId="0" applyNumberFormat="1" applyFont="1" applyFill="1" applyBorder="1" applyAlignment="1">
      <alignment horizontal="center" vertical="center"/>
    </xf>
    <xf numFmtId="165" fontId="30442" fillId="8" borderId="1" xfId="0" applyNumberFormat="1" applyFont="1" applyFill="1" applyBorder="1" applyAlignment="1">
      <alignment horizontal="center" vertical="center"/>
    </xf>
    <xf numFmtId="1" fontId="30443" fillId="8" borderId="1" xfId="0" applyNumberFormat="1" applyFont="1" applyFill="1" applyBorder="1" applyAlignment="1">
      <alignment horizontal="center" vertical="center"/>
    </xf>
    <xf numFmtId="165" fontId="30444" fillId="8" borderId="1" xfId="0" applyNumberFormat="1" applyFont="1" applyFill="1" applyBorder="1" applyAlignment="1">
      <alignment horizontal="center" vertical="center"/>
    </xf>
    <xf numFmtId="165" fontId="30445" fillId="8" borderId="1" xfId="0" applyNumberFormat="1" applyFont="1" applyFill="1" applyBorder="1" applyAlignment="1">
      <alignment horizontal="center" vertical="center"/>
    </xf>
    <xf numFmtId="1" fontId="30446" fillId="8" borderId="1" xfId="0" applyNumberFormat="1" applyFont="1" applyFill="1" applyBorder="1" applyAlignment="1">
      <alignment horizontal="center" vertical="center"/>
    </xf>
    <xf numFmtId="1" fontId="30447" fillId="8" borderId="1" xfId="0" applyNumberFormat="1" applyFont="1" applyFill="1" applyBorder="1" applyAlignment="1">
      <alignment horizontal="center" vertical="center"/>
    </xf>
    <xf numFmtId="1" fontId="30448" fillId="8" borderId="1" xfId="0" applyNumberFormat="1" applyFont="1" applyFill="1" applyBorder="1" applyAlignment="1">
      <alignment horizontal="center" vertical="center"/>
    </xf>
    <xf numFmtId="165" fontId="30449" fillId="8" borderId="1" xfId="0" applyNumberFormat="1" applyFont="1" applyFill="1" applyBorder="1" applyAlignment="1">
      <alignment horizontal="center" vertical="center"/>
    </xf>
    <xf numFmtId="164" fontId="30450" fillId="8" borderId="1" xfId="0" applyNumberFormat="1" applyFont="1" applyFill="1" applyBorder="1" applyAlignment="1">
      <alignment horizontal="center" vertical="center"/>
    </xf>
    <xf numFmtId="164" fontId="30451" fillId="8" borderId="1" xfId="0" applyNumberFormat="1" applyFont="1" applyFill="1" applyBorder="1" applyAlignment="1">
      <alignment horizontal="center" vertical="center"/>
    </xf>
    <xf numFmtId="1" fontId="30452" fillId="8" borderId="1" xfId="0" applyNumberFormat="1" applyFont="1" applyFill="1" applyBorder="1" applyAlignment="1">
      <alignment horizontal="center" vertical="center"/>
    </xf>
    <xf numFmtId="1" fontId="30453" fillId="8" borderId="1" xfId="0" applyNumberFormat="1" applyFont="1" applyFill="1" applyBorder="1" applyAlignment="1">
      <alignment horizontal="center" vertical="center"/>
    </xf>
    <xf numFmtId="1" fontId="30454" fillId="8" borderId="1" xfId="0" applyNumberFormat="1" applyFont="1" applyFill="1" applyBorder="1" applyAlignment="1">
      <alignment horizontal="center" vertical="center"/>
    </xf>
    <xf numFmtId="165" fontId="30455" fillId="8" borderId="1" xfId="0" applyNumberFormat="1" applyFont="1" applyFill="1" applyBorder="1" applyAlignment="1">
      <alignment horizontal="center" vertical="center"/>
    </xf>
    <xf numFmtId="1" fontId="30456" fillId="8" borderId="1" xfId="0" applyNumberFormat="1" applyFont="1" applyFill="1" applyBorder="1" applyAlignment="1">
      <alignment horizontal="center" vertical="center"/>
    </xf>
    <xf numFmtId="165" fontId="30457" fillId="8" borderId="1" xfId="0" applyNumberFormat="1" applyFont="1" applyFill="1" applyBorder="1" applyAlignment="1">
      <alignment horizontal="center" vertical="center"/>
    </xf>
    <xf numFmtId="1" fontId="30458" fillId="8" borderId="1" xfId="0" applyNumberFormat="1" applyFont="1" applyFill="1" applyBorder="1" applyAlignment="1">
      <alignment horizontal="center" vertical="center"/>
    </xf>
    <xf numFmtId="1" fontId="30459" fillId="8" borderId="1" xfId="0" applyNumberFormat="1" applyFont="1" applyFill="1" applyBorder="1" applyAlignment="1">
      <alignment horizontal="center" vertical="center"/>
    </xf>
    <xf numFmtId="1" fontId="30460" fillId="8" borderId="1" xfId="0" applyNumberFormat="1" applyFont="1" applyFill="1" applyBorder="1" applyAlignment="1">
      <alignment horizontal="center" vertical="center"/>
    </xf>
    <xf numFmtId="1" fontId="30461" fillId="8" borderId="1" xfId="0" applyNumberFormat="1" applyFont="1" applyFill="1" applyBorder="1" applyAlignment="1">
      <alignment horizontal="center" vertical="center"/>
    </xf>
    <xf numFmtId="165" fontId="30462" fillId="8" borderId="1" xfId="0" applyNumberFormat="1" applyFont="1" applyFill="1" applyBorder="1" applyAlignment="1">
      <alignment horizontal="center" vertical="center"/>
    </xf>
    <xf numFmtId="1" fontId="30463" fillId="8" borderId="1" xfId="0" applyNumberFormat="1" applyFont="1" applyFill="1" applyBorder="1" applyAlignment="1">
      <alignment horizontal="center" vertical="center"/>
    </xf>
    <xf numFmtId="165" fontId="30464" fillId="8" borderId="1" xfId="0" applyNumberFormat="1" applyFont="1" applyFill="1" applyBorder="1" applyAlignment="1">
      <alignment horizontal="center" vertical="center"/>
    </xf>
    <xf numFmtId="1" fontId="30465" fillId="8" borderId="1" xfId="0" applyNumberFormat="1" applyFont="1" applyFill="1" applyBorder="1" applyAlignment="1">
      <alignment horizontal="center" vertical="center"/>
    </xf>
    <xf numFmtId="165" fontId="30466" fillId="8" borderId="1" xfId="0" applyNumberFormat="1" applyFont="1" applyFill="1" applyBorder="1" applyAlignment="1">
      <alignment horizontal="center" vertical="center"/>
    </xf>
    <xf numFmtId="2" fontId="30467" fillId="8" borderId="1" xfId="0" applyNumberFormat="1" applyFont="1" applyFill="1" applyBorder="1" applyAlignment="1">
      <alignment horizontal="center" vertical="center"/>
    </xf>
    <xf numFmtId="2" fontId="30468" fillId="8" borderId="1" xfId="0" applyNumberFormat="1" applyFont="1" applyFill="1" applyBorder="1" applyAlignment="1">
      <alignment horizontal="center" vertical="center"/>
    </xf>
    <xf numFmtId="2" fontId="30469" fillId="8" borderId="1" xfId="0" applyNumberFormat="1" applyFont="1" applyFill="1" applyBorder="1" applyAlignment="1">
      <alignment horizontal="center" vertical="center"/>
    </xf>
    <xf numFmtId="2" fontId="30470" fillId="8" borderId="1" xfId="0" applyNumberFormat="1" applyFont="1" applyFill="1" applyBorder="1" applyAlignment="1">
      <alignment horizontal="center" vertical="center"/>
    </xf>
    <xf numFmtId="2" fontId="30471" fillId="8" borderId="1" xfId="0" applyNumberFormat="1" applyFont="1" applyFill="1" applyBorder="1" applyAlignment="1">
      <alignment horizontal="center" vertical="center"/>
    </xf>
    <xf numFmtId="2" fontId="30472" fillId="8" borderId="1" xfId="0" applyNumberFormat="1" applyFont="1" applyFill="1" applyBorder="1" applyAlignment="1">
      <alignment horizontal="center" vertical="center"/>
    </xf>
    <xf numFmtId="2" fontId="30473" fillId="8" borderId="1" xfId="0" applyNumberFormat="1" applyFont="1" applyFill="1" applyBorder="1" applyAlignment="1">
      <alignment horizontal="center" vertical="center"/>
    </xf>
    <xf numFmtId="2" fontId="30474" fillId="8" borderId="1" xfId="0" applyNumberFormat="1" applyFont="1" applyFill="1" applyBorder="1" applyAlignment="1">
      <alignment horizontal="center" vertical="center"/>
    </xf>
    <xf numFmtId="2" fontId="30475" fillId="8" borderId="1" xfId="0" applyNumberFormat="1" applyFont="1" applyFill="1" applyBorder="1" applyAlignment="1">
      <alignment horizontal="center" vertical="center"/>
    </xf>
    <xf numFmtId="2" fontId="30476" fillId="8" borderId="1" xfId="0" applyNumberFormat="1" applyFont="1" applyFill="1" applyBorder="1" applyAlignment="1">
      <alignment horizontal="center" vertical="center"/>
    </xf>
    <xf numFmtId="2" fontId="30477" fillId="8" borderId="1" xfId="0" applyNumberFormat="1" applyFont="1" applyFill="1" applyBorder="1" applyAlignment="1">
      <alignment horizontal="center" vertical="center"/>
    </xf>
    <xf numFmtId="2" fontId="30478" fillId="8" borderId="1" xfId="0" applyNumberFormat="1" applyFont="1" applyFill="1" applyBorder="1" applyAlignment="1">
      <alignment horizontal="center" vertical="center"/>
    </xf>
    <xf numFmtId="2" fontId="30479" fillId="8" borderId="1" xfId="0" applyNumberFormat="1" applyFont="1" applyFill="1" applyBorder="1" applyAlignment="1">
      <alignment horizontal="center" vertical="center"/>
    </xf>
    <xf numFmtId="2" fontId="30480" fillId="8" borderId="1" xfId="0" applyNumberFormat="1" applyFont="1" applyFill="1" applyBorder="1" applyAlignment="1">
      <alignment horizontal="center" vertical="center"/>
    </xf>
    <xf numFmtId="2" fontId="30481" fillId="8" borderId="1" xfId="0" applyNumberFormat="1" applyFont="1" applyFill="1" applyBorder="1" applyAlignment="1">
      <alignment horizontal="center" vertical="center"/>
    </xf>
    <xf numFmtId="2" fontId="30482" fillId="8" borderId="1" xfId="0" applyNumberFormat="1" applyFont="1" applyFill="1" applyBorder="1" applyAlignment="1">
      <alignment horizontal="center" vertical="center"/>
    </xf>
    <xf numFmtId="2" fontId="30483" fillId="8" borderId="1" xfId="0" applyNumberFormat="1" applyFont="1" applyFill="1" applyBorder="1" applyAlignment="1">
      <alignment horizontal="center" vertical="center"/>
    </xf>
    <xf numFmtId="2" fontId="30484" fillId="8" borderId="1" xfId="0" applyNumberFormat="1" applyFont="1" applyFill="1" applyBorder="1" applyAlignment="1">
      <alignment horizontal="center" vertical="center"/>
    </xf>
    <xf numFmtId="2" fontId="30485" fillId="8" borderId="1" xfId="0" applyNumberFormat="1" applyFont="1" applyFill="1" applyBorder="1" applyAlignment="1">
      <alignment horizontal="center" vertical="center"/>
    </xf>
    <xf numFmtId="2" fontId="30486" fillId="8" borderId="1" xfId="0" applyNumberFormat="1" applyFont="1" applyFill="1" applyBorder="1" applyAlignment="1">
      <alignment horizontal="center" vertical="center"/>
    </xf>
    <xf numFmtId="2" fontId="30487" fillId="8" borderId="1" xfId="0" applyNumberFormat="1" applyFont="1" applyFill="1" applyBorder="1" applyAlignment="1">
      <alignment horizontal="center" vertical="center"/>
    </xf>
    <xf numFmtId="2" fontId="30488" fillId="8" borderId="1" xfId="0" applyNumberFormat="1" applyFont="1" applyFill="1" applyBorder="1" applyAlignment="1">
      <alignment horizontal="center" vertical="center"/>
    </xf>
    <xf numFmtId="2" fontId="30489" fillId="8" borderId="1" xfId="0" applyNumberFormat="1" applyFont="1" applyFill="1" applyBorder="1" applyAlignment="1">
      <alignment horizontal="center" vertical="center"/>
    </xf>
    <xf numFmtId="2" fontId="30490" fillId="8" borderId="1" xfId="0" applyNumberFormat="1" applyFont="1" applyFill="1" applyBorder="1" applyAlignment="1">
      <alignment horizontal="center" vertical="center"/>
    </xf>
    <xf numFmtId="2" fontId="30491" fillId="8" borderId="1" xfId="0" applyNumberFormat="1" applyFont="1" applyFill="1" applyBorder="1" applyAlignment="1">
      <alignment horizontal="center" vertical="center"/>
    </xf>
    <xf numFmtId="2" fontId="30492" fillId="8" borderId="1" xfId="0" applyNumberFormat="1" applyFont="1" applyFill="1" applyBorder="1" applyAlignment="1">
      <alignment horizontal="center" vertical="center"/>
    </xf>
    <xf numFmtId="2" fontId="30493" fillId="8" borderId="1" xfId="0" applyNumberFormat="1" applyFont="1" applyFill="1" applyBorder="1" applyAlignment="1">
      <alignment horizontal="center" vertical="center"/>
    </xf>
    <xf numFmtId="2" fontId="30494" fillId="8" borderId="1" xfId="0" applyNumberFormat="1" applyFont="1" applyFill="1" applyBorder="1" applyAlignment="1">
      <alignment horizontal="center" vertical="center"/>
    </xf>
    <xf numFmtId="2" fontId="30495" fillId="8" borderId="1" xfId="0" applyNumberFormat="1" applyFont="1" applyFill="1" applyBorder="1" applyAlignment="1">
      <alignment horizontal="center" vertical="center"/>
    </xf>
    <xf numFmtId="2" fontId="30496" fillId="8" borderId="1" xfId="0" applyNumberFormat="1" applyFont="1" applyFill="1" applyBorder="1" applyAlignment="1">
      <alignment horizontal="center" vertical="center"/>
    </xf>
    <xf numFmtId="2" fontId="30497" fillId="8" borderId="1" xfId="0" applyNumberFormat="1" applyFont="1" applyFill="1" applyBorder="1" applyAlignment="1">
      <alignment horizontal="center" vertical="center"/>
    </xf>
    <xf numFmtId="2" fontId="30498" fillId="8" borderId="1" xfId="0" applyNumberFormat="1" applyFont="1" applyFill="1" applyBorder="1" applyAlignment="1">
      <alignment horizontal="center" vertical="center"/>
    </xf>
    <xf numFmtId="2" fontId="30499" fillId="8" borderId="1" xfId="0" applyNumberFormat="1" applyFont="1" applyFill="1" applyBorder="1" applyAlignment="1">
      <alignment horizontal="center" vertical="center"/>
    </xf>
    <xf numFmtId="2" fontId="30500" fillId="8" borderId="1" xfId="0" applyNumberFormat="1" applyFont="1" applyFill="1" applyBorder="1" applyAlignment="1">
      <alignment horizontal="center" vertical="center"/>
    </xf>
    <xf numFmtId="0" fontId="30501" fillId="7" borderId="1" xfId="0" applyNumberFormat="1" applyFont="1" applyFill="1" applyBorder="1" applyAlignment="1">
      <alignment horizontal="left" vertical="center"/>
    </xf>
    <xf numFmtId="0" fontId="30502" fillId="8" borderId="1" xfId="0" applyNumberFormat="1" applyFont="1" applyFill="1" applyBorder="1" applyAlignment="1">
      <alignment horizontal="center" vertical="center"/>
    </xf>
    <xf numFmtId="164" fontId="30503" fillId="8" borderId="1" xfId="0" applyNumberFormat="1" applyFont="1" applyFill="1" applyBorder="1" applyAlignment="1">
      <alignment horizontal="center" vertical="center"/>
    </xf>
    <xf numFmtId="1" fontId="30504" fillId="8" borderId="1" xfId="0" applyNumberFormat="1" applyFont="1" applyFill="1" applyBorder="1" applyAlignment="1">
      <alignment horizontal="center" vertical="center"/>
    </xf>
    <xf numFmtId="1" fontId="30505" fillId="8" borderId="1" xfId="0" applyNumberFormat="1" applyFont="1" applyFill="1" applyBorder="1" applyAlignment="1">
      <alignment horizontal="center" vertical="center"/>
    </xf>
    <xf numFmtId="1" fontId="30506" fillId="8" borderId="1" xfId="0" applyNumberFormat="1" applyFont="1" applyFill="1" applyBorder="1" applyAlignment="1">
      <alignment horizontal="center" vertical="center"/>
    </xf>
    <xf numFmtId="1" fontId="30507" fillId="8" borderId="1" xfId="0" applyNumberFormat="1" applyFont="1" applyFill="1" applyBorder="1" applyAlignment="1">
      <alignment horizontal="center" vertical="center"/>
    </xf>
    <xf numFmtId="1" fontId="30508" fillId="8" borderId="1" xfId="0" applyNumberFormat="1" applyFont="1" applyFill="1" applyBorder="1" applyAlignment="1">
      <alignment horizontal="center" vertical="center"/>
    </xf>
    <xf numFmtId="1" fontId="30509" fillId="8" borderId="1" xfId="0" applyNumberFormat="1" applyFont="1" applyFill="1" applyBorder="1" applyAlignment="1">
      <alignment horizontal="center" vertical="center"/>
    </xf>
    <xf numFmtId="1" fontId="30510" fillId="8" borderId="1" xfId="0" applyNumberFormat="1" applyFont="1" applyFill="1" applyBorder="1" applyAlignment="1">
      <alignment horizontal="center" vertical="center"/>
    </xf>
    <xf numFmtId="0" fontId="30511" fillId="8" borderId="1" xfId="0" applyNumberFormat="1" applyFont="1" applyFill="1" applyBorder="1" applyAlignment="1">
      <alignment horizontal="center" vertical="center"/>
    </xf>
    <xf numFmtId="0" fontId="30512" fillId="8" borderId="1" xfId="0" applyNumberFormat="1" applyFont="1" applyFill="1" applyBorder="1" applyAlignment="1">
      <alignment horizontal="center" vertical="center"/>
    </xf>
    <xf numFmtId="1" fontId="30513" fillId="8" borderId="1" xfId="0" applyNumberFormat="1" applyFont="1" applyFill="1" applyBorder="1" applyAlignment="1">
      <alignment horizontal="center" vertical="center"/>
    </xf>
    <xf numFmtId="1" fontId="30514" fillId="8" borderId="1" xfId="0" applyNumberFormat="1" applyFont="1" applyFill="1" applyBorder="1" applyAlignment="1">
      <alignment horizontal="center" vertical="center"/>
    </xf>
    <xf numFmtId="1" fontId="30515" fillId="8" borderId="1" xfId="0" applyNumberFormat="1" applyFont="1" applyFill="1" applyBorder="1" applyAlignment="1">
      <alignment horizontal="center" vertical="center"/>
    </xf>
    <xf numFmtId="165" fontId="30516" fillId="8" borderId="1" xfId="0" applyNumberFormat="1" applyFont="1" applyFill="1" applyBorder="1" applyAlignment="1">
      <alignment horizontal="center" vertical="center"/>
    </xf>
    <xf numFmtId="1" fontId="30517" fillId="8" borderId="1" xfId="0" applyNumberFormat="1" applyFont="1" applyFill="1" applyBorder="1" applyAlignment="1">
      <alignment horizontal="center" vertical="center"/>
    </xf>
    <xf numFmtId="165" fontId="30518" fillId="8" borderId="1" xfId="0" applyNumberFormat="1" applyFont="1" applyFill="1" applyBorder="1" applyAlignment="1">
      <alignment horizontal="center" vertical="center"/>
    </xf>
    <xf numFmtId="1" fontId="30519" fillId="8" borderId="1" xfId="0" applyNumberFormat="1" applyFont="1" applyFill="1" applyBorder="1" applyAlignment="1">
      <alignment horizontal="center" vertical="center"/>
    </xf>
    <xf numFmtId="165" fontId="30520" fillId="8" borderId="1" xfId="0" applyNumberFormat="1" applyFont="1" applyFill="1" applyBorder="1" applyAlignment="1">
      <alignment horizontal="center" vertical="center"/>
    </xf>
    <xf numFmtId="1" fontId="30521" fillId="8" borderId="1" xfId="0" applyNumberFormat="1" applyFont="1" applyFill="1" applyBorder="1" applyAlignment="1">
      <alignment horizontal="center" vertical="center"/>
    </xf>
    <xf numFmtId="165" fontId="30522" fillId="8" borderId="1" xfId="0" applyNumberFormat="1" applyFont="1" applyFill="1" applyBorder="1" applyAlignment="1">
      <alignment horizontal="center" vertical="center"/>
    </xf>
    <xf numFmtId="165" fontId="30523" fillId="8" borderId="1" xfId="0" applyNumberFormat="1" applyFont="1" applyFill="1" applyBorder="1" applyAlignment="1">
      <alignment horizontal="center" vertical="center"/>
    </xf>
    <xf numFmtId="1" fontId="30524" fillId="8" borderId="1" xfId="0" applyNumberFormat="1" applyFont="1" applyFill="1" applyBorder="1" applyAlignment="1">
      <alignment horizontal="center" vertical="center"/>
    </xf>
    <xf numFmtId="1" fontId="30525" fillId="8" borderId="1" xfId="0" applyNumberFormat="1" applyFont="1" applyFill="1" applyBorder="1" applyAlignment="1">
      <alignment horizontal="center" vertical="center"/>
    </xf>
    <xf numFmtId="1" fontId="30526" fillId="8" borderId="1" xfId="0" applyNumberFormat="1" applyFont="1" applyFill="1" applyBorder="1" applyAlignment="1">
      <alignment horizontal="center" vertical="center"/>
    </xf>
    <xf numFmtId="165" fontId="30527" fillId="8" borderId="1" xfId="0" applyNumberFormat="1" applyFont="1" applyFill="1" applyBorder="1" applyAlignment="1">
      <alignment horizontal="center" vertical="center"/>
    </xf>
    <xf numFmtId="164" fontId="30528" fillId="8" borderId="1" xfId="0" applyNumberFormat="1" applyFont="1" applyFill="1" applyBorder="1" applyAlignment="1">
      <alignment horizontal="center" vertical="center"/>
    </xf>
    <xf numFmtId="164" fontId="30529" fillId="8" borderId="1" xfId="0" applyNumberFormat="1" applyFont="1" applyFill="1" applyBorder="1" applyAlignment="1">
      <alignment horizontal="center" vertical="center"/>
    </xf>
    <xf numFmtId="1" fontId="30530" fillId="8" borderId="1" xfId="0" applyNumberFormat="1" applyFont="1" applyFill="1" applyBorder="1" applyAlignment="1">
      <alignment horizontal="center" vertical="center"/>
    </xf>
    <xf numFmtId="1" fontId="30531" fillId="8" borderId="1" xfId="0" applyNumberFormat="1" applyFont="1" applyFill="1" applyBorder="1" applyAlignment="1">
      <alignment horizontal="center" vertical="center"/>
    </xf>
    <xf numFmtId="1" fontId="30532" fillId="8" borderId="1" xfId="0" applyNumberFormat="1" applyFont="1" applyFill="1" applyBorder="1" applyAlignment="1">
      <alignment horizontal="center" vertical="center"/>
    </xf>
    <xf numFmtId="165" fontId="30533" fillId="8" borderId="1" xfId="0" applyNumberFormat="1" applyFont="1" applyFill="1" applyBorder="1" applyAlignment="1">
      <alignment horizontal="center" vertical="center"/>
    </xf>
    <xf numFmtId="1" fontId="30534" fillId="8" borderId="1" xfId="0" applyNumberFormat="1" applyFont="1" applyFill="1" applyBorder="1" applyAlignment="1">
      <alignment horizontal="center" vertical="center"/>
    </xf>
    <xf numFmtId="165" fontId="30535" fillId="8" borderId="1" xfId="0" applyNumberFormat="1" applyFont="1" applyFill="1" applyBorder="1" applyAlignment="1">
      <alignment horizontal="center" vertical="center"/>
    </xf>
    <xf numFmtId="1" fontId="30536" fillId="8" borderId="1" xfId="0" applyNumberFormat="1" applyFont="1" applyFill="1" applyBorder="1" applyAlignment="1">
      <alignment horizontal="center" vertical="center"/>
    </xf>
    <xf numFmtId="1" fontId="30537" fillId="8" borderId="1" xfId="0" applyNumberFormat="1" applyFont="1" applyFill="1" applyBorder="1" applyAlignment="1">
      <alignment horizontal="center" vertical="center"/>
    </xf>
    <xf numFmtId="1" fontId="30538" fillId="8" borderId="1" xfId="0" applyNumberFormat="1" applyFont="1" applyFill="1" applyBorder="1" applyAlignment="1">
      <alignment horizontal="center" vertical="center"/>
    </xf>
    <xf numFmtId="1" fontId="30539" fillId="8" borderId="1" xfId="0" applyNumberFormat="1" applyFont="1" applyFill="1" applyBorder="1" applyAlignment="1">
      <alignment horizontal="center" vertical="center"/>
    </xf>
    <xf numFmtId="165" fontId="30540" fillId="8" borderId="1" xfId="0" applyNumberFormat="1" applyFont="1" applyFill="1" applyBorder="1" applyAlignment="1">
      <alignment horizontal="center" vertical="center"/>
    </xf>
    <xf numFmtId="1" fontId="30541" fillId="8" borderId="1" xfId="0" applyNumberFormat="1" applyFont="1" applyFill="1" applyBorder="1" applyAlignment="1">
      <alignment horizontal="center" vertical="center"/>
    </xf>
    <xf numFmtId="165" fontId="30542" fillId="8" borderId="1" xfId="0" applyNumberFormat="1" applyFont="1" applyFill="1" applyBorder="1" applyAlignment="1">
      <alignment horizontal="center" vertical="center"/>
    </xf>
    <xf numFmtId="1" fontId="30543" fillId="8" borderId="1" xfId="0" applyNumberFormat="1" applyFont="1" applyFill="1" applyBorder="1" applyAlignment="1">
      <alignment horizontal="center" vertical="center"/>
    </xf>
    <xf numFmtId="165" fontId="30544" fillId="8" borderId="1" xfId="0" applyNumberFormat="1" applyFont="1" applyFill="1" applyBorder="1" applyAlignment="1">
      <alignment horizontal="center" vertical="center"/>
    </xf>
    <xf numFmtId="2" fontId="30545" fillId="8" borderId="1" xfId="0" applyNumberFormat="1" applyFont="1" applyFill="1" applyBorder="1" applyAlignment="1">
      <alignment horizontal="center" vertical="center"/>
    </xf>
    <xf numFmtId="2" fontId="30546" fillId="8" borderId="1" xfId="0" applyNumberFormat="1" applyFont="1" applyFill="1" applyBorder="1" applyAlignment="1">
      <alignment horizontal="center" vertical="center"/>
    </xf>
    <xf numFmtId="2" fontId="30547" fillId="8" borderId="1" xfId="0" applyNumberFormat="1" applyFont="1" applyFill="1" applyBorder="1" applyAlignment="1">
      <alignment horizontal="center" vertical="center"/>
    </xf>
    <xf numFmtId="2" fontId="30548" fillId="8" borderId="1" xfId="0" applyNumberFormat="1" applyFont="1" applyFill="1" applyBorder="1" applyAlignment="1">
      <alignment horizontal="center" vertical="center"/>
    </xf>
    <xf numFmtId="2" fontId="30549" fillId="8" borderId="1" xfId="0" applyNumberFormat="1" applyFont="1" applyFill="1" applyBorder="1" applyAlignment="1">
      <alignment horizontal="center" vertical="center"/>
    </xf>
    <xf numFmtId="2" fontId="30550" fillId="8" borderId="1" xfId="0" applyNumberFormat="1" applyFont="1" applyFill="1" applyBorder="1" applyAlignment="1">
      <alignment horizontal="center" vertical="center"/>
    </xf>
    <xf numFmtId="2" fontId="30551" fillId="8" borderId="1" xfId="0" applyNumberFormat="1" applyFont="1" applyFill="1" applyBorder="1" applyAlignment="1">
      <alignment horizontal="center" vertical="center"/>
    </xf>
    <xf numFmtId="2" fontId="30552" fillId="8" borderId="1" xfId="0" applyNumberFormat="1" applyFont="1" applyFill="1" applyBorder="1" applyAlignment="1">
      <alignment horizontal="center" vertical="center"/>
    </xf>
    <xf numFmtId="2" fontId="30553" fillId="8" borderId="1" xfId="0" applyNumberFormat="1" applyFont="1" applyFill="1" applyBorder="1" applyAlignment="1">
      <alignment horizontal="center" vertical="center"/>
    </xf>
    <xf numFmtId="2" fontId="30554" fillId="8" borderId="1" xfId="0" applyNumberFormat="1" applyFont="1" applyFill="1" applyBorder="1" applyAlignment="1">
      <alignment horizontal="center" vertical="center"/>
    </xf>
    <xf numFmtId="2" fontId="30555" fillId="8" borderId="1" xfId="0" applyNumberFormat="1" applyFont="1" applyFill="1" applyBorder="1" applyAlignment="1">
      <alignment horizontal="center" vertical="center"/>
    </xf>
    <xf numFmtId="2" fontId="30556" fillId="8" borderId="1" xfId="0" applyNumberFormat="1" applyFont="1" applyFill="1" applyBorder="1" applyAlignment="1">
      <alignment horizontal="center" vertical="center"/>
    </xf>
    <xf numFmtId="2" fontId="30557" fillId="8" borderId="1" xfId="0" applyNumberFormat="1" applyFont="1" applyFill="1" applyBorder="1" applyAlignment="1">
      <alignment horizontal="center" vertical="center"/>
    </xf>
    <xf numFmtId="2" fontId="30558" fillId="8" borderId="1" xfId="0" applyNumberFormat="1" applyFont="1" applyFill="1" applyBorder="1" applyAlignment="1">
      <alignment horizontal="center" vertical="center"/>
    </xf>
    <xf numFmtId="2" fontId="30559" fillId="8" borderId="1" xfId="0" applyNumberFormat="1" applyFont="1" applyFill="1" applyBorder="1" applyAlignment="1">
      <alignment horizontal="center" vertical="center"/>
    </xf>
    <xf numFmtId="2" fontId="30560" fillId="8" borderId="1" xfId="0" applyNumberFormat="1" applyFont="1" applyFill="1" applyBorder="1" applyAlignment="1">
      <alignment horizontal="center" vertical="center"/>
    </xf>
    <xf numFmtId="2" fontId="30561" fillId="8" borderId="1" xfId="0" applyNumberFormat="1" applyFont="1" applyFill="1" applyBorder="1" applyAlignment="1">
      <alignment horizontal="center" vertical="center"/>
    </xf>
    <xf numFmtId="2" fontId="30562" fillId="8" borderId="1" xfId="0" applyNumberFormat="1" applyFont="1" applyFill="1" applyBorder="1" applyAlignment="1">
      <alignment horizontal="center" vertical="center"/>
    </xf>
    <xf numFmtId="2" fontId="30563" fillId="8" borderId="1" xfId="0" applyNumberFormat="1" applyFont="1" applyFill="1" applyBorder="1" applyAlignment="1">
      <alignment horizontal="center" vertical="center"/>
    </xf>
    <xf numFmtId="2" fontId="30564" fillId="8" borderId="1" xfId="0" applyNumberFormat="1" applyFont="1" applyFill="1" applyBorder="1" applyAlignment="1">
      <alignment horizontal="center" vertical="center"/>
    </xf>
    <xf numFmtId="2" fontId="30565" fillId="8" borderId="1" xfId="0" applyNumberFormat="1" applyFont="1" applyFill="1" applyBorder="1" applyAlignment="1">
      <alignment horizontal="center" vertical="center"/>
    </xf>
    <xf numFmtId="2" fontId="30566" fillId="8" borderId="1" xfId="0" applyNumberFormat="1" applyFont="1" applyFill="1" applyBorder="1" applyAlignment="1">
      <alignment horizontal="center" vertical="center"/>
    </xf>
    <xf numFmtId="2" fontId="30567" fillId="8" borderId="1" xfId="0" applyNumberFormat="1" applyFont="1" applyFill="1" applyBorder="1" applyAlignment="1">
      <alignment horizontal="center" vertical="center"/>
    </xf>
    <xf numFmtId="2" fontId="30568" fillId="8" borderId="1" xfId="0" applyNumberFormat="1" applyFont="1" applyFill="1" applyBorder="1" applyAlignment="1">
      <alignment horizontal="center" vertical="center"/>
    </xf>
    <xf numFmtId="2" fontId="30569" fillId="8" borderId="1" xfId="0" applyNumberFormat="1" applyFont="1" applyFill="1" applyBorder="1" applyAlignment="1">
      <alignment horizontal="center" vertical="center"/>
    </xf>
    <xf numFmtId="2" fontId="30570" fillId="8" borderId="1" xfId="0" applyNumberFormat="1" applyFont="1" applyFill="1" applyBorder="1" applyAlignment="1">
      <alignment horizontal="center" vertical="center"/>
    </xf>
    <xf numFmtId="2" fontId="30571" fillId="8" borderId="1" xfId="0" applyNumberFormat="1" applyFont="1" applyFill="1" applyBorder="1" applyAlignment="1">
      <alignment horizontal="center" vertical="center"/>
    </xf>
    <xf numFmtId="2" fontId="30572" fillId="8" borderId="1" xfId="0" applyNumberFormat="1" applyFont="1" applyFill="1" applyBorder="1" applyAlignment="1">
      <alignment horizontal="center" vertical="center"/>
    </xf>
    <xf numFmtId="2" fontId="30573" fillId="8" borderId="1" xfId="0" applyNumberFormat="1" applyFont="1" applyFill="1" applyBorder="1" applyAlignment="1">
      <alignment horizontal="center" vertical="center"/>
    </xf>
    <xf numFmtId="2" fontId="30574" fillId="8" borderId="1" xfId="0" applyNumberFormat="1" applyFont="1" applyFill="1" applyBorder="1" applyAlignment="1">
      <alignment horizontal="center" vertical="center"/>
    </xf>
    <xf numFmtId="2" fontId="30575" fillId="8" borderId="1" xfId="0" applyNumberFormat="1" applyFont="1" applyFill="1" applyBorder="1" applyAlignment="1">
      <alignment horizontal="center" vertical="center"/>
    </xf>
    <xf numFmtId="2" fontId="30576" fillId="8" borderId="1" xfId="0" applyNumberFormat="1" applyFont="1" applyFill="1" applyBorder="1" applyAlignment="1">
      <alignment horizontal="center" vertical="center"/>
    </xf>
    <xf numFmtId="2" fontId="30577" fillId="8" borderId="1" xfId="0" applyNumberFormat="1" applyFont="1" applyFill="1" applyBorder="1" applyAlignment="1">
      <alignment horizontal="center" vertical="center"/>
    </xf>
    <xf numFmtId="2" fontId="30578" fillId="8" borderId="1" xfId="0" applyNumberFormat="1" applyFont="1" applyFill="1" applyBorder="1" applyAlignment="1">
      <alignment horizontal="center" vertical="center"/>
    </xf>
    <xf numFmtId="0" fontId="30579" fillId="7" borderId="1" xfId="0" applyNumberFormat="1" applyFont="1" applyFill="1" applyBorder="1" applyAlignment="1">
      <alignment horizontal="left" vertical="center"/>
    </xf>
    <xf numFmtId="0" fontId="30580" fillId="8" borderId="1" xfId="0" applyNumberFormat="1" applyFont="1" applyFill="1" applyBorder="1" applyAlignment="1">
      <alignment horizontal="center" vertical="center"/>
    </xf>
    <xf numFmtId="164" fontId="30581" fillId="8" borderId="1" xfId="0" applyNumberFormat="1" applyFont="1" applyFill="1" applyBorder="1" applyAlignment="1">
      <alignment horizontal="center" vertical="center"/>
    </xf>
    <xf numFmtId="1" fontId="30582" fillId="8" borderId="1" xfId="0" applyNumberFormat="1" applyFont="1" applyFill="1" applyBorder="1" applyAlignment="1">
      <alignment horizontal="center" vertical="center"/>
    </xf>
    <xf numFmtId="1" fontId="30583" fillId="8" borderId="1" xfId="0" applyNumberFormat="1" applyFont="1" applyFill="1" applyBorder="1" applyAlignment="1">
      <alignment horizontal="center" vertical="center"/>
    </xf>
    <xf numFmtId="1" fontId="30584" fillId="8" borderId="1" xfId="0" applyNumberFormat="1" applyFont="1" applyFill="1" applyBorder="1" applyAlignment="1">
      <alignment horizontal="center" vertical="center"/>
    </xf>
    <xf numFmtId="1" fontId="30585" fillId="8" borderId="1" xfId="0" applyNumberFormat="1" applyFont="1" applyFill="1" applyBorder="1" applyAlignment="1">
      <alignment horizontal="center" vertical="center"/>
    </xf>
    <xf numFmtId="1" fontId="30586" fillId="8" borderId="1" xfId="0" applyNumberFormat="1" applyFont="1" applyFill="1" applyBorder="1" applyAlignment="1">
      <alignment horizontal="center" vertical="center"/>
    </xf>
    <xf numFmtId="1" fontId="30587" fillId="8" borderId="1" xfId="0" applyNumberFormat="1" applyFont="1" applyFill="1" applyBorder="1" applyAlignment="1">
      <alignment horizontal="center" vertical="center"/>
    </xf>
    <xf numFmtId="1" fontId="30588" fillId="8" borderId="1" xfId="0" applyNumberFormat="1" applyFont="1" applyFill="1" applyBorder="1" applyAlignment="1">
      <alignment horizontal="center" vertical="center"/>
    </xf>
    <xf numFmtId="0" fontId="30589" fillId="8" borderId="1" xfId="0" applyNumberFormat="1" applyFont="1" applyFill="1" applyBorder="1" applyAlignment="1">
      <alignment horizontal="center" vertical="center"/>
    </xf>
    <xf numFmtId="0" fontId="30590" fillId="8" borderId="1" xfId="0" applyNumberFormat="1" applyFont="1" applyFill="1" applyBorder="1" applyAlignment="1">
      <alignment horizontal="center" vertical="center"/>
    </xf>
    <xf numFmtId="1" fontId="30591" fillId="8" borderId="1" xfId="0" applyNumberFormat="1" applyFont="1" applyFill="1" applyBorder="1" applyAlignment="1">
      <alignment horizontal="center" vertical="center"/>
    </xf>
    <xf numFmtId="1" fontId="30592" fillId="8" borderId="1" xfId="0" applyNumberFormat="1" applyFont="1" applyFill="1" applyBorder="1" applyAlignment="1">
      <alignment horizontal="center" vertical="center"/>
    </xf>
    <xf numFmtId="1" fontId="30593" fillId="8" borderId="1" xfId="0" applyNumberFormat="1" applyFont="1" applyFill="1" applyBorder="1" applyAlignment="1">
      <alignment horizontal="center" vertical="center"/>
    </xf>
    <xf numFmtId="165" fontId="30594" fillId="8" borderId="1" xfId="0" applyNumberFormat="1" applyFont="1" applyFill="1" applyBorder="1" applyAlignment="1">
      <alignment horizontal="center" vertical="center"/>
    </xf>
    <xf numFmtId="1" fontId="30595" fillId="8" borderId="1" xfId="0" applyNumberFormat="1" applyFont="1" applyFill="1" applyBorder="1" applyAlignment="1">
      <alignment horizontal="center" vertical="center"/>
    </xf>
    <xf numFmtId="165" fontId="30596" fillId="8" borderId="1" xfId="0" applyNumberFormat="1" applyFont="1" applyFill="1" applyBorder="1" applyAlignment="1">
      <alignment horizontal="center" vertical="center"/>
    </xf>
    <xf numFmtId="1" fontId="30597" fillId="8" borderId="1" xfId="0" applyNumberFormat="1" applyFont="1" applyFill="1" applyBorder="1" applyAlignment="1">
      <alignment horizontal="center" vertical="center"/>
    </xf>
    <xf numFmtId="165" fontId="30598" fillId="8" borderId="1" xfId="0" applyNumberFormat="1" applyFont="1" applyFill="1" applyBorder="1" applyAlignment="1">
      <alignment horizontal="center" vertical="center"/>
    </xf>
    <xf numFmtId="1" fontId="30599" fillId="8" borderId="1" xfId="0" applyNumberFormat="1" applyFont="1" applyFill="1" applyBorder="1" applyAlignment="1">
      <alignment horizontal="center" vertical="center"/>
    </xf>
    <xf numFmtId="165" fontId="30600" fillId="8" borderId="1" xfId="0" applyNumberFormat="1" applyFont="1" applyFill="1" applyBorder="1" applyAlignment="1">
      <alignment horizontal="center" vertical="center"/>
    </xf>
    <xf numFmtId="165" fontId="30601" fillId="8" borderId="1" xfId="0" applyNumberFormat="1" applyFont="1" applyFill="1" applyBorder="1" applyAlignment="1">
      <alignment horizontal="center" vertical="center"/>
    </xf>
    <xf numFmtId="1" fontId="30602" fillId="8" borderId="1" xfId="0" applyNumberFormat="1" applyFont="1" applyFill="1" applyBorder="1" applyAlignment="1">
      <alignment horizontal="center" vertical="center"/>
    </xf>
    <xf numFmtId="1" fontId="30603" fillId="8" borderId="1" xfId="0" applyNumberFormat="1" applyFont="1" applyFill="1" applyBorder="1" applyAlignment="1">
      <alignment horizontal="center" vertical="center"/>
    </xf>
    <xf numFmtId="1" fontId="30604" fillId="8" borderId="1" xfId="0" applyNumberFormat="1" applyFont="1" applyFill="1" applyBorder="1" applyAlignment="1">
      <alignment horizontal="center" vertical="center"/>
    </xf>
    <xf numFmtId="165" fontId="30605" fillId="8" borderId="1" xfId="0" applyNumberFormat="1" applyFont="1" applyFill="1" applyBorder="1" applyAlignment="1">
      <alignment horizontal="center" vertical="center"/>
    </xf>
    <xf numFmtId="164" fontId="30606" fillId="8" borderId="1" xfId="0" applyNumberFormat="1" applyFont="1" applyFill="1" applyBorder="1" applyAlignment="1">
      <alignment horizontal="center" vertical="center"/>
    </xf>
    <xf numFmtId="164" fontId="30607" fillId="8" borderId="1" xfId="0" applyNumberFormat="1" applyFont="1" applyFill="1" applyBorder="1" applyAlignment="1">
      <alignment horizontal="center" vertical="center"/>
    </xf>
    <xf numFmtId="1" fontId="30608" fillId="8" borderId="1" xfId="0" applyNumberFormat="1" applyFont="1" applyFill="1" applyBorder="1" applyAlignment="1">
      <alignment horizontal="center" vertical="center"/>
    </xf>
    <xf numFmtId="1" fontId="30609" fillId="8" borderId="1" xfId="0" applyNumberFormat="1" applyFont="1" applyFill="1" applyBorder="1" applyAlignment="1">
      <alignment horizontal="center" vertical="center"/>
    </xf>
    <xf numFmtId="1" fontId="30610" fillId="8" borderId="1" xfId="0" applyNumberFormat="1" applyFont="1" applyFill="1" applyBorder="1" applyAlignment="1">
      <alignment horizontal="center" vertical="center"/>
    </xf>
    <xf numFmtId="165" fontId="30611" fillId="8" borderId="1" xfId="0" applyNumberFormat="1" applyFont="1" applyFill="1" applyBorder="1" applyAlignment="1">
      <alignment horizontal="center" vertical="center"/>
    </xf>
    <xf numFmtId="1" fontId="30612" fillId="8" borderId="1" xfId="0" applyNumberFormat="1" applyFont="1" applyFill="1" applyBorder="1" applyAlignment="1">
      <alignment horizontal="center" vertical="center"/>
    </xf>
    <xf numFmtId="165" fontId="30613" fillId="8" borderId="1" xfId="0" applyNumberFormat="1" applyFont="1" applyFill="1" applyBorder="1" applyAlignment="1">
      <alignment horizontal="center" vertical="center"/>
    </xf>
    <xf numFmtId="1" fontId="30614" fillId="8" borderId="1" xfId="0" applyNumberFormat="1" applyFont="1" applyFill="1" applyBorder="1" applyAlignment="1">
      <alignment horizontal="center" vertical="center"/>
    </xf>
    <xf numFmtId="1" fontId="30615" fillId="8" borderId="1" xfId="0" applyNumberFormat="1" applyFont="1" applyFill="1" applyBorder="1" applyAlignment="1">
      <alignment horizontal="center" vertical="center"/>
    </xf>
    <xf numFmtId="1" fontId="30616" fillId="8" borderId="1" xfId="0" applyNumberFormat="1" applyFont="1" applyFill="1" applyBorder="1" applyAlignment="1">
      <alignment horizontal="center" vertical="center"/>
    </xf>
    <xf numFmtId="1" fontId="30617" fillId="8" borderId="1" xfId="0" applyNumberFormat="1" applyFont="1" applyFill="1" applyBorder="1" applyAlignment="1">
      <alignment horizontal="center" vertical="center"/>
    </xf>
    <xf numFmtId="165" fontId="30618" fillId="8" borderId="1" xfId="0" applyNumberFormat="1" applyFont="1" applyFill="1" applyBorder="1" applyAlignment="1">
      <alignment horizontal="center" vertical="center"/>
    </xf>
    <xf numFmtId="1" fontId="30619" fillId="8" borderId="1" xfId="0" applyNumberFormat="1" applyFont="1" applyFill="1" applyBorder="1" applyAlignment="1">
      <alignment horizontal="center" vertical="center"/>
    </xf>
    <xf numFmtId="165" fontId="30620" fillId="8" borderId="1" xfId="0" applyNumberFormat="1" applyFont="1" applyFill="1" applyBorder="1" applyAlignment="1">
      <alignment horizontal="center" vertical="center"/>
    </xf>
    <xf numFmtId="1" fontId="30621" fillId="8" borderId="1" xfId="0" applyNumberFormat="1" applyFont="1" applyFill="1" applyBorder="1" applyAlignment="1">
      <alignment horizontal="center" vertical="center"/>
    </xf>
    <xf numFmtId="165" fontId="30622" fillId="8" borderId="1" xfId="0" applyNumberFormat="1" applyFont="1" applyFill="1" applyBorder="1" applyAlignment="1">
      <alignment horizontal="center" vertical="center"/>
    </xf>
    <xf numFmtId="2" fontId="30623" fillId="8" borderId="1" xfId="0" applyNumberFormat="1" applyFont="1" applyFill="1" applyBorder="1" applyAlignment="1">
      <alignment horizontal="center" vertical="center"/>
    </xf>
    <xf numFmtId="2" fontId="30624" fillId="8" borderId="1" xfId="0" applyNumberFormat="1" applyFont="1" applyFill="1" applyBorder="1" applyAlignment="1">
      <alignment horizontal="center" vertical="center"/>
    </xf>
    <xf numFmtId="2" fontId="30625" fillId="8" borderId="1" xfId="0" applyNumberFormat="1" applyFont="1" applyFill="1" applyBorder="1" applyAlignment="1">
      <alignment horizontal="center" vertical="center"/>
    </xf>
    <xf numFmtId="2" fontId="30626" fillId="8" borderId="1" xfId="0" applyNumberFormat="1" applyFont="1" applyFill="1" applyBorder="1" applyAlignment="1">
      <alignment horizontal="center" vertical="center"/>
    </xf>
    <xf numFmtId="2" fontId="30627" fillId="8" borderId="1" xfId="0" applyNumberFormat="1" applyFont="1" applyFill="1" applyBorder="1" applyAlignment="1">
      <alignment horizontal="center" vertical="center"/>
    </xf>
    <xf numFmtId="2" fontId="30628" fillId="8" borderId="1" xfId="0" applyNumberFormat="1" applyFont="1" applyFill="1" applyBorder="1" applyAlignment="1">
      <alignment horizontal="center" vertical="center"/>
    </xf>
    <xf numFmtId="2" fontId="30629" fillId="8" borderId="1" xfId="0" applyNumberFormat="1" applyFont="1" applyFill="1" applyBorder="1" applyAlignment="1">
      <alignment horizontal="center" vertical="center"/>
    </xf>
    <xf numFmtId="2" fontId="30630" fillId="8" borderId="1" xfId="0" applyNumberFormat="1" applyFont="1" applyFill="1" applyBorder="1" applyAlignment="1">
      <alignment horizontal="center" vertical="center"/>
    </xf>
    <xf numFmtId="2" fontId="30631" fillId="8" borderId="1" xfId="0" applyNumberFormat="1" applyFont="1" applyFill="1" applyBorder="1" applyAlignment="1">
      <alignment horizontal="center" vertical="center"/>
    </xf>
    <xf numFmtId="2" fontId="30632" fillId="8" borderId="1" xfId="0" applyNumberFormat="1" applyFont="1" applyFill="1" applyBorder="1" applyAlignment="1">
      <alignment horizontal="center" vertical="center"/>
    </xf>
    <xf numFmtId="2" fontId="30633" fillId="8" borderId="1" xfId="0" applyNumberFormat="1" applyFont="1" applyFill="1" applyBorder="1" applyAlignment="1">
      <alignment horizontal="center" vertical="center"/>
    </xf>
    <xf numFmtId="2" fontId="30634" fillId="8" borderId="1" xfId="0" applyNumberFormat="1" applyFont="1" applyFill="1" applyBorder="1" applyAlignment="1">
      <alignment horizontal="center" vertical="center"/>
    </xf>
    <xf numFmtId="2" fontId="30635" fillId="8" borderId="1" xfId="0" applyNumberFormat="1" applyFont="1" applyFill="1" applyBorder="1" applyAlignment="1">
      <alignment horizontal="center" vertical="center"/>
    </xf>
    <xf numFmtId="2" fontId="30636" fillId="8" borderId="1" xfId="0" applyNumberFormat="1" applyFont="1" applyFill="1" applyBorder="1" applyAlignment="1">
      <alignment horizontal="center" vertical="center"/>
    </xf>
    <xf numFmtId="2" fontId="30637" fillId="8" borderId="1" xfId="0" applyNumberFormat="1" applyFont="1" applyFill="1" applyBorder="1" applyAlignment="1">
      <alignment horizontal="center" vertical="center"/>
    </xf>
    <xf numFmtId="2" fontId="30638" fillId="8" borderId="1" xfId="0" applyNumberFormat="1" applyFont="1" applyFill="1" applyBorder="1" applyAlignment="1">
      <alignment horizontal="center" vertical="center"/>
    </xf>
    <xf numFmtId="2" fontId="30639" fillId="8" borderId="1" xfId="0" applyNumberFormat="1" applyFont="1" applyFill="1" applyBorder="1" applyAlignment="1">
      <alignment horizontal="center" vertical="center"/>
    </xf>
    <xf numFmtId="2" fontId="30640" fillId="8" borderId="1" xfId="0" applyNumberFormat="1" applyFont="1" applyFill="1" applyBorder="1" applyAlignment="1">
      <alignment horizontal="center" vertical="center"/>
    </xf>
    <xf numFmtId="2" fontId="30641" fillId="8" borderId="1" xfId="0" applyNumberFormat="1" applyFont="1" applyFill="1" applyBorder="1" applyAlignment="1">
      <alignment horizontal="center" vertical="center"/>
    </xf>
    <xf numFmtId="2" fontId="30642" fillId="8" borderId="1" xfId="0" applyNumberFormat="1" applyFont="1" applyFill="1" applyBorder="1" applyAlignment="1">
      <alignment horizontal="center" vertical="center"/>
    </xf>
    <xf numFmtId="2" fontId="30643" fillId="8" borderId="1" xfId="0" applyNumberFormat="1" applyFont="1" applyFill="1" applyBorder="1" applyAlignment="1">
      <alignment horizontal="center" vertical="center"/>
    </xf>
    <xf numFmtId="2" fontId="30644" fillId="8" borderId="1" xfId="0" applyNumberFormat="1" applyFont="1" applyFill="1" applyBorder="1" applyAlignment="1">
      <alignment horizontal="center" vertical="center"/>
    </xf>
    <xf numFmtId="2" fontId="30645" fillId="8" borderId="1" xfId="0" applyNumberFormat="1" applyFont="1" applyFill="1" applyBorder="1" applyAlignment="1">
      <alignment horizontal="center" vertical="center"/>
    </xf>
    <xf numFmtId="2" fontId="30646" fillId="8" borderId="1" xfId="0" applyNumberFormat="1" applyFont="1" applyFill="1" applyBorder="1" applyAlignment="1">
      <alignment horizontal="center" vertical="center"/>
    </xf>
    <xf numFmtId="2" fontId="30647" fillId="8" borderId="1" xfId="0" applyNumberFormat="1" applyFont="1" applyFill="1" applyBorder="1" applyAlignment="1">
      <alignment horizontal="center" vertical="center"/>
    </xf>
    <xf numFmtId="2" fontId="30648" fillId="8" borderId="1" xfId="0" applyNumberFormat="1" applyFont="1" applyFill="1" applyBorder="1" applyAlignment="1">
      <alignment horizontal="center" vertical="center"/>
    </xf>
    <xf numFmtId="2" fontId="30649" fillId="8" borderId="1" xfId="0" applyNumberFormat="1" applyFont="1" applyFill="1" applyBorder="1" applyAlignment="1">
      <alignment horizontal="center" vertical="center"/>
    </xf>
    <xf numFmtId="2" fontId="30650" fillId="8" borderId="1" xfId="0" applyNumberFormat="1" applyFont="1" applyFill="1" applyBorder="1" applyAlignment="1">
      <alignment horizontal="center" vertical="center"/>
    </xf>
    <xf numFmtId="2" fontId="30651" fillId="8" borderId="1" xfId="0" applyNumberFormat="1" applyFont="1" applyFill="1" applyBorder="1" applyAlignment="1">
      <alignment horizontal="center" vertical="center"/>
    </xf>
    <xf numFmtId="2" fontId="30652" fillId="8" borderId="1" xfId="0" applyNumberFormat="1" applyFont="1" applyFill="1" applyBorder="1" applyAlignment="1">
      <alignment horizontal="center" vertical="center"/>
    </xf>
    <xf numFmtId="2" fontId="30653" fillId="8" borderId="1" xfId="0" applyNumberFormat="1" applyFont="1" applyFill="1" applyBorder="1" applyAlignment="1">
      <alignment horizontal="center" vertical="center"/>
    </xf>
    <xf numFmtId="2" fontId="30654" fillId="8" borderId="1" xfId="0" applyNumberFormat="1" applyFont="1" applyFill="1" applyBorder="1" applyAlignment="1">
      <alignment horizontal="center" vertical="center"/>
    </xf>
    <xf numFmtId="2" fontId="30655" fillId="8" borderId="1" xfId="0" applyNumberFormat="1" applyFont="1" applyFill="1" applyBorder="1" applyAlignment="1">
      <alignment horizontal="center" vertical="center"/>
    </xf>
    <xf numFmtId="2" fontId="30656" fillId="8" borderId="1" xfId="0" applyNumberFormat="1" applyFont="1" applyFill="1" applyBorder="1" applyAlignment="1">
      <alignment horizontal="center" vertical="center"/>
    </xf>
    <xf numFmtId="0" fontId="30657" fillId="7" borderId="1" xfId="0" applyNumberFormat="1" applyFont="1" applyFill="1" applyBorder="1" applyAlignment="1">
      <alignment horizontal="left" vertical="center"/>
    </xf>
    <xf numFmtId="0" fontId="30658" fillId="8" borderId="1" xfId="0" applyNumberFormat="1" applyFont="1" applyFill="1" applyBorder="1" applyAlignment="1">
      <alignment horizontal="center" vertical="center"/>
    </xf>
    <xf numFmtId="164" fontId="30659" fillId="8" borderId="1" xfId="0" applyNumberFormat="1" applyFont="1" applyFill="1" applyBorder="1" applyAlignment="1">
      <alignment horizontal="center" vertical="center"/>
    </xf>
    <xf numFmtId="1" fontId="30660" fillId="8" borderId="1" xfId="0" applyNumberFormat="1" applyFont="1" applyFill="1" applyBorder="1" applyAlignment="1">
      <alignment horizontal="center" vertical="center"/>
    </xf>
    <xf numFmtId="1" fontId="30661" fillId="8" borderId="1" xfId="0" applyNumberFormat="1" applyFont="1" applyFill="1" applyBorder="1" applyAlignment="1">
      <alignment horizontal="center" vertical="center"/>
    </xf>
    <xf numFmtId="1" fontId="30662" fillId="8" borderId="1" xfId="0" applyNumberFormat="1" applyFont="1" applyFill="1" applyBorder="1" applyAlignment="1">
      <alignment horizontal="center" vertical="center"/>
    </xf>
    <xf numFmtId="1" fontId="30663" fillId="8" borderId="1" xfId="0" applyNumberFormat="1" applyFont="1" applyFill="1" applyBorder="1" applyAlignment="1">
      <alignment horizontal="center" vertical="center"/>
    </xf>
    <xf numFmtId="1" fontId="30664" fillId="8" borderId="1" xfId="0" applyNumberFormat="1" applyFont="1" applyFill="1" applyBorder="1" applyAlignment="1">
      <alignment horizontal="center" vertical="center"/>
    </xf>
    <xf numFmtId="1" fontId="30665" fillId="8" borderId="1" xfId="0" applyNumberFormat="1" applyFont="1" applyFill="1" applyBorder="1" applyAlignment="1">
      <alignment horizontal="center" vertical="center"/>
    </xf>
    <xf numFmtId="1" fontId="30666" fillId="8" borderId="1" xfId="0" applyNumberFormat="1" applyFont="1" applyFill="1" applyBorder="1" applyAlignment="1">
      <alignment horizontal="center" vertical="center"/>
    </xf>
    <xf numFmtId="0" fontId="30667" fillId="8" borderId="1" xfId="0" applyNumberFormat="1" applyFont="1" applyFill="1" applyBorder="1" applyAlignment="1">
      <alignment horizontal="center" vertical="center"/>
    </xf>
    <xf numFmtId="0" fontId="30668" fillId="8" borderId="1" xfId="0" applyNumberFormat="1" applyFont="1" applyFill="1" applyBorder="1" applyAlignment="1">
      <alignment horizontal="center" vertical="center"/>
    </xf>
    <xf numFmtId="1" fontId="30669" fillId="8" borderId="1" xfId="0" applyNumberFormat="1" applyFont="1" applyFill="1" applyBorder="1" applyAlignment="1">
      <alignment horizontal="center" vertical="center"/>
    </xf>
    <xf numFmtId="1" fontId="30670" fillId="8" borderId="1" xfId="0" applyNumberFormat="1" applyFont="1" applyFill="1" applyBorder="1" applyAlignment="1">
      <alignment horizontal="center" vertical="center"/>
    </xf>
    <xf numFmtId="1" fontId="30671" fillId="8" borderId="1" xfId="0" applyNumberFormat="1" applyFont="1" applyFill="1" applyBorder="1" applyAlignment="1">
      <alignment horizontal="center" vertical="center"/>
    </xf>
    <xf numFmtId="165" fontId="30672" fillId="8" borderId="1" xfId="0" applyNumberFormat="1" applyFont="1" applyFill="1" applyBorder="1" applyAlignment="1">
      <alignment horizontal="center" vertical="center"/>
    </xf>
    <xf numFmtId="1" fontId="30673" fillId="8" borderId="1" xfId="0" applyNumberFormat="1" applyFont="1" applyFill="1" applyBorder="1" applyAlignment="1">
      <alignment horizontal="center" vertical="center"/>
    </xf>
    <xf numFmtId="165" fontId="30674" fillId="8" borderId="1" xfId="0" applyNumberFormat="1" applyFont="1" applyFill="1" applyBorder="1" applyAlignment="1">
      <alignment horizontal="center" vertical="center"/>
    </xf>
    <xf numFmtId="1" fontId="30675" fillId="8" borderId="1" xfId="0" applyNumberFormat="1" applyFont="1" applyFill="1" applyBorder="1" applyAlignment="1">
      <alignment horizontal="center" vertical="center"/>
    </xf>
    <xf numFmtId="165" fontId="30676" fillId="8" borderId="1" xfId="0" applyNumberFormat="1" applyFont="1" applyFill="1" applyBorder="1" applyAlignment="1">
      <alignment horizontal="center" vertical="center"/>
    </xf>
    <xf numFmtId="1" fontId="30677" fillId="8" borderId="1" xfId="0" applyNumberFormat="1" applyFont="1" applyFill="1" applyBorder="1" applyAlignment="1">
      <alignment horizontal="center" vertical="center"/>
    </xf>
    <xf numFmtId="165" fontId="30678" fillId="8" borderId="1" xfId="0" applyNumberFormat="1" applyFont="1" applyFill="1" applyBorder="1" applyAlignment="1">
      <alignment horizontal="center" vertical="center"/>
    </xf>
    <xf numFmtId="165" fontId="30679" fillId="8" borderId="1" xfId="0" applyNumberFormat="1" applyFont="1" applyFill="1" applyBorder="1" applyAlignment="1">
      <alignment horizontal="center" vertical="center"/>
    </xf>
    <xf numFmtId="1" fontId="30680" fillId="8" borderId="1" xfId="0" applyNumberFormat="1" applyFont="1" applyFill="1" applyBorder="1" applyAlignment="1">
      <alignment horizontal="center" vertical="center"/>
    </xf>
    <xf numFmtId="1" fontId="30681" fillId="8" borderId="1" xfId="0" applyNumberFormat="1" applyFont="1" applyFill="1" applyBorder="1" applyAlignment="1">
      <alignment horizontal="center" vertical="center"/>
    </xf>
    <xf numFmtId="1" fontId="30682" fillId="8" borderId="1" xfId="0" applyNumberFormat="1" applyFont="1" applyFill="1" applyBorder="1" applyAlignment="1">
      <alignment horizontal="center" vertical="center"/>
    </xf>
    <xf numFmtId="165" fontId="30683" fillId="8" borderId="1" xfId="0" applyNumberFormat="1" applyFont="1" applyFill="1" applyBorder="1" applyAlignment="1">
      <alignment horizontal="center" vertical="center"/>
    </xf>
    <xf numFmtId="164" fontId="30684" fillId="8" borderId="1" xfId="0" applyNumberFormat="1" applyFont="1" applyFill="1" applyBorder="1" applyAlignment="1">
      <alignment horizontal="center" vertical="center"/>
    </xf>
    <xf numFmtId="164" fontId="30685" fillId="8" borderId="1" xfId="0" applyNumberFormat="1" applyFont="1" applyFill="1" applyBorder="1" applyAlignment="1">
      <alignment horizontal="center" vertical="center"/>
    </xf>
    <xf numFmtId="1" fontId="30686" fillId="8" borderId="1" xfId="0" applyNumberFormat="1" applyFont="1" applyFill="1" applyBorder="1" applyAlignment="1">
      <alignment horizontal="center" vertical="center"/>
    </xf>
    <xf numFmtId="1" fontId="30687" fillId="8" borderId="1" xfId="0" applyNumberFormat="1" applyFont="1" applyFill="1" applyBorder="1" applyAlignment="1">
      <alignment horizontal="center" vertical="center"/>
    </xf>
    <xf numFmtId="1" fontId="30688" fillId="8" borderId="1" xfId="0" applyNumberFormat="1" applyFont="1" applyFill="1" applyBorder="1" applyAlignment="1">
      <alignment horizontal="center" vertical="center"/>
    </xf>
    <xf numFmtId="165" fontId="30689" fillId="8" borderId="1" xfId="0" applyNumberFormat="1" applyFont="1" applyFill="1" applyBorder="1" applyAlignment="1">
      <alignment horizontal="center" vertical="center"/>
    </xf>
    <xf numFmtId="1" fontId="30690" fillId="8" borderId="1" xfId="0" applyNumberFormat="1" applyFont="1" applyFill="1" applyBorder="1" applyAlignment="1">
      <alignment horizontal="center" vertical="center"/>
    </xf>
    <xf numFmtId="165" fontId="30691" fillId="8" borderId="1" xfId="0" applyNumberFormat="1" applyFont="1" applyFill="1" applyBorder="1" applyAlignment="1">
      <alignment horizontal="center" vertical="center"/>
    </xf>
    <xf numFmtId="1" fontId="30692" fillId="8" borderId="1" xfId="0" applyNumberFormat="1" applyFont="1" applyFill="1" applyBorder="1" applyAlignment="1">
      <alignment horizontal="center" vertical="center"/>
    </xf>
    <xf numFmtId="1" fontId="30693" fillId="8" borderId="1" xfId="0" applyNumberFormat="1" applyFont="1" applyFill="1" applyBorder="1" applyAlignment="1">
      <alignment horizontal="center" vertical="center"/>
    </xf>
    <xf numFmtId="1" fontId="30694" fillId="8" borderId="1" xfId="0" applyNumberFormat="1" applyFont="1" applyFill="1" applyBorder="1" applyAlignment="1">
      <alignment horizontal="center" vertical="center"/>
    </xf>
    <xf numFmtId="1" fontId="30695" fillId="8" borderId="1" xfId="0" applyNumberFormat="1" applyFont="1" applyFill="1" applyBorder="1" applyAlignment="1">
      <alignment horizontal="center" vertical="center"/>
    </xf>
    <xf numFmtId="165" fontId="30696" fillId="8" borderId="1" xfId="0" applyNumberFormat="1" applyFont="1" applyFill="1" applyBorder="1" applyAlignment="1">
      <alignment horizontal="center" vertical="center"/>
    </xf>
    <xf numFmtId="1" fontId="30697" fillId="8" borderId="1" xfId="0" applyNumberFormat="1" applyFont="1" applyFill="1" applyBorder="1" applyAlignment="1">
      <alignment horizontal="center" vertical="center"/>
    </xf>
    <xf numFmtId="165" fontId="30698" fillId="8" borderId="1" xfId="0" applyNumberFormat="1" applyFont="1" applyFill="1" applyBorder="1" applyAlignment="1">
      <alignment horizontal="center" vertical="center"/>
    </xf>
    <xf numFmtId="1" fontId="30699" fillId="8" borderId="1" xfId="0" applyNumberFormat="1" applyFont="1" applyFill="1" applyBorder="1" applyAlignment="1">
      <alignment horizontal="center" vertical="center"/>
    </xf>
    <xf numFmtId="165" fontId="30700" fillId="8" borderId="1" xfId="0" applyNumberFormat="1" applyFont="1" applyFill="1" applyBorder="1" applyAlignment="1">
      <alignment horizontal="center" vertical="center"/>
    </xf>
    <xf numFmtId="2" fontId="30701" fillId="8" borderId="1" xfId="0" applyNumberFormat="1" applyFont="1" applyFill="1" applyBorder="1" applyAlignment="1">
      <alignment horizontal="center" vertical="center"/>
    </xf>
    <xf numFmtId="2" fontId="30702" fillId="8" borderId="1" xfId="0" applyNumberFormat="1" applyFont="1" applyFill="1" applyBorder="1" applyAlignment="1">
      <alignment horizontal="center" vertical="center"/>
    </xf>
    <xf numFmtId="2" fontId="30703" fillId="8" borderId="1" xfId="0" applyNumberFormat="1" applyFont="1" applyFill="1" applyBorder="1" applyAlignment="1">
      <alignment horizontal="center" vertical="center"/>
    </xf>
    <xf numFmtId="2" fontId="30704" fillId="8" borderId="1" xfId="0" applyNumberFormat="1" applyFont="1" applyFill="1" applyBorder="1" applyAlignment="1">
      <alignment horizontal="center" vertical="center"/>
    </xf>
    <xf numFmtId="2" fontId="30705" fillId="8" borderId="1" xfId="0" applyNumberFormat="1" applyFont="1" applyFill="1" applyBorder="1" applyAlignment="1">
      <alignment horizontal="center" vertical="center"/>
    </xf>
    <xf numFmtId="2" fontId="30706" fillId="8" borderId="1" xfId="0" applyNumberFormat="1" applyFont="1" applyFill="1" applyBorder="1" applyAlignment="1">
      <alignment horizontal="center" vertical="center"/>
    </xf>
    <xf numFmtId="2" fontId="30707" fillId="8" borderId="1" xfId="0" applyNumberFormat="1" applyFont="1" applyFill="1" applyBorder="1" applyAlignment="1">
      <alignment horizontal="center" vertical="center"/>
    </xf>
    <xf numFmtId="2" fontId="30708" fillId="8" borderId="1" xfId="0" applyNumberFormat="1" applyFont="1" applyFill="1" applyBorder="1" applyAlignment="1">
      <alignment horizontal="center" vertical="center"/>
    </xf>
    <xf numFmtId="2" fontId="30709" fillId="8" borderId="1" xfId="0" applyNumberFormat="1" applyFont="1" applyFill="1" applyBorder="1" applyAlignment="1">
      <alignment horizontal="center" vertical="center"/>
    </xf>
    <xf numFmtId="2" fontId="30710" fillId="8" borderId="1" xfId="0" applyNumberFormat="1" applyFont="1" applyFill="1" applyBorder="1" applyAlignment="1">
      <alignment horizontal="center" vertical="center"/>
    </xf>
    <xf numFmtId="2" fontId="30711" fillId="8" borderId="1" xfId="0" applyNumberFormat="1" applyFont="1" applyFill="1" applyBorder="1" applyAlignment="1">
      <alignment horizontal="center" vertical="center"/>
    </xf>
    <xf numFmtId="2" fontId="30712" fillId="8" borderId="1" xfId="0" applyNumberFormat="1" applyFont="1" applyFill="1" applyBorder="1" applyAlignment="1">
      <alignment horizontal="center" vertical="center"/>
    </xf>
    <xf numFmtId="2" fontId="30713" fillId="8" borderId="1" xfId="0" applyNumberFormat="1" applyFont="1" applyFill="1" applyBorder="1" applyAlignment="1">
      <alignment horizontal="center" vertical="center"/>
    </xf>
    <xf numFmtId="2" fontId="30714" fillId="8" borderId="1" xfId="0" applyNumberFormat="1" applyFont="1" applyFill="1" applyBorder="1" applyAlignment="1">
      <alignment horizontal="center" vertical="center"/>
    </xf>
    <xf numFmtId="2" fontId="30715" fillId="8" borderId="1" xfId="0" applyNumberFormat="1" applyFont="1" applyFill="1" applyBorder="1" applyAlignment="1">
      <alignment horizontal="center" vertical="center"/>
    </xf>
    <xf numFmtId="2" fontId="30716" fillId="8" borderId="1" xfId="0" applyNumberFormat="1" applyFont="1" applyFill="1" applyBorder="1" applyAlignment="1">
      <alignment horizontal="center" vertical="center"/>
    </xf>
    <xf numFmtId="2" fontId="30717" fillId="8" borderId="1" xfId="0" applyNumberFormat="1" applyFont="1" applyFill="1" applyBorder="1" applyAlignment="1">
      <alignment horizontal="center" vertical="center"/>
    </xf>
    <xf numFmtId="2" fontId="30718" fillId="8" borderId="1" xfId="0" applyNumberFormat="1" applyFont="1" applyFill="1" applyBorder="1" applyAlignment="1">
      <alignment horizontal="center" vertical="center"/>
    </xf>
    <xf numFmtId="2" fontId="30719" fillId="8" borderId="1" xfId="0" applyNumberFormat="1" applyFont="1" applyFill="1" applyBorder="1" applyAlignment="1">
      <alignment horizontal="center" vertical="center"/>
    </xf>
    <xf numFmtId="2" fontId="30720" fillId="8" borderId="1" xfId="0" applyNumberFormat="1" applyFont="1" applyFill="1" applyBorder="1" applyAlignment="1">
      <alignment horizontal="center" vertical="center"/>
    </xf>
    <xf numFmtId="2" fontId="30721" fillId="8" borderId="1" xfId="0" applyNumberFormat="1" applyFont="1" applyFill="1" applyBorder="1" applyAlignment="1">
      <alignment horizontal="center" vertical="center"/>
    </xf>
    <xf numFmtId="2" fontId="30722" fillId="8" borderId="1" xfId="0" applyNumberFormat="1" applyFont="1" applyFill="1" applyBorder="1" applyAlignment="1">
      <alignment horizontal="center" vertical="center"/>
    </xf>
    <xf numFmtId="2" fontId="30723" fillId="8" borderId="1" xfId="0" applyNumberFormat="1" applyFont="1" applyFill="1" applyBorder="1" applyAlignment="1">
      <alignment horizontal="center" vertical="center"/>
    </xf>
    <xf numFmtId="2" fontId="30724" fillId="8" borderId="1" xfId="0" applyNumberFormat="1" applyFont="1" applyFill="1" applyBorder="1" applyAlignment="1">
      <alignment horizontal="center" vertical="center"/>
    </xf>
    <xf numFmtId="2" fontId="30725" fillId="8" borderId="1" xfId="0" applyNumberFormat="1" applyFont="1" applyFill="1" applyBorder="1" applyAlignment="1">
      <alignment horizontal="center" vertical="center"/>
    </xf>
    <xf numFmtId="2" fontId="30726" fillId="8" borderId="1" xfId="0" applyNumberFormat="1" applyFont="1" applyFill="1" applyBorder="1" applyAlignment="1">
      <alignment horizontal="center" vertical="center"/>
    </xf>
    <xf numFmtId="2" fontId="30727" fillId="8" borderId="1" xfId="0" applyNumberFormat="1" applyFont="1" applyFill="1" applyBorder="1" applyAlignment="1">
      <alignment horizontal="center" vertical="center"/>
    </xf>
    <xf numFmtId="2" fontId="30728" fillId="8" borderId="1" xfId="0" applyNumberFormat="1" applyFont="1" applyFill="1" applyBorder="1" applyAlignment="1">
      <alignment horizontal="center" vertical="center"/>
    </xf>
    <xf numFmtId="2" fontId="30729" fillId="8" borderId="1" xfId="0" applyNumberFormat="1" applyFont="1" applyFill="1" applyBorder="1" applyAlignment="1">
      <alignment horizontal="center" vertical="center"/>
    </xf>
    <xf numFmtId="2" fontId="30730" fillId="8" borderId="1" xfId="0" applyNumberFormat="1" applyFont="1" applyFill="1" applyBorder="1" applyAlignment="1">
      <alignment horizontal="center" vertical="center"/>
    </xf>
    <xf numFmtId="2" fontId="30731" fillId="8" borderId="1" xfId="0" applyNumberFormat="1" applyFont="1" applyFill="1" applyBorder="1" applyAlignment="1">
      <alignment horizontal="center" vertical="center"/>
    </xf>
    <xf numFmtId="2" fontId="30732" fillId="8" borderId="1" xfId="0" applyNumberFormat="1" applyFont="1" applyFill="1" applyBorder="1" applyAlignment="1">
      <alignment horizontal="center" vertical="center"/>
    </xf>
    <xf numFmtId="2" fontId="30733" fillId="8" borderId="1" xfId="0" applyNumberFormat="1" applyFont="1" applyFill="1" applyBorder="1" applyAlignment="1">
      <alignment horizontal="center" vertical="center"/>
    </xf>
    <xf numFmtId="2" fontId="30734" fillId="8" borderId="1" xfId="0" applyNumberFormat="1" applyFont="1" applyFill="1" applyBorder="1" applyAlignment="1">
      <alignment horizontal="center" vertical="center"/>
    </xf>
    <xf numFmtId="0" fontId="30735" fillId="7" borderId="1" xfId="0" applyNumberFormat="1" applyFont="1" applyFill="1" applyBorder="1" applyAlignment="1">
      <alignment horizontal="left" vertical="center"/>
    </xf>
    <xf numFmtId="0" fontId="30736" fillId="8" borderId="1" xfId="0" applyNumberFormat="1" applyFont="1" applyFill="1" applyBorder="1" applyAlignment="1">
      <alignment horizontal="center" vertical="center"/>
    </xf>
    <xf numFmtId="164" fontId="30737" fillId="8" borderId="1" xfId="0" applyNumberFormat="1" applyFont="1" applyFill="1" applyBorder="1" applyAlignment="1">
      <alignment horizontal="center" vertical="center"/>
    </xf>
    <xf numFmtId="1" fontId="30738" fillId="8" borderId="1" xfId="0" applyNumberFormat="1" applyFont="1" applyFill="1" applyBorder="1" applyAlignment="1">
      <alignment horizontal="center" vertical="center"/>
    </xf>
    <xf numFmtId="1" fontId="30739" fillId="8" borderId="1" xfId="0" applyNumberFormat="1" applyFont="1" applyFill="1" applyBorder="1" applyAlignment="1">
      <alignment horizontal="center" vertical="center"/>
    </xf>
    <xf numFmtId="1" fontId="30740" fillId="8" borderId="1" xfId="0" applyNumberFormat="1" applyFont="1" applyFill="1" applyBorder="1" applyAlignment="1">
      <alignment horizontal="center" vertical="center"/>
    </xf>
    <xf numFmtId="1" fontId="30741" fillId="8" borderId="1" xfId="0" applyNumberFormat="1" applyFont="1" applyFill="1" applyBorder="1" applyAlignment="1">
      <alignment horizontal="center" vertical="center"/>
    </xf>
    <xf numFmtId="1" fontId="30742" fillId="8" borderId="1" xfId="0" applyNumberFormat="1" applyFont="1" applyFill="1" applyBorder="1" applyAlignment="1">
      <alignment horizontal="center" vertical="center"/>
    </xf>
    <xf numFmtId="1" fontId="30743" fillId="8" borderId="1" xfId="0" applyNumberFormat="1" applyFont="1" applyFill="1" applyBorder="1" applyAlignment="1">
      <alignment horizontal="center" vertical="center"/>
    </xf>
    <xf numFmtId="1" fontId="30744" fillId="8" borderId="1" xfId="0" applyNumberFormat="1" applyFont="1" applyFill="1" applyBorder="1" applyAlignment="1">
      <alignment horizontal="center" vertical="center"/>
    </xf>
    <xf numFmtId="0" fontId="30745" fillId="8" borderId="1" xfId="0" applyNumberFormat="1" applyFont="1" applyFill="1" applyBorder="1" applyAlignment="1">
      <alignment horizontal="center" vertical="center"/>
    </xf>
    <xf numFmtId="0" fontId="30746" fillId="8" borderId="1" xfId="0" applyNumberFormat="1" applyFont="1" applyFill="1" applyBorder="1" applyAlignment="1">
      <alignment horizontal="center" vertical="center"/>
    </xf>
    <xf numFmtId="1" fontId="30747" fillId="8" borderId="1" xfId="0" applyNumberFormat="1" applyFont="1" applyFill="1" applyBorder="1" applyAlignment="1">
      <alignment horizontal="center" vertical="center"/>
    </xf>
    <xf numFmtId="1" fontId="30748" fillId="8" borderId="1" xfId="0" applyNumberFormat="1" applyFont="1" applyFill="1" applyBorder="1" applyAlignment="1">
      <alignment horizontal="center" vertical="center"/>
    </xf>
    <xf numFmtId="1" fontId="30749" fillId="8" borderId="1" xfId="0" applyNumberFormat="1" applyFont="1" applyFill="1" applyBorder="1" applyAlignment="1">
      <alignment horizontal="center" vertical="center"/>
    </xf>
    <xf numFmtId="165" fontId="30750" fillId="8" borderId="1" xfId="0" applyNumberFormat="1" applyFont="1" applyFill="1" applyBorder="1" applyAlignment="1">
      <alignment horizontal="center" vertical="center"/>
    </xf>
    <xf numFmtId="1" fontId="30751" fillId="8" borderId="1" xfId="0" applyNumberFormat="1" applyFont="1" applyFill="1" applyBorder="1" applyAlignment="1">
      <alignment horizontal="center" vertical="center"/>
    </xf>
    <xf numFmtId="165" fontId="30752" fillId="8" borderId="1" xfId="0" applyNumberFormat="1" applyFont="1" applyFill="1" applyBorder="1" applyAlignment="1">
      <alignment horizontal="center" vertical="center"/>
    </xf>
    <xf numFmtId="1" fontId="30753" fillId="8" borderId="1" xfId="0" applyNumberFormat="1" applyFont="1" applyFill="1" applyBorder="1" applyAlignment="1">
      <alignment horizontal="center" vertical="center"/>
    </xf>
    <xf numFmtId="165" fontId="30754" fillId="8" borderId="1" xfId="0" applyNumberFormat="1" applyFont="1" applyFill="1" applyBorder="1" applyAlignment="1">
      <alignment horizontal="center" vertical="center"/>
    </xf>
    <xf numFmtId="1" fontId="30755" fillId="8" borderId="1" xfId="0" applyNumberFormat="1" applyFont="1" applyFill="1" applyBorder="1" applyAlignment="1">
      <alignment horizontal="center" vertical="center"/>
    </xf>
    <xf numFmtId="165" fontId="30756" fillId="8" borderId="1" xfId="0" applyNumberFormat="1" applyFont="1" applyFill="1" applyBorder="1" applyAlignment="1">
      <alignment horizontal="center" vertical="center"/>
    </xf>
    <xf numFmtId="165" fontId="30757" fillId="8" borderId="1" xfId="0" applyNumberFormat="1" applyFont="1" applyFill="1" applyBorder="1" applyAlignment="1">
      <alignment horizontal="center" vertical="center"/>
    </xf>
    <xf numFmtId="1" fontId="30758" fillId="8" borderId="1" xfId="0" applyNumberFormat="1" applyFont="1" applyFill="1" applyBorder="1" applyAlignment="1">
      <alignment horizontal="center" vertical="center"/>
    </xf>
    <xf numFmtId="1" fontId="30759" fillId="8" borderId="1" xfId="0" applyNumberFormat="1" applyFont="1" applyFill="1" applyBorder="1" applyAlignment="1">
      <alignment horizontal="center" vertical="center"/>
    </xf>
    <xf numFmtId="1" fontId="30760" fillId="8" borderId="1" xfId="0" applyNumberFormat="1" applyFont="1" applyFill="1" applyBorder="1" applyAlignment="1">
      <alignment horizontal="center" vertical="center"/>
    </xf>
    <xf numFmtId="165" fontId="30761" fillId="8" borderId="1" xfId="0" applyNumberFormat="1" applyFont="1" applyFill="1" applyBorder="1" applyAlignment="1">
      <alignment horizontal="center" vertical="center"/>
    </xf>
    <xf numFmtId="164" fontId="30762" fillId="8" borderId="1" xfId="0" applyNumberFormat="1" applyFont="1" applyFill="1" applyBorder="1" applyAlignment="1">
      <alignment horizontal="center" vertical="center"/>
    </xf>
    <xf numFmtId="164" fontId="30763" fillId="8" borderId="1" xfId="0" applyNumberFormat="1" applyFont="1" applyFill="1" applyBorder="1" applyAlignment="1">
      <alignment horizontal="center" vertical="center"/>
    </xf>
    <xf numFmtId="1" fontId="30764" fillId="8" borderId="1" xfId="0" applyNumberFormat="1" applyFont="1" applyFill="1" applyBorder="1" applyAlignment="1">
      <alignment horizontal="center" vertical="center"/>
    </xf>
    <xf numFmtId="1" fontId="30765" fillId="8" borderId="1" xfId="0" applyNumberFormat="1" applyFont="1" applyFill="1" applyBorder="1" applyAlignment="1">
      <alignment horizontal="center" vertical="center"/>
    </xf>
    <xf numFmtId="1" fontId="30766" fillId="8" borderId="1" xfId="0" applyNumberFormat="1" applyFont="1" applyFill="1" applyBorder="1" applyAlignment="1">
      <alignment horizontal="center" vertical="center"/>
    </xf>
    <xf numFmtId="165" fontId="30767" fillId="8" borderId="1" xfId="0" applyNumberFormat="1" applyFont="1" applyFill="1" applyBorder="1" applyAlignment="1">
      <alignment horizontal="center" vertical="center"/>
    </xf>
    <xf numFmtId="1" fontId="30768" fillId="8" borderId="1" xfId="0" applyNumberFormat="1" applyFont="1" applyFill="1" applyBorder="1" applyAlignment="1">
      <alignment horizontal="center" vertical="center"/>
    </xf>
    <xf numFmtId="165" fontId="30769" fillId="8" borderId="1" xfId="0" applyNumberFormat="1" applyFont="1" applyFill="1" applyBorder="1" applyAlignment="1">
      <alignment horizontal="center" vertical="center"/>
    </xf>
    <xf numFmtId="1" fontId="30770" fillId="8" borderId="1" xfId="0" applyNumberFormat="1" applyFont="1" applyFill="1" applyBorder="1" applyAlignment="1">
      <alignment horizontal="center" vertical="center"/>
    </xf>
    <xf numFmtId="1" fontId="30771" fillId="8" borderId="1" xfId="0" applyNumberFormat="1" applyFont="1" applyFill="1" applyBorder="1" applyAlignment="1">
      <alignment horizontal="center" vertical="center"/>
    </xf>
    <xf numFmtId="1" fontId="30772" fillId="8" borderId="1" xfId="0" applyNumberFormat="1" applyFont="1" applyFill="1" applyBorder="1" applyAlignment="1">
      <alignment horizontal="center" vertical="center"/>
    </xf>
    <xf numFmtId="1" fontId="30773" fillId="8" borderId="1" xfId="0" applyNumberFormat="1" applyFont="1" applyFill="1" applyBorder="1" applyAlignment="1">
      <alignment horizontal="center" vertical="center"/>
    </xf>
    <xf numFmtId="165" fontId="30774" fillId="8" borderId="1" xfId="0" applyNumberFormat="1" applyFont="1" applyFill="1" applyBorder="1" applyAlignment="1">
      <alignment horizontal="center" vertical="center"/>
    </xf>
    <xf numFmtId="1" fontId="30775" fillId="8" borderId="1" xfId="0" applyNumberFormat="1" applyFont="1" applyFill="1" applyBorder="1" applyAlignment="1">
      <alignment horizontal="center" vertical="center"/>
    </xf>
    <xf numFmtId="165" fontId="30776" fillId="8" borderId="1" xfId="0" applyNumberFormat="1" applyFont="1" applyFill="1" applyBorder="1" applyAlignment="1">
      <alignment horizontal="center" vertical="center"/>
    </xf>
    <xf numFmtId="1" fontId="30777" fillId="8" borderId="1" xfId="0" applyNumberFormat="1" applyFont="1" applyFill="1" applyBorder="1" applyAlignment="1">
      <alignment horizontal="center" vertical="center"/>
    </xf>
    <xf numFmtId="165" fontId="30778" fillId="8" borderId="1" xfId="0" applyNumberFormat="1" applyFont="1" applyFill="1" applyBorder="1" applyAlignment="1">
      <alignment horizontal="center" vertical="center"/>
    </xf>
    <xf numFmtId="2" fontId="30779" fillId="8" borderId="1" xfId="0" applyNumberFormat="1" applyFont="1" applyFill="1" applyBorder="1" applyAlignment="1">
      <alignment horizontal="center" vertical="center"/>
    </xf>
    <xf numFmtId="2" fontId="30780" fillId="8" borderId="1" xfId="0" applyNumberFormat="1" applyFont="1" applyFill="1" applyBorder="1" applyAlignment="1">
      <alignment horizontal="center" vertical="center"/>
    </xf>
    <xf numFmtId="2" fontId="30781" fillId="8" borderId="1" xfId="0" applyNumberFormat="1" applyFont="1" applyFill="1" applyBorder="1" applyAlignment="1">
      <alignment horizontal="center" vertical="center"/>
    </xf>
    <xf numFmtId="2" fontId="30782" fillId="8" borderId="1" xfId="0" applyNumberFormat="1" applyFont="1" applyFill="1" applyBorder="1" applyAlignment="1">
      <alignment horizontal="center" vertical="center"/>
    </xf>
    <xf numFmtId="2" fontId="30783" fillId="8" borderId="1" xfId="0" applyNumberFormat="1" applyFont="1" applyFill="1" applyBorder="1" applyAlignment="1">
      <alignment horizontal="center" vertical="center"/>
    </xf>
    <xf numFmtId="2" fontId="30784" fillId="8" borderId="1" xfId="0" applyNumberFormat="1" applyFont="1" applyFill="1" applyBorder="1" applyAlignment="1">
      <alignment horizontal="center" vertical="center"/>
    </xf>
    <xf numFmtId="2" fontId="30785" fillId="8" borderId="1" xfId="0" applyNumberFormat="1" applyFont="1" applyFill="1" applyBorder="1" applyAlignment="1">
      <alignment horizontal="center" vertical="center"/>
    </xf>
    <xf numFmtId="2" fontId="30786" fillId="8" borderId="1" xfId="0" applyNumberFormat="1" applyFont="1" applyFill="1" applyBorder="1" applyAlignment="1">
      <alignment horizontal="center" vertical="center"/>
    </xf>
    <xf numFmtId="2" fontId="30787" fillId="8" borderId="1" xfId="0" applyNumberFormat="1" applyFont="1" applyFill="1" applyBorder="1" applyAlignment="1">
      <alignment horizontal="center" vertical="center"/>
    </xf>
    <xf numFmtId="2" fontId="30788" fillId="8" borderId="1" xfId="0" applyNumberFormat="1" applyFont="1" applyFill="1" applyBorder="1" applyAlignment="1">
      <alignment horizontal="center" vertical="center"/>
    </xf>
    <xf numFmtId="2" fontId="30789" fillId="8" borderId="1" xfId="0" applyNumberFormat="1" applyFont="1" applyFill="1" applyBorder="1" applyAlignment="1">
      <alignment horizontal="center" vertical="center"/>
    </xf>
    <xf numFmtId="2" fontId="30790" fillId="8" borderId="1" xfId="0" applyNumberFormat="1" applyFont="1" applyFill="1" applyBorder="1" applyAlignment="1">
      <alignment horizontal="center" vertical="center"/>
    </xf>
    <xf numFmtId="2" fontId="30791" fillId="8" borderId="1" xfId="0" applyNumberFormat="1" applyFont="1" applyFill="1" applyBorder="1" applyAlignment="1">
      <alignment horizontal="center" vertical="center"/>
    </xf>
    <xf numFmtId="2" fontId="30792" fillId="8" borderId="1" xfId="0" applyNumberFormat="1" applyFont="1" applyFill="1" applyBorder="1" applyAlignment="1">
      <alignment horizontal="center" vertical="center"/>
    </xf>
    <xf numFmtId="2" fontId="30793" fillId="8" borderId="1" xfId="0" applyNumberFormat="1" applyFont="1" applyFill="1" applyBorder="1" applyAlignment="1">
      <alignment horizontal="center" vertical="center"/>
    </xf>
    <xf numFmtId="2" fontId="30794" fillId="8" borderId="1" xfId="0" applyNumberFormat="1" applyFont="1" applyFill="1" applyBorder="1" applyAlignment="1">
      <alignment horizontal="center" vertical="center"/>
    </xf>
    <xf numFmtId="2" fontId="30795" fillId="8" borderId="1" xfId="0" applyNumberFormat="1" applyFont="1" applyFill="1" applyBorder="1" applyAlignment="1">
      <alignment horizontal="center" vertical="center"/>
    </xf>
    <xf numFmtId="2" fontId="30796" fillId="8" borderId="1" xfId="0" applyNumberFormat="1" applyFont="1" applyFill="1" applyBorder="1" applyAlignment="1">
      <alignment horizontal="center" vertical="center"/>
    </xf>
    <xf numFmtId="2" fontId="30797" fillId="8" borderId="1" xfId="0" applyNumberFormat="1" applyFont="1" applyFill="1" applyBorder="1" applyAlignment="1">
      <alignment horizontal="center" vertical="center"/>
    </xf>
    <xf numFmtId="2" fontId="30798" fillId="8" borderId="1" xfId="0" applyNumberFormat="1" applyFont="1" applyFill="1" applyBorder="1" applyAlignment="1">
      <alignment horizontal="center" vertical="center"/>
    </xf>
    <xf numFmtId="2" fontId="30799" fillId="8" borderId="1" xfId="0" applyNumberFormat="1" applyFont="1" applyFill="1" applyBorder="1" applyAlignment="1">
      <alignment horizontal="center" vertical="center"/>
    </xf>
    <xf numFmtId="2" fontId="30800" fillId="8" borderId="1" xfId="0" applyNumberFormat="1" applyFont="1" applyFill="1" applyBorder="1" applyAlignment="1">
      <alignment horizontal="center" vertical="center"/>
    </xf>
    <xf numFmtId="2" fontId="30801" fillId="8" borderId="1" xfId="0" applyNumberFormat="1" applyFont="1" applyFill="1" applyBorder="1" applyAlignment="1">
      <alignment horizontal="center" vertical="center"/>
    </xf>
    <xf numFmtId="2" fontId="30802" fillId="8" borderId="1" xfId="0" applyNumberFormat="1" applyFont="1" applyFill="1" applyBorder="1" applyAlignment="1">
      <alignment horizontal="center" vertical="center"/>
    </xf>
    <xf numFmtId="2" fontId="30803" fillId="8" borderId="1" xfId="0" applyNumberFormat="1" applyFont="1" applyFill="1" applyBorder="1" applyAlignment="1">
      <alignment horizontal="center" vertical="center"/>
    </xf>
    <xf numFmtId="2" fontId="30804" fillId="8" borderId="1" xfId="0" applyNumberFormat="1" applyFont="1" applyFill="1" applyBorder="1" applyAlignment="1">
      <alignment horizontal="center" vertical="center"/>
    </xf>
    <xf numFmtId="2" fontId="30805" fillId="8" borderId="1" xfId="0" applyNumberFormat="1" applyFont="1" applyFill="1" applyBorder="1" applyAlignment="1">
      <alignment horizontal="center" vertical="center"/>
    </xf>
    <xf numFmtId="2" fontId="30806" fillId="8" borderId="1" xfId="0" applyNumberFormat="1" applyFont="1" applyFill="1" applyBorder="1" applyAlignment="1">
      <alignment horizontal="center" vertical="center"/>
    </xf>
    <xf numFmtId="2" fontId="30807" fillId="8" borderId="1" xfId="0" applyNumberFormat="1" applyFont="1" applyFill="1" applyBorder="1" applyAlignment="1">
      <alignment horizontal="center" vertical="center"/>
    </xf>
    <xf numFmtId="2" fontId="30808" fillId="8" borderId="1" xfId="0" applyNumberFormat="1" applyFont="1" applyFill="1" applyBorder="1" applyAlignment="1">
      <alignment horizontal="center" vertical="center"/>
    </xf>
    <xf numFmtId="2" fontId="30809" fillId="8" borderId="1" xfId="0" applyNumberFormat="1" applyFont="1" applyFill="1" applyBorder="1" applyAlignment="1">
      <alignment horizontal="center" vertical="center"/>
    </xf>
    <xf numFmtId="2" fontId="30810" fillId="8" borderId="1" xfId="0" applyNumberFormat="1" applyFont="1" applyFill="1" applyBorder="1" applyAlignment="1">
      <alignment horizontal="center" vertical="center"/>
    </xf>
    <xf numFmtId="2" fontId="30811" fillId="8" borderId="1" xfId="0" applyNumberFormat="1" applyFont="1" applyFill="1" applyBorder="1" applyAlignment="1">
      <alignment horizontal="center" vertical="center"/>
    </xf>
    <xf numFmtId="2" fontId="30812" fillId="8" borderId="1" xfId="0" applyNumberFormat="1" applyFont="1" applyFill="1" applyBorder="1" applyAlignment="1">
      <alignment horizontal="center" vertical="center"/>
    </xf>
    <xf numFmtId="0" fontId="30813" fillId="7" borderId="1" xfId="0" applyNumberFormat="1" applyFont="1" applyFill="1" applyBorder="1" applyAlignment="1">
      <alignment horizontal="left" vertical="center"/>
    </xf>
    <xf numFmtId="0" fontId="30814" fillId="8" borderId="1" xfId="0" applyNumberFormat="1" applyFont="1" applyFill="1" applyBorder="1" applyAlignment="1">
      <alignment horizontal="center" vertical="center"/>
    </xf>
    <xf numFmtId="164" fontId="30815" fillId="8" borderId="1" xfId="0" applyNumberFormat="1" applyFont="1" applyFill="1" applyBorder="1" applyAlignment="1">
      <alignment horizontal="center" vertical="center"/>
    </xf>
    <xf numFmtId="1" fontId="30816" fillId="8" borderId="1" xfId="0" applyNumberFormat="1" applyFont="1" applyFill="1" applyBorder="1" applyAlignment="1">
      <alignment horizontal="center" vertical="center"/>
    </xf>
    <xf numFmtId="1" fontId="30817" fillId="8" borderId="1" xfId="0" applyNumberFormat="1" applyFont="1" applyFill="1" applyBorder="1" applyAlignment="1">
      <alignment horizontal="center" vertical="center"/>
    </xf>
    <xf numFmtId="1" fontId="30818" fillId="8" borderId="1" xfId="0" applyNumberFormat="1" applyFont="1" applyFill="1" applyBorder="1" applyAlignment="1">
      <alignment horizontal="center" vertical="center"/>
    </xf>
    <xf numFmtId="1" fontId="30819" fillId="8" borderId="1" xfId="0" applyNumberFormat="1" applyFont="1" applyFill="1" applyBorder="1" applyAlignment="1">
      <alignment horizontal="center" vertical="center"/>
    </xf>
    <xf numFmtId="1" fontId="30820" fillId="8" borderId="1" xfId="0" applyNumberFormat="1" applyFont="1" applyFill="1" applyBorder="1" applyAlignment="1">
      <alignment horizontal="center" vertical="center"/>
    </xf>
    <xf numFmtId="1" fontId="30821" fillId="8" borderId="1" xfId="0" applyNumberFormat="1" applyFont="1" applyFill="1" applyBorder="1" applyAlignment="1">
      <alignment horizontal="center" vertical="center"/>
    </xf>
    <xf numFmtId="1" fontId="30822" fillId="8" borderId="1" xfId="0" applyNumberFormat="1" applyFont="1" applyFill="1" applyBorder="1" applyAlignment="1">
      <alignment horizontal="center" vertical="center"/>
    </xf>
    <xf numFmtId="0" fontId="30823" fillId="8" borderId="1" xfId="0" applyNumberFormat="1" applyFont="1" applyFill="1" applyBorder="1" applyAlignment="1">
      <alignment horizontal="center" vertical="center"/>
    </xf>
    <xf numFmtId="0" fontId="30824" fillId="8" borderId="1" xfId="0" applyNumberFormat="1" applyFont="1" applyFill="1" applyBorder="1" applyAlignment="1">
      <alignment horizontal="center" vertical="center"/>
    </xf>
    <xf numFmtId="1" fontId="30825" fillId="8" borderId="1" xfId="0" applyNumberFormat="1" applyFont="1" applyFill="1" applyBorder="1" applyAlignment="1">
      <alignment horizontal="center" vertical="center"/>
    </xf>
    <xf numFmtId="1" fontId="30826" fillId="8" borderId="1" xfId="0" applyNumberFormat="1" applyFont="1" applyFill="1" applyBorder="1" applyAlignment="1">
      <alignment horizontal="center" vertical="center"/>
    </xf>
    <xf numFmtId="1" fontId="30827" fillId="8" borderId="1" xfId="0" applyNumberFormat="1" applyFont="1" applyFill="1" applyBorder="1" applyAlignment="1">
      <alignment horizontal="center" vertical="center"/>
    </xf>
    <xf numFmtId="165" fontId="30828" fillId="8" borderId="1" xfId="0" applyNumberFormat="1" applyFont="1" applyFill="1" applyBorder="1" applyAlignment="1">
      <alignment horizontal="center" vertical="center"/>
    </xf>
    <xf numFmtId="1" fontId="30829" fillId="8" borderId="1" xfId="0" applyNumberFormat="1" applyFont="1" applyFill="1" applyBorder="1" applyAlignment="1">
      <alignment horizontal="center" vertical="center"/>
    </xf>
    <xf numFmtId="165" fontId="30830" fillId="8" borderId="1" xfId="0" applyNumberFormat="1" applyFont="1" applyFill="1" applyBorder="1" applyAlignment="1">
      <alignment horizontal="center" vertical="center"/>
    </xf>
    <xf numFmtId="1" fontId="30831" fillId="8" borderId="1" xfId="0" applyNumberFormat="1" applyFont="1" applyFill="1" applyBorder="1" applyAlignment="1">
      <alignment horizontal="center" vertical="center"/>
    </xf>
    <xf numFmtId="165" fontId="30832" fillId="8" borderId="1" xfId="0" applyNumberFormat="1" applyFont="1" applyFill="1" applyBorder="1" applyAlignment="1">
      <alignment horizontal="center" vertical="center"/>
    </xf>
    <xf numFmtId="1" fontId="30833" fillId="8" borderId="1" xfId="0" applyNumberFormat="1" applyFont="1" applyFill="1" applyBorder="1" applyAlignment="1">
      <alignment horizontal="center" vertical="center"/>
    </xf>
    <xf numFmtId="165" fontId="30834" fillId="8" borderId="1" xfId="0" applyNumberFormat="1" applyFont="1" applyFill="1" applyBorder="1" applyAlignment="1">
      <alignment horizontal="center" vertical="center"/>
    </xf>
    <xf numFmtId="165" fontId="30835" fillId="8" borderId="1" xfId="0" applyNumberFormat="1" applyFont="1" applyFill="1" applyBorder="1" applyAlignment="1">
      <alignment horizontal="center" vertical="center"/>
    </xf>
    <xf numFmtId="1" fontId="30836" fillId="8" borderId="1" xfId="0" applyNumberFormat="1" applyFont="1" applyFill="1" applyBorder="1" applyAlignment="1">
      <alignment horizontal="center" vertical="center"/>
    </xf>
    <xf numFmtId="1" fontId="30837" fillId="8" borderId="1" xfId="0" applyNumberFormat="1" applyFont="1" applyFill="1" applyBorder="1" applyAlignment="1">
      <alignment horizontal="center" vertical="center"/>
    </xf>
    <xf numFmtId="1" fontId="30838" fillId="8" borderId="1" xfId="0" applyNumberFormat="1" applyFont="1" applyFill="1" applyBorder="1" applyAlignment="1">
      <alignment horizontal="center" vertical="center"/>
    </xf>
    <xf numFmtId="165" fontId="30839" fillId="8" borderId="1" xfId="0" applyNumberFormat="1" applyFont="1" applyFill="1" applyBorder="1" applyAlignment="1">
      <alignment horizontal="center" vertical="center"/>
    </xf>
    <xf numFmtId="164" fontId="30840" fillId="8" borderId="1" xfId="0" applyNumberFormat="1" applyFont="1" applyFill="1" applyBorder="1" applyAlignment="1">
      <alignment horizontal="center" vertical="center"/>
    </xf>
    <xf numFmtId="164" fontId="30841" fillId="8" borderId="1" xfId="0" applyNumberFormat="1" applyFont="1" applyFill="1" applyBorder="1" applyAlignment="1">
      <alignment horizontal="center" vertical="center"/>
    </xf>
    <xf numFmtId="1" fontId="30842" fillId="8" borderId="1" xfId="0" applyNumberFormat="1" applyFont="1" applyFill="1" applyBorder="1" applyAlignment="1">
      <alignment horizontal="center" vertical="center"/>
    </xf>
    <xf numFmtId="1" fontId="30843" fillId="8" borderId="1" xfId="0" applyNumberFormat="1" applyFont="1" applyFill="1" applyBorder="1" applyAlignment="1">
      <alignment horizontal="center" vertical="center"/>
    </xf>
    <xf numFmtId="1" fontId="30844" fillId="8" borderId="1" xfId="0" applyNumberFormat="1" applyFont="1" applyFill="1" applyBorder="1" applyAlignment="1">
      <alignment horizontal="center" vertical="center"/>
    </xf>
    <xf numFmtId="165" fontId="30845" fillId="8" borderId="1" xfId="0" applyNumberFormat="1" applyFont="1" applyFill="1" applyBorder="1" applyAlignment="1">
      <alignment horizontal="center" vertical="center"/>
    </xf>
    <xf numFmtId="1" fontId="30846" fillId="8" borderId="1" xfId="0" applyNumberFormat="1" applyFont="1" applyFill="1" applyBorder="1" applyAlignment="1">
      <alignment horizontal="center" vertical="center"/>
    </xf>
    <xf numFmtId="165" fontId="30847" fillId="8" borderId="1" xfId="0" applyNumberFormat="1" applyFont="1" applyFill="1" applyBorder="1" applyAlignment="1">
      <alignment horizontal="center" vertical="center"/>
    </xf>
    <xf numFmtId="1" fontId="30848" fillId="8" borderId="1" xfId="0" applyNumberFormat="1" applyFont="1" applyFill="1" applyBorder="1" applyAlignment="1">
      <alignment horizontal="center" vertical="center"/>
    </xf>
    <xf numFmtId="1" fontId="30849" fillId="8" borderId="1" xfId="0" applyNumberFormat="1" applyFont="1" applyFill="1" applyBorder="1" applyAlignment="1">
      <alignment horizontal="center" vertical="center"/>
    </xf>
    <xf numFmtId="1" fontId="30850" fillId="8" borderId="1" xfId="0" applyNumberFormat="1" applyFont="1" applyFill="1" applyBorder="1" applyAlignment="1">
      <alignment horizontal="center" vertical="center"/>
    </xf>
    <xf numFmtId="1" fontId="30851" fillId="8" borderId="1" xfId="0" applyNumberFormat="1" applyFont="1" applyFill="1" applyBorder="1" applyAlignment="1">
      <alignment horizontal="center" vertical="center"/>
    </xf>
    <xf numFmtId="165" fontId="30852" fillId="8" borderId="1" xfId="0" applyNumberFormat="1" applyFont="1" applyFill="1" applyBorder="1" applyAlignment="1">
      <alignment horizontal="center" vertical="center"/>
    </xf>
    <xf numFmtId="1" fontId="30853" fillId="8" borderId="1" xfId="0" applyNumberFormat="1" applyFont="1" applyFill="1" applyBorder="1" applyAlignment="1">
      <alignment horizontal="center" vertical="center"/>
    </xf>
    <xf numFmtId="165" fontId="30854" fillId="8" borderId="1" xfId="0" applyNumberFormat="1" applyFont="1" applyFill="1" applyBorder="1" applyAlignment="1">
      <alignment horizontal="center" vertical="center"/>
    </xf>
    <xf numFmtId="1" fontId="30855" fillId="8" borderId="1" xfId="0" applyNumberFormat="1" applyFont="1" applyFill="1" applyBorder="1" applyAlignment="1">
      <alignment horizontal="center" vertical="center"/>
    </xf>
    <xf numFmtId="165" fontId="30856" fillId="8" borderId="1" xfId="0" applyNumberFormat="1" applyFont="1" applyFill="1" applyBorder="1" applyAlignment="1">
      <alignment horizontal="center" vertical="center"/>
    </xf>
    <xf numFmtId="2" fontId="30857" fillId="8" borderId="1" xfId="0" applyNumberFormat="1" applyFont="1" applyFill="1" applyBorder="1" applyAlignment="1">
      <alignment horizontal="center" vertical="center"/>
    </xf>
    <xf numFmtId="2" fontId="30858" fillId="8" borderId="1" xfId="0" applyNumberFormat="1" applyFont="1" applyFill="1" applyBorder="1" applyAlignment="1">
      <alignment horizontal="center" vertical="center"/>
    </xf>
    <xf numFmtId="2" fontId="30859" fillId="8" borderId="1" xfId="0" applyNumberFormat="1" applyFont="1" applyFill="1" applyBorder="1" applyAlignment="1">
      <alignment horizontal="center" vertical="center"/>
    </xf>
    <xf numFmtId="2" fontId="30860" fillId="8" borderId="1" xfId="0" applyNumberFormat="1" applyFont="1" applyFill="1" applyBorder="1" applyAlignment="1">
      <alignment horizontal="center" vertical="center"/>
    </xf>
    <xf numFmtId="2" fontId="30861" fillId="8" borderId="1" xfId="0" applyNumberFormat="1" applyFont="1" applyFill="1" applyBorder="1" applyAlignment="1">
      <alignment horizontal="center" vertical="center"/>
    </xf>
    <xf numFmtId="2" fontId="30862" fillId="8" borderId="1" xfId="0" applyNumberFormat="1" applyFont="1" applyFill="1" applyBorder="1" applyAlignment="1">
      <alignment horizontal="center" vertical="center"/>
    </xf>
    <xf numFmtId="2" fontId="30863" fillId="8" borderId="1" xfId="0" applyNumberFormat="1" applyFont="1" applyFill="1" applyBorder="1" applyAlignment="1">
      <alignment horizontal="center" vertical="center"/>
    </xf>
    <xf numFmtId="2" fontId="30864" fillId="8" borderId="1" xfId="0" applyNumberFormat="1" applyFont="1" applyFill="1" applyBorder="1" applyAlignment="1">
      <alignment horizontal="center" vertical="center"/>
    </xf>
    <xf numFmtId="2" fontId="30865" fillId="8" borderId="1" xfId="0" applyNumberFormat="1" applyFont="1" applyFill="1" applyBorder="1" applyAlignment="1">
      <alignment horizontal="center" vertical="center"/>
    </xf>
    <xf numFmtId="2" fontId="30866" fillId="8" borderId="1" xfId="0" applyNumberFormat="1" applyFont="1" applyFill="1" applyBorder="1" applyAlignment="1">
      <alignment horizontal="center" vertical="center"/>
    </xf>
    <xf numFmtId="2" fontId="30867" fillId="8" borderId="1" xfId="0" applyNumberFormat="1" applyFont="1" applyFill="1" applyBorder="1" applyAlignment="1">
      <alignment horizontal="center" vertical="center"/>
    </xf>
    <xf numFmtId="2" fontId="30868" fillId="8" borderId="1" xfId="0" applyNumberFormat="1" applyFont="1" applyFill="1" applyBorder="1" applyAlignment="1">
      <alignment horizontal="center" vertical="center"/>
    </xf>
    <xf numFmtId="2" fontId="30869" fillId="8" borderId="1" xfId="0" applyNumberFormat="1" applyFont="1" applyFill="1" applyBorder="1" applyAlignment="1">
      <alignment horizontal="center" vertical="center"/>
    </xf>
    <xf numFmtId="2" fontId="30870" fillId="8" borderId="1" xfId="0" applyNumberFormat="1" applyFont="1" applyFill="1" applyBorder="1" applyAlignment="1">
      <alignment horizontal="center" vertical="center"/>
    </xf>
    <xf numFmtId="2" fontId="30871" fillId="8" borderId="1" xfId="0" applyNumberFormat="1" applyFont="1" applyFill="1" applyBorder="1" applyAlignment="1">
      <alignment horizontal="center" vertical="center"/>
    </xf>
    <xf numFmtId="2" fontId="30872" fillId="8" borderId="1" xfId="0" applyNumberFormat="1" applyFont="1" applyFill="1" applyBorder="1" applyAlignment="1">
      <alignment horizontal="center" vertical="center"/>
    </xf>
    <xf numFmtId="2" fontId="30873" fillId="8" borderId="1" xfId="0" applyNumberFormat="1" applyFont="1" applyFill="1" applyBorder="1" applyAlignment="1">
      <alignment horizontal="center" vertical="center"/>
    </xf>
    <xf numFmtId="2" fontId="30874" fillId="8" borderId="1" xfId="0" applyNumberFormat="1" applyFont="1" applyFill="1" applyBorder="1" applyAlignment="1">
      <alignment horizontal="center" vertical="center"/>
    </xf>
    <xf numFmtId="2" fontId="30875" fillId="8" borderId="1" xfId="0" applyNumberFormat="1" applyFont="1" applyFill="1" applyBorder="1" applyAlignment="1">
      <alignment horizontal="center" vertical="center"/>
    </xf>
    <xf numFmtId="2" fontId="30876" fillId="8" borderId="1" xfId="0" applyNumberFormat="1" applyFont="1" applyFill="1" applyBorder="1" applyAlignment="1">
      <alignment horizontal="center" vertical="center"/>
    </xf>
    <xf numFmtId="2" fontId="30877" fillId="8" borderId="1" xfId="0" applyNumberFormat="1" applyFont="1" applyFill="1" applyBorder="1" applyAlignment="1">
      <alignment horizontal="center" vertical="center"/>
    </xf>
    <xf numFmtId="2" fontId="30878" fillId="8" borderId="1" xfId="0" applyNumberFormat="1" applyFont="1" applyFill="1" applyBorder="1" applyAlignment="1">
      <alignment horizontal="center" vertical="center"/>
    </xf>
    <xf numFmtId="2" fontId="30879" fillId="8" borderId="1" xfId="0" applyNumberFormat="1" applyFont="1" applyFill="1" applyBorder="1" applyAlignment="1">
      <alignment horizontal="center" vertical="center"/>
    </xf>
    <xf numFmtId="2" fontId="30880" fillId="8" borderId="1" xfId="0" applyNumberFormat="1" applyFont="1" applyFill="1" applyBorder="1" applyAlignment="1">
      <alignment horizontal="center" vertical="center"/>
    </xf>
    <xf numFmtId="2" fontId="30881" fillId="8" borderId="1" xfId="0" applyNumberFormat="1" applyFont="1" applyFill="1" applyBorder="1" applyAlignment="1">
      <alignment horizontal="center" vertical="center"/>
    </xf>
    <xf numFmtId="2" fontId="30882" fillId="8" borderId="1" xfId="0" applyNumberFormat="1" applyFont="1" applyFill="1" applyBorder="1" applyAlignment="1">
      <alignment horizontal="center" vertical="center"/>
    </xf>
    <xf numFmtId="2" fontId="30883" fillId="8" borderId="1" xfId="0" applyNumberFormat="1" applyFont="1" applyFill="1" applyBorder="1" applyAlignment="1">
      <alignment horizontal="center" vertical="center"/>
    </xf>
    <xf numFmtId="2" fontId="30884" fillId="8" borderId="1" xfId="0" applyNumberFormat="1" applyFont="1" applyFill="1" applyBorder="1" applyAlignment="1">
      <alignment horizontal="center" vertical="center"/>
    </xf>
    <xf numFmtId="2" fontId="30885" fillId="8" borderId="1" xfId="0" applyNumberFormat="1" applyFont="1" applyFill="1" applyBorder="1" applyAlignment="1">
      <alignment horizontal="center" vertical="center"/>
    </xf>
    <xf numFmtId="2" fontId="30886" fillId="8" borderId="1" xfId="0" applyNumberFormat="1" applyFont="1" applyFill="1" applyBorder="1" applyAlignment="1">
      <alignment horizontal="center" vertical="center"/>
    </xf>
    <xf numFmtId="2" fontId="30887" fillId="8" borderId="1" xfId="0" applyNumberFormat="1" applyFont="1" applyFill="1" applyBorder="1" applyAlignment="1">
      <alignment horizontal="center" vertical="center"/>
    </xf>
    <xf numFmtId="2" fontId="30888" fillId="8" borderId="1" xfId="0" applyNumberFormat="1" applyFont="1" applyFill="1" applyBorder="1" applyAlignment="1">
      <alignment horizontal="center" vertical="center"/>
    </xf>
    <xf numFmtId="2" fontId="30889" fillId="8" borderId="1" xfId="0" applyNumberFormat="1" applyFont="1" applyFill="1" applyBorder="1" applyAlignment="1">
      <alignment horizontal="center" vertical="center"/>
    </xf>
    <xf numFmtId="2" fontId="30890" fillId="8" borderId="1" xfId="0" applyNumberFormat="1" applyFont="1" applyFill="1" applyBorder="1" applyAlignment="1">
      <alignment horizontal="center" vertical="center"/>
    </xf>
    <xf numFmtId="0" fontId="30891" fillId="7" borderId="1" xfId="0" applyNumberFormat="1" applyFont="1" applyFill="1" applyBorder="1" applyAlignment="1">
      <alignment horizontal="left" vertical="center"/>
    </xf>
    <xf numFmtId="0" fontId="30892" fillId="8" borderId="1" xfId="0" applyNumberFormat="1" applyFont="1" applyFill="1" applyBorder="1" applyAlignment="1">
      <alignment horizontal="center" vertical="center"/>
    </xf>
    <xf numFmtId="164" fontId="30893" fillId="8" borderId="1" xfId="0" applyNumberFormat="1" applyFont="1" applyFill="1" applyBorder="1" applyAlignment="1">
      <alignment horizontal="center" vertical="center"/>
    </xf>
    <xf numFmtId="1" fontId="30894" fillId="8" borderId="1" xfId="0" applyNumberFormat="1" applyFont="1" applyFill="1" applyBorder="1" applyAlignment="1">
      <alignment horizontal="center" vertical="center"/>
    </xf>
    <xf numFmtId="1" fontId="30895" fillId="8" borderId="1" xfId="0" applyNumberFormat="1" applyFont="1" applyFill="1" applyBorder="1" applyAlignment="1">
      <alignment horizontal="center" vertical="center"/>
    </xf>
    <xf numFmtId="1" fontId="30896" fillId="8" borderId="1" xfId="0" applyNumberFormat="1" applyFont="1" applyFill="1" applyBorder="1" applyAlignment="1">
      <alignment horizontal="center" vertical="center"/>
    </xf>
    <xf numFmtId="1" fontId="30897" fillId="8" borderId="1" xfId="0" applyNumberFormat="1" applyFont="1" applyFill="1" applyBorder="1" applyAlignment="1">
      <alignment horizontal="center" vertical="center"/>
    </xf>
    <xf numFmtId="1" fontId="30898" fillId="8" borderId="1" xfId="0" applyNumberFormat="1" applyFont="1" applyFill="1" applyBorder="1" applyAlignment="1">
      <alignment horizontal="center" vertical="center"/>
    </xf>
    <xf numFmtId="1" fontId="30899" fillId="8" borderId="1" xfId="0" applyNumberFormat="1" applyFont="1" applyFill="1" applyBorder="1" applyAlignment="1">
      <alignment horizontal="center" vertical="center"/>
    </xf>
    <xf numFmtId="1" fontId="30900" fillId="8" borderId="1" xfId="0" applyNumberFormat="1" applyFont="1" applyFill="1" applyBorder="1" applyAlignment="1">
      <alignment horizontal="center" vertical="center"/>
    </xf>
    <xf numFmtId="0" fontId="30901" fillId="8" borderId="1" xfId="0" applyNumberFormat="1" applyFont="1" applyFill="1" applyBorder="1" applyAlignment="1">
      <alignment horizontal="center" vertical="center"/>
    </xf>
    <xf numFmtId="0" fontId="30902" fillId="8" borderId="1" xfId="0" applyNumberFormat="1" applyFont="1" applyFill="1" applyBorder="1" applyAlignment="1">
      <alignment horizontal="center" vertical="center"/>
    </xf>
    <xf numFmtId="1" fontId="30903" fillId="8" borderId="1" xfId="0" applyNumberFormat="1" applyFont="1" applyFill="1" applyBorder="1" applyAlignment="1">
      <alignment horizontal="center" vertical="center"/>
    </xf>
    <xf numFmtId="1" fontId="30904" fillId="8" borderId="1" xfId="0" applyNumberFormat="1" applyFont="1" applyFill="1" applyBorder="1" applyAlignment="1">
      <alignment horizontal="center" vertical="center"/>
    </xf>
    <xf numFmtId="1" fontId="30905" fillId="8" borderId="1" xfId="0" applyNumberFormat="1" applyFont="1" applyFill="1" applyBorder="1" applyAlignment="1">
      <alignment horizontal="center" vertical="center"/>
    </xf>
    <xf numFmtId="165" fontId="30906" fillId="8" borderId="1" xfId="0" applyNumberFormat="1" applyFont="1" applyFill="1" applyBorder="1" applyAlignment="1">
      <alignment horizontal="center" vertical="center"/>
    </xf>
    <xf numFmtId="1" fontId="30907" fillId="8" borderId="1" xfId="0" applyNumberFormat="1" applyFont="1" applyFill="1" applyBorder="1" applyAlignment="1">
      <alignment horizontal="center" vertical="center"/>
    </xf>
    <xf numFmtId="165" fontId="30908" fillId="8" borderId="1" xfId="0" applyNumberFormat="1" applyFont="1" applyFill="1" applyBorder="1" applyAlignment="1">
      <alignment horizontal="center" vertical="center"/>
    </xf>
    <xf numFmtId="1" fontId="30909" fillId="8" borderId="1" xfId="0" applyNumberFormat="1" applyFont="1" applyFill="1" applyBorder="1" applyAlignment="1">
      <alignment horizontal="center" vertical="center"/>
    </xf>
    <xf numFmtId="165" fontId="30910" fillId="8" borderId="1" xfId="0" applyNumberFormat="1" applyFont="1" applyFill="1" applyBorder="1" applyAlignment="1">
      <alignment horizontal="center" vertical="center"/>
    </xf>
    <xf numFmtId="1" fontId="30911" fillId="8" borderId="1" xfId="0" applyNumberFormat="1" applyFont="1" applyFill="1" applyBorder="1" applyAlignment="1">
      <alignment horizontal="center" vertical="center"/>
    </xf>
    <xf numFmtId="165" fontId="30912" fillId="8" borderId="1" xfId="0" applyNumberFormat="1" applyFont="1" applyFill="1" applyBorder="1" applyAlignment="1">
      <alignment horizontal="center" vertical="center"/>
    </xf>
    <xf numFmtId="165" fontId="30913" fillId="8" borderId="1" xfId="0" applyNumberFormat="1" applyFont="1" applyFill="1" applyBorder="1" applyAlignment="1">
      <alignment horizontal="center" vertical="center"/>
    </xf>
    <xf numFmtId="1" fontId="30914" fillId="8" borderId="1" xfId="0" applyNumberFormat="1" applyFont="1" applyFill="1" applyBorder="1" applyAlignment="1">
      <alignment horizontal="center" vertical="center"/>
    </xf>
    <xf numFmtId="1" fontId="30915" fillId="8" borderId="1" xfId="0" applyNumberFormat="1" applyFont="1" applyFill="1" applyBorder="1" applyAlignment="1">
      <alignment horizontal="center" vertical="center"/>
    </xf>
    <xf numFmtId="1" fontId="30916" fillId="8" borderId="1" xfId="0" applyNumberFormat="1" applyFont="1" applyFill="1" applyBorder="1" applyAlignment="1">
      <alignment horizontal="center" vertical="center"/>
    </xf>
    <xf numFmtId="165" fontId="30917" fillId="8" borderId="1" xfId="0" applyNumberFormat="1" applyFont="1" applyFill="1" applyBorder="1" applyAlignment="1">
      <alignment horizontal="center" vertical="center"/>
    </xf>
    <xf numFmtId="164" fontId="30918" fillId="8" borderId="1" xfId="0" applyNumberFormat="1" applyFont="1" applyFill="1" applyBorder="1" applyAlignment="1">
      <alignment horizontal="center" vertical="center"/>
    </xf>
    <xf numFmtId="164" fontId="30919" fillId="8" borderId="1" xfId="0" applyNumberFormat="1" applyFont="1" applyFill="1" applyBorder="1" applyAlignment="1">
      <alignment horizontal="center" vertical="center"/>
    </xf>
    <xf numFmtId="1" fontId="30920" fillId="8" borderId="1" xfId="0" applyNumberFormat="1" applyFont="1" applyFill="1" applyBorder="1" applyAlignment="1">
      <alignment horizontal="center" vertical="center"/>
    </xf>
    <xf numFmtId="1" fontId="30921" fillId="8" borderId="1" xfId="0" applyNumberFormat="1" applyFont="1" applyFill="1" applyBorder="1" applyAlignment="1">
      <alignment horizontal="center" vertical="center"/>
    </xf>
    <xf numFmtId="1" fontId="30922" fillId="8" borderId="1" xfId="0" applyNumberFormat="1" applyFont="1" applyFill="1" applyBorder="1" applyAlignment="1">
      <alignment horizontal="center" vertical="center"/>
    </xf>
    <xf numFmtId="165" fontId="30923" fillId="8" borderId="1" xfId="0" applyNumberFormat="1" applyFont="1" applyFill="1" applyBorder="1" applyAlignment="1">
      <alignment horizontal="center" vertical="center"/>
    </xf>
    <xf numFmtId="1" fontId="30924" fillId="8" borderId="1" xfId="0" applyNumberFormat="1" applyFont="1" applyFill="1" applyBorder="1" applyAlignment="1">
      <alignment horizontal="center" vertical="center"/>
    </xf>
    <xf numFmtId="165" fontId="30925" fillId="8" borderId="1" xfId="0" applyNumberFormat="1" applyFont="1" applyFill="1" applyBorder="1" applyAlignment="1">
      <alignment horizontal="center" vertical="center"/>
    </xf>
    <xf numFmtId="1" fontId="30926" fillId="8" borderId="1" xfId="0" applyNumberFormat="1" applyFont="1" applyFill="1" applyBorder="1" applyAlignment="1">
      <alignment horizontal="center" vertical="center"/>
    </xf>
    <xf numFmtId="1" fontId="30927" fillId="8" borderId="1" xfId="0" applyNumberFormat="1" applyFont="1" applyFill="1" applyBorder="1" applyAlignment="1">
      <alignment horizontal="center" vertical="center"/>
    </xf>
    <xf numFmtId="1" fontId="30928" fillId="8" borderId="1" xfId="0" applyNumberFormat="1" applyFont="1" applyFill="1" applyBorder="1" applyAlignment="1">
      <alignment horizontal="center" vertical="center"/>
    </xf>
    <xf numFmtId="1" fontId="30929" fillId="8" borderId="1" xfId="0" applyNumberFormat="1" applyFont="1" applyFill="1" applyBorder="1" applyAlignment="1">
      <alignment horizontal="center" vertical="center"/>
    </xf>
    <xf numFmtId="165" fontId="30930" fillId="8" borderId="1" xfId="0" applyNumberFormat="1" applyFont="1" applyFill="1" applyBorder="1" applyAlignment="1">
      <alignment horizontal="center" vertical="center"/>
    </xf>
    <xf numFmtId="1" fontId="30931" fillId="8" borderId="1" xfId="0" applyNumberFormat="1" applyFont="1" applyFill="1" applyBorder="1" applyAlignment="1">
      <alignment horizontal="center" vertical="center"/>
    </xf>
    <xf numFmtId="165" fontId="30932" fillId="8" borderId="1" xfId="0" applyNumberFormat="1" applyFont="1" applyFill="1" applyBorder="1" applyAlignment="1">
      <alignment horizontal="center" vertical="center"/>
    </xf>
    <xf numFmtId="1" fontId="30933" fillId="8" borderId="1" xfId="0" applyNumberFormat="1" applyFont="1" applyFill="1" applyBorder="1" applyAlignment="1">
      <alignment horizontal="center" vertical="center"/>
    </xf>
    <xf numFmtId="165" fontId="30934" fillId="8" borderId="1" xfId="0" applyNumberFormat="1" applyFont="1" applyFill="1" applyBorder="1" applyAlignment="1">
      <alignment horizontal="center" vertical="center"/>
    </xf>
    <xf numFmtId="2" fontId="30935" fillId="8" borderId="1" xfId="0" applyNumberFormat="1" applyFont="1" applyFill="1" applyBorder="1" applyAlignment="1">
      <alignment horizontal="center" vertical="center"/>
    </xf>
    <xf numFmtId="2" fontId="30936" fillId="8" borderId="1" xfId="0" applyNumberFormat="1" applyFont="1" applyFill="1" applyBorder="1" applyAlignment="1">
      <alignment horizontal="center" vertical="center"/>
    </xf>
    <xf numFmtId="2" fontId="30937" fillId="8" borderId="1" xfId="0" applyNumberFormat="1" applyFont="1" applyFill="1" applyBorder="1" applyAlignment="1">
      <alignment horizontal="center" vertical="center"/>
    </xf>
    <xf numFmtId="2" fontId="30938" fillId="8" borderId="1" xfId="0" applyNumberFormat="1" applyFont="1" applyFill="1" applyBorder="1" applyAlignment="1">
      <alignment horizontal="center" vertical="center"/>
    </xf>
    <xf numFmtId="2" fontId="30939" fillId="8" borderId="1" xfId="0" applyNumberFormat="1" applyFont="1" applyFill="1" applyBorder="1" applyAlignment="1">
      <alignment horizontal="center" vertical="center"/>
    </xf>
    <xf numFmtId="2" fontId="30940" fillId="8" borderId="1" xfId="0" applyNumberFormat="1" applyFont="1" applyFill="1" applyBorder="1" applyAlignment="1">
      <alignment horizontal="center" vertical="center"/>
    </xf>
    <xf numFmtId="2" fontId="30941" fillId="8" borderId="1" xfId="0" applyNumberFormat="1" applyFont="1" applyFill="1" applyBorder="1" applyAlignment="1">
      <alignment horizontal="center" vertical="center"/>
    </xf>
    <xf numFmtId="2" fontId="30942" fillId="8" borderId="1" xfId="0" applyNumberFormat="1" applyFont="1" applyFill="1" applyBorder="1" applyAlignment="1">
      <alignment horizontal="center" vertical="center"/>
    </xf>
    <xf numFmtId="2" fontId="30943" fillId="8" borderId="1" xfId="0" applyNumberFormat="1" applyFont="1" applyFill="1" applyBorder="1" applyAlignment="1">
      <alignment horizontal="center" vertical="center"/>
    </xf>
    <xf numFmtId="2" fontId="30944" fillId="8" borderId="1" xfId="0" applyNumberFormat="1" applyFont="1" applyFill="1" applyBorder="1" applyAlignment="1">
      <alignment horizontal="center" vertical="center"/>
    </xf>
    <xf numFmtId="2" fontId="30945" fillId="8" borderId="1" xfId="0" applyNumberFormat="1" applyFont="1" applyFill="1" applyBorder="1" applyAlignment="1">
      <alignment horizontal="center" vertical="center"/>
    </xf>
    <xf numFmtId="2" fontId="30946" fillId="8" borderId="1" xfId="0" applyNumberFormat="1" applyFont="1" applyFill="1" applyBorder="1" applyAlignment="1">
      <alignment horizontal="center" vertical="center"/>
    </xf>
    <xf numFmtId="2" fontId="30947" fillId="8" borderId="1" xfId="0" applyNumberFormat="1" applyFont="1" applyFill="1" applyBorder="1" applyAlignment="1">
      <alignment horizontal="center" vertical="center"/>
    </xf>
    <xf numFmtId="2" fontId="30948" fillId="8" borderId="1" xfId="0" applyNumberFormat="1" applyFont="1" applyFill="1" applyBorder="1" applyAlignment="1">
      <alignment horizontal="center" vertical="center"/>
    </xf>
    <xf numFmtId="2" fontId="30949" fillId="8" borderId="1" xfId="0" applyNumberFormat="1" applyFont="1" applyFill="1" applyBorder="1" applyAlignment="1">
      <alignment horizontal="center" vertical="center"/>
    </xf>
    <xf numFmtId="2" fontId="30950" fillId="8" borderId="1" xfId="0" applyNumberFormat="1" applyFont="1" applyFill="1" applyBorder="1" applyAlignment="1">
      <alignment horizontal="center" vertical="center"/>
    </xf>
    <xf numFmtId="2" fontId="30951" fillId="8" borderId="1" xfId="0" applyNumberFormat="1" applyFont="1" applyFill="1" applyBorder="1" applyAlignment="1">
      <alignment horizontal="center" vertical="center"/>
    </xf>
    <xf numFmtId="2" fontId="30952" fillId="8" borderId="1" xfId="0" applyNumberFormat="1" applyFont="1" applyFill="1" applyBorder="1" applyAlignment="1">
      <alignment horizontal="center" vertical="center"/>
    </xf>
    <xf numFmtId="2" fontId="30953" fillId="8" borderId="1" xfId="0" applyNumberFormat="1" applyFont="1" applyFill="1" applyBorder="1" applyAlignment="1">
      <alignment horizontal="center" vertical="center"/>
    </xf>
    <xf numFmtId="2" fontId="30954" fillId="8" borderId="1" xfId="0" applyNumberFormat="1" applyFont="1" applyFill="1" applyBorder="1" applyAlignment="1">
      <alignment horizontal="center" vertical="center"/>
    </xf>
    <xf numFmtId="2" fontId="30955" fillId="8" borderId="1" xfId="0" applyNumberFormat="1" applyFont="1" applyFill="1" applyBorder="1" applyAlignment="1">
      <alignment horizontal="center" vertical="center"/>
    </xf>
    <xf numFmtId="2" fontId="30956" fillId="8" borderId="1" xfId="0" applyNumberFormat="1" applyFont="1" applyFill="1" applyBorder="1" applyAlignment="1">
      <alignment horizontal="center" vertical="center"/>
    </xf>
    <xf numFmtId="2" fontId="30957" fillId="8" borderId="1" xfId="0" applyNumberFormat="1" applyFont="1" applyFill="1" applyBorder="1" applyAlignment="1">
      <alignment horizontal="center" vertical="center"/>
    </xf>
    <xf numFmtId="2" fontId="30958" fillId="8" borderId="1" xfId="0" applyNumberFormat="1" applyFont="1" applyFill="1" applyBorder="1" applyAlignment="1">
      <alignment horizontal="center" vertical="center"/>
    </xf>
    <xf numFmtId="2" fontId="30959" fillId="8" borderId="1" xfId="0" applyNumberFormat="1" applyFont="1" applyFill="1" applyBorder="1" applyAlignment="1">
      <alignment horizontal="center" vertical="center"/>
    </xf>
    <xf numFmtId="2" fontId="30960" fillId="8" borderId="1" xfId="0" applyNumberFormat="1" applyFont="1" applyFill="1" applyBorder="1" applyAlignment="1">
      <alignment horizontal="center" vertical="center"/>
    </xf>
    <xf numFmtId="2" fontId="30961" fillId="8" borderId="1" xfId="0" applyNumberFormat="1" applyFont="1" applyFill="1" applyBorder="1" applyAlignment="1">
      <alignment horizontal="center" vertical="center"/>
    </xf>
    <xf numFmtId="2" fontId="30962" fillId="8" borderId="1" xfId="0" applyNumberFormat="1" applyFont="1" applyFill="1" applyBorder="1" applyAlignment="1">
      <alignment horizontal="center" vertical="center"/>
    </xf>
    <xf numFmtId="2" fontId="30963" fillId="8" borderId="1" xfId="0" applyNumberFormat="1" applyFont="1" applyFill="1" applyBorder="1" applyAlignment="1">
      <alignment horizontal="center" vertical="center"/>
    </xf>
    <xf numFmtId="2" fontId="30964" fillId="8" borderId="1" xfId="0" applyNumberFormat="1" applyFont="1" applyFill="1" applyBorder="1" applyAlignment="1">
      <alignment horizontal="center" vertical="center"/>
    </xf>
    <xf numFmtId="2" fontId="30965" fillId="8" borderId="1" xfId="0" applyNumberFormat="1" applyFont="1" applyFill="1" applyBorder="1" applyAlignment="1">
      <alignment horizontal="center" vertical="center"/>
    </xf>
    <xf numFmtId="2" fontId="30966" fillId="8" borderId="1" xfId="0" applyNumberFormat="1" applyFont="1" applyFill="1" applyBorder="1" applyAlignment="1">
      <alignment horizontal="center" vertical="center"/>
    </xf>
    <xf numFmtId="2" fontId="30967" fillId="8" borderId="1" xfId="0" applyNumberFormat="1" applyFont="1" applyFill="1" applyBorder="1" applyAlignment="1">
      <alignment horizontal="center" vertical="center"/>
    </xf>
    <xf numFmtId="2" fontId="30968" fillId="8" borderId="1" xfId="0" applyNumberFormat="1" applyFont="1" applyFill="1" applyBorder="1" applyAlignment="1">
      <alignment horizontal="center" vertical="center"/>
    </xf>
    <xf numFmtId="0" fontId="30969" fillId="7" borderId="1" xfId="0" applyNumberFormat="1" applyFont="1" applyFill="1" applyBorder="1" applyAlignment="1">
      <alignment horizontal="left" vertical="center"/>
    </xf>
    <xf numFmtId="0" fontId="30970" fillId="8" borderId="1" xfId="0" applyNumberFormat="1" applyFont="1" applyFill="1" applyBorder="1" applyAlignment="1">
      <alignment horizontal="center" vertical="center"/>
    </xf>
    <xf numFmtId="164" fontId="30971" fillId="8" borderId="1" xfId="0" applyNumberFormat="1" applyFont="1" applyFill="1" applyBorder="1" applyAlignment="1">
      <alignment horizontal="center" vertical="center"/>
    </xf>
    <xf numFmtId="1" fontId="30972" fillId="8" borderId="1" xfId="0" applyNumberFormat="1" applyFont="1" applyFill="1" applyBorder="1" applyAlignment="1">
      <alignment horizontal="center" vertical="center"/>
    </xf>
    <xf numFmtId="1" fontId="30973" fillId="8" borderId="1" xfId="0" applyNumberFormat="1" applyFont="1" applyFill="1" applyBorder="1" applyAlignment="1">
      <alignment horizontal="center" vertical="center"/>
    </xf>
    <xf numFmtId="1" fontId="30974" fillId="8" borderId="1" xfId="0" applyNumberFormat="1" applyFont="1" applyFill="1" applyBorder="1" applyAlignment="1">
      <alignment horizontal="center" vertical="center"/>
    </xf>
    <xf numFmtId="1" fontId="30975" fillId="8" borderId="1" xfId="0" applyNumberFormat="1" applyFont="1" applyFill="1" applyBorder="1" applyAlignment="1">
      <alignment horizontal="center" vertical="center"/>
    </xf>
    <xf numFmtId="1" fontId="30976" fillId="8" borderId="1" xfId="0" applyNumberFormat="1" applyFont="1" applyFill="1" applyBorder="1" applyAlignment="1">
      <alignment horizontal="center" vertical="center"/>
    </xf>
    <xf numFmtId="1" fontId="30977" fillId="8" borderId="1" xfId="0" applyNumberFormat="1" applyFont="1" applyFill="1" applyBorder="1" applyAlignment="1">
      <alignment horizontal="center" vertical="center"/>
    </xf>
    <xf numFmtId="1" fontId="30978" fillId="8" borderId="1" xfId="0" applyNumberFormat="1" applyFont="1" applyFill="1" applyBorder="1" applyAlignment="1">
      <alignment horizontal="center" vertical="center"/>
    </xf>
    <xf numFmtId="0" fontId="30979" fillId="8" borderId="1" xfId="0" applyNumberFormat="1" applyFont="1" applyFill="1" applyBorder="1" applyAlignment="1">
      <alignment horizontal="center" vertical="center"/>
    </xf>
    <xf numFmtId="0" fontId="30980" fillId="8" borderId="1" xfId="0" applyNumberFormat="1" applyFont="1" applyFill="1" applyBorder="1" applyAlignment="1">
      <alignment horizontal="center" vertical="center"/>
    </xf>
    <xf numFmtId="1" fontId="30981" fillId="8" borderId="1" xfId="0" applyNumberFormat="1" applyFont="1" applyFill="1" applyBorder="1" applyAlignment="1">
      <alignment horizontal="center" vertical="center"/>
    </xf>
    <xf numFmtId="1" fontId="30982" fillId="8" borderId="1" xfId="0" applyNumberFormat="1" applyFont="1" applyFill="1" applyBorder="1" applyAlignment="1">
      <alignment horizontal="center" vertical="center"/>
    </xf>
    <xf numFmtId="1" fontId="30983" fillId="8" borderId="1" xfId="0" applyNumberFormat="1" applyFont="1" applyFill="1" applyBorder="1" applyAlignment="1">
      <alignment horizontal="center" vertical="center"/>
    </xf>
    <xf numFmtId="165" fontId="30984" fillId="8" borderId="1" xfId="0" applyNumberFormat="1" applyFont="1" applyFill="1" applyBorder="1" applyAlignment="1">
      <alignment horizontal="center" vertical="center"/>
    </xf>
    <xf numFmtId="1" fontId="30985" fillId="8" borderId="1" xfId="0" applyNumberFormat="1" applyFont="1" applyFill="1" applyBorder="1" applyAlignment="1">
      <alignment horizontal="center" vertical="center"/>
    </xf>
    <xf numFmtId="165" fontId="30986" fillId="8" borderId="1" xfId="0" applyNumberFormat="1" applyFont="1" applyFill="1" applyBorder="1" applyAlignment="1">
      <alignment horizontal="center" vertical="center"/>
    </xf>
    <xf numFmtId="1" fontId="30987" fillId="8" borderId="1" xfId="0" applyNumberFormat="1" applyFont="1" applyFill="1" applyBorder="1" applyAlignment="1">
      <alignment horizontal="center" vertical="center"/>
    </xf>
    <xf numFmtId="165" fontId="30988" fillId="8" borderId="1" xfId="0" applyNumberFormat="1" applyFont="1" applyFill="1" applyBorder="1" applyAlignment="1">
      <alignment horizontal="center" vertical="center"/>
    </xf>
    <xf numFmtId="1" fontId="30989" fillId="8" borderId="1" xfId="0" applyNumberFormat="1" applyFont="1" applyFill="1" applyBorder="1" applyAlignment="1">
      <alignment horizontal="center" vertical="center"/>
    </xf>
    <xf numFmtId="165" fontId="30990" fillId="8" borderId="1" xfId="0" applyNumberFormat="1" applyFont="1" applyFill="1" applyBorder="1" applyAlignment="1">
      <alignment horizontal="center" vertical="center"/>
    </xf>
    <xf numFmtId="165" fontId="30991" fillId="8" borderId="1" xfId="0" applyNumberFormat="1" applyFont="1" applyFill="1" applyBorder="1" applyAlignment="1">
      <alignment horizontal="center" vertical="center"/>
    </xf>
    <xf numFmtId="1" fontId="30992" fillId="8" borderId="1" xfId="0" applyNumberFormat="1" applyFont="1" applyFill="1" applyBorder="1" applyAlignment="1">
      <alignment horizontal="center" vertical="center"/>
    </xf>
    <xf numFmtId="1" fontId="30993" fillId="8" borderId="1" xfId="0" applyNumberFormat="1" applyFont="1" applyFill="1" applyBorder="1" applyAlignment="1">
      <alignment horizontal="center" vertical="center"/>
    </xf>
    <xf numFmtId="1" fontId="30994" fillId="8" borderId="1" xfId="0" applyNumberFormat="1" applyFont="1" applyFill="1" applyBorder="1" applyAlignment="1">
      <alignment horizontal="center" vertical="center"/>
    </xf>
    <xf numFmtId="165" fontId="30995" fillId="8" borderId="1" xfId="0" applyNumberFormat="1" applyFont="1" applyFill="1" applyBorder="1" applyAlignment="1">
      <alignment horizontal="center" vertical="center"/>
    </xf>
    <xf numFmtId="164" fontId="30996" fillId="8" borderId="1" xfId="0" applyNumberFormat="1" applyFont="1" applyFill="1" applyBorder="1" applyAlignment="1">
      <alignment horizontal="center" vertical="center"/>
    </xf>
    <xf numFmtId="164" fontId="30997" fillId="8" borderId="1" xfId="0" applyNumberFormat="1" applyFont="1" applyFill="1" applyBorder="1" applyAlignment="1">
      <alignment horizontal="center" vertical="center"/>
    </xf>
    <xf numFmtId="1" fontId="30998" fillId="8" borderId="1" xfId="0" applyNumberFormat="1" applyFont="1" applyFill="1" applyBorder="1" applyAlignment="1">
      <alignment horizontal="center" vertical="center"/>
    </xf>
    <xf numFmtId="1" fontId="30999" fillId="8" borderId="1" xfId="0" applyNumberFormat="1" applyFont="1" applyFill="1" applyBorder="1" applyAlignment="1">
      <alignment horizontal="center" vertical="center"/>
    </xf>
    <xf numFmtId="1" fontId="31000" fillId="8" borderId="1" xfId="0" applyNumberFormat="1" applyFont="1" applyFill="1" applyBorder="1" applyAlignment="1">
      <alignment horizontal="center" vertical="center"/>
    </xf>
    <xf numFmtId="165" fontId="31001" fillId="8" borderId="1" xfId="0" applyNumberFormat="1" applyFont="1" applyFill="1" applyBorder="1" applyAlignment="1">
      <alignment horizontal="center" vertical="center"/>
    </xf>
    <xf numFmtId="1" fontId="31002" fillId="8" borderId="1" xfId="0" applyNumberFormat="1" applyFont="1" applyFill="1" applyBorder="1" applyAlignment="1">
      <alignment horizontal="center" vertical="center"/>
    </xf>
    <xf numFmtId="165" fontId="31003" fillId="8" borderId="1" xfId="0" applyNumberFormat="1" applyFont="1" applyFill="1" applyBorder="1" applyAlignment="1">
      <alignment horizontal="center" vertical="center"/>
    </xf>
    <xf numFmtId="1" fontId="31004" fillId="8" borderId="1" xfId="0" applyNumberFormat="1" applyFont="1" applyFill="1" applyBorder="1" applyAlignment="1">
      <alignment horizontal="center" vertical="center"/>
    </xf>
    <xf numFmtId="1" fontId="31005" fillId="8" borderId="1" xfId="0" applyNumberFormat="1" applyFont="1" applyFill="1" applyBorder="1" applyAlignment="1">
      <alignment horizontal="center" vertical="center"/>
    </xf>
    <xf numFmtId="1" fontId="31006" fillId="8" borderId="1" xfId="0" applyNumberFormat="1" applyFont="1" applyFill="1" applyBorder="1" applyAlignment="1">
      <alignment horizontal="center" vertical="center"/>
    </xf>
    <xf numFmtId="1" fontId="31007" fillId="8" borderId="1" xfId="0" applyNumberFormat="1" applyFont="1" applyFill="1" applyBorder="1" applyAlignment="1">
      <alignment horizontal="center" vertical="center"/>
    </xf>
    <xf numFmtId="165" fontId="31008" fillId="8" borderId="1" xfId="0" applyNumberFormat="1" applyFont="1" applyFill="1" applyBorder="1" applyAlignment="1">
      <alignment horizontal="center" vertical="center"/>
    </xf>
    <xf numFmtId="1" fontId="31009" fillId="8" borderId="1" xfId="0" applyNumberFormat="1" applyFont="1" applyFill="1" applyBorder="1" applyAlignment="1">
      <alignment horizontal="center" vertical="center"/>
    </xf>
    <xf numFmtId="165" fontId="31010" fillId="8" borderId="1" xfId="0" applyNumberFormat="1" applyFont="1" applyFill="1" applyBorder="1" applyAlignment="1">
      <alignment horizontal="center" vertical="center"/>
    </xf>
    <xf numFmtId="1" fontId="31011" fillId="8" borderId="1" xfId="0" applyNumberFormat="1" applyFont="1" applyFill="1" applyBorder="1" applyAlignment="1">
      <alignment horizontal="center" vertical="center"/>
    </xf>
    <xf numFmtId="165" fontId="31012" fillId="8" borderId="1" xfId="0" applyNumberFormat="1" applyFont="1" applyFill="1" applyBorder="1" applyAlignment="1">
      <alignment horizontal="center" vertical="center"/>
    </xf>
    <xf numFmtId="2" fontId="31013" fillId="8" borderId="1" xfId="0" applyNumberFormat="1" applyFont="1" applyFill="1" applyBorder="1" applyAlignment="1">
      <alignment horizontal="center" vertical="center"/>
    </xf>
    <xf numFmtId="2" fontId="31014" fillId="8" borderId="1" xfId="0" applyNumberFormat="1" applyFont="1" applyFill="1" applyBorder="1" applyAlignment="1">
      <alignment horizontal="center" vertical="center"/>
    </xf>
    <xf numFmtId="2" fontId="31015" fillId="8" borderId="1" xfId="0" applyNumberFormat="1" applyFont="1" applyFill="1" applyBorder="1" applyAlignment="1">
      <alignment horizontal="center" vertical="center"/>
    </xf>
    <xf numFmtId="2" fontId="31016" fillId="8" borderId="1" xfId="0" applyNumberFormat="1" applyFont="1" applyFill="1" applyBorder="1" applyAlignment="1">
      <alignment horizontal="center" vertical="center"/>
    </xf>
    <xf numFmtId="2" fontId="31017" fillId="8" borderId="1" xfId="0" applyNumberFormat="1" applyFont="1" applyFill="1" applyBorder="1" applyAlignment="1">
      <alignment horizontal="center" vertical="center"/>
    </xf>
    <xf numFmtId="2" fontId="31018" fillId="8" borderId="1" xfId="0" applyNumberFormat="1" applyFont="1" applyFill="1" applyBorder="1" applyAlignment="1">
      <alignment horizontal="center" vertical="center"/>
    </xf>
    <xf numFmtId="2" fontId="31019" fillId="8" borderId="1" xfId="0" applyNumberFormat="1" applyFont="1" applyFill="1" applyBorder="1" applyAlignment="1">
      <alignment horizontal="center" vertical="center"/>
    </xf>
    <xf numFmtId="2" fontId="31020" fillId="8" borderId="1" xfId="0" applyNumberFormat="1" applyFont="1" applyFill="1" applyBorder="1" applyAlignment="1">
      <alignment horizontal="center" vertical="center"/>
    </xf>
    <xf numFmtId="2" fontId="31021" fillId="8" borderId="1" xfId="0" applyNumberFormat="1" applyFont="1" applyFill="1" applyBorder="1" applyAlignment="1">
      <alignment horizontal="center" vertical="center"/>
    </xf>
    <xf numFmtId="2" fontId="31022" fillId="8" borderId="1" xfId="0" applyNumberFormat="1" applyFont="1" applyFill="1" applyBorder="1" applyAlignment="1">
      <alignment horizontal="center" vertical="center"/>
    </xf>
    <xf numFmtId="2" fontId="31023" fillId="8" borderId="1" xfId="0" applyNumberFormat="1" applyFont="1" applyFill="1" applyBorder="1" applyAlignment="1">
      <alignment horizontal="center" vertical="center"/>
    </xf>
    <xf numFmtId="2" fontId="31024" fillId="8" borderId="1" xfId="0" applyNumberFormat="1" applyFont="1" applyFill="1" applyBorder="1" applyAlignment="1">
      <alignment horizontal="center" vertical="center"/>
    </xf>
    <xf numFmtId="2" fontId="31025" fillId="8" borderId="1" xfId="0" applyNumberFormat="1" applyFont="1" applyFill="1" applyBorder="1" applyAlignment="1">
      <alignment horizontal="center" vertical="center"/>
    </xf>
    <xf numFmtId="2" fontId="31026" fillId="8" borderId="1" xfId="0" applyNumberFormat="1" applyFont="1" applyFill="1" applyBorder="1" applyAlignment="1">
      <alignment horizontal="center" vertical="center"/>
    </xf>
    <xf numFmtId="2" fontId="31027" fillId="8" borderId="1" xfId="0" applyNumberFormat="1" applyFont="1" applyFill="1" applyBorder="1" applyAlignment="1">
      <alignment horizontal="center" vertical="center"/>
    </xf>
    <xf numFmtId="2" fontId="31028" fillId="8" borderId="1" xfId="0" applyNumberFormat="1" applyFont="1" applyFill="1" applyBorder="1" applyAlignment="1">
      <alignment horizontal="center" vertical="center"/>
    </xf>
    <xf numFmtId="2" fontId="31029" fillId="8" borderId="1" xfId="0" applyNumberFormat="1" applyFont="1" applyFill="1" applyBorder="1" applyAlignment="1">
      <alignment horizontal="center" vertical="center"/>
    </xf>
    <xf numFmtId="2" fontId="31030" fillId="8" borderId="1" xfId="0" applyNumberFormat="1" applyFont="1" applyFill="1" applyBorder="1" applyAlignment="1">
      <alignment horizontal="center" vertical="center"/>
    </xf>
    <xf numFmtId="2" fontId="31031" fillId="8" borderId="1" xfId="0" applyNumberFormat="1" applyFont="1" applyFill="1" applyBorder="1" applyAlignment="1">
      <alignment horizontal="center" vertical="center"/>
    </xf>
    <xf numFmtId="2" fontId="31032" fillId="8" borderId="1" xfId="0" applyNumberFormat="1" applyFont="1" applyFill="1" applyBorder="1" applyAlignment="1">
      <alignment horizontal="center" vertical="center"/>
    </xf>
    <xf numFmtId="2" fontId="31033" fillId="8" borderId="1" xfId="0" applyNumberFormat="1" applyFont="1" applyFill="1" applyBorder="1" applyAlignment="1">
      <alignment horizontal="center" vertical="center"/>
    </xf>
    <xf numFmtId="2" fontId="31034" fillId="8" borderId="1" xfId="0" applyNumberFormat="1" applyFont="1" applyFill="1" applyBorder="1" applyAlignment="1">
      <alignment horizontal="center" vertical="center"/>
    </xf>
    <xf numFmtId="2" fontId="31035" fillId="8" borderId="1" xfId="0" applyNumberFormat="1" applyFont="1" applyFill="1" applyBorder="1" applyAlignment="1">
      <alignment horizontal="center" vertical="center"/>
    </xf>
    <xf numFmtId="2" fontId="31036" fillId="8" borderId="1" xfId="0" applyNumberFormat="1" applyFont="1" applyFill="1" applyBorder="1" applyAlignment="1">
      <alignment horizontal="center" vertical="center"/>
    </xf>
    <xf numFmtId="2" fontId="31037" fillId="8" borderId="1" xfId="0" applyNumberFormat="1" applyFont="1" applyFill="1" applyBorder="1" applyAlignment="1">
      <alignment horizontal="center" vertical="center"/>
    </xf>
    <xf numFmtId="2" fontId="31038" fillId="8" borderId="1" xfId="0" applyNumberFormat="1" applyFont="1" applyFill="1" applyBorder="1" applyAlignment="1">
      <alignment horizontal="center" vertical="center"/>
    </xf>
    <xf numFmtId="2" fontId="31039" fillId="8" borderId="1" xfId="0" applyNumberFormat="1" applyFont="1" applyFill="1" applyBorder="1" applyAlignment="1">
      <alignment horizontal="center" vertical="center"/>
    </xf>
    <xf numFmtId="2" fontId="31040" fillId="8" borderId="1" xfId="0" applyNumberFormat="1" applyFont="1" applyFill="1" applyBorder="1" applyAlignment="1">
      <alignment horizontal="center" vertical="center"/>
    </xf>
    <xf numFmtId="2" fontId="31041" fillId="8" borderId="1" xfId="0" applyNumberFormat="1" applyFont="1" applyFill="1" applyBorder="1" applyAlignment="1">
      <alignment horizontal="center" vertical="center"/>
    </xf>
    <xf numFmtId="2" fontId="31042" fillId="8" borderId="1" xfId="0" applyNumberFormat="1" applyFont="1" applyFill="1" applyBorder="1" applyAlignment="1">
      <alignment horizontal="center" vertical="center"/>
    </xf>
    <xf numFmtId="2" fontId="31043" fillId="8" borderId="1" xfId="0" applyNumberFormat="1" applyFont="1" applyFill="1" applyBorder="1" applyAlignment="1">
      <alignment horizontal="center" vertical="center"/>
    </xf>
    <xf numFmtId="2" fontId="31044" fillId="8" borderId="1" xfId="0" applyNumberFormat="1" applyFont="1" applyFill="1" applyBorder="1" applyAlignment="1">
      <alignment horizontal="center" vertical="center"/>
    </xf>
    <xf numFmtId="2" fontId="31045" fillId="8" borderId="1" xfId="0" applyNumberFormat="1" applyFont="1" applyFill="1" applyBorder="1" applyAlignment="1">
      <alignment horizontal="center" vertical="center"/>
    </xf>
    <xf numFmtId="2" fontId="31046" fillId="8" borderId="1" xfId="0" applyNumberFormat="1" applyFont="1" applyFill="1" applyBorder="1" applyAlignment="1">
      <alignment horizontal="center" vertical="center"/>
    </xf>
    <xf numFmtId="0" fontId="31047" fillId="7" borderId="1" xfId="0" applyNumberFormat="1" applyFont="1" applyFill="1" applyBorder="1" applyAlignment="1">
      <alignment horizontal="left" vertical="center"/>
    </xf>
    <xf numFmtId="0" fontId="31048" fillId="8" borderId="1" xfId="0" applyNumberFormat="1" applyFont="1" applyFill="1" applyBorder="1" applyAlignment="1">
      <alignment horizontal="center" vertical="center"/>
    </xf>
    <xf numFmtId="164" fontId="31049" fillId="8" borderId="1" xfId="0" applyNumberFormat="1" applyFont="1" applyFill="1" applyBorder="1" applyAlignment="1">
      <alignment horizontal="center" vertical="center"/>
    </xf>
    <xf numFmtId="1" fontId="31050" fillId="8" borderId="1" xfId="0" applyNumberFormat="1" applyFont="1" applyFill="1" applyBorder="1" applyAlignment="1">
      <alignment horizontal="center" vertical="center"/>
    </xf>
    <xf numFmtId="1" fontId="31051" fillId="8" borderId="1" xfId="0" applyNumberFormat="1" applyFont="1" applyFill="1" applyBorder="1" applyAlignment="1">
      <alignment horizontal="center" vertical="center"/>
    </xf>
    <xf numFmtId="1" fontId="31052" fillId="8" borderId="1" xfId="0" applyNumberFormat="1" applyFont="1" applyFill="1" applyBorder="1" applyAlignment="1">
      <alignment horizontal="center" vertical="center"/>
    </xf>
    <xf numFmtId="1" fontId="31053" fillId="8" borderId="1" xfId="0" applyNumberFormat="1" applyFont="1" applyFill="1" applyBorder="1" applyAlignment="1">
      <alignment horizontal="center" vertical="center"/>
    </xf>
    <xf numFmtId="1" fontId="31054" fillId="8" borderId="1" xfId="0" applyNumberFormat="1" applyFont="1" applyFill="1" applyBorder="1" applyAlignment="1">
      <alignment horizontal="center" vertical="center"/>
    </xf>
    <xf numFmtId="1" fontId="31055" fillId="8" borderId="1" xfId="0" applyNumberFormat="1" applyFont="1" applyFill="1" applyBorder="1" applyAlignment="1">
      <alignment horizontal="center" vertical="center"/>
    </xf>
    <xf numFmtId="1" fontId="31056" fillId="8" borderId="1" xfId="0" applyNumberFormat="1" applyFont="1" applyFill="1" applyBorder="1" applyAlignment="1">
      <alignment horizontal="center" vertical="center"/>
    </xf>
    <xf numFmtId="0" fontId="31057" fillId="8" borderId="1" xfId="0" applyNumberFormat="1" applyFont="1" applyFill="1" applyBorder="1" applyAlignment="1">
      <alignment horizontal="center" vertical="center"/>
    </xf>
    <xf numFmtId="0" fontId="31058" fillId="8" borderId="1" xfId="0" applyNumberFormat="1" applyFont="1" applyFill="1" applyBorder="1" applyAlignment="1">
      <alignment horizontal="center" vertical="center"/>
    </xf>
    <xf numFmtId="1" fontId="31059" fillId="8" borderId="1" xfId="0" applyNumberFormat="1" applyFont="1" applyFill="1" applyBorder="1" applyAlignment="1">
      <alignment horizontal="center" vertical="center"/>
    </xf>
    <xf numFmtId="1" fontId="31060" fillId="8" borderId="1" xfId="0" applyNumberFormat="1" applyFont="1" applyFill="1" applyBorder="1" applyAlignment="1">
      <alignment horizontal="center" vertical="center"/>
    </xf>
    <xf numFmtId="1" fontId="31061" fillId="8" borderId="1" xfId="0" applyNumberFormat="1" applyFont="1" applyFill="1" applyBorder="1" applyAlignment="1">
      <alignment horizontal="center" vertical="center"/>
    </xf>
    <xf numFmtId="165" fontId="31062" fillId="8" borderId="1" xfId="0" applyNumberFormat="1" applyFont="1" applyFill="1" applyBorder="1" applyAlignment="1">
      <alignment horizontal="center" vertical="center"/>
    </xf>
    <xf numFmtId="1" fontId="31063" fillId="8" borderId="1" xfId="0" applyNumberFormat="1" applyFont="1" applyFill="1" applyBorder="1" applyAlignment="1">
      <alignment horizontal="center" vertical="center"/>
    </xf>
    <xf numFmtId="165" fontId="31064" fillId="8" borderId="1" xfId="0" applyNumberFormat="1" applyFont="1" applyFill="1" applyBorder="1" applyAlignment="1">
      <alignment horizontal="center" vertical="center"/>
    </xf>
    <xf numFmtId="1" fontId="31065" fillId="8" borderId="1" xfId="0" applyNumberFormat="1" applyFont="1" applyFill="1" applyBorder="1" applyAlignment="1">
      <alignment horizontal="center" vertical="center"/>
    </xf>
    <xf numFmtId="165" fontId="31066" fillId="8" borderId="1" xfId="0" applyNumberFormat="1" applyFont="1" applyFill="1" applyBorder="1" applyAlignment="1">
      <alignment horizontal="center" vertical="center"/>
    </xf>
    <xf numFmtId="1" fontId="31067" fillId="8" borderId="1" xfId="0" applyNumberFormat="1" applyFont="1" applyFill="1" applyBorder="1" applyAlignment="1">
      <alignment horizontal="center" vertical="center"/>
    </xf>
    <xf numFmtId="165" fontId="31068" fillId="8" borderId="1" xfId="0" applyNumberFormat="1" applyFont="1" applyFill="1" applyBorder="1" applyAlignment="1">
      <alignment horizontal="center" vertical="center"/>
    </xf>
    <xf numFmtId="165" fontId="31069" fillId="8" borderId="1" xfId="0" applyNumberFormat="1" applyFont="1" applyFill="1" applyBorder="1" applyAlignment="1">
      <alignment horizontal="center" vertical="center"/>
    </xf>
    <xf numFmtId="1" fontId="31070" fillId="8" borderId="1" xfId="0" applyNumberFormat="1" applyFont="1" applyFill="1" applyBorder="1" applyAlignment="1">
      <alignment horizontal="center" vertical="center"/>
    </xf>
    <xf numFmtId="1" fontId="31071" fillId="8" borderId="1" xfId="0" applyNumberFormat="1" applyFont="1" applyFill="1" applyBorder="1" applyAlignment="1">
      <alignment horizontal="center" vertical="center"/>
    </xf>
    <xf numFmtId="1" fontId="31072" fillId="8" borderId="1" xfId="0" applyNumberFormat="1" applyFont="1" applyFill="1" applyBorder="1" applyAlignment="1">
      <alignment horizontal="center" vertical="center"/>
    </xf>
    <xf numFmtId="165" fontId="31073" fillId="8" borderId="1" xfId="0" applyNumberFormat="1" applyFont="1" applyFill="1" applyBorder="1" applyAlignment="1">
      <alignment horizontal="center" vertical="center"/>
    </xf>
    <xf numFmtId="164" fontId="31074" fillId="8" borderId="1" xfId="0" applyNumberFormat="1" applyFont="1" applyFill="1" applyBorder="1" applyAlignment="1">
      <alignment horizontal="center" vertical="center"/>
    </xf>
    <xf numFmtId="164" fontId="31075" fillId="8" borderId="1" xfId="0" applyNumberFormat="1" applyFont="1" applyFill="1" applyBorder="1" applyAlignment="1">
      <alignment horizontal="center" vertical="center"/>
    </xf>
    <xf numFmtId="1" fontId="31076" fillId="8" borderId="1" xfId="0" applyNumberFormat="1" applyFont="1" applyFill="1" applyBorder="1" applyAlignment="1">
      <alignment horizontal="center" vertical="center"/>
    </xf>
    <xf numFmtId="1" fontId="31077" fillId="8" borderId="1" xfId="0" applyNumberFormat="1" applyFont="1" applyFill="1" applyBorder="1" applyAlignment="1">
      <alignment horizontal="center" vertical="center"/>
    </xf>
    <xf numFmtId="1" fontId="31078" fillId="8" borderId="1" xfId="0" applyNumberFormat="1" applyFont="1" applyFill="1" applyBorder="1" applyAlignment="1">
      <alignment horizontal="center" vertical="center"/>
    </xf>
    <xf numFmtId="165" fontId="31079" fillId="8" borderId="1" xfId="0" applyNumberFormat="1" applyFont="1" applyFill="1" applyBorder="1" applyAlignment="1">
      <alignment horizontal="center" vertical="center"/>
    </xf>
    <xf numFmtId="1" fontId="31080" fillId="8" borderId="1" xfId="0" applyNumberFormat="1" applyFont="1" applyFill="1" applyBorder="1" applyAlignment="1">
      <alignment horizontal="center" vertical="center"/>
    </xf>
    <xf numFmtId="165" fontId="31081" fillId="8" borderId="1" xfId="0" applyNumberFormat="1" applyFont="1" applyFill="1" applyBorder="1" applyAlignment="1">
      <alignment horizontal="center" vertical="center"/>
    </xf>
    <xf numFmtId="1" fontId="31082" fillId="8" borderId="1" xfId="0" applyNumberFormat="1" applyFont="1" applyFill="1" applyBorder="1" applyAlignment="1">
      <alignment horizontal="center" vertical="center"/>
    </xf>
    <xf numFmtId="1" fontId="31083" fillId="8" borderId="1" xfId="0" applyNumberFormat="1" applyFont="1" applyFill="1" applyBorder="1" applyAlignment="1">
      <alignment horizontal="center" vertical="center"/>
    </xf>
    <xf numFmtId="1" fontId="31084" fillId="8" borderId="1" xfId="0" applyNumberFormat="1" applyFont="1" applyFill="1" applyBorder="1" applyAlignment="1">
      <alignment horizontal="center" vertical="center"/>
    </xf>
    <xf numFmtId="1" fontId="31085" fillId="8" borderId="1" xfId="0" applyNumberFormat="1" applyFont="1" applyFill="1" applyBorder="1" applyAlignment="1">
      <alignment horizontal="center" vertical="center"/>
    </xf>
    <xf numFmtId="165" fontId="31086" fillId="8" borderId="1" xfId="0" applyNumberFormat="1" applyFont="1" applyFill="1" applyBorder="1" applyAlignment="1">
      <alignment horizontal="center" vertical="center"/>
    </xf>
    <xf numFmtId="1" fontId="31087" fillId="8" borderId="1" xfId="0" applyNumberFormat="1" applyFont="1" applyFill="1" applyBorder="1" applyAlignment="1">
      <alignment horizontal="center" vertical="center"/>
    </xf>
    <xf numFmtId="165" fontId="31088" fillId="8" borderId="1" xfId="0" applyNumberFormat="1" applyFont="1" applyFill="1" applyBorder="1" applyAlignment="1">
      <alignment horizontal="center" vertical="center"/>
    </xf>
    <xf numFmtId="1" fontId="31089" fillId="8" borderId="1" xfId="0" applyNumberFormat="1" applyFont="1" applyFill="1" applyBorder="1" applyAlignment="1">
      <alignment horizontal="center" vertical="center"/>
    </xf>
    <xf numFmtId="165" fontId="31090" fillId="8" borderId="1" xfId="0" applyNumberFormat="1" applyFont="1" applyFill="1" applyBorder="1" applyAlignment="1">
      <alignment horizontal="center" vertical="center"/>
    </xf>
    <xf numFmtId="2" fontId="31091" fillId="8" borderId="1" xfId="0" applyNumberFormat="1" applyFont="1" applyFill="1" applyBorder="1" applyAlignment="1">
      <alignment horizontal="center" vertical="center"/>
    </xf>
    <xf numFmtId="2" fontId="31092" fillId="8" borderId="1" xfId="0" applyNumberFormat="1" applyFont="1" applyFill="1" applyBorder="1" applyAlignment="1">
      <alignment horizontal="center" vertical="center"/>
    </xf>
    <xf numFmtId="2" fontId="31093" fillId="8" borderId="1" xfId="0" applyNumberFormat="1" applyFont="1" applyFill="1" applyBorder="1" applyAlignment="1">
      <alignment horizontal="center" vertical="center"/>
    </xf>
    <xf numFmtId="2" fontId="31094" fillId="8" borderId="1" xfId="0" applyNumberFormat="1" applyFont="1" applyFill="1" applyBorder="1" applyAlignment="1">
      <alignment horizontal="center" vertical="center"/>
    </xf>
    <xf numFmtId="2" fontId="31095" fillId="8" borderId="1" xfId="0" applyNumberFormat="1" applyFont="1" applyFill="1" applyBorder="1" applyAlignment="1">
      <alignment horizontal="center" vertical="center"/>
    </xf>
    <xf numFmtId="2" fontId="31096" fillId="8" borderId="1" xfId="0" applyNumberFormat="1" applyFont="1" applyFill="1" applyBorder="1" applyAlignment="1">
      <alignment horizontal="center" vertical="center"/>
    </xf>
    <xf numFmtId="2" fontId="31097" fillId="8" borderId="1" xfId="0" applyNumberFormat="1" applyFont="1" applyFill="1" applyBorder="1" applyAlignment="1">
      <alignment horizontal="center" vertical="center"/>
    </xf>
    <xf numFmtId="2" fontId="31098" fillId="8" borderId="1" xfId="0" applyNumberFormat="1" applyFont="1" applyFill="1" applyBorder="1" applyAlignment="1">
      <alignment horizontal="center" vertical="center"/>
    </xf>
    <xf numFmtId="2" fontId="31099" fillId="8" borderId="1" xfId="0" applyNumberFormat="1" applyFont="1" applyFill="1" applyBorder="1" applyAlignment="1">
      <alignment horizontal="center" vertical="center"/>
    </xf>
    <xf numFmtId="2" fontId="31100" fillId="8" borderId="1" xfId="0" applyNumberFormat="1" applyFont="1" applyFill="1" applyBorder="1" applyAlignment="1">
      <alignment horizontal="center" vertical="center"/>
    </xf>
    <xf numFmtId="2" fontId="31101" fillId="8" borderId="1" xfId="0" applyNumberFormat="1" applyFont="1" applyFill="1" applyBorder="1" applyAlignment="1">
      <alignment horizontal="center" vertical="center"/>
    </xf>
    <xf numFmtId="2" fontId="31102" fillId="8" borderId="1" xfId="0" applyNumberFormat="1" applyFont="1" applyFill="1" applyBorder="1" applyAlignment="1">
      <alignment horizontal="center" vertical="center"/>
    </xf>
    <xf numFmtId="2" fontId="31103" fillId="8" borderId="1" xfId="0" applyNumberFormat="1" applyFont="1" applyFill="1" applyBorder="1" applyAlignment="1">
      <alignment horizontal="center" vertical="center"/>
    </xf>
    <xf numFmtId="2" fontId="31104" fillId="8" borderId="1" xfId="0" applyNumberFormat="1" applyFont="1" applyFill="1" applyBorder="1" applyAlignment="1">
      <alignment horizontal="center" vertical="center"/>
    </xf>
    <xf numFmtId="2" fontId="31105" fillId="8" borderId="1" xfId="0" applyNumberFormat="1" applyFont="1" applyFill="1" applyBorder="1" applyAlignment="1">
      <alignment horizontal="center" vertical="center"/>
    </xf>
    <xf numFmtId="2" fontId="31106" fillId="8" borderId="1" xfId="0" applyNumberFormat="1" applyFont="1" applyFill="1" applyBorder="1" applyAlignment="1">
      <alignment horizontal="center" vertical="center"/>
    </xf>
    <xf numFmtId="2" fontId="31107" fillId="8" borderId="1" xfId="0" applyNumberFormat="1" applyFont="1" applyFill="1" applyBorder="1" applyAlignment="1">
      <alignment horizontal="center" vertical="center"/>
    </xf>
    <xf numFmtId="2" fontId="31108" fillId="8" borderId="1" xfId="0" applyNumberFormat="1" applyFont="1" applyFill="1" applyBorder="1" applyAlignment="1">
      <alignment horizontal="center" vertical="center"/>
    </xf>
    <xf numFmtId="2" fontId="31109" fillId="8" borderId="1" xfId="0" applyNumberFormat="1" applyFont="1" applyFill="1" applyBorder="1" applyAlignment="1">
      <alignment horizontal="center" vertical="center"/>
    </xf>
    <xf numFmtId="2" fontId="31110" fillId="8" borderId="1" xfId="0" applyNumberFormat="1" applyFont="1" applyFill="1" applyBorder="1" applyAlignment="1">
      <alignment horizontal="center" vertical="center"/>
    </xf>
    <xf numFmtId="2" fontId="31111" fillId="8" borderId="1" xfId="0" applyNumberFormat="1" applyFont="1" applyFill="1" applyBorder="1" applyAlignment="1">
      <alignment horizontal="center" vertical="center"/>
    </xf>
    <xf numFmtId="2" fontId="31112" fillId="8" borderId="1" xfId="0" applyNumberFormat="1" applyFont="1" applyFill="1" applyBorder="1" applyAlignment="1">
      <alignment horizontal="center" vertical="center"/>
    </xf>
    <xf numFmtId="2" fontId="31113" fillId="8" borderId="1" xfId="0" applyNumberFormat="1" applyFont="1" applyFill="1" applyBorder="1" applyAlignment="1">
      <alignment horizontal="center" vertical="center"/>
    </xf>
    <xf numFmtId="2" fontId="31114" fillId="8" borderId="1" xfId="0" applyNumberFormat="1" applyFont="1" applyFill="1" applyBorder="1" applyAlignment="1">
      <alignment horizontal="center" vertical="center"/>
    </xf>
    <xf numFmtId="2" fontId="31115" fillId="8" borderId="1" xfId="0" applyNumberFormat="1" applyFont="1" applyFill="1" applyBorder="1" applyAlignment="1">
      <alignment horizontal="center" vertical="center"/>
    </xf>
    <xf numFmtId="2" fontId="31116" fillId="8" borderId="1" xfId="0" applyNumberFormat="1" applyFont="1" applyFill="1" applyBorder="1" applyAlignment="1">
      <alignment horizontal="center" vertical="center"/>
    </xf>
    <xf numFmtId="2" fontId="31117" fillId="8" borderId="1" xfId="0" applyNumberFormat="1" applyFont="1" applyFill="1" applyBorder="1" applyAlignment="1">
      <alignment horizontal="center" vertical="center"/>
    </xf>
    <xf numFmtId="2" fontId="31118" fillId="8" borderId="1" xfId="0" applyNumberFormat="1" applyFont="1" applyFill="1" applyBorder="1" applyAlignment="1">
      <alignment horizontal="center" vertical="center"/>
    </xf>
    <xf numFmtId="2" fontId="31119" fillId="8" borderId="1" xfId="0" applyNumberFormat="1" applyFont="1" applyFill="1" applyBorder="1" applyAlignment="1">
      <alignment horizontal="center" vertical="center"/>
    </xf>
    <xf numFmtId="2" fontId="31120" fillId="8" borderId="1" xfId="0" applyNumberFormat="1" applyFont="1" applyFill="1" applyBorder="1" applyAlignment="1">
      <alignment horizontal="center" vertical="center"/>
    </xf>
    <xf numFmtId="2" fontId="31121" fillId="8" borderId="1" xfId="0" applyNumberFormat="1" applyFont="1" applyFill="1" applyBorder="1" applyAlignment="1">
      <alignment horizontal="center" vertical="center"/>
    </xf>
    <xf numFmtId="2" fontId="31122" fillId="8" borderId="1" xfId="0" applyNumberFormat="1" applyFont="1" applyFill="1" applyBorder="1" applyAlignment="1">
      <alignment horizontal="center" vertical="center"/>
    </xf>
    <xf numFmtId="2" fontId="31123" fillId="8" borderId="1" xfId="0" applyNumberFormat="1" applyFont="1" applyFill="1" applyBorder="1" applyAlignment="1">
      <alignment horizontal="center" vertical="center"/>
    </xf>
    <xf numFmtId="2" fontId="31124" fillId="8" borderId="1" xfId="0" applyNumberFormat="1" applyFont="1" applyFill="1" applyBorder="1" applyAlignment="1">
      <alignment horizontal="center" vertical="center"/>
    </xf>
    <xf numFmtId="0" fontId="31125" fillId="7" borderId="1" xfId="0" applyNumberFormat="1" applyFont="1" applyFill="1" applyBorder="1" applyAlignment="1">
      <alignment horizontal="left" vertical="center"/>
    </xf>
    <xf numFmtId="0" fontId="31126" fillId="8" borderId="1" xfId="0" applyNumberFormat="1" applyFont="1" applyFill="1" applyBorder="1" applyAlignment="1">
      <alignment horizontal="center" vertical="center"/>
    </xf>
    <xf numFmtId="164" fontId="31127" fillId="8" borderId="1" xfId="0" applyNumberFormat="1" applyFont="1" applyFill="1" applyBorder="1" applyAlignment="1">
      <alignment horizontal="center" vertical="center"/>
    </xf>
    <xf numFmtId="1" fontId="31128" fillId="8" borderId="1" xfId="0" applyNumberFormat="1" applyFont="1" applyFill="1" applyBorder="1" applyAlignment="1">
      <alignment horizontal="center" vertical="center"/>
    </xf>
    <xf numFmtId="1" fontId="31129" fillId="8" borderId="1" xfId="0" applyNumberFormat="1" applyFont="1" applyFill="1" applyBorder="1" applyAlignment="1">
      <alignment horizontal="center" vertical="center"/>
    </xf>
    <xf numFmtId="1" fontId="31130" fillId="8" borderId="1" xfId="0" applyNumberFormat="1" applyFont="1" applyFill="1" applyBorder="1" applyAlignment="1">
      <alignment horizontal="center" vertical="center"/>
    </xf>
    <xf numFmtId="1" fontId="31131" fillId="8" borderId="1" xfId="0" applyNumberFormat="1" applyFont="1" applyFill="1" applyBorder="1" applyAlignment="1">
      <alignment horizontal="center" vertical="center"/>
    </xf>
    <xf numFmtId="1" fontId="31132" fillId="8" borderId="1" xfId="0" applyNumberFormat="1" applyFont="1" applyFill="1" applyBorder="1" applyAlignment="1">
      <alignment horizontal="center" vertical="center"/>
    </xf>
    <xf numFmtId="1" fontId="31133" fillId="8" borderId="1" xfId="0" applyNumberFormat="1" applyFont="1" applyFill="1" applyBorder="1" applyAlignment="1">
      <alignment horizontal="center" vertical="center"/>
    </xf>
    <xf numFmtId="1" fontId="31134" fillId="8" borderId="1" xfId="0" applyNumberFormat="1" applyFont="1" applyFill="1" applyBorder="1" applyAlignment="1">
      <alignment horizontal="center" vertical="center"/>
    </xf>
    <xf numFmtId="0" fontId="31135" fillId="8" borderId="1" xfId="0" applyNumberFormat="1" applyFont="1" applyFill="1" applyBorder="1" applyAlignment="1">
      <alignment horizontal="center" vertical="center"/>
    </xf>
    <xf numFmtId="0" fontId="31136" fillId="8" borderId="1" xfId="0" applyNumberFormat="1" applyFont="1" applyFill="1" applyBorder="1" applyAlignment="1">
      <alignment horizontal="center" vertical="center"/>
    </xf>
    <xf numFmtId="1" fontId="31137" fillId="8" borderId="1" xfId="0" applyNumberFormat="1" applyFont="1" applyFill="1" applyBorder="1" applyAlignment="1">
      <alignment horizontal="center" vertical="center"/>
    </xf>
    <xf numFmtId="1" fontId="31138" fillId="8" borderId="1" xfId="0" applyNumberFormat="1" applyFont="1" applyFill="1" applyBorder="1" applyAlignment="1">
      <alignment horizontal="center" vertical="center"/>
    </xf>
    <xf numFmtId="1" fontId="31139" fillId="8" borderId="1" xfId="0" applyNumberFormat="1" applyFont="1" applyFill="1" applyBorder="1" applyAlignment="1">
      <alignment horizontal="center" vertical="center"/>
    </xf>
    <xf numFmtId="165" fontId="31140" fillId="8" borderId="1" xfId="0" applyNumberFormat="1" applyFont="1" applyFill="1" applyBorder="1" applyAlignment="1">
      <alignment horizontal="center" vertical="center"/>
    </xf>
    <xf numFmtId="1" fontId="31141" fillId="8" borderId="1" xfId="0" applyNumberFormat="1" applyFont="1" applyFill="1" applyBorder="1" applyAlignment="1">
      <alignment horizontal="center" vertical="center"/>
    </xf>
    <xf numFmtId="165" fontId="31142" fillId="8" borderId="1" xfId="0" applyNumberFormat="1" applyFont="1" applyFill="1" applyBorder="1" applyAlignment="1">
      <alignment horizontal="center" vertical="center"/>
    </xf>
    <xf numFmtId="1" fontId="31143" fillId="8" borderId="1" xfId="0" applyNumberFormat="1" applyFont="1" applyFill="1" applyBorder="1" applyAlignment="1">
      <alignment horizontal="center" vertical="center"/>
    </xf>
    <xf numFmtId="165" fontId="31144" fillId="8" borderId="1" xfId="0" applyNumberFormat="1" applyFont="1" applyFill="1" applyBorder="1" applyAlignment="1">
      <alignment horizontal="center" vertical="center"/>
    </xf>
    <xf numFmtId="1" fontId="31145" fillId="8" borderId="1" xfId="0" applyNumberFormat="1" applyFont="1" applyFill="1" applyBorder="1" applyAlignment="1">
      <alignment horizontal="center" vertical="center"/>
    </xf>
    <xf numFmtId="165" fontId="31146" fillId="8" borderId="1" xfId="0" applyNumberFormat="1" applyFont="1" applyFill="1" applyBorder="1" applyAlignment="1">
      <alignment horizontal="center" vertical="center"/>
    </xf>
    <xf numFmtId="165" fontId="31147" fillId="8" borderId="1" xfId="0" applyNumberFormat="1" applyFont="1" applyFill="1" applyBorder="1" applyAlignment="1">
      <alignment horizontal="center" vertical="center"/>
    </xf>
    <xf numFmtId="1" fontId="31148" fillId="8" borderId="1" xfId="0" applyNumberFormat="1" applyFont="1" applyFill="1" applyBorder="1" applyAlignment="1">
      <alignment horizontal="center" vertical="center"/>
    </xf>
    <xf numFmtId="1" fontId="31149" fillId="8" borderId="1" xfId="0" applyNumberFormat="1" applyFont="1" applyFill="1" applyBorder="1" applyAlignment="1">
      <alignment horizontal="center" vertical="center"/>
    </xf>
    <xf numFmtId="1" fontId="31150" fillId="8" borderId="1" xfId="0" applyNumberFormat="1" applyFont="1" applyFill="1" applyBorder="1" applyAlignment="1">
      <alignment horizontal="center" vertical="center"/>
    </xf>
    <xf numFmtId="165" fontId="31151" fillId="8" borderId="1" xfId="0" applyNumberFormat="1" applyFont="1" applyFill="1" applyBorder="1" applyAlignment="1">
      <alignment horizontal="center" vertical="center"/>
    </xf>
    <xf numFmtId="164" fontId="31152" fillId="8" borderId="1" xfId="0" applyNumberFormat="1" applyFont="1" applyFill="1" applyBorder="1" applyAlignment="1">
      <alignment horizontal="center" vertical="center"/>
    </xf>
    <xf numFmtId="164" fontId="31153" fillId="8" borderId="1" xfId="0" applyNumberFormat="1" applyFont="1" applyFill="1" applyBorder="1" applyAlignment="1">
      <alignment horizontal="center" vertical="center"/>
    </xf>
    <xf numFmtId="1" fontId="31154" fillId="8" borderId="1" xfId="0" applyNumberFormat="1" applyFont="1" applyFill="1" applyBorder="1" applyAlignment="1">
      <alignment horizontal="center" vertical="center"/>
    </xf>
    <xf numFmtId="1" fontId="31155" fillId="8" borderId="1" xfId="0" applyNumberFormat="1" applyFont="1" applyFill="1" applyBorder="1" applyAlignment="1">
      <alignment horizontal="center" vertical="center"/>
    </xf>
    <xf numFmtId="1" fontId="31156" fillId="8" borderId="1" xfId="0" applyNumberFormat="1" applyFont="1" applyFill="1" applyBorder="1" applyAlignment="1">
      <alignment horizontal="center" vertical="center"/>
    </xf>
    <xf numFmtId="165" fontId="31157" fillId="8" borderId="1" xfId="0" applyNumberFormat="1" applyFont="1" applyFill="1" applyBorder="1" applyAlignment="1">
      <alignment horizontal="center" vertical="center"/>
    </xf>
    <xf numFmtId="1" fontId="31158" fillId="8" borderId="1" xfId="0" applyNumberFormat="1" applyFont="1" applyFill="1" applyBorder="1" applyAlignment="1">
      <alignment horizontal="center" vertical="center"/>
    </xf>
    <xf numFmtId="165" fontId="31159" fillId="8" borderId="1" xfId="0" applyNumberFormat="1" applyFont="1" applyFill="1" applyBorder="1" applyAlignment="1">
      <alignment horizontal="center" vertical="center"/>
    </xf>
    <xf numFmtId="1" fontId="31160" fillId="8" borderId="1" xfId="0" applyNumberFormat="1" applyFont="1" applyFill="1" applyBorder="1" applyAlignment="1">
      <alignment horizontal="center" vertical="center"/>
    </xf>
    <xf numFmtId="1" fontId="31161" fillId="8" borderId="1" xfId="0" applyNumberFormat="1" applyFont="1" applyFill="1" applyBorder="1" applyAlignment="1">
      <alignment horizontal="center" vertical="center"/>
    </xf>
    <xf numFmtId="1" fontId="31162" fillId="8" borderId="1" xfId="0" applyNumberFormat="1" applyFont="1" applyFill="1" applyBorder="1" applyAlignment="1">
      <alignment horizontal="center" vertical="center"/>
    </xf>
    <xf numFmtId="1" fontId="31163" fillId="8" borderId="1" xfId="0" applyNumberFormat="1" applyFont="1" applyFill="1" applyBorder="1" applyAlignment="1">
      <alignment horizontal="center" vertical="center"/>
    </xf>
    <xf numFmtId="165" fontId="31164" fillId="8" borderId="1" xfId="0" applyNumberFormat="1" applyFont="1" applyFill="1" applyBorder="1" applyAlignment="1">
      <alignment horizontal="center" vertical="center"/>
    </xf>
    <xf numFmtId="1" fontId="31165" fillId="8" borderId="1" xfId="0" applyNumberFormat="1" applyFont="1" applyFill="1" applyBorder="1" applyAlignment="1">
      <alignment horizontal="center" vertical="center"/>
    </xf>
    <xf numFmtId="165" fontId="31166" fillId="8" borderId="1" xfId="0" applyNumberFormat="1" applyFont="1" applyFill="1" applyBorder="1" applyAlignment="1">
      <alignment horizontal="center" vertical="center"/>
    </xf>
    <xf numFmtId="1" fontId="31167" fillId="8" borderId="1" xfId="0" applyNumberFormat="1" applyFont="1" applyFill="1" applyBorder="1" applyAlignment="1">
      <alignment horizontal="center" vertical="center"/>
    </xf>
    <xf numFmtId="165" fontId="31168" fillId="8" borderId="1" xfId="0" applyNumberFormat="1" applyFont="1" applyFill="1" applyBorder="1" applyAlignment="1">
      <alignment horizontal="center" vertical="center"/>
    </xf>
    <xf numFmtId="2" fontId="31169" fillId="8" borderId="1" xfId="0" applyNumberFormat="1" applyFont="1" applyFill="1" applyBorder="1" applyAlignment="1">
      <alignment horizontal="center" vertical="center"/>
    </xf>
    <xf numFmtId="2" fontId="31170" fillId="8" borderId="1" xfId="0" applyNumberFormat="1" applyFont="1" applyFill="1" applyBorder="1" applyAlignment="1">
      <alignment horizontal="center" vertical="center"/>
    </xf>
    <xf numFmtId="2" fontId="31171" fillId="8" borderId="1" xfId="0" applyNumberFormat="1" applyFont="1" applyFill="1" applyBorder="1" applyAlignment="1">
      <alignment horizontal="center" vertical="center"/>
    </xf>
    <xf numFmtId="2" fontId="31172" fillId="8" borderId="1" xfId="0" applyNumberFormat="1" applyFont="1" applyFill="1" applyBorder="1" applyAlignment="1">
      <alignment horizontal="center" vertical="center"/>
    </xf>
    <xf numFmtId="2" fontId="31173" fillId="8" borderId="1" xfId="0" applyNumberFormat="1" applyFont="1" applyFill="1" applyBorder="1" applyAlignment="1">
      <alignment horizontal="center" vertical="center"/>
    </xf>
    <xf numFmtId="2" fontId="31174" fillId="8" borderId="1" xfId="0" applyNumberFormat="1" applyFont="1" applyFill="1" applyBorder="1" applyAlignment="1">
      <alignment horizontal="center" vertical="center"/>
    </xf>
    <xf numFmtId="2" fontId="31175" fillId="8" borderId="1" xfId="0" applyNumberFormat="1" applyFont="1" applyFill="1" applyBorder="1" applyAlignment="1">
      <alignment horizontal="center" vertical="center"/>
    </xf>
    <xf numFmtId="2" fontId="31176" fillId="8" borderId="1" xfId="0" applyNumberFormat="1" applyFont="1" applyFill="1" applyBorder="1" applyAlignment="1">
      <alignment horizontal="center" vertical="center"/>
    </xf>
    <xf numFmtId="2" fontId="31177" fillId="8" borderId="1" xfId="0" applyNumberFormat="1" applyFont="1" applyFill="1" applyBorder="1" applyAlignment="1">
      <alignment horizontal="center" vertical="center"/>
    </xf>
    <xf numFmtId="2" fontId="31178" fillId="8" borderId="1" xfId="0" applyNumberFormat="1" applyFont="1" applyFill="1" applyBorder="1" applyAlignment="1">
      <alignment horizontal="center" vertical="center"/>
    </xf>
    <xf numFmtId="2" fontId="31179" fillId="8" borderId="1" xfId="0" applyNumberFormat="1" applyFont="1" applyFill="1" applyBorder="1" applyAlignment="1">
      <alignment horizontal="center" vertical="center"/>
    </xf>
    <xf numFmtId="2" fontId="31180" fillId="8" borderId="1" xfId="0" applyNumberFormat="1" applyFont="1" applyFill="1" applyBorder="1" applyAlignment="1">
      <alignment horizontal="center" vertical="center"/>
    </xf>
    <xf numFmtId="2" fontId="31181" fillId="8" borderId="1" xfId="0" applyNumberFormat="1" applyFont="1" applyFill="1" applyBorder="1" applyAlignment="1">
      <alignment horizontal="center" vertical="center"/>
    </xf>
    <xf numFmtId="2" fontId="31182" fillId="8" borderId="1" xfId="0" applyNumberFormat="1" applyFont="1" applyFill="1" applyBorder="1" applyAlignment="1">
      <alignment horizontal="center" vertical="center"/>
    </xf>
    <xf numFmtId="2" fontId="31183" fillId="8" borderId="1" xfId="0" applyNumberFormat="1" applyFont="1" applyFill="1" applyBorder="1" applyAlignment="1">
      <alignment horizontal="center" vertical="center"/>
    </xf>
    <xf numFmtId="2" fontId="31184" fillId="8" borderId="1" xfId="0" applyNumberFormat="1" applyFont="1" applyFill="1" applyBorder="1" applyAlignment="1">
      <alignment horizontal="center" vertical="center"/>
    </xf>
    <xf numFmtId="2" fontId="31185" fillId="8" borderId="1" xfId="0" applyNumberFormat="1" applyFont="1" applyFill="1" applyBorder="1" applyAlignment="1">
      <alignment horizontal="center" vertical="center"/>
    </xf>
    <xf numFmtId="2" fontId="31186" fillId="8" borderId="1" xfId="0" applyNumberFormat="1" applyFont="1" applyFill="1" applyBorder="1" applyAlignment="1">
      <alignment horizontal="center" vertical="center"/>
    </xf>
    <xf numFmtId="2" fontId="31187" fillId="8" borderId="1" xfId="0" applyNumberFormat="1" applyFont="1" applyFill="1" applyBorder="1" applyAlignment="1">
      <alignment horizontal="center" vertical="center"/>
    </xf>
    <xf numFmtId="2" fontId="31188" fillId="8" borderId="1" xfId="0" applyNumberFormat="1" applyFont="1" applyFill="1" applyBorder="1" applyAlignment="1">
      <alignment horizontal="center" vertical="center"/>
    </xf>
    <xf numFmtId="2" fontId="31189" fillId="8" borderId="1" xfId="0" applyNumberFormat="1" applyFont="1" applyFill="1" applyBorder="1" applyAlignment="1">
      <alignment horizontal="center" vertical="center"/>
    </xf>
    <xf numFmtId="2" fontId="31190" fillId="8" borderId="1" xfId="0" applyNumberFormat="1" applyFont="1" applyFill="1" applyBorder="1" applyAlignment="1">
      <alignment horizontal="center" vertical="center"/>
    </xf>
    <xf numFmtId="2" fontId="31191" fillId="8" borderId="1" xfId="0" applyNumberFormat="1" applyFont="1" applyFill="1" applyBorder="1" applyAlignment="1">
      <alignment horizontal="center" vertical="center"/>
    </xf>
    <xf numFmtId="2" fontId="31192" fillId="8" borderId="1" xfId="0" applyNumberFormat="1" applyFont="1" applyFill="1" applyBorder="1" applyAlignment="1">
      <alignment horizontal="center" vertical="center"/>
    </xf>
    <xf numFmtId="2" fontId="31193" fillId="8" borderId="1" xfId="0" applyNumberFormat="1" applyFont="1" applyFill="1" applyBorder="1" applyAlignment="1">
      <alignment horizontal="center" vertical="center"/>
    </xf>
    <xf numFmtId="2" fontId="31194" fillId="8" borderId="1" xfId="0" applyNumberFormat="1" applyFont="1" applyFill="1" applyBorder="1" applyAlignment="1">
      <alignment horizontal="center" vertical="center"/>
    </xf>
    <xf numFmtId="2" fontId="31195" fillId="8" borderId="1" xfId="0" applyNumberFormat="1" applyFont="1" applyFill="1" applyBorder="1" applyAlignment="1">
      <alignment horizontal="center" vertical="center"/>
    </xf>
    <xf numFmtId="2" fontId="31196" fillId="8" borderId="1" xfId="0" applyNumberFormat="1" applyFont="1" applyFill="1" applyBorder="1" applyAlignment="1">
      <alignment horizontal="center" vertical="center"/>
    </xf>
    <xf numFmtId="2" fontId="31197" fillId="8" borderId="1" xfId="0" applyNumberFormat="1" applyFont="1" applyFill="1" applyBorder="1" applyAlignment="1">
      <alignment horizontal="center" vertical="center"/>
    </xf>
    <xf numFmtId="2" fontId="31198" fillId="8" borderId="1" xfId="0" applyNumberFormat="1" applyFont="1" applyFill="1" applyBorder="1" applyAlignment="1">
      <alignment horizontal="center" vertical="center"/>
    </xf>
    <xf numFmtId="2" fontId="31199" fillId="8" borderId="1" xfId="0" applyNumberFormat="1" applyFont="1" applyFill="1" applyBorder="1" applyAlignment="1">
      <alignment horizontal="center" vertical="center"/>
    </xf>
    <xf numFmtId="2" fontId="31200" fillId="8" borderId="1" xfId="0" applyNumberFormat="1" applyFont="1" applyFill="1" applyBorder="1" applyAlignment="1">
      <alignment horizontal="center" vertical="center"/>
    </xf>
    <xf numFmtId="2" fontId="31201" fillId="8" borderId="1" xfId="0" applyNumberFormat="1" applyFont="1" applyFill="1" applyBorder="1" applyAlignment="1">
      <alignment horizontal="center" vertical="center"/>
    </xf>
    <xf numFmtId="2" fontId="31202" fillId="8" borderId="1" xfId="0" applyNumberFormat="1" applyFont="1" applyFill="1" applyBorder="1" applyAlignment="1">
      <alignment horizontal="center" vertical="center"/>
    </xf>
    <xf numFmtId="0" fontId="31203" fillId="7" borderId="1" xfId="0" applyNumberFormat="1" applyFont="1" applyFill="1" applyBorder="1" applyAlignment="1">
      <alignment horizontal="left" vertical="center"/>
    </xf>
    <xf numFmtId="0" fontId="31204" fillId="8" borderId="1" xfId="0" applyNumberFormat="1" applyFont="1" applyFill="1" applyBorder="1" applyAlignment="1">
      <alignment horizontal="center" vertical="center"/>
    </xf>
    <xf numFmtId="164" fontId="31205" fillId="8" borderId="1" xfId="0" applyNumberFormat="1" applyFont="1" applyFill="1" applyBorder="1" applyAlignment="1">
      <alignment horizontal="center" vertical="center"/>
    </xf>
    <xf numFmtId="1" fontId="31206" fillId="8" borderId="1" xfId="0" applyNumberFormat="1" applyFont="1" applyFill="1" applyBorder="1" applyAlignment="1">
      <alignment horizontal="center" vertical="center"/>
    </xf>
    <xf numFmtId="1" fontId="31207" fillId="8" borderId="1" xfId="0" applyNumberFormat="1" applyFont="1" applyFill="1" applyBorder="1" applyAlignment="1">
      <alignment horizontal="center" vertical="center"/>
    </xf>
    <xf numFmtId="1" fontId="31208" fillId="8" borderId="1" xfId="0" applyNumberFormat="1" applyFont="1" applyFill="1" applyBorder="1" applyAlignment="1">
      <alignment horizontal="center" vertical="center"/>
    </xf>
    <xf numFmtId="1" fontId="31209" fillId="8" borderId="1" xfId="0" applyNumberFormat="1" applyFont="1" applyFill="1" applyBorder="1" applyAlignment="1">
      <alignment horizontal="center" vertical="center"/>
    </xf>
    <xf numFmtId="1" fontId="31210" fillId="8" borderId="1" xfId="0" applyNumberFormat="1" applyFont="1" applyFill="1" applyBorder="1" applyAlignment="1">
      <alignment horizontal="center" vertical="center"/>
    </xf>
    <xf numFmtId="1" fontId="31211" fillId="8" borderId="1" xfId="0" applyNumberFormat="1" applyFont="1" applyFill="1" applyBorder="1" applyAlignment="1">
      <alignment horizontal="center" vertical="center"/>
    </xf>
    <xf numFmtId="1" fontId="31212" fillId="8" borderId="1" xfId="0" applyNumberFormat="1" applyFont="1" applyFill="1" applyBorder="1" applyAlignment="1">
      <alignment horizontal="center" vertical="center"/>
    </xf>
    <xf numFmtId="0" fontId="31213" fillId="8" borderId="1" xfId="0" applyNumberFormat="1" applyFont="1" applyFill="1" applyBorder="1" applyAlignment="1">
      <alignment horizontal="center" vertical="center"/>
    </xf>
    <xf numFmtId="0" fontId="31214" fillId="8" borderId="1" xfId="0" applyNumberFormat="1" applyFont="1" applyFill="1" applyBorder="1" applyAlignment="1">
      <alignment horizontal="center" vertical="center"/>
    </xf>
    <xf numFmtId="1" fontId="31215" fillId="8" borderId="1" xfId="0" applyNumberFormat="1" applyFont="1" applyFill="1" applyBorder="1" applyAlignment="1">
      <alignment horizontal="center" vertical="center"/>
    </xf>
    <xf numFmtId="1" fontId="31216" fillId="8" borderId="1" xfId="0" applyNumberFormat="1" applyFont="1" applyFill="1" applyBorder="1" applyAlignment="1">
      <alignment horizontal="center" vertical="center"/>
    </xf>
    <xf numFmtId="1" fontId="31217" fillId="8" borderId="1" xfId="0" applyNumberFormat="1" applyFont="1" applyFill="1" applyBorder="1" applyAlignment="1">
      <alignment horizontal="center" vertical="center"/>
    </xf>
    <xf numFmtId="165" fontId="31218" fillId="8" borderId="1" xfId="0" applyNumberFormat="1" applyFont="1" applyFill="1" applyBorder="1" applyAlignment="1">
      <alignment horizontal="center" vertical="center"/>
    </xf>
    <xf numFmtId="1" fontId="31219" fillId="8" borderId="1" xfId="0" applyNumberFormat="1" applyFont="1" applyFill="1" applyBorder="1" applyAlignment="1">
      <alignment horizontal="center" vertical="center"/>
    </xf>
    <xf numFmtId="165" fontId="31220" fillId="8" borderId="1" xfId="0" applyNumberFormat="1" applyFont="1" applyFill="1" applyBorder="1" applyAlignment="1">
      <alignment horizontal="center" vertical="center"/>
    </xf>
    <xf numFmtId="1" fontId="31221" fillId="8" borderId="1" xfId="0" applyNumberFormat="1" applyFont="1" applyFill="1" applyBorder="1" applyAlignment="1">
      <alignment horizontal="center" vertical="center"/>
    </xf>
    <xf numFmtId="165" fontId="31222" fillId="8" borderId="1" xfId="0" applyNumberFormat="1" applyFont="1" applyFill="1" applyBorder="1" applyAlignment="1">
      <alignment horizontal="center" vertical="center"/>
    </xf>
    <xf numFmtId="1" fontId="31223" fillId="8" borderId="1" xfId="0" applyNumberFormat="1" applyFont="1" applyFill="1" applyBorder="1" applyAlignment="1">
      <alignment horizontal="center" vertical="center"/>
    </xf>
    <xf numFmtId="165" fontId="31224" fillId="8" borderId="1" xfId="0" applyNumberFormat="1" applyFont="1" applyFill="1" applyBorder="1" applyAlignment="1">
      <alignment horizontal="center" vertical="center"/>
    </xf>
    <xf numFmtId="165" fontId="31225" fillId="8" borderId="1" xfId="0" applyNumberFormat="1" applyFont="1" applyFill="1" applyBorder="1" applyAlignment="1">
      <alignment horizontal="center" vertical="center"/>
    </xf>
    <xf numFmtId="1" fontId="31226" fillId="8" borderId="1" xfId="0" applyNumberFormat="1" applyFont="1" applyFill="1" applyBorder="1" applyAlignment="1">
      <alignment horizontal="center" vertical="center"/>
    </xf>
    <xf numFmtId="1" fontId="31227" fillId="8" borderId="1" xfId="0" applyNumberFormat="1" applyFont="1" applyFill="1" applyBorder="1" applyAlignment="1">
      <alignment horizontal="center" vertical="center"/>
    </xf>
    <xf numFmtId="1" fontId="31228" fillId="8" borderId="1" xfId="0" applyNumberFormat="1" applyFont="1" applyFill="1" applyBorder="1" applyAlignment="1">
      <alignment horizontal="center" vertical="center"/>
    </xf>
    <xf numFmtId="165" fontId="31229" fillId="8" borderId="1" xfId="0" applyNumberFormat="1" applyFont="1" applyFill="1" applyBorder="1" applyAlignment="1">
      <alignment horizontal="center" vertical="center"/>
    </xf>
    <xf numFmtId="164" fontId="31230" fillId="8" borderId="1" xfId="0" applyNumberFormat="1" applyFont="1" applyFill="1" applyBorder="1" applyAlignment="1">
      <alignment horizontal="center" vertical="center"/>
    </xf>
    <xf numFmtId="164" fontId="31231" fillId="8" borderId="1" xfId="0" applyNumberFormat="1" applyFont="1" applyFill="1" applyBorder="1" applyAlignment="1">
      <alignment horizontal="center" vertical="center"/>
    </xf>
    <xf numFmtId="1" fontId="31232" fillId="8" borderId="1" xfId="0" applyNumberFormat="1" applyFont="1" applyFill="1" applyBorder="1" applyAlignment="1">
      <alignment horizontal="center" vertical="center"/>
    </xf>
    <xf numFmtId="1" fontId="31233" fillId="8" borderId="1" xfId="0" applyNumberFormat="1" applyFont="1" applyFill="1" applyBorder="1" applyAlignment="1">
      <alignment horizontal="center" vertical="center"/>
    </xf>
    <xf numFmtId="1" fontId="31234" fillId="8" borderId="1" xfId="0" applyNumberFormat="1" applyFont="1" applyFill="1" applyBorder="1" applyAlignment="1">
      <alignment horizontal="center" vertical="center"/>
    </xf>
    <xf numFmtId="165" fontId="31235" fillId="8" borderId="1" xfId="0" applyNumberFormat="1" applyFont="1" applyFill="1" applyBorder="1" applyAlignment="1">
      <alignment horizontal="center" vertical="center"/>
    </xf>
    <xf numFmtId="1" fontId="31236" fillId="8" borderId="1" xfId="0" applyNumberFormat="1" applyFont="1" applyFill="1" applyBorder="1" applyAlignment="1">
      <alignment horizontal="center" vertical="center"/>
    </xf>
    <xf numFmtId="165" fontId="31237" fillId="8" borderId="1" xfId="0" applyNumberFormat="1" applyFont="1" applyFill="1" applyBorder="1" applyAlignment="1">
      <alignment horizontal="center" vertical="center"/>
    </xf>
    <xf numFmtId="1" fontId="31238" fillId="8" borderId="1" xfId="0" applyNumberFormat="1" applyFont="1" applyFill="1" applyBorder="1" applyAlignment="1">
      <alignment horizontal="center" vertical="center"/>
    </xf>
    <xf numFmtId="1" fontId="31239" fillId="8" borderId="1" xfId="0" applyNumberFormat="1" applyFont="1" applyFill="1" applyBorder="1" applyAlignment="1">
      <alignment horizontal="center" vertical="center"/>
    </xf>
    <xf numFmtId="1" fontId="31240" fillId="8" borderId="1" xfId="0" applyNumberFormat="1" applyFont="1" applyFill="1" applyBorder="1" applyAlignment="1">
      <alignment horizontal="center" vertical="center"/>
    </xf>
    <xf numFmtId="1" fontId="31241" fillId="8" borderId="1" xfId="0" applyNumberFormat="1" applyFont="1" applyFill="1" applyBorder="1" applyAlignment="1">
      <alignment horizontal="center" vertical="center"/>
    </xf>
    <xf numFmtId="165" fontId="31242" fillId="8" borderId="1" xfId="0" applyNumberFormat="1" applyFont="1" applyFill="1" applyBorder="1" applyAlignment="1">
      <alignment horizontal="center" vertical="center"/>
    </xf>
    <xf numFmtId="1" fontId="31243" fillId="8" borderId="1" xfId="0" applyNumberFormat="1" applyFont="1" applyFill="1" applyBorder="1" applyAlignment="1">
      <alignment horizontal="center" vertical="center"/>
    </xf>
    <xf numFmtId="165" fontId="31244" fillId="8" borderId="1" xfId="0" applyNumberFormat="1" applyFont="1" applyFill="1" applyBorder="1" applyAlignment="1">
      <alignment horizontal="center" vertical="center"/>
    </xf>
    <xf numFmtId="1" fontId="31245" fillId="8" borderId="1" xfId="0" applyNumberFormat="1" applyFont="1" applyFill="1" applyBorder="1" applyAlignment="1">
      <alignment horizontal="center" vertical="center"/>
    </xf>
    <xf numFmtId="165" fontId="31246" fillId="8" borderId="1" xfId="0" applyNumberFormat="1" applyFont="1" applyFill="1" applyBorder="1" applyAlignment="1">
      <alignment horizontal="center" vertical="center"/>
    </xf>
    <xf numFmtId="2" fontId="31247" fillId="8" borderId="1" xfId="0" applyNumberFormat="1" applyFont="1" applyFill="1" applyBorder="1" applyAlignment="1">
      <alignment horizontal="center" vertical="center"/>
    </xf>
    <xf numFmtId="2" fontId="31248" fillId="8" borderId="1" xfId="0" applyNumberFormat="1" applyFont="1" applyFill="1" applyBorder="1" applyAlignment="1">
      <alignment horizontal="center" vertical="center"/>
    </xf>
    <xf numFmtId="2" fontId="31249" fillId="8" borderId="1" xfId="0" applyNumberFormat="1" applyFont="1" applyFill="1" applyBorder="1" applyAlignment="1">
      <alignment horizontal="center" vertical="center"/>
    </xf>
    <xf numFmtId="2" fontId="31250" fillId="8" borderId="1" xfId="0" applyNumberFormat="1" applyFont="1" applyFill="1" applyBorder="1" applyAlignment="1">
      <alignment horizontal="center" vertical="center"/>
    </xf>
    <xf numFmtId="2" fontId="31251" fillId="8" borderId="1" xfId="0" applyNumberFormat="1" applyFont="1" applyFill="1" applyBorder="1" applyAlignment="1">
      <alignment horizontal="center" vertical="center"/>
    </xf>
    <xf numFmtId="2" fontId="31252" fillId="8" borderId="1" xfId="0" applyNumberFormat="1" applyFont="1" applyFill="1" applyBorder="1" applyAlignment="1">
      <alignment horizontal="center" vertical="center"/>
    </xf>
    <xf numFmtId="2" fontId="31253" fillId="8" borderId="1" xfId="0" applyNumberFormat="1" applyFont="1" applyFill="1" applyBorder="1" applyAlignment="1">
      <alignment horizontal="center" vertical="center"/>
    </xf>
    <xf numFmtId="2" fontId="31254" fillId="8" borderId="1" xfId="0" applyNumberFormat="1" applyFont="1" applyFill="1" applyBorder="1" applyAlignment="1">
      <alignment horizontal="center" vertical="center"/>
    </xf>
    <xf numFmtId="2" fontId="31255" fillId="8" borderId="1" xfId="0" applyNumberFormat="1" applyFont="1" applyFill="1" applyBorder="1" applyAlignment="1">
      <alignment horizontal="center" vertical="center"/>
    </xf>
    <xf numFmtId="2" fontId="31256" fillId="8" borderId="1" xfId="0" applyNumberFormat="1" applyFont="1" applyFill="1" applyBorder="1" applyAlignment="1">
      <alignment horizontal="center" vertical="center"/>
    </xf>
    <xf numFmtId="2" fontId="31257" fillId="8" borderId="1" xfId="0" applyNumberFormat="1" applyFont="1" applyFill="1" applyBorder="1" applyAlignment="1">
      <alignment horizontal="center" vertical="center"/>
    </xf>
    <xf numFmtId="2" fontId="31258" fillId="8" borderId="1" xfId="0" applyNumberFormat="1" applyFont="1" applyFill="1" applyBorder="1" applyAlignment="1">
      <alignment horizontal="center" vertical="center"/>
    </xf>
    <xf numFmtId="2" fontId="31259" fillId="8" borderId="1" xfId="0" applyNumberFormat="1" applyFont="1" applyFill="1" applyBorder="1" applyAlignment="1">
      <alignment horizontal="center" vertical="center"/>
    </xf>
    <xf numFmtId="2" fontId="31260" fillId="8" borderId="1" xfId="0" applyNumberFormat="1" applyFont="1" applyFill="1" applyBorder="1" applyAlignment="1">
      <alignment horizontal="center" vertical="center"/>
    </xf>
    <xf numFmtId="2" fontId="31261" fillId="8" borderId="1" xfId="0" applyNumberFormat="1" applyFont="1" applyFill="1" applyBorder="1" applyAlignment="1">
      <alignment horizontal="center" vertical="center"/>
    </xf>
    <xf numFmtId="2" fontId="31262" fillId="8" borderId="1" xfId="0" applyNumberFormat="1" applyFont="1" applyFill="1" applyBorder="1" applyAlignment="1">
      <alignment horizontal="center" vertical="center"/>
    </xf>
    <xf numFmtId="2" fontId="31263" fillId="8" borderId="1" xfId="0" applyNumberFormat="1" applyFont="1" applyFill="1" applyBorder="1" applyAlignment="1">
      <alignment horizontal="center" vertical="center"/>
    </xf>
    <xf numFmtId="2" fontId="31264" fillId="8" borderId="1" xfId="0" applyNumberFormat="1" applyFont="1" applyFill="1" applyBorder="1" applyAlignment="1">
      <alignment horizontal="center" vertical="center"/>
    </xf>
    <xf numFmtId="2" fontId="31265" fillId="8" borderId="1" xfId="0" applyNumberFormat="1" applyFont="1" applyFill="1" applyBorder="1" applyAlignment="1">
      <alignment horizontal="center" vertical="center"/>
    </xf>
    <xf numFmtId="2" fontId="31266" fillId="8" borderId="1" xfId="0" applyNumberFormat="1" applyFont="1" applyFill="1" applyBorder="1" applyAlignment="1">
      <alignment horizontal="center" vertical="center"/>
    </xf>
    <xf numFmtId="2" fontId="31267" fillId="8" borderId="1" xfId="0" applyNumberFormat="1" applyFont="1" applyFill="1" applyBorder="1" applyAlignment="1">
      <alignment horizontal="center" vertical="center"/>
    </xf>
    <xf numFmtId="2" fontId="31268" fillId="8" borderId="1" xfId="0" applyNumberFormat="1" applyFont="1" applyFill="1" applyBorder="1" applyAlignment="1">
      <alignment horizontal="center" vertical="center"/>
    </xf>
    <xf numFmtId="2" fontId="31269" fillId="8" borderId="1" xfId="0" applyNumberFormat="1" applyFont="1" applyFill="1" applyBorder="1" applyAlignment="1">
      <alignment horizontal="center" vertical="center"/>
    </xf>
    <xf numFmtId="2" fontId="31270" fillId="8" borderId="1" xfId="0" applyNumberFormat="1" applyFont="1" applyFill="1" applyBorder="1" applyAlignment="1">
      <alignment horizontal="center" vertical="center"/>
    </xf>
    <xf numFmtId="2" fontId="31271" fillId="8" borderId="1" xfId="0" applyNumberFormat="1" applyFont="1" applyFill="1" applyBorder="1" applyAlignment="1">
      <alignment horizontal="center" vertical="center"/>
    </xf>
    <xf numFmtId="2" fontId="31272" fillId="8" borderId="1" xfId="0" applyNumberFormat="1" applyFont="1" applyFill="1" applyBorder="1" applyAlignment="1">
      <alignment horizontal="center" vertical="center"/>
    </xf>
    <xf numFmtId="2" fontId="31273" fillId="8" borderId="1" xfId="0" applyNumberFormat="1" applyFont="1" applyFill="1" applyBorder="1" applyAlignment="1">
      <alignment horizontal="center" vertical="center"/>
    </xf>
    <xf numFmtId="2" fontId="31274" fillId="8" borderId="1" xfId="0" applyNumberFormat="1" applyFont="1" applyFill="1" applyBorder="1" applyAlignment="1">
      <alignment horizontal="center" vertical="center"/>
    </xf>
    <xf numFmtId="2" fontId="31275" fillId="8" borderId="1" xfId="0" applyNumberFormat="1" applyFont="1" applyFill="1" applyBorder="1" applyAlignment="1">
      <alignment horizontal="center" vertical="center"/>
    </xf>
    <xf numFmtId="2" fontId="31276" fillId="8" borderId="1" xfId="0" applyNumberFormat="1" applyFont="1" applyFill="1" applyBorder="1" applyAlignment="1">
      <alignment horizontal="center" vertical="center"/>
    </xf>
    <xf numFmtId="2" fontId="31277" fillId="8" borderId="1" xfId="0" applyNumberFormat="1" applyFont="1" applyFill="1" applyBorder="1" applyAlignment="1">
      <alignment horizontal="center" vertical="center"/>
    </xf>
    <xf numFmtId="2" fontId="31278" fillId="8" borderId="1" xfId="0" applyNumberFormat="1" applyFont="1" applyFill="1" applyBorder="1" applyAlignment="1">
      <alignment horizontal="center" vertical="center"/>
    </xf>
    <xf numFmtId="2" fontId="31279" fillId="8" borderId="1" xfId="0" applyNumberFormat="1" applyFont="1" applyFill="1" applyBorder="1" applyAlignment="1">
      <alignment horizontal="center" vertical="center"/>
    </xf>
    <xf numFmtId="2" fontId="31280" fillId="8" borderId="1" xfId="0" applyNumberFormat="1" applyFont="1" applyFill="1" applyBorder="1" applyAlignment="1">
      <alignment horizontal="center" vertical="center"/>
    </xf>
    <xf numFmtId="0" fontId="31281" fillId="7" borderId="1" xfId="0" applyNumberFormat="1" applyFont="1" applyFill="1" applyBorder="1" applyAlignment="1">
      <alignment horizontal="left" vertical="center"/>
    </xf>
    <xf numFmtId="0" fontId="31282" fillId="8" borderId="1" xfId="0" applyNumberFormat="1" applyFont="1" applyFill="1" applyBorder="1" applyAlignment="1">
      <alignment horizontal="center" vertical="center"/>
    </xf>
    <xf numFmtId="164" fontId="31283" fillId="8" borderId="1" xfId="0" applyNumberFormat="1" applyFont="1" applyFill="1" applyBorder="1" applyAlignment="1">
      <alignment horizontal="center" vertical="center"/>
    </xf>
    <xf numFmtId="1" fontId="31284" fillId="8" borderId="1" xfId="0" applyNumberFormat="1" applyFont="1" applyFill="1" applyBorder="1" applyAlignment="1">
      <alignment horizontal="center" vertical="center"/>
    </xf>
    <xf numFmtId="1" fontId="31285" fillId="8" borderId="1" xfId="0" applyNumberFormat="1" applyFont="1" applyFill="1" applyBorder="1" applyAlignment="1">
      <alignment horizontal="center" vertical="center"/>
    </xf>
    <xf numFmtId="1" fontId="31286" fillId="8" borderId="1" xfId="0" applyNumberFormat="1" applyFont="1" applyFill="1" applyBorder="1" applyAlignment="1">
      <alignment horizontal="center" vertical="center"/>
    </xf>
    <xf numFmtId="1" fontId="31287" fillId="8" borderId="1" xfId="0" applyNumberFormat="1" applyFont="1" applyFill="1" applyBorder="1" applyAlignment="1">
      <alignment horizontal="center" vertical="center"/>
    </xf>
    <xf numFmtId="1" fontId="31288" fillId="8" borderId="1" xfId="0" applyNumberFormat="1" applyFont="1" applyFill="1" applyBorder="1" applyAlignment="1">
      <alignment horizontal="center" vertical="center"/>
    </xf>
    <xf numFmtId="1" fontId="31289" fillId="8" borderId="1" xfId="0" applyNumberFormat="1" applyFont="1" applyFill="1" applyBorder="1" applyAlignment="1">
      <alignment horizontal="center" vertical="center"/>
    </xf>
    <xf numFmtId="1" fontId="31290" fillId="8" borderId="1" xfId="0" applyNumberFormat="1" applyFont="1" applyFill="1" applyBorder="1" applyAlignment="1">
      <alignment horizontal="center" vertical="center"/>
    </xf>
    <xf numFmtId="0" fontId="31291" fillId="8" borderId="1" xfId="0" applyNumberFormat="1" applyFont="1" applyFill="1" applyBorder="1" applyAlignment="1">
      <alignment horizontal="center" vertical="center"/>
    </xf>
    <xf numFmtId="0" fontId="31292" fillId="8" borderId="1" xfId="0" applyNumberFormat="1" applyFont="1" applyFill="1" applyBorder="1" applyAlignment="1">
      <alignment horizontal="center" vertical="center"/>
    </xf>
    <xf numFmtId="1" fontId="31293" fillId="8" borderId="1" xfId="0" applyNumberFormat="1" applyFont="1" applyFill="1" applyBorder="1" applyAlignment="1">
      <alignment horizontal="center" vertical="center"/>
    </xf>
    <xf numFmtId="1" fontId="31294" fillId="8" borderId="1" xfId="0" applyNumberFormat="1" applyFont="1" applyFill="1" applyBorder="1" applyAlignment="1">
      <alignment horizontal="center" vertical="center"/>
    </xf>
    <xf numFmtId="1" fontId="31295" fillId="8" borderId="1" xfId="0" applyNumberFormat="1" applyFont="1" applyFill="1" applyBorder="1" applyAlignment="1">
      <alignment horizontal="center" vertical="center"/>
    </xf>
    <xf numFmtId="165" fontId="31296" fillId="8" borderId="1" xfId="0" applyNumberFormat="1" applyFont="1" applyFill="1" applyBorder="1" applyAlignment="1">
      <alignment horizontal="center" vertical="center"/>
    </xf>
    <xf numFmtId="1" fontId="31297" fillId="8" borderId="1" xfId="0" applyNumberFormat="1" applyFont="1" applyFill="1" applyBorder="1" applyAlignment="1">
      <alignment horizontal="center" vertical="center"/>
    </xf>
    <xf numFmtId="165" fontId="31298" fillId="8" borderId="1" xfId="0" applyNumberFormat="1" applyFont="1" applyFill="1" applyBorder="1" applyAlignment="1">
      <alignment horizontal="center" vertical="center"/>
    </xf>
    <xf numFmtId="1" fontId="31299" fillId="8" borderId="1" xfId="0" applyNumberFormat="1" applyFont="1" applyFill="1" applyBorder="1" applyAlignment="1">
      <alignment horizontal="center" vertical="center"/>
    </xf>
    <xf numFmtId="165" fontId="31300" fillId="8" borderId="1" xfId="0" applyNumberFormat="1" applyFont="1" applyFill="1" applyBorder="1" applyAlignment="1">
      <alignment horizontal="center" vertical="center"/>
    </xf>
    <xf numFmtId="1" fontId="31301" fillId="8" borderId="1" xfId="0" applyNumberFormat="1" applyFont="1" applyFill="1" applyBorder="1" applyAlignment="1">
      <alignment horizontal="center" vertical="center"/>
    </xf>
    <xf numFmtId="165" fontId="31302" fillId="8" borderId="1" xfId="0" applyNumberFormat="1" applyFont="1" applyFill="1" applyBorder="1" applyAlignment="1">
      <alignment horizontal="center" vertical="center"/>
    </xf>
    <xf numFmtId="165" fontId="31303" fillId="8" borderId="1" xfId="0" applyNumberFormat="1" applyFont="1" applyFill="1" applyBorder="1" applyAlignment="1">
      <alignment horizontal="center" vertical="center"/>
    </xf>
    <xf numFmtId="1" fontId="31304" fillId="8" borderId="1" xfId="0" applyNumberFormat="1" applyFont="1" applyFill="1" applyBorder="1" applyAlignment="1">
      <alignment horizontal="center" vertical="center"/>
    </xf>
    <xf numFmtId="1" fontId="31305" fillId="8" borderId="1" xfId="0" applyNumberFormat="1" applyFont="1" applyFill="1" applyBorder="1" applyAlignment="1">
      <alignment horizontal="center" vertical="center"/>
    </xf>
    <xf numFmtId="1" fontId="31306" fillId="8" borderId="1" xfId="0" applyNumberFormat="1" applyFont="1" applyFill="1" applyBorder="1" applyAlignment="1">
      <alignment horizontal="center" vertical="center"/>
    </xf>
    <xf numFmtId="165" fontId="31307" fillId="8" borderId="1" xfId="0" applyNumberFormat="1" applyFont="1" applyFill="1" applyBorder="1" applyAlignment="1">
      <alignment horizontal="center" vertical="center"/>
    </xf>
    <xf numFmtId="164" fontId="31308" fillId="8" borderId="1" xfId="0" applyNumberFormat="1" applyFont="1" applyFill="1" applyBorder="1" applyAlignment="1">
      <alignment horizontal="center" vertical="center"/>
    </xf>
    <xf numFmtId="164" fontId="31309" fillId="8" borderId="1" xfId="0" applyNumberFormat="1" applyFont="1" applyFill="1" applyBorder="1" applyAlignment="1">
      <alignment horizontal="center" vertical="center"/>
    </xf>
    <xf numFmtId="1" fontId="31310" fillId="8" borderId="1" xfId="0" applyNumberFormat="1" applyFont="1" applyFill="1" applyBorder="1" applyAlignment="1">
      <alignment horizontal="center" vertical="center"/>
    </xf>
    <xf numFmtId="1" fontId="31311" fillId="8" borderId="1" xfId="0" applyNumberFormat="1" applyFont="1" applyFill="1" applyBorder="1" applyAlignment="1">
      <alignment horizontal="center" vertical="center"/>
    </xf>
    <xf numFmtId="1" fontId="31312" fillId="8" borderId="1" xfId="0" applyNumberFormat="1" applyFont="1" applyFill="1" applyBorder="1" applyAlignment="1">
      <alignment horizontal="center" vertical="center"/>
    </xf>
    <xf numFmtId="165" fontId="31313" fillId="8" borderId="1" xfId="0" applyNumberFormat="1" applyFont="1" applyFill="1" applyBorder="1" applyAlignment="1">
      <alignment horizontal="center" vertical="center"/>
    </xf>
    <xf numFmtId="1" fontId="31314" fillId="8" borderId="1" xfId="0" applyNumberFormat="1" applyFont="1" applyFill="1" applyBorder="1" applyAlignment="1">
      <alignment horizontal="center" vertical="center"/>
    </xf>
    <xf numFmtId="165" fontId="31315" fillId="8" borderId="1" xfId="0" applyNumberFormat="1" applyFont="1" applyFill="1" applyBorder="1" applyAlignment="1">
      <alignment horizontal="center" vertical="center"/>
    </xf>
    <xf numFmtId="1" fontId="31316" fillId="8" borderId="1" xfId="0" applyNumberFormat="1" applyFont="1" applyFill="1" applyBorder="1" applyAlignment="1">
      <alignment horizontal="center" vertical="center"/>
    </xf>
    <xf numFmtId="1" fontId="31317" fillId="8" borderId="1" xfId="0" applyNumberFormat="1" applyFont="1" applyFill="1" applyBorder="1" applyAlignment="1">
      <alignment horizontal="center" vertical="center"/>
    </xf>
    <xf numFmtId="1" fontId="31318" fillId="8" borderId="1" xfId="0" applyNumberFormat="1" applyFont="1" applyFill="1" applyBorder="1" applyAlignment="1">
      <alignment horizontal="center" vertical="center"/>
    </xf>
    <xf numFmtId="1" fontId="31319" fillId="8" borderId="1" xfId="0" applyNumberFormat="1" applyFont="1" applyFill="1" applyBorder="1" applyAlignment="1">
      <alignment horizontal="center" vertical="center"/>
    </xf>
    <xf numFmtId="165" fontId="31320" fillId="8" borderId="1" xfId="0" applyNumberFormat="1" applyFont="1" applyFill="1" applyBorder="1" applyAlignment="1">
      <alignment horizontal="center" vertical="center"/>
    </xf>
    <xf numFmtId="1" fontId="31321" fillId="8" borderId="1" xfId="0" applyNumberFormat="1" applyFont="1" applyFill="1" applyBorder="1" applyAlignment="1">
      <alignment horizontal="center" vertical="center"/>
    </xf>
    <xf numFmtId="165" fontId="31322" fillId="8" borderId="1" xfId="0" applyNumberFormat="1" applyFont="1" applyFill="1" applyBorder="1" applyAlignment="1">
      <alignment horizontal="center" vertical="center"/>
    </xf>
    <xf numFmtId="1" fontId="31323" fillId="8" borderId="1" xfId="0" applyNumberFormat="1" applyFont="1" applyFill="1" applyBorder="1" applyAlignment="1">
      <alignment horizontal="center" vertical="center"/>
    </xf>
    <xf numFmtId="165" fontId="31324" fillId="8" borderId="1" xfId="0" applyNumberFormat="1" applyFont="1" applyFill="1" applyBorder="1" applyAlignment="1">
      <alignment horizontal="center" vertical="center"/>
    </xf>
    <xf numFmtId="2" fontId="31325" fillId="8" borderId="1" xfId="0" applyNumberFormat="1" applyFont="1" applyFill="1" applyBorder="1" applyAlignment="1">
      <alignment horizontal="center" vertical="center"/>
    </xf>
    <xf numFmtId="2" fontId="31326" fillId="8" borderId="1" xfId="0" applyNumberFormat="1" applyFont="1" applyFill="1" applyBorder="1" applyAlignment="1">
      <alignment horizontal="center" vertical="center"/>
    </xf>
    <xf numFmtId="2" fontId="31327" fillId="8" borderId="1" xfId="0" applyNumberFormat="1" applyFont="1" applyFill="1" applyBorder="1" applyAlignment="1">
      <alignment horizontal="center" vertical="center"/>
    </xf>
    <xf numFmtId="2" fontId="31328" fillId="8" borderId="1" xfId="0" applyNumberFormat="1" applyFont="1" applyFill="1" applyBorder="1" applyAlignment="1">
      <alignment horizontal="center" vertical="center"/>
    </xf>
    <xf numFmtId="2" fontId="31329" fillId="8" borderId="1" xfId="0" applyNumberFormat="1" applyFont="1" applyFill="1" applyBorder="1" applyAlignment="1">
      <alignment horizontal="center" vertical="center"/>
    </xf>
    <xf numFmtId="2" fontId="31330" fillId="8" borderId="1" xfId="0" applyNumberFormat="1" applyFont="1" applyFill="1" applyBorder="1" applyAlignment="1">
      <alignment horizontal="center" vertical="center"/>
    </xf>
    <xf numFmtId="2" fontId="31331" fillId="8" borderId="1" xfId="0" applyNumberFormat="1" applyFont="1" applyFill="1" applyBorder="1" applyAlignment="1">
      <alignment horizontal="center" vertical="center"/>
    </xf>
    <xf numFmtId="2" fontId="31332" fillId="8" borderId="1" xfId="0" applyNumberFormat="1" applyFont="1" applyFill="1" applyBorder="1" applyAlignment="1">
      <alignment horizontal="center" vertical="center"/>
    </xf>
    <xf numFmtId="2" fontId="31333" fillId="8" borderId="1" xfId="0" applyNumberFormat="1" applyFont="1" applyFill="1" applyBorder="1" applyAlignment="1">
      <alignment horizontal="center" vertical="center"/>
    </xf>
    <xf numFmtId="2" fontId="31334" fillId="8" borderId="1" xfId="0" applyNumberFormat="1" applyFont="1" applyFill="1" applyBorder="1" applyAlignment="1">
      <alignment horizontal="center" vertical="center"/>
    </xf>
    <xf numFmtId="2" fontId="31335" fillId="8" borderId="1" xfId="0" applyNumberFormat="1" applyFont="1" applyFill="1" applyBorder="1" applyAlignment="1">
      <alignment horizontal="center" vertical="center"/>
    </xf>
    <xf numFmtId="2" fontId="31336" fillId="8" borderId="1" xfId="0" applyNumberFormat="1" applyFont="1" applyFill="1" applyBorder="1" applyAlignment="1">
      <alignment horizontal="center" vertical="center"/>
    </xf>
    <xf numFmtId="2" fontId="31337" fillId="8" borderId="1" xfId="0" applyNumberFormat="1" applyFont="1" applyFill="1" applyBorder="1" applyAlignment="1">
      <alignment horizontal="center" vertical="center"/>
    </xf>
    <xf numFmtId="2" fontId="31338" fillId="8" borderId="1" xfId="0" applyNumberFormat="1" applyFont="1" applyFill="1" applyBorder="1" applyAlignment="1">
      <alignment horizontal="center" vertical="center"/>
    </xf>
    <xf numFmtId="2" fontId="31339" fillId="8" borderId="1" xfId="0" applyNumberFormat="1" applyFont="1" applyFill="1" applyBorder="1" applyAlignment="1">
      <alignment horizontal="center" vertical="center"/>
    </xf>
    <xf numFmtId="2" fontId="31340" fillId="8" borderId="1" xfId="0" applyNumberFormat="1" applyFont="1" applyFill="1" applyBorder="1" applyAlignment="1">
      <alignment horizontal="center" vertical="center"/>
    </xf>
    <xf numFmtId="2" fontId="31341" fillId="8" borderId="1" xfId="0" applyNumberFormat="1" applyFont="1" applyFill="1" applyBorder="1" applyAlignment="1">
      <alignment horizontal="center" vertical="center"/>
    </xf>
    <xf numFmtId="2" fontId="31342" fillId="8" borderId="1" xfId="0" applyNumberFormat="1" applyFont="1" applyFill="1" applyBorder="1" applyAlignment="1">
      <alignment horizontal="center" vertical="center"/>
    </xf>
    <xf numFmtId="2" fontId="31343" fillId="8" borderId="1" xfId="0" applyNumberFormat="1" applyFont="1" applyFill="1" applyBorder="1" applyAlignment="1">
      <alignment horizontal="center" vertical="center"/>
    </xf>
    <xf numFmtId="2" fontId="31344" fillId="8" borderId="1" xfId="0" applyNumberFormat="1" applyFont="1" applyFill="1" applyBorder="1" applyAlignment="1">
      <alignment horizontal="center" vertical="center"/>
    </xf>
    <xf numFmtId="2" fontId="31345" fillId="8" borderId="1" xfId="0" applyNumberFormat="1" applyFont="1" applyFill="1" applyBorder="1" applyAlignment="1">
      <alignment horizontal="center" vertical="center"/>
    </xf>
    <xf numFmtId="2" fontId="31346" fillId="8" borderId="1" xfId="0" applyNumberFormat="1" applyFont="1" applyFill="1" applyBorder="1" applyAlignment="1">
      <alignment horizontal="center" vertical="center"/>
    </xf>
    <xf numFmtId="2" fontId="31347" fillId="8" borderId="1" xfId="0" applyNumberFormat="1" applyFont="1" applyFill="1" applyBorder="1" applyAlignment="1">
      <alignment horizontal="center" vertical="center"/>
    </xf>
    <xf numFmtId="2" fontId="31348" fillId="8" borderId="1" xfId="0" applyNumberFormat="1" applyFont="1" applyFill="1" applyBorder="1" applyAlignment="1">
      <alignment horizontal="center" vertical="center"/>
    </xf>
    <xf numFmtId="2" fontId="31349" fillId="8" borderId="1" xfId="0" applyNumberFormat="1" applyFont="1" applyFill="1" applyBorder="1" applyAlignment="1">
      <alignment horizontal="center" vertical="center"/>
    </xf>
    <xf numFmtId="2" fontId="31350" fillId="8" borderId="1" xfId="0" applyNumberFormat="1" applyFont="1" applyFill="1" applyBorder="1" applyAlignment="1">
      <alignment horizontal="center" vertical="center"/>
    </xf>
    <xf numFmtId="2" fontId="31351" fillId="8" borderId="1" xfId="0" applyNumberFormat="1" applyFont="1" applyFill="1" applyBorder="1" applyAlignment="1">
      <alignment horizontal="center" vertical="center"/>
    </xf>
    <xf numFmtId="2" fontId="31352" fillId="8" borderId="1" xfId="0" applyNumberFormat="1" applyFont="1" applyFill="1" applyBorder="1" applyAlignment="1">
      <alignment horizontal="center" vertical="center"/>
    </xf>
    <xf numFmtId="2" fontId="31353" fillId="8" borderId="1" xfId="0" applyNumberFormat="1" applyFont="1" applyFill="1" applyBorder="1" applyAlignment="1">
      <alignment horizontal="center" vertical="center"/>
    </xf>
    <xf numFmtId="2" fontId="31354" fillId="8" borderId="1" xfId="0" applyNumberFormat="1" applyFont="1" applyFill="1" applyBorder="1" applyAlignment="1">
      <alignment horizontal="center" vertical="center"/>
    </xf>
    <xf numFmtId="2" fontId="31355" fillId="8" borderId="1" xfId="0" applyNumberFormat="1" applyFont="1" applyFill="1" applyBorder="1" applyAlignment="1">
      <alignment horizontal="center" vertical="center"/>
    </xf>
    <xf numFmtId="2" fontId="31356" fillId="8" borderId="1" xfId="0" applyNumberFormat="1" applyFont="1" applyFill="1" applyBorder="1" applyAlignment="1">
      <alignment horizontal="center" vertical="center"/>
    </xf>
    <xf numFmtId="2" fontId="31357" fillId="8" borderId="1" xfId="0" applyNumberFormat="1" applyFont="1" applyFill="1" applyBorder="1" applyAlignment="1">
      <alignment horizontal="center" vertical="center"/>
    </xf>
    <xf numFmtId="2" fontId="31358" fillId="8" borderId="1" xfId="0" applyNumberFormat="1" applyFont="1" applyFill="1" applyBorder="1" applyAlignment="1">
      <alignment horizontal="center" vertical="center"/>
    </xf>
    <xf numFmtId="0" fontId="31359" fillId="7" borderId="1" xfId="0" applyNumberFormat="1" applyFont="1" applyFill="1" applyBorder="1" applyAlignment="1">
      <alignment horizontal="left" vertical="center"/>
    </xf>
    <xf numFmtId="0" fontId="31360" fillId="8" borderId="1" xfId="0" applyNumberFormat="1" applyFont="1" applyFill="1" applyBorder="1" applyAlignment="1">
      <alignment horizontal="center" vertical="center"/>
    </xf>
    <xf numFmtId="164" fontId="31361" fillId="8" borderId="1" xfId="0" applyNumberFormat="1" applyFont="1" applyFill="1" applyBorder="1" applyAlignment="1">
      <alignment horizontal="center" vertical="center"/>
    </xf>
    <xf numFmtId="1" fontId="31362" fillId="8" borderId="1" xfId="0" applyNumberFormat="1" applyFont="1" applyFill="1" applyBorder="1" applyAlignment="1">
      <alignment horizontal="center" vertical="center"/>
    </xf>
    <xf numFmtId="1" fontId="31363" fillId="8" borderId="1" xfId="0" applyNumberFormat="1" applyFont="1" applyFill="1" applyBorder="1" applyAlignment="1">
      <alignment horizontal="center" vertical="center"/>
    </xf>
    <xf numFmtId="1" fontId="31364" fillId="8" borderId="1" xfId="0" applyNumberFormat="1" applyFont="1" applyFill="1" applyBorder="1" applyAlignment="1">
      <alignment horizontal="center" vertical="center"/>
    </xf>
    <xf numFmtId="1" fontId="31365" fillId="8" borderId="1" xfId="0" applyNumberFormat="1" applyFont="1" applyFill="1" applyBorder="1" applyAlignment="1">
      <alignment horizontal="center" vertical="center"/>
    </xf>
    <xf numFmtId="1" fontId="31366" fillId="8" borderId="1" xfId="0" applyNumberFormat="1" applyFont="1" applyFill="1" applyBorder="1" applyAlignment="1">
      <alignment horizontal="center" vertical="center"/>
    </xf>
    <xf numFmtId="1" fontId="31367" fillId="8" borderId="1" xfId="0" applyNumberFormat="1" applyFont="1" applyFill="1" applyBorder="1" applyAlignment="1">
      <alignment horizontal="center" vertical="center"/>
    </xf>
    <xf numFmtId="1" fontId="31368" fillId="8" borderId="1" xfId="0" applyNumberFormat="1" applyFont="1" applyFill="1" applyBorder="1" applyAlignment="1">
      <alignment horizontal="center" vertical="center"/>
    </xf>
    <xf numFmtId="0" fontId="31369" fillId="8" borderId="1" xfId="0" applyNumberFormat="1" applyFont="1" applyFill="1" applyBorder="1" applyAlignment="1">
      <alignment horizontal="center" vertical="center"/>
    </xf>
    <xf numFmtId="0" fontId="31370" fillId="8" borderId="1" xfId="0" applyNumberFormat="1" applyFont="1" applyFill="1" applyBorder="1" applyAlignment="1">
      <alignment horizontal="center" vertical="center"/>
    </xf>
    <xf numFmtId="1" fontId="31371" fillId="8" borderId="1" xfId="0" applyNumberFormat="1" applyFont="1" applyFill="1" applyBorder="1" applyAlignment="1">
      <alignment horizontal="center" vertical="center"/>
    </xf>
    <xf numFmtId="1" fontId="31372" fillId="8" borderId="1" xfId="0" applyNumberFormat="1" applyFont="1" applyFill="1" applyBorder="1" applyAlignment="1">
      <alignment horizontal="center" vertical="center"/>
    </xf>
    <xf numFmtId="1" fontId="31373" fillId="8" borderId="1" xfId="0" applyNumberFormat="1" applyFont="1" applyFill="1" applyBorder="1" applyAlignment="1">
      <alignment horizontal="center" vertical="center"/>
    </xf>
    <xf numFmtId="165" fontId="31374" fillId="8" borderId="1" xfId="0" applyNumberFormat="1" applyFont="1" applyFill="1" applyBorder="1" applyAlignment="1">
      <alignment horizontal="center" vertical="center"/>
    </xf>
    <xf numFmtId="1" fontId="31375" fillId="8" borderId="1" xfId="0" applyNumberFormat="1" applyFont="1" applyFill="1" applyBorder="1" applyAlignment="1">
      <alignment horizontal="center" vertical="center"/>
    </xf>
    <xf numFmtId="165" fontId="31376" fillId="8" borderId="1" xfId="0" applyNumberFormat="1" applyFont="1" applyFill="1" applyBorder="1" applyAlignment="1">
      <alignment horizontal="center" vertical="center"/>
    </xf>
    <xf numFmtId="1" fontId="31377" fillId="8" borderId="1" xfId="0" applyNumberFormat="1" applyFont="1" applyFill="1" applyBorder="1" applyAlignment="1">
      <alignment horizontal="center" vertical="center"/>
    </xf>
    <xf numFmtId="165" fontId="31378" fillId="8" borderId="1" xfId="0" applyNumberFormat="1" applyFont="1" applyFill="1" applyBorder="1" applyAlignment="1">
      <alignment horizontal="center" vertical="center"/>
    </xf>
    <xf numFmtId="1" fontId="31379" fillId="8" borderId="1" xfId="0" applyNumberFormat="1" applyFont="1" applyFill="1" applyBorder="1" applyAlignment="1">
      <alignment horizontal="center" vertical="center"/>
    </xf>
    <xf numFmtId="165" fontId="31380" fillId="8" borderId="1" xfId="0" applyNumberFormat="1" applyFont="1" applyFill="1" applyBorder="1" applyAlignment="1">
      <alignment horizontal="center" vertical="center"/>
    </xf>
    <xf numFmtId="165" fontId="31381" fillId="8" borderId="1" xfId="0" applyNumberFormat="1" applyFont="1" applyFill="1" applyBorder="1" applyAlignment="1">
      <alignment horizontal="center" vertical="center"/>
    </xf>
    <xf numFmtId="1" fontId="31382" fillId="8" borderId="1" xfId="0" applyNumberFormat="1" applyFont="1" applyFill="1" applyBorder="1" applyAlignment="1">
      <alignment horizontal="center" vertical="center"/>
    </xf>
    <xf numFmtId="1" fontId="31383" fillId="8" borderId="1" xfId="0" applyNumberFormat="1" applyFont="1" applyFill="1" applyBorder="1" applyAlignment="1">
      <alignment horizontal="center" vertical="center"/>
    </xf>
    <xf numFmtId="1" fontId="31384" fillId="8" borderId="1" xfId="0" applyNumberFormat="1" applyFont="1" applyFill="1" applyBorder="1" applyAlignment="1">
      <alignment horizontal="center" vertical="center"/>
    </xf>
    <xf numFmtId="165" fontId="31385" fillId="8" borderId="1" xfId="0" applyNumberFormat="1" applyFont="1" applyFill="1" applyBorder="1" applyAlignment="1">
      <alignment horizontal="center" vertical="center"/>
    </xf>
    <xf numFmtId="164" fontId="31386" fillId="8" borderId="1" xfId="0" applyNumberFormat="1" applyFont="1" applyFill="1" applyBorder="1" applyAlignment="1">
      <alignment horizontal="center" vertical="center"/>
    </xf>
    <xf numFmtId="164" fontId="31387" fillId="8" borderId="1" xfId="0" applyNumberFormat="1" applyFont="1" applyFill="1" applyBorder="1" applyAlignment="1">
      <alignment horizontal="center" vertical="center"/>
    </xf>
    <xf numFmtId="1" fontId="31388" fillId="8" borderId="1" xfId="0" applyNumberFormat="1" applyFont="1" applyFill="1" applyBorder="1" applyAlignment="1">
      <alignment horizontal="center" vertical="center"/>
    </xf>
    <xf numFmtId="1" fontId="31389" fillId="8" borderId="1" xfId="0" applyNumberFormat="1" applyFont="1" applyFill="1" applyBorder="1" applyAlignment="1">
      <alignment horizontal="center" vertical="center"/>
    </xf>
    <xf numFmtId="1" fontId="31390" fillId="8" borderId="1" xfId="0" applyNumberFormat="1" applyFont="1" applyFill="1" applyBorder="1" applyAlignment="1">
      <alignment horizontal="center" vertical="center"/>
    </xf>
    <xf numFmtId="165" fontId="31391" fillId="8" borderId="1" xfId="0" applyNumberFormat="1" applyFont="1" applyFill="1" applyBorder="1" applyAlignment="1">
      <alignment horizontal="center" vertical="center"/>
    </xf>
    <xf numFmtId="1" fontId="31392" fillId="8" borderId="1" xfId="0" applyNumberFormat="1" applyFont="1" applyFill="1" applyBorder="1" applyAlignment="1">
      <alignment horizontal="center" vertical="center"/>
    </xf>
    <xf numFmtId="165" fontId="31393" fillId="8" borderId="1" xfId="0" applyNumberFormat="1" applyFont="1" applyFill="1" applyBorder="1" applyAlignment="1">
      <alignment horizontal="center" vertical="center"/>
    </xf>
    <xf numFmtId="1" fontId="31394" fillId="8" borderId="1" xfId="0" applyNumberFormat="1" applyFont="1" applyFill="1" applyBorder="1" applyAlignment="1">
      <alignment horizontal="center" vertical="center"/>
    </xf>
    <xf numFmtId="1" fontId="31395" fillId="8" borderId="1" xfId="0" applyNumberFormat="1" applyFont="1" applyFill="1" applyBorder="1" applyAlignment="1">
      <alignment horizontal="center" vertical="center"/>
    </xf>
    <xf numFmtId="1" fontId="31396" fillId="8" borderId="1" xfId="0" applyNumberFormat="1" applyFont="1" applyFill="1" applyBorder="1" applyAlignment="1">
      <alignment horizontal="center" vertical="center"/>
    </xf>
    <xf numFmtId="1" fontId="31397" fillId="8" borderId="1" xfId="0" applyNumberFormat="1" applyFont="1" applyFill="1" applyBorder="1" applyAlignment="1">
      <alignment horizontal="center" vertical="center"/>
    </xf>
    <xf numFmtId="165" fontId="31398" fillId="8" borderId="1" xfId="0" applyNumberFormat="1" applyFont="1" applyFill="1" applyBorder="1" applyAlignment="1">
      <alignment horizontal="center" vertical="center"/>
    </xf>
    <xf numFmtId="1" fontId="31399" fillId="8" borderId="1" xfId="0" applyNumberFormat="1" applyFont="1" applyFill="1" applyBorder="1" applyAlignment="1">
      <alignment horizontal="center" vertical="center"/>
    </xf>
    <xf numFmtId="165" fontId="31400" fillId="8" borderId="1" xfId="0" applyNumberFormat="1" applyFont="1" applyFill="1" applyBorder="1" applyAlignment="1">
      <alignment horizontal="center" vertical="center"/>
    </xf>
    <xf numFmtId="1" fontId="31401" fillId="8" borderId="1" xfId="0" applyNumberFormat="1" applyFont="1" applyFill="1" applyBorder="1" applyAlignment="1">
      <alignment horizontal="center" vertical="center"/>
    </xf>
    <xf numFmtId="165" fontId="31402" fillId="8" borderId="1" xfId="0" applyNumberFormat="1" applyFont="1" applyFill="1" applyBorder="1" applyAlignment="1">
      <alignment horizontal="center" vertical="center"/>
    </xf>
    <xf numFmtId="2" fontId="31403" fillId="8" borderId="1" xfId="0" applyNumberFormat="1" applyFont="1" applyFill="1" applyBorder="1" applyAlignment="1">
      <alignment horizontal="center" vertical="center"/>
    </xf>
    <xf numFmtId="2" fontId="31404" fillId="8" borderId="1" xfId="0" applyNumberFormat="1" applyFont="1" applyFill="1" applyBorder="1" applyAlignment="1">
      <alignment horizontal="center" vertical="center"/>
    </xf>
    <xf numFmtId="2" fontId="31405" fillId="8" borderId="1" xfId="0" applyNumberFormat="1" applyFont="1" applyFill="1" applyBorder="1" applyAlignment="1">
      <alignment horizontal="center" vertical="center"/>
    </xf>
    <xf numFmtId="2" fontId="31406" fillId="8" borderId="1" xfId="0" applyNumberFormat="1" applyFont="1" applyFill="1" applyBorder="1" applyAlignment="1">
      <alignment horizontal="center" vertical="center"/>
    </xf>
    <xf numFmtId="2" fontId="31407" fillId="8" borderId="1" xfId="0" applyNumberFormat="1" applyFont="1" applyFill="1" applyBorder="1" applyAlignment="1">
      <alignment horizontal="center" vertical="center"/>
    </xf>
    <xf numFmtId="2" fontId="31408" fillId="8" borderId="1" xfId="0" applyNumberFormat="1" applyFont="1" applyFill="1" applyBorder="1" applyAlignment="1">
      <alignment horizontal="center" vertical="center"/>
    </xf>
    <xf numFmtId="2" fontId="31409" fillId="8" borderId="1" xfId="0" applyNumberFormat="1" applyFont="1" applyFill="1" applyBorder="1" applyAlignment="1">
      <alignment horizontal="center" vertical="center"/>
    </xf>
    <xf numFmtId="2" fontId="31410" fillId="8" borderId="1" xfId="0" applyNumberFormat="1" applyFont="1" applyFill="1" applyBorder="1" applyAlignment="1">
      <alignment horizontal="center" vertical="center"/>
    </xf>
    <xf numFmtId="2" fontId="31411" fillId="8" borderId="1" xfId="0" applyNumberFormat="1" applyFont="1" applyFill="1" applyBorder="1" applyAlignment="1">
      <alignment horizontal="center" vertical="center"/>
    </xf>
    <xf numFmtId="2" fontId="31412" fillId="8" borderId="1" xfId="0" applyNumberFormat="1" applyFont="1" applyFill="1" applyBorder="1" applyAlignment="1">
      <alignment horizontal="center" vertical="center"/>
    </xf>
    <xf numFmtId="2" fontId="31413" fillId="8" borderId="1" xfId="0" applyNumberFormat="1" applyFont="1" applyFill="1" applyBorder="1" applyAlignment="1">
      <alignment horizontal="center" vertical="center"/>
    </xf>
    <xf numFmtId="2" fontId="31414" fillId="8" borderId="1" xfId="0" applyNumberFormat="1" applyFont="1" applyFill="1" applyBorder="1" applyAlignment="1">
      <alignment horizontal="center" vertical="center"/>
    </xf>
    <xf numFmtId="2" fontId="31415" fillId="8" borderId="1" xfId="0" applyNumberFormat="1" applyFont="1" applyFill="1" applyBorder="1" applyAlignment="1">
      <alignment horizontal="center" vertical="center"/>
    </xf>
    <xf numFmtId="2" fontId="31416" fillId="8" borderId="1" xfId="0" applyNumberFormat="1" applyFont="1" applyFill="1" applyBorder="1" applyAlignment="1">
      <alignment horizontal="center" vertical="center"/>
    </xf>
    <xf numFmtId="2" fontId="31417" fillId="8" borderId="1" xfId="0" applyNumberFormat="1" applyFont="1" applyFill="1" applyBorder="1" applyAlignment="1">
      <alignment horizontal="center" vertical="center"/>
    </xf>
    <xf numFmtId="2" fontId="31418" fillId="8" borderId="1" xfId="0" applyNumberFormat="1" applyFont="1" applyFill="1" applyBorder="1" applyAlignment="1">
      <alignment horizontal="center" vertical="center"/>
    </xf>
    <xf numFmtId="2" fontId="31419" fillId="8" borderId="1" xfId="0" applyNumberFormat="1" applyFont="1" applyFill="1" applyBorder="1" applyAlignment="1">
      <alignment horizontal="center" vertical="center"/>
    </xf>
    <xf numFmtId="2" fontId="31420" fillId="8" borderId="1" xfId="0" applyNumberFormat="1" applyFont="1" applyFill="1" applyBorder="1" applyAlignment="1">
      <alignment horizontal="center" vertical="center"/>
    </xf>
    <xf numFmtId="2" fontId="31421" fillId="8" borderId="1" xfId="0" applyNumberFormat="1" applyFont="1" applyFill="1" applyBorder="1" applyAlignment="1">
      <alignment horizontal="center" vertical="center"/>
    </xf>
    <xf numFmtId="2" fontId="31422" fillId="8" borderId="1" xfId="0" applyNumberFormat="1" applyFont="1" applyFill="1" applyBorder="1" applyAlignment="1">
      <alignment horizontal="center" vertical="center"/>
    </xf>
    <xf numFmtId="2" fontId="31423" fillId="8" borderId="1" xfId="0" applyNumberFormat="1" applyFont="1" applyFill="1" applyBorder="1" applyAlignment="1">
      <alignment horizontal="center" vertical="center"/>
    </xf>
    <xf numFmtId="2" fontId="31424" fillId="8" borderId="1" xfId="0" applyNumberFormat="1" applyFont="1" applyFill="1" applyBorder="1" applyAlignment="1">
      <alignment horizontal="center" vertical="center"/>
    </xf>
    <xf numFmtId="2" fontId="31425" fillId="8" borderId="1" xfId="0" applyNumberFormat="1" applyFont="1" applyFill="1" applyBorder="1" applyAlignment="1">
      <alignment horizontal="center" vertical="center"/>
    </xf>
    <xf numFmtId="2" fontId="31426" fillId="8" borderId="1" xfId="0" applyNumberFormat="1" applyFont="1" applyFill="1" applyBorder="1" applyAlignment="1">
      <alignment horizontal="center" vertical="center"/>
    </xf>
    <xf numFmtId="2" fontId="31427" fillId="8" borderId="1" xfId="0" applyNumberFormat="1" applyFont="1" applyFill="1" applyBorder="1" applyAlignment="1">
      <alignment horizontal="center" vertical="center"/>
    </xf>
    <xf numFmtId="2" fontId="31428" fillId="8" borderId="1" xfId="0" applyNumberFormat="1" applyFont="1" applyFill="1" applyBorder="1" applyAlignment="1">
      <alignment horizontal="center" vertical="center"/>
    </xf>
    <xf numFmtId="2" fontId="31429" fillId="8" borderId="1" xfId="0" applyNumberFormat="1" applyFont="1" applyFill="1" applyBorder="1" applyAlignment="1">
      <alignment horizontal="center" vertical="center"/>
    </xf>
    <xf numFmtId="2" fontId="31430" fillId="8" borderId="1" xfId="0" applyNumberFormat="1" applyFont="1" applyFill="1" applyBorder="1" applyAlignment="1">
      <alignment horizontal="center" vertical="center"/>
    </xf>
    <xf numFmtId="2" fontId="31431" fillId="8" borderId="1" xfId="0" applyNumberFormat="1" applyFont="1" applyFill="1" applyBorder="1" applyAlignment="1">
      <alignment horizontal="center" vertical="center"/>
    </xf>
    <xf numFmtId="2" fontId="31432" fillId="8" borderId="1" xfId="0" applyNumberFormat="1" applyFont="1" applyFill="1" applyBorder="1" applyAlignment="1">
      <alignment horizontal="center" vertical="center"/>
    </xf>
    <xf numFmtId="2" fontId="31433" fillId="8" borderId="1" xfId="0" applyNumberFormat="1" applyFont="1" applyFill="1" applyBorder="1" applyAlignment="1">
      <alignment horizontal="center" vertical="center"/>
    </xf>
    <xf numFmtId="2" fontId="31434" fillId="8" borderId="1" xfId="0" applyNumberFormat="1" applyFont="1" applyFill="1" applyBorder="1" applyAlignment="1">
      <alignment horizontal="center" vertical="center"/>
    </xf>
    <xf numFmtId="2" fontId="31435" fillId="8" borderId="1" xfId="0" applyNumberFormat="1" applyFont="1" applyFill="1" applyBorder="1" applyAlignment="1">
      <alignment horizontal="center" vertical="center"/>
    </xf>
    <xf numFmtId="2" fontId="31436" fillId="8" borderId="1" xfId="0" applyNumberFormat="1" applyFont="1" applyFill="1" applyBorder="1" applyAlignment="1">
      <alignment horizontal="center" vertical="center"/>
    </xf>
    <xf numFmtId="0" fontId="31437" fillId="7" borderId="1" xfId="0" applyNumberFormat="1" applyFont="1" applyFill="1" applyBorder="1" applyAlignment="1">
      <alignment horizontal="left" vertical="center"/>
    </xf>
    <xf numFmtId="0" fontId="31438" fillId="8" borderId="1" xfId="0" applyNumberFormat="1" applyFont="1" applyFill="1" applyBorder="1" applyAlignment="1">
      <alignment horizontal="center" vertical="center"/>
    </xf>
    <xf numFmtId="164" fontId="31439" fillId="8" borderId="1" xfId="0" applyNumberFormat="1" applyFont="1" applyFill="1" applyBorder="1" applyAlignment="1">
      <alignment horizontal="center" vertical="center"/>
    </xf>
    <xf numFmtId="1" fontId="31440" fillId="8" borderId="1" xfId="0" applyNumberFormat="1" applyFont="1" applyFill="1" applyBorder="1" applyAlignment="1">
      <alignment horizontal="center" vertical="center"/>
    </xf>
    <xf numFmtId="1" fontId="31441" fillId="8" borderId="1" xfId="0" applyNumberFormat="1" applyFont="1" applyFill="1" applyBorder="1" applyAlignment="1">
      <alignment horizontal="center" vertical="center"/>
    </xf>
    <xf numFmtId="1" fontId="31442" fillId="8" borderId="1" xfId="0" applyNumberFormat="1" applyFont="1" applyFill="1" applyBorder="1" applyAlignment="1">
      <alignment horizontal="center" vertical="center"/>
    </xf>
    <xf numFmtId="1" fontId="31443" fillId="8" borderId="1" xfId="0" applyNumberFormat="1" applyFont="1" applyFill="1" applyBorder="1" applyAlignment="1">
      <alignment horizontal="center" vertical="center"/>
    </xf>
    <xf numFmtId="1" fontId="31444" fillId="8" borderId="1" xfId="0" applyNumberFormat="1" applyFont="1" applyFill="1" applyBorder="1" applyAlignment="1">
      <alignment horizontal="center" vertical="center"/>
    </xf>
    <xf numFmtId="1" fontId="31445" fillId="8" borderId="1" xfId="0" applyNumberFormat="1" applyFont="1" applyFill="1" applyBorder="1" applyAlignment="1">
      <alignment horizontal="center" vertical="center"/>
    </xf>
    <xf numFmtId="1" fontId="31446" fillId="8" borderId="1" xfId="0" applyNumberFormat="1" applyFont="1" applyFill="1" applyBorder="1" applyAlignment="1">
      <alignment horizontal="center" vertical="center"/>
    </xf>
    <xf numFmtId="0" fontId="31447" fillId="8" borderId="1" xfId="0" applyNumberFormat="1" applyFont="1" applyFill="1" applyBorder="1" applyAlignment="1">
      <alignment horizontal="center" vertical="center"/>
    </xf>
    <xf numFmtId="0" fontId="31448" fillId="8" borderId="1" xfId="0" applyNumberFormat="1" applyFont="1" applyFill="1" applyBorder="1" applyAlignment="1">
      <alignment horizontal="center" vertical="center"/>
    </xf>
    <xf numFmtId="1" fontId="31449" fillId="8" borderId="1" xfId="0" applyNumberFormat="1" applyFont="1" applyFill="1" applyBorder="1" applyAlignment="1">
      <alignment horizontal="center" vertical="center"/>
    </xf>
    <xf numFmtId="1" fontId="31450" fillId="8" borderId="1" xfId="0" applyNumberFormat="1" applyFont="1" applyFill="1" applyBorder="1" applyAlignment="1">
      <alignment horizontal="center" vertical="center"/>
    </xf>
    <xf numFmtId="1" fontId="31451" fillId="8" borderId="1" xfId="0" applyNumberFormat="1" applyFont="1" applyFill="1" applyBorder="1" applyAlignment="1">
      <alignment horizontal="center" vertical="center"/>
    </xf>
    <xf numFmtId="165" fontId="31452" fillId="8" borderId="1" xfId="0" applyNumberFormat="1" applyFont="1" applyFill="1" applyBorder="1" applyAlignment="1">
      <alignment horizontal="center" vertical="center"/>
    </xf>
    <xf numFmtId="1" fontId="31453" fillId="8" borderId="1" xfId="0" applyNumberFormat="1" applyFont="1" applyFill="1" applyBorder="1" applyAlignment="1">
      <alignment horizontal="center" vertical="center"/>
    </xf>
    <xf numFmtId="165" fontId="31454" fillId="8" borderId="1" xfId="0" applyNumberFormat="1" applyFont="1" applyFill="1" applyBorder="1" applyAlignment="1">
      <alignment horizontal="center" vertical="center"/>
    </xf>
    <xf numFmtId="1" fontId="31455" fillId="8" borderId="1" xfId="0" applyNumberFormat="1" applyFont="1" applyFill="1" applyBorder="1" applyAlignment="1">
      <alignment horizontal="center" vertical="center"/>
    </xf>
    <xf numFmtId="165" fontId="31456" fillId="8" borderId="1" xfId="0" applyNumberFormat="1" applyFont="1" applyFill="1" applyBorder="1" applyAlignment="1">
      <alignment horizontal="center" vertical="center"/>
    </xf>
    <xf numFmtId="1" fontId="31457" fillId="8" borderId="1" xfId="0" applyNumberFormat="1" applyFont="1" applyFill="1" applyBorder="1" applyAlignment="1">
      <alignment horizontal="center" vertical="center"/>
    </xf>
    <xf numFmtId="165" fontId="31458" fillId="8" borderId="1" xfId="0" applyNumberFormat="1" applyFont="1" applyFill="1" applyBorder="1" applyAlignment="1">
      <alignment horizontal="center" vertical="center"/>
    </xf>
    <xf numFmtId="165" fontId="31459" fillId="8" borderId="1" xfId="0" applyNumberFormat="1" applyFont="1" applyFill="1" applyBorder="1" applyAlignment="1">
      <alignment horizontal="center" vertical="center"/>
    </xf>
    <xf numFmtId="1" fontId="31460" fillId="8" borderId="1" xfId="0" applyNumberFormat="1" applyFont="1" applyFill="1" applyBorder="1" applyAlignment="1">
      <alignment horizontal="center" vertical="center"/>
    </xf>
    <xf numFmtId="1" fontId="31461" fillId="8" borderId="1" xfId="0" applyNumberFormat="1" applyFont="1" applyFill="1" applyBorder="1" applyAlignment="1">
      <alignment horizontal="center" vertical="center"/>
    </xf>
    <xf numFmtId="1" fontId="31462" fillId="8" borderId="1" xfId="0" applyNumberFormat="1" applyFont="1" applyFill="1" applyBorder="1" applyAlignment="1">
      <alignment horizontal="center" vertical="center"/>
    </xf>
    <xf numFmtId="165" fontId="31463" fillId="8" borderId="1" xfId="0" applyNumberFormat="1" applyFont="1" applyFill="1" applyBorder="1" applyAlignment="1">
      <alignment horizontal="center" vertical="center"/>
    </xf>
    <xf numFmtId="164" fontId="31464" fillId="8" borderId="1" xfId="0" applyNumberFormat="1" applyFont="1" applyFill="1" applyBorder="1" applyAlignment="1">
      <alignment horizontal="center" vertical="center"/>
    </xf>
    <xf numFmtId="164" fontId="31465" fillId="8" borderId="1" xfId="0" applyNumberFormat="1" applyFont="1" applyFill="1" applyBorder="1" applyAlignment="1">
      <alignment horizontal="center" vertical="center"/>
    </xf>
    <xf numFmtId="1" fontId="31466" fillId="8" borderId="1" xfId="0" applyNumberFormat="1" applyFont="1" applyFill="1" applyBorder="1" applyAlignment="1">
      <alignment horizontal="center" vertical="center"/>
    </xf>
    <xf numFmtId="1" fontId="31467" fillId="8" borderId="1" xfId="0" applyNumberFormat="1" applyFont="1" applyFill="1" applyBorder="1" applyAlignment="1">
      <alignment horizontal="center" vertical="center"/>
    </xf>
    <xf numFmtId="1" fontId="31468" fillId="8" borderId="1" xfId="0" applyNumberFormat="1" applyFont="1" applyFill="1" applyBorder="1" applyAlignment="1">
      <alignment horizontal="center" vertical="center"/>
    </xf>
    <xf numFmtId="165" fontId="31469" fillId="8" borderId="1" xfId="0" applyNumberFormat="1" applyFont="1" applyFill="1" applyBorder="1" applyAlignment="1">
      <alignment horizontal="center" vertical="center"/>
    </xf>
    <xf numFmtId="1" fontId="31470" fillId="8" borderId="1" xfId="0" applyNumberFormat="1" applyFont="1" applyFill="1" applyBorder="1" applyAlignment="1">
      <alignment horizontal="center" vertical="center"/>
    </xf>
    <xf numFmtId="165" fontId="31471" fillId="8" borderId="1" xfId="0" applyNumberFormat="1" applyFont="1" applyFill="1" applyBorder="1" applyAlignment="1">
      <alignment horizontal="center" vertical="center"/>
    </xf>
    <xf numFmtId="1" fontId="31472" fillId="8" borderId="1" xfId="0" applyNumberFormat="1" applyFont="1" applyFill="1" applyBorder="1" applyAlignment="1">
      <alignment horizontal="center" vertical="center"/>
    </xf>
    <xf numFmtId="1" fontId="31473" fillId="8" borderId="1" xfId="0" applyNumberFormat="1" applyFont="1" applyFill="1" applyBorder="1" applyAlignment="1">
      <alignment horizontal="center" vertical="center"/>
    </xf>
    <xf numFmtId="1" fontId="31474" fillId="8" borderId="1" xfId="0" applyNumberFormat="1" applyFont="1" applyFill="1" applyBorder="1" applyAlignment="1">
      <alignment horizontal="center" vertical="center"/>
    </xf>
    <xf numFmtId="1" fontId="31475" fillId="8" borderId="1" xfId="0" applyNumberFormat="1" applyFont="1" applyFill="1" applyBorder="1" applyAlignment="1">
      <alignment horizontal="center" vertical="center"/>
    </xf>
    <xf numFmtId="165" fontId="31476" fillId="8" borderId="1" xfId="0" applyNumberFormat="1" applyFont="1" applyFill="1" applyBorder="1" applyAlignment="1">
      <alignment horizontal="center" vertical="center"/>
    </xf>
    <xf numFmtId="1" fontId="31477" fillId="8" borderId="1" xfId="0" applyNumberFormat="1" applyFont="1" applyFill="1" applyBorder="1" applyAlignment="1">
      <alignment horizontal="center" vertical="center"/>
    </xf>
    <xf numFmtId="165" fontId="31478" fillId="8" borderId="1" xfId="0" applyNumberFormat="1" applyFont="1" applyFill="1" applyBorder="1" applyAlignment="1">
      <alignment horizontal="center" vertical="center"/>
    </xf>
    <xf numFmtId="1" fontId="31479" fillId="8" borderId="1" xfId="0" applyNumberFormat="1" applyFont="1" applyFill="1" applyBorder="1" applyAlignment="1">
      <alignment horizontal="center" vertical="center"/>
    </xf>
    <xf numFmtId="165" fontId="31480" fillId="8" borderId="1" xfId="0" applyNumberFormat="1" applyFont="1" applyFill="1" applyBorder="1" applyAlignment="1">
      <alignment horizontal="center" vertical="center"/>
    </xf>
    <xf numFmtId="2" fontId="31481" fillId="8" borderId="1" xfId="0" applyNumberFormat="1" applyFont="1" applyFill="1" applyBorder="1" applyAlignment="1">
      <alignment horizontal="center" vertical="center"/>
    </xf>
    <xf numFmtId="2" fontId="31482" fillId="8" borderId="1" xfId="0" applyNumberFormat="1" applyFont="1" applyFill="1" applyBorder="1" applyAlignment="1">
      <alignment horizontal="center" vertical="center"/>
    </xf>
    <xf numFmtId="2" fontId="31483" fillId="8" borderId="1" xfId="0" applyNumberFormat="1" applyFont="1" applyFill="1" applyBorder="1" applyAlignment="1">
      <alignment horizontal="center" vertical="center"/>
    </xf>
    <xf numFmtId="2" fontId="31484" fillId="8" borderId="1" xfId="0" applyNumberFormat="1" applyFont="1" applyFill="1" applyBorder="1" applyAlignment="1">
      <alignment horizontal="center" vertical="center"/>
    </xf>
    <xf numFmtId="2" fontId="31485" fillId="8" borderId="1" xfId="0" applyNumberFormat="1" applyFont="1" applyFill="1" applyBorder="1" applyAlignment="1">
      <alignment horizontal="center" vertical="center"/>
    </xf>
    <xf numFmtId="2" fontId="31486" fillId="8" borderId="1" xfId="0" applyNumberFormat="1" applyFont="1" applyFill="1" applyBorder="1" applyAlignment="1">
      <alignment horizontal="center" vertical="center"/>
    </xf>
    <xf numFmtId="2" fontId="31487" fillId="8" borderId="1" xfId="0" applyNumberFormat="1" applyFont="1" applyFill="1" applyBorder="1" applyAlignment="1">
      <alignment horizontal="center" vertical="center"/>
    </xf>
    <xf numFmtId="2" fontId="31488" fillId="8" borderId="1" xfId="0" applyNumberFormat="1" applyFont="1" applyFill="1" applyBorder="1" applyAlignment="1">
      <alignment horizontal="center" vertical="center"/>
    </xf>
    <xf numFmtId="2" fontId="31489" fillId="8" borderId="1" xfId="0" applyNumberFormat="1" applyFont="1" applyFill="1" applyBorder="1" applyAlignment="1">
      <alignment horizontal="center" vertical="center"/>
    </xf>
    <xf numFmtId="2" fontId="31490" fillId="8" borderId="1" xfId="0" applyNumberFormat="1" applyFont="1" applyFill="1" applyBorder="1" applyAlignment="1">
      <alignment horizontal="center" vertical="center"/>
    </xf>
    <xf numFmtId="2" fontId="31491" fillId="8" borderId="1" xfId="0" applyNumberFormat="1" applyFont="1" applyFill="1" applyBorder="1" applyAlignment="1">
      <alignment horizontal="center" vertical="center"/>
    </xf>
    <xf numFmtId="2" fontId="31492" fillId="8" borderId="1" xfId="0" applyNumberFormat="1" applyFont="1" applyFill="1" applyBorder="1" applyAlignment="1">
      <alignment horizontal="center" vertical="center"/>
    </xf>
    <xf numFmtId="2" fontId="31493" fillId="8" borderId="1" xfId="0" applyNumberFormat="1" applyFont="1" applyFill="1" applyBorder="1" applyAlignment="1">
      <alignment horizontal="center" vertical="center"/>
    </xf>
    <xf numFmtId="2" fontId="31494" fillId="8" borderId="1" xfId="0" applyNumberFormat="1" applyFont="1" applyFill="1" applyBorder="1" applyAlignment="1">
      <alignment horizontal="center" vertical="center"/>
    </xf>
    <xf numFmtId="2" fontId="31495" fillId="8" borderId="1" xfId="0" applyNumberFormat="1" applyFont="1" applyFill="1" applyBorder="1" applyAlignment="1">
      <alignment horizontal="center" vertical="center"/>
    </xf>
    <xf numFmtId="2" fontId="31496" fillId="8" borderId="1" xfId="0" applyNumberFormat="1" applyFont="1" applyFill="1" applyBorder="1" applyAlignment="1">
      <alignment horizontal="center" vertical="center"/>
    </xf>
    <xf numFmtId="2" fontId="31497" fillId="8" borderId="1" xfId="0" applyNumberFormat="1" applyFont="1" applyFill="1" applyBorder="1" applyAlignment="1">
      <alignment horizontal="center" vertical="center"/>
    </xf>
    <xf numFmtId="2" fontId="31498" fillId="8" borderId="1" xfId="0" applyNumberFormat="1" applyFont="1" applyFill="1" applyBorder="1" applyAlignment="1">
      <alignment horizontal="center" vertical="center"/>
    </xf>
    <xf numFmtId="2" fontId="31499" fillId="8" borderId="1" xfId="0" applyNumberFormat="1" applyFont="1" applyFill="1" applyBorder="1" applyAlignment="1">
      <alignment horizontal="center" vertical="center"/>
    </xf>
    <xf numFmtId="2" fontId="31500" fillId="8" borderId="1" xfId="0" applyNumberFormat="1" applyFont="1" applyFill="1" applyBorder="1" applyAlignment="1">
      <alignment horizontal="center" vertical="center"/>
    </xf>
    <xf numFmtId="2" fontId="31501" fillId="8" borderId="1" xfId="0" applyNumberFormat="1" applyFont="1" applyFill="1" applyBorder="1" applyAlignment="1">
      <alignment horizontal="center" vertical="center"/>
    </xf>
    <xf numFmtId="2" fontId="31502" fillId="8" borderId="1" xfId="0" applyNumberFormat="1" applyFont="1" applyFill="1" applyBorder="1" applyAlignment="1">
      <alignment horizontal="center" vertical="center"/>
    </xf>
    <xf numFmtId="2" fontId="31503" fillId="8" borderId="1" xfId="0" applyNumberFormat="1" applyFont="1" applyFill="1" applyBorder="1" applyAlignment="1">
      <alignment horizontal="center" vertical="center"/>
    </xf>
    <xf numFmtId="2" fontId="31504" fillId="8" borderId="1" xfId="0" applyNumberFormat="1" applyFont="1" applyFill="1" applyBorder="1" applyAlignment="1">
      <alignment horizontal="center" vertical="center"/>
    </xf>
    <xf numFmtId="2" fontId="31505" fillId="8" borderId="1" xfId="0" applyNumberFormat="1" applyFont="1" applyFill="1" applyBorder="1" applyAlignment="1">
      <alignment horizontal="center" vertical="center"/>
    </xf>
    <xf numFmtId="2" fontId="31506" fillId="8" borderId="1" xfId="0" applyNumberFormat="1" applyFont="1" applyFill="1" applyBorder="1" applyAlignment="1">
      <alignment horizontal="center" vertical="center"/>
    </xf>
    <xf numFmtId="2" fontId="31507" fillId="8" borderId="1" xfId="0" applyNumberFormat="1" applyFont="1" applyFill="1" applyBorder="1" applyAlignment="1">
      <alignment horizontal="center" vertical="center"/>
    </xf>
    <xf numFmtId="2" fontId="31508" fillId="8" borderId="1" xfId="0" applyNumberFormat="1" applyFont="1" applyFill="1" applyBorder="1" applyAlignment="1">
      <alignment horizontal="center" vertical="center"/>
    </xf>
    <xf numFmtId="2" fontId="31509" fillId="8" borderId="1" xfId="0" applyNumberFormat="1" applyFont="1" applyFill="1" applyBorder="1" applyAlignment="1">
      <alignment horizontal="center" vertical="center"/>
    </xf>
    <xf numFmtId="2" fontId="31510" fillId="8" borderId="1" xfId="0" applyNumberFormat="1" applyFont="1" applyFill="1" applyBorder="1" applyAlignment="1">
      <alignment horizontal="center" vertical="center"/>
    </xf>
    <xf numFmtId="2" fontId="31511" fillId="8" borderId="1" xfId="0" applyNumberFormat="1" applyFont="1" applyFill="1" applyBorder="1" applyAlignment="1">
      <alignment horizontal="center" vertical="center"/>
    </xf>
    <xf numFmtId="2" fontId="31512" fillId="8" borderId="1" xfId="0" applyNumberFormat="1" applyFont="1" applyFill="1" applyBorder="1" applyAlignment="1">
      <alignment horizontal="center" vertical="center"/>
    </xf>
    <xf numFmtId="2" fontId="31513" fillId="8" borderId="1" xfId="0" applyNumberFormat="1" applyFont="1" applyFill="1" applyBorder="1" applyAlignment="1">
      <alignment horizontal="center" vertical="center"/>
    </xf>
    <xf numFmtId="2" fontId="31514" fillId="8" borderId="1" xfId="0" applyNumberFormat="1" applyFont="1" applyFill="1" applyBorder="1" applyAlignment="1">
      <alignment horizontal="center" vertical="center"/>
    </xf>
    <xf numFmtId="0" fontId="31515" fillId="7" borderId="1" xfId="0" applyNumberFormat="1" applyFont="1" applyFill="1" applyBorder="1" applyAlignment="1">
      <alignment horizontal="left" vertical="center"/>
    </xf>
    <xf numFmtId="0" fontId="31516" fillId="8" borderId="1" xfId="0" applyNumberFormat="1" applyFont="1" applyFill="1" applyBorder="1" applyAlignment="1">
      <alignment horizontal="center" vertical="center"/>
    </xf>
    <xf numFmtId="164" fontId="31517" fillId="8" borderId="1" xfId="0" applyNumberFormat="1" applyFont="1" applyFill="1" applyBorder="1" applyAlignment="1">
      <alignment horizontal="center" vertical="center"/>
    </xf>
    <xf numFmtId="1" fontId="31518" fillId="8" borderId="1" xfId="0" applyNumberFormat="1" applyFont="1" applyFill="1" applyBorder="1" applyAlignment="1">
      <alignment horizontal="center" vertical="center"/>
    </xf>
    <xf numFmtId="1" fontId="31519" fillId="8" borderId="1" xfId="0" applyNumberFormat="1" applyFont="1" applyFill="1" applyBorder="1" applyAlignment="1">
      <alignment horizontal="center" vertical="center"/>
    </xf>
    <xf numFmtId="1" fontId="31520" fillId="8" borderId="1" xfId="0" applyNumberFormat="1" applyFont="1" applyFill="1" applyBorder="1" applyAlignment="1">
      <alignment horizontal="center" vertical="center"/>
    </xf>
    <xf numFmtId="1" fontId="31521" fillId="8" borderId="1" xfId="0" applyNumberFormat="1" applyFont="1" applyFill="1" applyBorder="1" applyAlignment="1">
      <alignment horizontal="center" vertical="center"/>
    </xf>
    <xf numFmtId="1" fontId="31522" fillId="8" borderId="1" xfId="0" applyNumberFormat="1" applyFont="1" applyFill="1" applyBorder="1" applyAlignment="1">
      <alignment horizontal="center" vertical="center"/>
    </xf>
    <xf numFmtId="1" fontId="31523" fillId="8" borderId="1" xfId="0" applyNumberFormat="1" applyFont="1" applyFill="1" applyBorder="1" applyAlignment="1">
      <alignment horizontal="center" vertical="center"/>
    </xf>
    <xf numFmtId="1" fontId="31524" fillId="8" borderId="1" xfId="0" applyNumberFormat="1" applyFont="1" applyFill="1" applyBorder="1" applyAlignment="1">
      <alignment horizontal="center" vertical="center"/>
    </xf>
    <xf numFmtId="0" fontId="31525" fillId="8" borderId="1" xfId="0" applyNumberFormat="1" applyFont="1" applyFill="1" applyBorder="1" applyAlignment="1">
      <alignment horizontal="center" vertical="center"/>
    </xf>
    <xf numFmtId="0" fontId="31526" fillId="8" borderId="1" xfId="0" applyNumberFormat="1" applyFont="1" applyFill="1" applyBorder="1" applyAlignment="1">
      <alignment horizontal="center" vertical="center"/>
    </xf>
    <xf numFmtId="1" fontId="31527" fillId="8" borderId="1" xfId="0" applyNumberFormat="1" applyFont="1" applyFill="1" applyBorder="1" applyAlignment="1">
      <alignment horizontal="center" vertical="center"/>
    </xf>
    <xf numFmtId="1" fontId="31528" fillId="8" borderId="1" xfId="0" applyNumberFormat="1" applyFont="1" applyFill="1" applyBorder="1" applyAlignment="1">
      <alignment horizontal="center" vertical="center"/>
    </xf>
    <xf numFmtId="1" fontId="31529" fillId="8" borderId="1" xfId="0" applyNumberFormat="1" applyFont="1" applyFill="1" applyBorder="1" applyAlignment="1">
      <alignment horizontal="center" vertical="center"/>
    </xf>
    <xf numFmtId="165" fontId="31530" fillId="8" borderId="1" xfId="0" applyNumberFormat="1" applyFont="1" applyFill="1" applyBorder="1" applyAlignment="1">
      <alignment horizontal="center" vertical="center"/>
    </xf>
    <xf numFmtId="1" fontId="31531" fillId="8" borderId="1" xfId="0" applyNumberFormat="1" applyFont="1" applyFill="1" applyBorder="1" applyAlignment="1">
      <alignment horizontal="center" vertical="center"/>
    </xf>
    <xf numFmtId="165" fontId="31532" fillId="8" borderId="1" xfId="0" applyNumberFormat="1" applyFont="1" applyFill="1" applyBorder="1" applyAlignment="1">
      <alignment horizontal="center" vertical="center"/>
    </xf>
    <xf numFmtId="1" fontId="31533" fillId="8" borderId="1" xfId="0" applyNumberFormat="1" applyFont="1" applyFill="1" applyBorder="1" applyAlignment="1">
      <alignment horizontal="center" vertical="center"/>
    </xf>
    <xf numFmtId="165" fontId="31534" fillId="8" borderId="1" xfId="0" applyNumberFormat="1" applyFont="1" applyFill="1" applyBorder="1" applyAlignment="1">
      <alignment horizontal="center" vertical="center"/>
    </xf>
    <xf numFmtId="1" fontId="31535" fillId="8" borderId="1" xfId="0" applyNumberFormat="1" applyFont="1" applyFill="1" applyBorder="1" applyAlignment="1">
      <alignment horizontal="center" vertical="center"/>
    </xf>
    <xf numFmtId="165" fontId="31536" fillId="8" borderId="1" xfId="0" applyNumberFormat="1" applyFont="1" applyFill="1" applyBorder="1" applyAlignment="1">
      <alignment horizontal="center" vertical="center"/>
    </xf>
    <xf numFmtId="165" fontId="31537" fillId="8" borderId="1" xfId="0" applyNumberFormat="1" applyFont="1" applyFill="1" applyBorder="1" applyAlignment="1">
      <alignment horizontal="center" vertical="center"/>
    </xf>
    <xf numFmtId="1" fontId="31538" fillId="8" borderId="1" xfId="0" applyNumberFormat="1" applyFont="1" applyFill="1" applyBorder="1" applyAlignment="1">
      <alignment horizontal="center" vertical="center"/>
    </xf>
    <xf numFmtId="1" fontId="31539" fillId="8" borderId="1" xfId="0" applyNumberFormat="1" applyFont="1" applyFill="1" applyBorder="1" applyAlignment="1">
      <alignment horizontal="center" vertical="center"/>
    </xf>
    <xf numFmtId="1" fontId="31540" fillId="8" borderId="1" xfId="0" applyNumberFormat="1" applyFont="1" applyFill="1" applyBorder="1" applyAlignment="1">
      <alignment horizontal="center" vertical="center"/>
    </xf>
    <xf numFmtId="165" fontId="31541" fillId="8" borderId="1" xfId="0" applyNumberFormat="1" applyFont="1" applyFill="1" applyBorder="1" applyAlignment="1">
      <alignment horizontal="center" vertical="center"/>
    </xf>
    <xf numFmtId="164" fontId="31542" fillId="8" borderId="1" xfId="0" applyNumberFormat="1" applyFont="1" applyFill="1" applyBorder="1" applyAlignment="1">
      <alignment horizontal="center" vertical="center"/>
    </xf>
    <xf numFmtId="164" fontId="31543" fillId="8" borderId="1" xfId="0" applyNumberFormat="1" applyFont="1" applyFill="1" applyBorder="1" applyAlignment="1">
      <alignment horizontal="center" vertical="center"/>
    </xf>
    <xf numFmtId="1" fontId="31544" fillId="8" borderId="1" xfId="0" applyNumberFormat="1" applyFont="1" applyFill="1" applyBorder="1" applyAlignment="1">
      <alignment horizontal="center" vertical="center"/>
    </xf>
    <xf numFmtId="1" fontId="31545" fillId="8" borderId="1" xfId="0" applyNumberFormat="1" applyFont="1" applyFill="1" applyBorder="1" applyAlignment="1">
      <alignment horizontal="center" vertical="center"/>
    </xf>
    <xf numFmtId="1" fontId="31546" fillId="8" borderId="1" xfId="0" applyNumberFormat="1" applyFont="1" applyFill="1" applyBorder="1" applyAlignment="1">
      <alignment horizontal="center" vertical="center"/>
    </xf>
    <xf numFmtId="165" fontId="31547" fillId="8" borderId="1" xfId="0" applyNumberFormat="1" applyFont="1" applyFill="1" applyBorder="1" applyAlignment="1">
      <alignment horizontal="center" vertical="center"/>
    </xf>
    <xf numFmtId="1" fontId="31548" fillId="8" borderId="1" xfId="0" applyNumberFormat="1" applyFont="1" applyFill="1" applyBorder="1" applyAlignment="1">
      <alignment horizontal="center" vertical="center"/>
    </xf>
    <xf numFmtId="165" fontId="31549" fillId="8" borderId="1" xfId="0" applyNumberFormat="1" applyFont="1" applyFill="1" applyBorder="1" applyAlignment="1">
      <alignment horizontal="center" vertical="center"/>
    </xf>
    <xf numFmtId="1" fontId="31550" fillId="8" borderId="1" xfId="0" applyNumberFormat="1" applyFont="1" applyFill="1" applyBorder="1" applyAlignment="1">
      <alignment horizontal="center" vertical="center"/>
    </xf>
    <xf numFmtId="1" fontId="31551" fillId="8" borderId="1" xfId="0" applyNumberFormat="1" applyFont="1" applyFill="1" applyBorder="1" applyAlignment="1">
      <alignment horizontal="center" vertical="center"/>
    </xf>
    <xf numFmtId="1" fontId="31552" fillId="8" borderId="1" xfId="0" applyNumberFormat="1" applyFont="1" applyFill="1" applyBorder="1" applyAlignment="1">
      <alignment horizontal="center" vertical="center"/>
    </xf>
    <xf numFmtId="1" fontId="31553" fillId="8" borderId="1" xfId="0" applyNumberFormat="1" applyFont="1" applyFill="1" applyBorder="1" applyAlignment="1">
      <alignment horizontal="center" vertical="center"/>
    </xf>
    <xf numFmtId="165" fontId="31554" fillId="8" borderId="1" xfId="0" applyNumberFormat="1" applyFont="1" applyFill="1" applyBorder="1" applyAlignment="1">
      <alignment horizontal="center" vertical="center"/>
    </xf>
    <xf numFmtId="1" fontId="31555" fillId="8" borderId="1" xfId="0" applyNumberFormat="1" applyFont="1" applyFill="1" applyBorder="1" applyAlignment="1">
      <alignment horizontal="center" vertical="center"/>
    </xf>
    <xf numFmtId="165" fontId="31556" fillId="8" borderId="1" xfId="0" applyNumberFormat="1" applyFont="1" applyFill="1" applyBorder="1" applyAlignment="1">
      <alignment horizontal="center" vertical="center"/>
    </xf>
    <xf numFmtId="1" fontId="31557" fillId="8" borderId="1" xfId="0" applyNumberFormat="1" applyFont="1" applyFill="1" applyBorder="1" applyAlignment="1">
      <alignment horizontal="center" vertical="center"/>
    </xf>
    <xf numFmtId="165" fontId="31558" fillId="8" borderId="1" xfId="0" applyNumberFormat="1" applyFont="1" applyFill="1" applyBorder="1" applyAlignment="1">
      <alignment horizontal="center" vertical="center"/>
    </xf>
    <xf numFmtId="2" fontId="31559" fillId="8" borderId="1" xfId="0" applyNumberFormat="1" applyFont="1" applyFill="1" applyBorder="1" applyAlignment="1">
      <alignment horizontal="center" vertical="center"/>
    </xf>
    <xf numFmtId="2" fontId="31560" fillId="8" borderId="1" xfId="0" applyNumberFormat="1" applyFont="1" applyFill="1" applyBorder="1" applyAlignment="1">
      <alignment horizontal="center" vertical="center"/>
    </xf>
    <xf numFmtId="2" fontId="31561" fillId="8" borderId="1" xfId="0" applyNumberFormat="1" applyFont="1" applyFill="1" applyBorder="1" applyAlignment="1">
      <alignment horizontal="center" vertical="center"/>
    </xf>
    <xf numFmtId="2" fontId="31562" fillId="8" borderId="1" xfId="0" applyNumberFormat="1" applyFont="1" applyFill="1" applyBorder="1" applyAlignment="1">
      <alignment horizontal="center" vertical="center"/>
    </xf>
    <xf numFmtId="2" fontId="31563" fillId="8" borderId="1" xfId="0" applyNumberFormat="1" applyFont="1" applyFill="1" applyBorder="1" applyAlignment="1">
      <alignment horizontal="center" vertical="center"/>
    </xf>
    <xf numFmtId="2" fontId="31564" fillId="8" borderId="1" xfId="0" applyNumberFormat="1" applyFont="1" applyFill="1" applyBorder="1" applyAlignment="1">
      <alignment horizontal="center" vertical="center"/>
    </xf>
    <xf numFmtId="2" fontId="31565" fillId="8" borderId="1" xfId="0" applyNumberFormat="1" applyFont="1" applyFill="1" applyBorder="1" applyAlignment="1">
      <alignment horizontal="center" vertical="center"/>
    </xf>
    <xf numFmtId="2" fontId="31566" fillId="8" borderId="1" xfId="0" applyNumberFormat="1" applyFont="1" applyFill="1" applyBorder="1" applyAlignment="1">
      <alignment horizontal="center" vertical="center"/>
    </xf>
    <xf numFmtId="2" fontId="31567" fillId="8" borderId="1" xfId="0" applyNumberFormat="1" applyFont="1" applyFill="1" applyBorder="1" applyAlignment="1">
      <alignment horizontal="center" vertical="center"/>
    </xf>
    <xf numFmtId="2" fontId="31568" fillId="8" borderId="1" xfId="0" applyNumberFormat="1" applyFont="1" applyFill="1" applyBorder="1" applyAlignment="1">
      <alignment horizontal="center" vertical="center"/>
    </xf>
    <xf numFmtId="2" fontId="31569" fillId="8" borderId="1" xfId="0" applyNumberFormat="1" applyFont="1" applyFill="1" applyBorder="1" applyAlignment="1">
      <alignment horizontal="center" vertical="center"/>
    </xf>
    <xf numFmtId="2" fontId="31570" fillId="8" borderId="1" xfId="0" applyNumberFormat="1" applyFont="1" applyFill="1" applyBorder="1" applyAlignment="1">
      <alignment horizontal="center" vertical="center"/>
    </xf>
    <xf numFmtId="2" fontId="31571" fillId="8" borderId="1" xfId="0" applyNumberFormat="1" applyFont="1" applyFill="1" applyBorder="1" applyAlignment="1">
      <alignment horizontal="center" vertical="center"/>
    </xf>
    <xf numFmtId="2" fontId="31572" fillId="8" borderId="1" xfId="0" applyNumberFormat="1" applyFont="1" applyFill="1" applyBorder="1" applyAlignment="1">
      <alignment horizontal="center" vertical="center"/>
    </xf>
    <xf numFmtId="2" fontId="31573" fillId="8" borderId="1" xfId="0" applyNumberFormat="1" applyFont="1" applyFill="1" applyBorder="1" applyAlignment="1">
      <alignment horizontal="center" vertical="center"/>
    </xf>
    <xf numFmtId="2" fontId="31574" fillId="8" borderId="1" xfId="0" applyNumberFormat="1" applyFont="1" applyFill="1" applyBorder="1" applyAlignment="1">
      <alignment horizontal="center" vertical="center"/>
    </xf>
    <xf numFmtId="2" fontId="31575" fillId="8" borderId="1" xfId="0" applyNumberFormat="1" applyFont="1" applyFill="1" applyBorder="1" applyAlignment="1">
      <alignment horizontal="center" vertical="center"/>
    </xf>
    <xf numFmtId="2" fontId="31576" fillId="8" borderId="1" xfId="0" applyNumberFormat="1" applyFont="1" applyFill="1" applyBorder="1" applyAlignment="1">
      <alignment horizontal="center" vertical="center"/>
    </xf>
    <xf numFmtId="2" fontId="31577" fillId="8" borderId="1" xfId="0" applyNumberFormat="1" applyFont="1" applyFill="1" applyBorder="1" applyAlignment="1">
      <alignment horizontal="center" vertical="center"/>
    </xf>
    <xf numFmtId="2" fontId="31578" fillId="8" borderId="1" xfId="0" applyNumberFormat="1" applyFont="1" applyFill="1" applyBorder="1" applyAlignment="1">
      <alignment horizontal="center" vertical="center"/>
    </xf>
    <xf numFmtId="2" fontId="31579" fillId="8" borderId="1" xfId="0" applyNumberFormat="1" applyFont="1" applyFill="1" applyBorder="1" applyAlignment="1">
      <alignment horizontal="center" vertical="center"/>
    </xf>
    <xf numFmtId="2" fontId="31580" fillId="8" borderId="1" xfId="0" applyNumberFormat="1" applyFont="1" applyFill="1" applyBorder="1" applyAlignment="1">
      <alignment horizontal="center" vertical="center"/>
    </xf>
    <xf numFmtId="2" fontId="31581" fillId="8" borderId="1" xfId="0" applyNumberFormat="1" applyFont="1" applyFill="1" applyBorder="1" applyAlignment="1">
      <alignment horizontal="center" vertical="center"/>
    </xf>
    <xf numFmtId="2" fontId="31582" fillId="8" borderId="1" xfId="0" applyNumberFormat="1" applyFont="1" applyFill="1" applyBorder="1" applyAlignment="1">
      <alignment horizontal="center" vertical="center"/>
    </xf>
    <xf numFmtId="2" fontId="31583" fillId="8" borderId="1" xfId="0" applyNumberFormat="1" applyFont="1" applyFill="1" applyBorder="1" applyAlignment="1">
      <alignment horizontal="center" vertical="center"/>
    </xf>
    <xf numFmtId="2" fontId="31584" fillId="8" borderId="1" xfId="0" applyNumberFormat="1" applyFont="1" applyFill="1" applyBorder="1" applyAlignment="1">
      <alignment horizontal="center" vertical="center"/>
    </xf>
    <xf numFmtId="2" fontId="31585" fillId="8" borderId="1" xfId="0" applyNumberFormat="1" applyFont="1" applyFill="1" applyBorder="1" applyAlignment="1">
      <alignment horizontal="center" vertical="center"/>
    </xf>
    <xf numFmtId="2" fontId="31586" fillId="8" borderId="1" xfId="0" applyNumberFormat="1" applyFont="1" applyFill="1" applyBorder="1" applyAlignment="1">
      <alignment horizontal="center" vertical="center"/>
    </xf>
    <xf numFmtId="2" fontId="31587" fillId="8" borderId="1" xfId="0" applyNumberFormat="1" applyFont="1" applyFill="1" applyBorder="1" applyAlignment="1">
      <alignment horizontal="center" vertical="center"/>
    </xf>
    <xf numFmtId="2" fontId="31588" fillId="8" borderId="1" xfId="0" applyNumberFormat="1" applyFont="1" applyFill="1" applyBorder="1" applyAlignment="1">
      <alignment horizontal="center" vertical="center"/>
    </xf>
    <xf numFmtId="2" fontId="31589" fillId="8" borderId="1" xfId="0" applyNumberFormat="1" applyFont="1" applyFill="1" applyBorder="1" applyAlignment="1">
      <alignment horizontal="center" vertical="center"/>
    </xf>
    <xf numFmtId="2" fontId="31590" fillId="8" borderId="1" xfId="0" applyNumberFormat="1" applyFont="1" applyFill="1" applyBorder="1" applyAlignment="1">
      <alignment horizontal="center" vertical="center"/>
    </xf>
    <xf numFmtId="2" fontId="31591" fillId="8" borderId="1" xfId="0" applyNumberFormat="1" applyFont="1" applyFill="1" applyBorder="1" applyAlignment="1">
      <alignment horizontal="center" vertical="center"/>
    </xf>
    <xf numFmtId="2" fontId="31592" fillId="8" borderId="1" xfId="0" applyNumberFormat="1" applyFont="1" applyFill="1" applyBorder="1" applyAlignment="1">
      <alignment horizontal="center" vertical="center"/>
    </xf>
    <xf numFmtId="0" fontId="31593" fillId="7" borderId="1" xfId="0" applyNumberFormat="1" applyFont="1" applyFill="1" applyBorder="1" applyAlignment="1">
      <alignment horizontal="left" vertical="center"/>
    </xf>
    <xf numFmtId="0" fontId="31594" fillId="8" borderId="1" xfId="0" applyNumberFormat="1" applyFont="1" applyFill="1" applyBorder="1" applyAlignment="1">
      <alignment horizontal="center" vertical="center"/>
    </xf>
    <xf numFmtId="164" fontId="31595" fillId="8" borderId="1" xfId="0" applyNumberFormat="1" applyFont="1" applyFill="1" applyBorder="1" applyAlignment="1">
      <alignment horizontal="center" vertical="center"/>
    </xf>
    <xf numFmtId="1" fontId="31596" fillId="8" borderId="1" xfId="0" applyNumberFormat="1" applyFont="1" applyFill="1" applyBorder="1" applyAlignment="1">
      <alignment horizontal="center" vertical="center"/>
    </xf>
    <xf numFmtId="1" fontId="31597" fillId="8" borderId="1" xfId="0" applyNumberFormat="1" applyFont="1" applyFill="1" applyBorder="1" applyAlignment="1">
      <alignment horizontal="center" vertical="center"/>
    </xf>
    <xf numFmtId="1" fontId="31598" fillId="8" borderId="1" xfId="0" applyNumberFormat="1" applyFont="1" applyFill="1" applyBorder="1" applyAlignment="1">
      <alignment horizontal="center" vertical="center"/>
    </xf>
    <xf numFmtId="1" fontId="31599" fillId="8" borderId="1" xfId="0" applyNumberFormat="1" applyFont="1" applyFill="1" applyBorder="1" applyAlignment="1">
      <alignment horizontal="center" vertical="center"/>
    </xf>
    <xf numFmtId="1" fontId="31600" fillId="8" borderId="1" xfId="0" applyNumberFormat="1" applyFont="1" applyFill="1" applyBorder="1" applyAlignment="1">
      <alignment horizontal="center" vertical="center"/>
    </xf>
    <xf numFmtId="1" fontId="31601" fillId="8" borderId="1" xfId="0" applyNumberFormat="1" applyFont="1" applyFill="1" applyBorder="1" applyAlignment="1">
      <alignment horizontal="center" vertical="center"/>
    </xf>
    <xf numFmtId="1" fontId="31602" fillId="8" borderId="1" xfId="0" applyNumberFormat="1" applyFont="1" applyFill="1" applyBorder="1" applyAlignment="1">
      <alignment horizontal="center" vertical="center"/>
    </xf>
    <xf numFmtId="0" fontId="31603" fillId="8" borderId="1" xfId="0" applyNumberFormat="1" applyFont="1" applyFill="1" applyBorder="1" applyAlignment="1">
      <alignment horizontal="center" vertical="center"/>
    </xf>
    <xf numFmtId="0" fontId="31604" fillId="8" borderId="1" xfId="0" applyNumberFormat="1" applyFont="1" applyFill="1" applyBorder="1" applyAlignment="1">
      <alignment horizontal="center" vertical="center"/>
    </xf>
    <xf numFmtId="1" fontId="31605" fillId="8" borderId="1" xfId="0" applyNumberFormat="1" applyFont="1" applyFill="1" applyBorder="1" applyAlignment="1">
      <alignment horizontal="center" vertical="center"/>
    </xf>
    <xf numFmtId="1" fontId="31606" fillId="8" borderId="1" xfId="0" applyNumberFormat="1" applyFont="1" applyFill="1" applyBorder="1" applyAlignment="1">
      <alignment horizontal="center" vertical="center"/>
    </xf>
    <xf numFmtId="1" fontId="31607" fillId="8" borderId="1" xfId="0" applyNumberFormat="1" applyFont="1" applyFill="1" applyBorder="1" applyAlignment="1">
      <alignment horizontal="center" vertical="center"/>
    </xf>
    <xf numFmtId="165" fontId="31608" fillId="8" borderId="1" xfId="0" applyNumberFormat="1" applyFont="1" applyFill="1" applyBorder="1" applyAlignment="1">
      <alignment horizontal="center" vertical="center"/>
    </xf>
    <xf numFmtId="1" fontId="31609" fillId="8" borderId="1" xfId="0" applyNumberFormat="1" applyFont="1" applyFill="1" applyBorder="1" applyAlignment="1">
      <alignment horizontal="center" vertical="center"/>
    </xf>
    <xf numFmtId="165" fontId="31610" fillId="8" borderId="1" xfId="0" applyNumberFormat="1" applyFont="1" applyFill="1" applyBorder="1" applyAlignment="1">
      <alignment horizontal="center" vertical="center"/>
    </xf>
    <xf numFmtId="1" fontId="31611" fillId="8" borderId="1" xfId="0" applyNumberFormat="1" applyFont="1" applyFill="1" applyBorder="1" applyAlignment="1">
      <alignment horizontal="center" vertical="center"/>
    </xf>
    <xf numFmtId="165" fontId="31612" fillId="8" borderId="1" xfId="0" applyNumberFormat="1" applyFont="1" applyFill="1" applyBorder="1" applyAlignment="1">
      <alignment horizontal="center" vertical="center"/>
    </xf>
    <xf numFmtId="1" fontId="31613" fillId="8" borderId="1" xfId="0" applyNumberFormat="1" applyFont="1" applyFill="1" applyBorder="1" applyAlignment="1">
      <alignment horizontal="center" vertical="center"/>
    </xf>
    <xf numFmtId="165" fontId="31614" fillId="8" borderId="1" xfId="0" applyNumberFormat="1" applyFont="1" applyFill="1" applyBorder="1" applyAlignment="1">
      <alignment horizontal="center" vertical="center"/>
    </xf>
    <xf numFmtId="165" fontId="31615" fillId="8" borderId="1" xfId="0" applyNumberFormat="1" applyFont="1" applyFill="1" applyBorder="1" applyAlignment="1">
      <alignment horizontal="center" vertical="center"/>
    </xf>
    <xf numFmtId="1" fontId="31616" fillId="8" borderId="1" xfId="0" applyNumberFormat="1" applyFont="1" applyFill="1" applyBorder="1" applyAlignment="1">
      <alignment horizontal="center" vertical="center"/>
    </xf>
    <xf numFmtId="1" fontId="31617" fillId="8" borderId="1" xfId="0" applyNumberFormat="1" applyFont="1" applyFill="1" applyBorder="1" applyAlignment="1">
      <alignment horizontal="center" vertical="center"/>
    </xf>
    <xf numFmtId="1" fontId="31618" fillId="8" borderId="1" xfId="0" applyNumberFormat="1" applyFont="1" applyFill="1" applyBorder="1" applyAlignment="1">
      <alignment horizontal="center" vertical="center"/>
    </xf>
    <xf numFmtId="165" fontId="31619" fillId="8" borderId="1" xfId="0" applyNumberFormat="1" applyFont="1" applyFill="1" applyBorder="1" applyAlignment="1">
      <alignment horizontal="center" vertical="center"/>
    </xf>
    <xf numFmtId="164" fontId="31620" fillId="8" borderId="1" xfId="0" applyNumberFormat="1" applyFont="1" applyFill="1" applyBorder="1" applyAlignment="1">
      <alignment horizontal="center" vertical="center"/>
    </xf>
    <xf numFmtId="164" fontId="31621" fillId="8" borderId="1" xfId="0" applyNumberFormat="1" applyFont="1" applyFill="1" applyBorder="1" applyAlignment="1">
      <alignment horizontal="center" vertical="center"/>
    </xf>
    <xf numFmtId="1" fontId="31622" fillId="8" borderId="1" xfId="0" applyNumberFormat="1" applyFont="1" applyFill="1" applyBorder="1" applyAlignment="1">
      <alignment horizontal="center" vertical="center"/>
    </xf>
    <xf numFmtId="1" fontId="31623" fillId="8" borderId="1" xfId="0" applyNumberFormat="1" applyFont="1" applyFill="1" applyBorder="1" applyAlignment="1">
      <alignment horizontal="center" vertical="center"/>
    </xf>
    <xf numFmtId="1" fontId="31624" fillId="8" borderId="1" xfId="0" applyNumberFormat="1" applyFont="1" applyFill="1" applyBorder="1" applyAlignment="1">
      <alignment horizontal="center" vertical="center"/>
    </xf>
    <xf numFmtId="165" fontId="31625" fillId="8" borderId="1" xfId="0" applyNumberFormat="1" applyFont="1" applyFill="1" applyBorder="1" applyAlignment="1">
      <alignment horizontal="center" vertical="center"/>
    </xf>
    <xf numFmtId="1" fontId="31626" fillId="8" borderId="1" xfId="0" applyNumberFormat="1" applyFont="1" applyFill="1" applyBorder="1" applyAlignment="1">
      <alignment horizontal="center" vertical="center"/>
    </xf>
    <xf numFmtId="165" fontId="31627" fillId="8" borderId="1" xfId="0" applyNumberFormat="1" applyFont="1" applyFill="1" applyBorder="1" applyAlignment="1">
      <alignment horizontal="center" vertical="center"/>
    </xf>
    <xf numFmtId="1" fontId="31628" fillId="8" borderId="1" xfId="0" applyNumberFormat="1" applyFont="1" applyFill="1" applyBorder="1" applyAlignment="1">
      <alignment horizontal="center" vertical="center"/>
    </xf>
    <xf numFmtId="1" fontId="31629" fillId="8" borderId="1" xfId="0" applyNumberFormat="1" applyFont="1" applyFill="1" applyBorder="1" applyAlignment="1">
      <alignment horizontal="center" vertical="center"/>
    </xf>
    <xf numFmtId="1" fontId="31630" fillId="8" borderId="1" xfId="0" applyNumberFormat="1" applyFont="1" applyFill="1" applyBorder="1" applyAlignment="1">
      <alignment horizontal="center" vertical="center"/>
    </xf>
    <xf numFmtId="1" fontId="31631" fillId="8" borderId="1" xfId="0" applyNumberFormat="1" applyFont="1" applyFill="1" applyBorder="1" applyAlignment="1">
      <alignment horizontal="center" vertical="center"/>
    </xf>
    <xf numFmtId="165" fontId="31632" fillId="8" borderId="1" xfId="0" applyNumberFormat="1" applyFont="1" applyFill="1" applyBorder="1" applyAlignment="1">
      <alignment horizontal="center" vertical="center"/>
    </xf>
    <xf numFmtId="1" fontId="31633" fillId="8" borderId="1" xfId="0" applyNumberFormat="1" applyFont="1" applyFill="1" applyBorder="1" applyAlignment="1">
      <alignment horizontal="center" vertical="center"/>
    </xf>
    <xf numFmtId="165" fontId="31634" fillId="8" borderId="1" xfId="0" applyNumberFormat="1" applyFont="1" applyFill="1" applyBorder="1" applyAlignment="1">
      <alignment horizontal="center" vertical="center"/>
    </xf>
    <xf numFmtId="1" fontId="31635" fillId="8" borderId="1" xfId="0" applyNumberFormat="1" applyFont="1" applyFill="1" applyBorder="1" applyAlignment="1">
      <alignment horizontal="center" vertical="center"/>
    </xf>
    <xf numFmtId="165" fontId="31636" fillId="8" borderId="1" xfId="0" applyNumberFormat="1" applyFont="1" applyFill="1" applyBorder="1" applyAlignment="1">
      <alignment horizontal="center" vertical="center"/>
    </xf>
    <xf numFmtId="2" fontId="31637" fillId="8" borderId="1" xfId="0" applyNumberFormat="1" applyFont="1" applyFill="1" applyBorder="1" applyAlignment="1">
      <alignment horizontal="center" vertical="center"/>
    </xf>
    <xf numFmtId="2" fontId="31638" fillId="8" borderId="1" xfId="0" applyNumberFormat="1" applyFont="1" applyFill="1" applyBorder="1" applyAlignment="1">
      <alignment horizontal="center" vertical="center"/>
    </xf>
    <xf numFmtId="2" fontId="31639" fillId="8" borderId="1" xfId="0" applyNumberFormat="1" applyFont="1" applyFill="1" applyBorder="1" applyAlignment="1">
      <alignment horizontal="center" vertical="center"/>
    </xf>
    <xf numFmtId="2" fontId="31640" fillId="8" borderId="1" xfId="0" applyNumberFormat="1" applyFont="1" applyFill="1" applyBorder="1" applyAlignment="1">
      <alignment horizontal="center" vertical="center"/>
    </xf>
    <xf numFmtId="2" fontId="31641" fillId="8" borderId="1" xfId="0" applyNumberFormat="1" applyFont="1" applyFill="1" applyBorder="1" applyAlignment="1">
      <alignment horizontal="center" vertical="center"/>
    </xf>
    <xf numFmtId="2" fontId="31642" fillId="8" borderId="1" xfId="0" applyNumberFormat="1" applyFont="1" applyFill="1" applyBorder="1" applyAlignment="1">
      <alignment horizontal="center" vertical="center"/>
    </xf>
    <xf numFmtId="2" fontId="31643" fillId="8" borderId="1" xfId="0" applyNumberFormat="1" applyFont="1" applyFill="1" applyBorder="1" applyAlignment="1">
      <alignment horizontal="center" vertical="center"/>
    </xf>
    <xf numFmtId="2" fontId="31644" fillId="8" borderId="1" xfId="0" applyNumberFormat="1" applyFont="1" applyFill="1" applyBorder="1" applyAlignment="1">
      <alignment horizontal="center" vertical="center"/>
    </xf>
    <xf numFmtId="2" fontId="31645" fillId="8" borderId="1" xfId="0" applyNumberFormat="1" applyFont="1" applyFill="1" applyBorder="1" applyAlignment="1">
      <alignment horizontal="center" vertical="center"/>
    </xf>
    <xf numFmtId="2" fontId="31646" fillId="8" borderId="1" xfId="0" applyNumberFormat="1" applyFont="1" applyFill="1" applyBorder="1" applyAlignment="1">
      <alignment horizontal="center" vertical="center"/>
    </xf>
    <xf numFmtId="2" fontId="31647" fillId="8" borderId="1" xfId="0" applyNumberFormat="1" applyFont="1" applyFill="1" applyBorder="1" applyAlignment="1">
      <alignment horizontal="center" vertical="center"/>
    </xf>
    <xf numFmtId="2" fontId="31648" fillId="8" borderId="1" xfId="0" applyNumberFormat="1" applyFont="1" applyFill="1" applyBorder="1" applyAlignment="1">
      <alignment horizontal="center" vertical="center"/>
    </xf>
    <xf numFmtId="2" fontId="31649" fillId="8" borderId="1" xfId="0" applyNumberFormat="1" applyFont="1" applyFill="1" applyBorder="1" applyAlignment="1">
      <alignment horizontal="center" vertical="center"/>
    </xf>
    <xf numFmtId="2" fontId="31650" fillId="8" borderId="1" xfId="0" applyNumberFormat="1" applyFont="1" applyFill="1" applyBorder="1" applyAlignment="1">
      <alignment horizontal="center" vertical="center"/>
    </xf>
    <xf numFmtId="2" fontId="31651" fillId="8" borderId="1" xfId="0" applyNumberFormat="1" applyFont="1" applyFill="1" applyBorder="1" applyAlignment="1">
      <alignment horizontal="center" vertical="center"/>
    </xf>
    <xf numFmtId="2" fontId="31652" fillId="8" borderId="1" xfId="0" applyNumberFormat="1" applyFont="1" applyFill="1" applyBorder="1" applyAlignment="1">
      <alignment horizontal="center" vertical="center"/>
    </xf>
    <xf numFmtId="2" fontId="31653" fillId="8" borderId="1" xfId="0" applyNumberFormat="1" applyFont="1" applyFill="1" applyBorder="1" applyAlignment="1">
      <alignment horizontal="center" vertical="center"/>
    </xf>
    <xf numFmtId="2" fontId="31654" fillId="8" borderId="1" xfId="0" applyNumberFormat="1" applyFont="1" applyFill="1" applyBorder="1" applyAlignment="1">
      <alignment horizontal="center" vertical="center"/>
    </xf>
    <xf numFmtId="2" fontId="31655" fillId="8" borderId="1" xfId="0" applyNumberFormat="1" applyFont="1" applyFill="1" applyBorder="1" applyAlignment="1">
      <alignment horizontal="center" vertical="center"/>
    </xf>
    <xf numFmtId="2" fontId="31656" fillId="8" borderId="1" xfId="0" applyNumberFormat="1" applyFont="1" applyFill="1" applyBorder="1" applyAlignment="1">
      <alignment horizontal="center" vertical="center"/>
    </xf>
    <xf numFmtId="2" fontId="31657" fillId="8" borderId="1" xfId="0" applyNumberFormat="1" applyFont="1" applyFill="1" applyBorder="1" applyAlignment="1">
      <alignment horizontal="center" vertical="center"/>
    </xf>
    <xf numFmtId="2" fontId="31658" fillId="8" borderId="1" xfId="0" applyNumberFormat="1" applyFont="1" applyFill="1" applyBorder="1" applyAlignment="1">
      <alignment horizontal="center" vertical="center"/>
    </xf>
    <xf numFmtId="2" fontId="31659" fillId="8" borderId="1" xfId="0" applyNumberFormat="1" applyFont="1" applyFill="1" applyBorder="1" applyAlignment="1">
      <alignment horizontal="center" vertical="center"/>
    </xf>
    <xf numFmtId="2" fontId="31660" fillId="8" borderId="1" xfId="0" applyNumberFormat="1" applyFont="1" applyFill="1" applyBorder="1" applyAlignment="1">
      <alignment horizontal="center" vertical="center"/>
    </xf>
    <xf numFmtId="2" fontId="31661" fillId="8" borderId="1" xfId="0" applyNumberFormat="1" applyFont="1" applyFill="1" applyBorder="1" applyAlignment="1">
      <alignment horizontal="center" vertical="center"/>
    </xf>
    <xf numFmtId="2" fontId="31662" fillId="8" borderId="1" xfId="0" applyNumberFormat="1" applyFont="1" applyFill="1" applyBorder="1" applyAlignment="1">
      <alignment horizontal="center" vertical="center"/>
    </xf>
    <xf numFmtId="2" fontId="31663" fillId="8" borderId="1" xfId="0" applyNumberFormat="1" applyFont="1" applyFill="1" applyBorder="1" applyAlignment="1">
      <alignment horizontal="center" vertical="center"/>
    </xf>
    <xf numFmtId="2" fontId="31664" fillId="8" borderId="1" xfId="0" applyNumberFormat="1" applyFont="1" applyFill="1" applyBorder="1" applyAlignment="1">
      <alignment horizontal="center" vertical="center"/>
    </xf>
    <xf numFmtId="2" fontId="31665" fillId="8" borderId="1" xfId="0" applyNumberFormat="1" applyFont="1" applyFill="1" applyBorder="1" applyAlignment="1">
      <alignment horizontal="center" vertical="center"/>
    </xf>
    <xf numFmtId="2" fontId="31666" fillId="8" borderId="1" xfId="0" applyNumberFormat="1" applyFont="1" applyFill="1" applyBorder="1" applyAlignment="1">
      <alignment horizontal="center" vertical="center"/>
    </xf>
    <xf numFmtId="2" fontId="31667" fillId="8" borderId="1" xfId="0" applyNumberFormat="1" applyFont="1" applyFill="1" applyBorder="1" applyAlignment="1">
      <alignment horizontal="center" vertical="center"/>
    </xf>
    <xf numFmtId="2" fontId="31668" fillId="8" borderId="1" xfId="0" applyNumberFormat="1" applyFont="1" applyFill="1" applyBorder="1" applyAlignment="1">
      <alignment horizontal="center" vertical="center"/>
    </xf>
    <xf numFmtId="2" fontId="31669" fillId="8" borderId="1" xfId="0" applyNumberFormat="1" applyFont="1" applyFill="1" applyBorder="1" applyAlignment="1">
      <alignment horizontal="center" vertical="center"/>
    </xf>
    <xf numFmtId="2" fontId="31670" fillId="8" borderId="1" xfId="0" applyNumberFormat="1" applyFont="1" applyFill="1" applyBorder="1" applyAlignment="1">
      <alignment horizontal="center" vertical="center"/>
    </xf>
    <xf numFmtId="0" fontId="31671" fillId="7" borderId="1" xfId="0" applyNumberFormat="1" applyFont="1" applyFill="1" applyBorder="1" applyAlignment="1">
      <alignment horizontal="left" vertical="center"/>
    </xf>
    <xf numFmtId="0" fontId="31672" fillId="8" borderId="1" xfId="0" applyNumberFormat="1" applyFont="1" applyFill="1" applyBorder="1" applyAlignment="1">
      <alignment horizontal="center" vertical="center"/>
    </xf>
    <xf numFmtId="164" fontId="31673" fillId="8" borderId="1" xfId="0" applyNumberFormat="1" applyFont="1" applyFill="1" applyBorder="1" applyAlignment="1">
      <alignment horizontal="center" vertical="center"/>
    </xf>
    <xf numFmtId="1" fontId="31674" fillId="8" borderId="1" xfId="0" applyNumberFormat="1" applyFont="1" applyFill="1" applyBorder="1" applyAlignment="1">
      <alignment horizontal="center" vertical="center"/>
    </xf>
    <xf numFmtId="1" fontId="31675" fillId="8" borderId="1" xfId="0" applyNumberFormat="1" applyFont="1" applyFill="1" applyBorder="1" applyAlignment="1">
      <alignment horizontal="center" vertical="center"/>
    </xf>
    <xf numFmtId="1" fontId="31676" fillId="8" borderId="1" xfId="0" applyNumberFormat="1" applyFont="1" applyFill="1" applyBorder="1" applyAlignment="1">
      <alignment horizontal="center" vertical="center"/>
    </xf>
    <xf numFmtId="1" fontId="31677" fillId="8" borderId="1" xfId="0" applyNumberFormat="1" applyFont="1" applyFill="1" applyBorder="1" applyAlignment="1">
      <alignment horizontal="center" vertical="center"/>
    </xf>
    <xf numFmtId="1" fontId="31678" fillId="8" borderId="1" xfId="0" applyNumberFormat="1" applyFont="1" applyFill="1" applyBorder="1" applyAlignment="1">
      <alignment horizontal="center" vertical="center"/>
    </xf>
    <xf numFmtId="1" fontId="31679" fillId="8" borderId="1" xfId="0" applyNumberFormat="1" applyFont="1" applyFill="1" applyBorder="1" applyAlignment="1">
      <alignment horizontal="center" vertical="center"/>
    </xf>
    <xf numFmtId="1" fontId="31680" fillId="8" borderId="1" xfId="0" applyNumberFormat="1" applyFont="1" applyFill="1" applyBorder="1" applyAlignment="1">
      <alignment horizontal="center" vertical="center"/>
    </xf>
    <xf numFmtId="0" fontId="31681" fillId="8" borderId="1" xfId="0" applyNumberFormat="1" applyFont="1" applyFill="1" applyBorder="1" applyAlignment="1">
      <alignment horizontal="center" vertical="center"/>
    </xf>
    <xf numFmtId="0" fontId="31682" fillId="8" borderId="1" xfId="0" applyNumberFormat="1" applyFont="1" applyFill="1" applyBorder="1" applyAlignment="1">
      <alignment horizontal="center" vertical="center"/>
    </xf>
    <xf numFmtId="1" fontId="31683" fillId="8" borderId="1" xfId="0" applyNumberFormat="1" applyFont="1" applyFill="1" applyBorder="1" applyAlignment="1">
      <alignment horizontal="center" vertical="center"/>
    </xf>
    <xf numFmtId="1" fontId="31684" fillId="8" borderId="1" xfId="0" applyNumberFormat="1" applyFont="1" applyFill="1" applyBorder="1" applyAlignment="1">
      <alignment horizontal="center" vertical="center"/>
    </xf>
    <xf numFmtId="1" fontId="31685" fillId="8" borderId="1" xfId="0" applyNumberFormat="1" applyFont="1" applyFill="1" applyBorder="1" applyAlignment="1">
      <alignment horizontal="center" vertical="center"/>
    </xf>
    <xf numFmtId="165" fontId="31686" fillId="8" borderId="1" xfId="0" applyNumberFormat="1" applyFont="1" applyFill="1" applyBorder="1" applyAlignment="1">
      <alignment horizontal="center" vertical="center"/>
    </xf>
    <xf numFmtId="1" fontId="31687" fillId="8" borderId="1" xfId="0" applyNumberFormat="1" applyFont="1" applyFill="1" applyBorder="1" applyAlignment="1">
      <alignment horizontal="center" vertical="center"/>
    </xf>
    <xf numFmtId="165" fontId="31688" fillId="8" borderId="1" xfId="0" applyNumberFormat="1" applyFont="1" applyFill="1" applyBorder="1" applyAlignment="1">
      <alignment horizontal="center" vertical="center"/>
    </xf>
    <xf numFmtId="1" fontId="31689" fillId="8" borderId="1" xfId="0" applyNumberFormat="1" applyFont="1" applyFill="1" applyBorder="1" applyAlignment="1">
      <alignment horizontal="center" vertical="center"/>
    </xf>
    <xf numFmtId="165" fontId="31690" fillId="8" borderId="1" xfId="0" applyNumberFormat="1" applyFont="1" applyFill="1" applyBorder="1" applyAlignment="1">
      <alignment horizontal="center" vertical="center"/>
    </xf>
    <xf numFmtId="1" fontId="31691" fillId="8" borderId="1" xfId="0" applyNumberFormat="1" applyFont="1" applyFill="1" applyBorder="1" applyAlignment="1">
      <alignment horizontal="center" vertical="center"/>
    </xf>
    <xf numFmtId="165" fontId="31692" fillId="8" borderId="1" xfId="0" applyNumberFormat="1" applyFont="1" applyFill="1" applyBorder="1" applyAlignment="1">
      <alignment horizontal="center" vertical="center"/>
    </xf>
    <xf numFmtId="165" fontId="31693" fillId="8" borderId="1" xfId="0" applyNumberFormat="1" applyFont="1" applyFill="1" applyBorder="1" applyAlignment="1">
      <alignment horizontal="center" vertical="center"/>
    </xf>
    <xf numFmtId="1" fontId="31694" fillId="8" borderId="1" xfId="0" applyNumberFormat="1" applyFont="1" applyFill="1" applyBorder="1" applyAlignment="1">
      <alignment horizontal="center" vertical="center"/>
    </xf>
    <xf numFmtId="1" fontId="31695" fillId="8" borderId="1" xfId="0" applyNumberFormat="1" applyFont="1" applyFill="1" applyBorder="1" applyAlignment="1">
      <alignment horizontal="center" vertical="center"/>
    </xf>
    <xf numFmtId="1" fontId="31696" fillId="8" borderId="1" xfId="0" applyNumberFormat="1" applyFont="1" applyFill="1" applyBorder="1" applyAlignment="1">
      <alignment horizontal="center" vertical="center"/>
    </xf>
    <xf numFmtId="165" fontId="31697" fillId="8" borderId="1" xfId="0" applyNumberFormat="1" applyFont="1" applyFill="1" applyBorder="1" applyAlignment="1">
      <alignment horizontal="center" vertical="center"/>
    </xf>
    <xf numFmtId="164" fontId="31698" fillId="8" borderId="1" xfId="0" applyNumberFormat="1" applyFont="1" applyFill="1" applyBorder="1" applyAlignment="1">
      <alignment horizontal="center" vertical="center"/>
    </xf>
    <xf numFmtId="164" fontId="31699" fillId="8" borderId="1" xfId="0" applyNumberFormat="1" applyFont="1" applyFill="1" applyBorder="1" applyAlignment="1">
      <alignment horizontal="center" vertical="center"/>
    </xf>
    <xf numFmtId="1" fontId="31700" fillId="8" borderId="1" xfId="0" applyNumberFormat="1" applyFont="1" applyFill="1" applyBorder="1" applyAlignment="1">
      <alignment horizontal="center" vertical="center"/>
    </xf>
    <xf numFmtId="1" fontId="31701" fillId="8" borderId="1" xfId="0" applyNumberFormat="1" applyFont="1" applyFill="1" applyBorder="1" applyAlignment="1">
      <alignment horizontal="center" vertical="center"/>
    </xf>
    <xf numFmtId="1" fontId="31702" fillId="8" borderId="1" xfId="0" applyNumberFormat="1" applyFont="1" applyFill="1" applyBorder="1" applyAlignment="1">
      <alignment horizontal="center" vertical="center"/>
    </xf>
    <xf numFmtId="165" fontId="31703" fillId="8" borderId="1" xfId="0" applyNumberFormat="1" applyFont="1" applyFill="1" applyBorder="1" applyAlignment="1">
      <alignment horizontal="center" vertical="center"/>
    </xf>
    <xf numFmtId="1" fontId="31704" fillId="8" borderId="1" xfId="0" applyNumberFormat="1" applyFont="1" applyFill="1" applyBorder="1" applyAlignment="1">
      <alignment horizontal="center" vertical="center"/>
    </xf>
    <xf numFmtId="165" fontId="31705" fillId="8" borderId="1" xfId="0" applyNumberFormat="1" applyFont="1" applyFill="1" applyBorder="1" applyAlignment="1">
      <alignment horizontal="center" vertical="center"/>
    </xf>
    <xf numFmtId="1" fontId="31706" fillId="8" borderId="1" xfId="0" applyNumberFormat="1" applyFont="1" applyFill="1" applyBorder="1" applyAlignment="1">
      <alignment horizontal="center" vertical="center"/>
    </xf>
    <xf numFmtId="1" fontId="31707" fillId="8" borderId="1" xfId="0" applyNumberFormat="1" applyFont="1" applyFill="1" applyBorder="1" applyAlignment="1">
      <alignment horizontal="center" vertical="center"/>
    </xf>
    <xf numFmtId="1" fontId="31708" fillId="8" borderId="1" xfId="0" applyNumberFormat="1" applyFont="1" applyFill="1" applyBorder="1" applyAlignment="1">
      <alignment horizontal="center" vertical="center"/>
    </xf>
    <xf numFmtId="1" fontId="31709" fillId="8" borderId="1" xfId="0" applyNumberFormat="1" applyFont="1" applyFill="1" applyBorder="1" applyAlignment="1">
      <alignment horizontal="center" vertical="center"/>
    </xf>
    <xf numFmtId="165" fontId="31710" fillId="8" borderId="1" xfId="0" applyNumberFormat="1" applyFont="1" applyFill="1" applyBorder="1" applyAlignment="1">
      <alignment horizontal="center" vertical="center"/>
    </xf>
    <xf numFmtId="1" fontId="31711" fillId="8" borderId="1" xfId="0" applyNumberFormat="1" applyFont="1" applyFill="1" applyBorder="1" applyAlignment="1">
      <alignment horizontal="center" vertical="center"/>
    </xf>
    <xf numFmtId="165" fontId="31712" fillId="8" borderId="1" xfId="0" applyNumberFormat="1" applyFont="1" applyFill="1" applyBorder="1" applyAlignment="1">
      <alignment horizontal="center" vertical="center"/>
    </xf>
    <xf numFmtId="1" fontId="31713" fillId="8" borderId="1" xfId="0" applyNumberFormat="1" applyFont="1" applyFill="1" applyBorder="1" applyAlignment="1">
      <alignment horizontal="center" vertical="center"/>
    </xf>
    <xf numFmtId="165" fontId="31714" fillId="8" borderId="1" xfId="0" applyNumberFormat="1" applyFont="1" applyFill="1" applyBorder="1" applyAlignment="1">
      <alignment horizontal="center" vertical="center"/>
    </xf>
    <xf numFmtId="2" fontId="31715" fillId="8" borderId="1" xfId="0" applyNumberFormat="1" applyFont="1" applyFill="1" applyBorder="1" applyAlignment="1">
      <alignment horizontal="center" vertical="center"/>
    </xf>
    <xf numFmtId="2" fontId="31716" fillId="8" borderId="1" xfId="0" applyNumberFormat="1" applyFont="1" applyFill="1" applyBorder="1" applyAlignment="1">
      <alignment horizontal="center" vertical="center"/>
    </xf>
    <xf numFmtId="2" fontId="31717" fillId="8" borderId="1" xfId="0" applyNumberFormat="1" applyFont="1" applyFill="1" applyBorder="1" applyAlignment="1">
      <alignment horizontal="center" vertical="center"/>
    </xf>
    <xf numFmtId="2" fontId="31718" fillId="8" borderId="1" xfId="0" applyNumberFormat="1" applyFont="1" applyFill="1" applyBorder="1" applyAlignment="1">
      <alignment horizontal="center" vertical="center"/>
    </xf>
    <xf numFmtId="2" fontId="31719" fillId="8" borderId="1" xfId="0" applyNumberFormat="1" applyFont="1" applyFill="1" applyBorder="1" applyAlignment="1">
      <alignment horizontal="center" vertical="center"/>
    </xf>
    <xf numFmtId="2" fontId="31720" fillId="8" borderId="1" xfId="0" applyNumberFormat="1" applyFont="1" applyFill="1" applyBorder="1" applyAlignment="1">
      <alignment horizontal="center" vertical="center"/>
    </xf>
    <xf numFmtId="2" fontId="31721" fillId="8" borderId="1" xfId="0" applyNumberFormat="1" applyFont="1" applyFill="1" applyBorder="1" applyAlignment="1">
      <alignment horizontal="center" vertical="center"/>
    </xf>
    <xf numFmtId="2" fontId="31722" fillId="8" borderId="1" xfId="0" applyNumberFormat="1" applyFont="1" applyFill="1" applyBorder="1" applyAlignment="1">
      <alignment horizontal="center" vertical="center"/>
    </xf>
    <xf numFmtId="2" fontId="31723" fillId="8" borderId="1" xfId="0" applyNumberFormat="1" applyFont="1" applyFill="1" applyBorder="1" applyAlignment="1">
      <alignment horizontal="center" vertical="center"/>
    </xf>
    <xf numFmtId="2" fontId="31724" fillId="8" borderId="1" xfId="0" applyNumberFormat="1" applyFont="1" applyFill="1" applyBorder="1" applyAlignment="1">
      <alignment horizontal="center" vertical="center"/>
    </xf>
    <xf numFmtId="2" fontId="31725" fillId="8" borderId="1" xfId="0" applyNumberFormat="1" applyFont="1" applyFill="1" applyBorder="1" applyAlignment="1">
      <alignment horizontal="center" vertical="center"/>
    </xf>
    <xf numFmtId="2" fontId="31726" fillId="8" borderId="1" xfId="0" applyNumberFormat="1" applyFont="1" applyFill="1" applyBorder="1" applyAlignment="1">
      <alignment horizontal="center" vertical="center"/>
    </xf>
    <xf numFmtId="2" fontId="31727" fillId="8" borderId="1" xfId="0" applyNumberFormat="1" applyFont="1" applyFill="1" applyBorder="1" applyAlignment="1">
      <alignment horizontal="center" vertical="center"/>
    </xf>
    <xf numFmtId="2" fontId="31728" fillId="8" borderId="1" xfId="0" applyNumberFormat="1" applyFont="1" applyFill="1" applyBorder="1" applyAlignment="1">
      <alignment horizontal="center" vertical="center"/>
    </xf>
    <xf numFmtId="2" fontId="31729" fillId="8" borderId="1" xfId="0" applyNumberFormat="1" applyFont="1" applyFill="1" applyBorder="1" applyAlignment="1">
      <alignment horizontal="center" vertical="center"/>
    </xf>
    <xf numFmtId="2" fontId="31730" fillId="8" borderId="1" xfId="0" applyNumberFormat="1" applyFont="1" applyFill="1" applyBorder="1" applyAlignment="1">
      <alignment horizontal="center" vertical="center"/>
    </xf>
    <xf numFmtId="2" fontId="31731" fillId="8" borderId="1" xfId="0" applyNumberFormat="1" applyFont="1" applyFill="1" applyBorder="1" applyAlignment="1">
      <alignment horizontal="center" vertical="center"/>
    </xf>
    <xf numFmtId="2" fontId="31732" fillId="8" borderId="1" xfId="0" applyNumberFormat="1" applyFont="1" applyFill="1" applyBorder="1" applyAlignment="1">
      <alignment horizontal="center" vertical="center"/>
    </xf>
    <xf numFmtId="2" fontId="31733" fillId="8" borderId="1" xfId="0" applyNumberFormat="1" applyFont="1" applyFill="1" applyBorder="1" applyAlignment="1">
      <alignment horizontal="center" vertical="center"/>
    </xf>
    <xf numFmtId="2" fontId="31734" fillId="8" borderId="1" xfId="0" applyNumberFormat="1" applyFont="1" applyFill="1" applyBorder="1" applyAlignment="1">
      <alignment horizontal="center" vertical="center"/>
    </xf>
    <xf numFmtId="2" fontId="31735" fillId="8" borderId="1" xfId="0" applyNumberFormat="1" applyFont="1" applyFill="1" applyBorder="1" applyAlignment="1">
      <alignment horizontal="center" vertical="center"/>
    </xf>
    <xf numFmtId="2" fontId="31736" fillId="8" borderId="1" xfId="0" applyNumberFormat="1" applyFont="1" applyFill="1" applyBorder="1" applyAlignment="1">
      <alignment horizontal="center" vertical="center"/>
    </xf>
    <xf numFmtId="2" fontId="31737" fillId="8" borderId="1" xfId="0" applyNumberFormat="1" applyFont="1" applyFill="1" applyBorder="1" applyAlignment="1">
      <alignment horizontal="center" vertical="center"/>
    </xf>
    <xf numFmtId="2" fontId="31738" fillId="8" borderId="1" xfId="0" applyNumberFormat="1" applyFont="1" applyFill="1" applyBorder="1" applyAlignment="1">
      <alignment horizontal="center" vertical="center"/>
    </xf>
    <xf numFmtId="2" fontId="31739" fillId="8" borderId="1" xfId="0" applyNumberFormat="1" applyFont="1" applyFill="1" applyBorder="1" applyAlignment="1">
      <alignment horizontal="center" vertical="center"/>
    </xf>
    <xf numFmtId="2" fontId="31740" fillId="8" borderId="1" xfId="0" applyNumberFormat="1" applyFont="1" applyFill="1" applyBorder="1" applyAlignment="1">
      <alignment horizontal="center" vertical="center"/>
    </xf>
    <xf numFmtId="2" fontId="31741" fillId="8" borderId="1" xfId="0" applyNumberFormat="1" applyFont="1" applyFill="1" applyBorder="1" applyAlignment="1">
      <alignment horizontal="center" vertical="center"/>
    </xf>
    <xf numFmtId="2" fontId="31742" fillId="8" borderId="1" xfId="0" applyNumberFormat="1" applyFont="1" applyFill="1" applyBorder="1" applyAlignment="1">
      <alignment horizontal="center" vertical="center"/>
    </xf>
    <xf numFmtId="2" fontId="31743" fillId="8" borderId="1" xfId="0" applyNumberFormat="1" applyFont="1" applyFill="1" applyBorder="1" applyAlignment="1">
      <alignment horizontal="center" vertical="center"/>
    </xf>
    <xf numFmtId="2" fontId="31744" fillId="8" borderId="1" xfId="0" applyNumberFormat="1" applyFont="1" applyFill="1" applyBorder="1" applyAlignment="1">
      <alignment horizontal="center" vertical="center"/>
    </xf>
    <xf numFmtId="2" fontId="31745" fillId="8" borderId="1" xfId="0" applyNumberFormat="1" applyFont="1" applyFill="1" applyBorder="1" applyAlignment="1">
      <alignment horizontal="center" vertical="center"/>
    </xf>
    <xf numFmtId="2" fontId="31746" fillId="8" borderId="1" xfId="0" applyNumberFormat="1" applyFont="1" applyFill="1" applyBorder="1" applyAlignment="1">
      <alignment horizontal="center" vertical="center"/>
    </xf>
    <xf numFmtId="2" fontId="31747" fillId="8" borderId="1" xfId="0" applyNumberFormat="1" applyFont="1" applyFill="1" applyBorder="1" applyAlignment="1">
      <alignment horizontal="center" vertical="center"/>
    </xf>
    <xf numFmtId="2" fontId="31748" fillId="8" borderId="1" xfId="0" applyNumberFormat="1" applyFont="1" applyFill="1" applyBorder="1" applyAlignment="1">
      <alignment horizontal="center" vertical="center"/>
    </xf>
    <xf numFmtId="0" fontId="31749" fillId="7" borderId="1" xfId="0" applyNumberFormat="1" applyFont="1" applyFill="1" applyBorder="1" applyAlignment="1">
      <alignment horizontal="left" vertical="center"/>
    </xf>
    <xf numFmtId="0" fontId="31750" fillId="8" borderId="1" xfId="0" applyNumberFormat="1" applyFont="1" applyFill="1" applyBorder="1" applyAlignment="1">
      <alignment horizontal="center" vertical="center"/>
    </xf>
    <xf numFmtId="164" fontId="31751" fillId="8" borderId="1" xfId="0" applyNumberFormat="1" applyFont="1" applyFill="1" applyBorder="1" applyAlignment="1">
      <alignment horizontal="center" vertical="center"/>
    </xf>
    <xf numFmtId="1" fontId="31752" fillId="8" borderId="1" xfId="0" applyNumberFormat="1" applyFont="1" applyFill="1" applyBorder="1" applyAlignment="1">
      <alignment horizontal="center" vertical="center"/>
    </xf>
    <xf numFmtId="1" fontId="31753" fillId="8" borderId="1" xfId="0" applyNumberFormat="1" applyFont="1" applyFill="1" applyBorder="1" applyAlignment="1">
      <alignment horizontal="center" vertical="center"/>
    </xf>
    <xf numFmtId="1" fontId="31754" fillId="8" borderId="1" xfId="0" applyNumberFormat="1" applyFont="1" applyFill="1" applyBorder="1" applyAlignment="1">
      <alignment horizontal="center" vertical="center"/>
    </xf>
    <xf numFmtId="1" fontId="31755" fillId="8" borderId="1" xfId="0" applyNumberFormat="1" applyFont="1" applyFill="1" applyBorder="1" applyAlignment="1">
      <alignment horizontal="center" vertical="center"/>
    </xf>
    <xf numFmtId="1" fontId="31756" fillId="8" borderId="1" xfId="0" applyNumberFormat="1" applyFont="1" applyFill="1" applyBorder="1" applyAlignment="1">
      <alignment horizontal="center" vertical="center"/>
    </xf>
    <xf numFmtId="1" fontId="31757" fillId="8" borderId="1" xfId="0" applyNumberFormat="1" applyFont="1" applyFill="1" applyBorder="1" applyAlignment="1">
      <alignment horizontal="center" vertical="center"/>
    </xf>
    <xf numFmtId="1" fontId="31758" fillId="8" borderId="1" xfId="0" applyNumberFormat="1" applyFont="1" applyFill="1" applyBorder="1" applyAlignment="1">
      <alignment horizontal="center" vertical="center"/>
    </xf>
    <xf numFmtId="0" fontId="31759" fillId="8" borderId="1" xfId="0" applyNumberFormat="1" applyFont="1" applyFill="1" applyBorder="1" applyAlignment="1">
      <alignment horizontal="center" vertical="center"/>
    </xf>
    <xf numFmtId="0" fontId="31760" fillId="8" borderId="1" xfId="0" applyNumberFormat="1" applyFont="1" applyFill="1" applyBorder="1" applyAlignment="1">
      <alignment horizontal="center" vertical="center"/>
    </xf>
    <xf numFmtId="1" fontId="31761" fillId="8" borderId="1" xfId="0" applyNumberFormat="1" applyFont="1" applyFill="1" applyBorder="1" applyAlignment="1">
      <alignment horizontal="center" vertical="center"/>
    </xf>
    <xf numFmtId="1" fontId="31762" fillId="8" borderId="1" xfId="0" applyNumberFormat="1" applyFont="1" applyFill="1" applyBorder="1" applyAlignment="1">
      <alignment horizontal="center" vertical="center"/>
    </xf>
    <xf numFmtId="1" fontId="31763" fillId="8" borderId="1" xfId="0" applyNumberFormat="1" applyFont="1" applyFill="1" applyBorder="1" applyAlignment="1">
      <alignment horizontal="center" vertical="center"/>
    </xf>
    <xf numFmtId="165" fontId="31764" fillId="8" borderId="1" xfId="0" applyNumberFormat="1" applyFont="1" applyFill="1" applyBorder="1" applyAlignment="1">
      <alignment horizontal="center" vertical="center"/>
    </xf>
    <xf numFmtId="1" fontId="31765" fillId="8" borderId="1" xfId="0" applyNumberFormat="1" applyFont="1" applyFill="1" applyBorder="1" applyAlignment="1">
      <alignment horizontal="center" vertical="center"/>
    </xf>
    <xf numFmtId="165" fontId="31766" fillId="8" borderId="1" xfId="0" applyNumberFormat="1" applyFont="1" applyFill="1" applyBorder="1" applyAlignment="1">
      <alignment horizontal="center" vertical="center"/>
    </xf>
    <xf numFmtId="1" fontId="31767" fillId="8" borderId="1" xfId="0" applyNumberFormat="1" applyFont="1" applyFill="1" applyBorder="1" applyAlignment="1">
      <alignment horizontal="center" vertical="center"/>
    </xf>
    <xf numFmtId="165" fontId="31768" fillId="8" borderId="1" xfId="0" applyNumberFormat="1" applyFont="1" applyFill="1" applyBorder="1" applyAlignment="1">
      <alignment horizontal="center" vertical="center"/>
    </xf>
    <xf numFmtId="1" fontId="31769" fillId="8" borderId="1" xfId="0" applyNumberFormat="1" applyFont="1" applyFill="1" applyBorder="1" applyAlignment="1">
      <alignment horizontal="center" vertical="center"/>
    </xf>
    <xf numFmtId="165" fontId="31770" fillId="8" borderId="1" xfId="0" applyNumberFormat="1" applyFont="1" applyFill="1" applyBorder="1" applyAlignment="1">
      <alignment horizontal="center" vertical="center"/>
    </xf>
    <xf numFmtId="165" fontId="31771" fillId="8" borderId="1" xfId="0" applyNumberFormat="1" applyFont="1" applyFill="1" applyBorder="1" applyAlignment="1">
      <alignment horizontal="center" vertical="center"/>
    </xf>
    <xf numFmtId="1" fontId="31772" fillId="8" borderId="1" xfId="0" applyNumberFormat="1" applyFont="1" applyFill="1" applyBorder="1" applyAlignment="1">
      <alignment horizontal="center" vertical="center"/>
    </xf>
    <xf numFmtId="1" fontId="31773" fillId="8" borderId="1" xfId="0" applyNumberFormat="1" applyFont="1" applyFill="1" applyBorder="1" applyAlignment="1">
      <alignment horizontal="center" vertical="center"/>
    </xf>
    <xf numFmtId="1" fontId="31774" fillId="8" borderId="1" xfId="0" applyNumberFormat="1" applyFont="1" applyFill="1" applyBorder="1" applyAlignment="1">
      <alignment horizontal="center" vertical="center"/>
    </xf>
    <xf numFmtId="165" fontId="31775" fillId="8" borderId="1" xfId="0" applyNumberFormat="1" applyFont="1" applyFill="1" applyBorder="1" applyAlignment="1">
      <alignment horizontal="center" vertical="center"/>
    </xf>
    <xf numFmtId="164" fontId="31776" fillId="8" borderId="1" xfId="0" applyNumberFormat="1" applyFont="1" applyFill="1" applyBorder="1" applyAlignment="1">
      <alignment horizontal="center" vertical="center"/>
    </xf>
    <xf numFmtId="164" fontId="31777" fillId="8" borderId="1" xfId="0" applyNumberFormat="1" applyFont="1" applyFill="1" applyBorder="1" applyAlignment="1">
      <alignment horizontal="center" vertical="center"/>
    </xf>
    <xf numFmtId="1" fontId="31778" fillId="8" borderId="1" xfId="0" applyNumberFormat="1" applyFont="1" applyFill="1" applyBorder="1" applyAlignment="1">
      <alignment horizontal="center" vertical="center"/>
    </xf>
    <xf numFmtId="1" fontId="31779" fillId="8" borderId="1" xfId="0" applyNumberFormat="1" applyFont="1" applyFill="1" applyBorder="1" applyAlignment="1">
      <alignment horizontal="center" vertical="center"/>
    </xf>
    <xf numFmtId="1" fontId="31780" fillId="8" borderId="1" xfId="0" applyNumberFormat="1" applyFont="1" applyFill="1" applyBorder="1" applyAlignment="1">
      <alignment horizontal="center" vertical="center"/>
    </xf>
    <xf numFmtId="165" fontId="31781" fillId="8" borderId="1" xfId="0" applyNumberFormat="1" applyFont="1" applyFill="1" applyBorder="1" applyAlignment="1">
      <alignment horizontal="center" vertical="center"/>
    </xf>
    <xf numFmtId="1" fontId="31782" fillId="8" borderId="1" xfId="0" applyNumberFormat="1" applyFont="1" applyFill="1" applyBorder="1" applyAlignment="1">
      <alignment horizontal="center" vertical="center"/>
    </xf>
    <xf numFmtId="165" fontId="31783" fillId="8" borderId="1" xfId="0" applyNumberFormat="1" applyFont="1" applyFill="1" applyBorder="1" applyAlignment="1">
      <alignment horizontal="center" vertical="center"/>
    </xf>
    <xf numFmtId="1" fontId="31784" fillId="8" borderId="1" xfId="0" applyNumberFormat="1" applyFont="1" applyFill="1" applyBorder="1" applyAlignment="1">
      <alignment horizontal="center" vertical="center"/>
    </xf>
    <xf numFmtId="1" fontId="31785" fillId="8" borderId="1" xfId="0" applyNumberFormat="1" applyFont="1" applyFill="1" applyBorder="1" applyAlignment="1">
      <alignment horizontal="center" vertical="center"/>
    </xf>
    <xf numFmtId="1" fontId="31786" fillId="8" borderId="1" xfId="0" applyNumberFormat="1" applyFont="1" applyFill="1" applyBorder="1" applyAlignment="1">
      <alignment horizontal="center" vertical="center"/>
    </xf>
    <xf numFmtId="1" fontId="31787" fillId="8" borderId="1" xfId="0" applyNumberFormat="1" applyFont="1" applyFill="1" applyBorder="1" applyAlignment="1">
      <alignment horizontal="center" vertical="center"/>
    </xf>
    <xf numFmtId="165" fontId="31788" fillId="8" borderId="1" xfId="0" applyNumberFormat="1" applyFont="1" applyFill="1" applyBorder="1" applyAlignment="1">
      <alignment horizontal="center" vertical="center"/>
    </xf>
    <xf numFmtId="1" fontId="31789" fillId="8" borderId="1" xfId="0" applyNumberFormat="1" applyFont="1" applyFill="1" applyBorder="1" applyAlignment="1">
      <alignment horizontal="center" vertical="center"/>
    </xf>
    <xf numFmtId="165" fontId="31790" fillId="8" borderId="1" xfId="0" applyNumberFormat="1" applyFont="1" applyFill="1" applyBorder="1" applyAlignment="1">
      <alignment horizontal="center" vertical="center"/>
    </xf>
    <xf numFmtId="1" fontId="31791" fillId="8" borderId="1" xfId="0" applyNumberFormat="1" applyFont="1" applyFill="1" applyBorder="1" applyAlignment="1">
      <alignment horizontal="center" vertical="center"/>
    </xf>
    <xf numFmtId="165" fontId="31792" fillId="8" borderId="1" xfId="0" applyNumberFormat="1" applyFont="1" applyFill="1" applyBorder="1" applyAlignment="1">
      <alignment horizontal="center" vertical="center"/>
    </xf>
    <xf numFmtId="2" fontId="31793" fillId="8" borderId="1" xfId="0" applyNumberFormat="1" applyFont="1" applyFill="1" applyBorder="1" applyAlignment="1">
      <alignment horizontal="center" vertical="center"/>
    </xf>
    <xf numFmtId="2" fontId="31794" fillId="8" borderId="1" xfId="0" applyNumberFormat="1" applyFont="1" applyFill="1" applyBorder="1" applyAlignment="1">
      <alignment horizontal="center" vertical="center"/>
    </xf>
    <xf numFmtId="2" fontId="31795" fillId="8" borderId="1" xfId="0" applyNumberFormat="1" applyFont="1" applyFill="1" applyBorder="1" applyAlignment="1">
      <alignment horizontal="center" vertical="center"/>
    </xf>
    <xf numFmtId="2" fontId="31796" fillId="8" borderId="1" xfId="0" applyNumberFormat="1" applyFont="1" applyFill="1" applyBorder="1" applyAlignment="1">
      <alignment horizontal="center" vertical="center"/>
    </xf>
    <xf numFmtId="2" fontId="31797" fillId="8" borderId="1" xfId="0" applyNumberFormat="1" applyFont="1" applyFill="1" applyBorder="1" applyAlignment="1">
      <alignment horizontal="center" vertical="center"/>
    </xf>
    <xf numFmtId="2" fontId="31798" fillId="8" borderId="1" xfId="0" applyNumberFormat="1" applyFont="1" applyFill="1" applyBorder="1" applyAlignment="1">
      <alignment horizontal="center" vertical="center"/>
    </xf>
    <xf numFmtId="2" fontId="31799" fillId="8" borderId="1" xfId="0" applyNumberFormat="1" applyFont="1" applyFill="1" applyBorder="1" applyAlignment="1">
      <alignment horizontal="center" vertical="center"/>
    </xf>
    <xf numFmtId="2" fontId="31800" fillId="8" borderId="1" xfId="0" applyNumberFormat="1" applyFont="1" applyFill="1" applyBorder="1" applyAlignment="1">
      <alignment horizontal="center" vertical="center"/>
    </xf>
    <xf numFmtId="2" fontId="31801" fillId="8" borderId="1" xfId="0" applyNumberFormat="1" applyFont="1" applyFill="1" applyBorder="1" applyAlignment="1">
      <alignment horizontal="center" vertical="center"/>
    </xf>
    <xf numFmtId="2" fontId="31802" fillId="8" borderId="1" xfId="0" applyNumberFormat="1" applyFont="1" applyFill="1" applyBorder="1" applyAlignment="1">
      <alignment horizontal="center" vertical="center"/>
    </xf>
    <xf numFmtId="2" fontId="31803" fillId="8" borderId="1" xfId="0" applyNumberFormat="1" applyFont="1" applyFill="1" applyBorder="1" applyAlignment="1">
      <alignment horizontal="center" vertical="center"/>
    </xf>
    <xf numFmtId="2" fontId="31804" fillId="8" borderId="1" xfId="0" applyNumberFormat="1" applyFont="1" applyFill="1" applyBorder="1" applyAlignment="1">
      <alignment horizontal="center" vertical="center"/>
    </xf>
    <xf numFmtId="2" fontId="31805" fillId="8" borderId="1" xfId="0" applyNumberFormat="1" applyFont="1" applyFill="1" applyBorder="1" applyAlignment="1">
      <alignment horizontal="center" vertical="center"/>
    </xf>
    <xf numFmtId="2" fontId="31806" fillId="8" borderId="1" xfId="0" applyNumberFormat="1" applyFont="1" applyFill="1" applyBorder="1" applyAlignment="1">
      <alignment horizontal="center" vertical="center"/>
    </xf>
    <xf numFmtId="2" fontId="31807" fillId="8" borderId="1" xfId="0" applyNumberFormat="1" applyFont="1" applyFill="1" applyBorder="1" applyAlignment="1">
      <alignment horizontal="center" vertical="center"/>
    </xf>
    <xf numFmtId="2" fontId="31808" fillId="8" borderId="1" xfId="0" applyNumberFormat="1" applyFont="1" applyFill="1" applyBorder="1" applyAlignment="1">
      <alignment horizontal="center" vertical="center"/>
    </xf>
    <xf numFmtId="2" fontId="31809" fillId="8" borderId="1" xfId="0" applyNumberFormat="1" applyFont="1" applyFill="1" applyBorder="1" applyAlignment="1">
      <alignment horizontal="center" vertical="center"/>
    </xf>
    <xf numFmtId="2" fontId="31810" fillId="8" borderId="1" xfId="0" applyNumberFormat="1" applyFont="1" applyFill="1" applyBorder="1" applyAlignment="1">
      <alignment horizontal="center" vertical="center"/>
    </xf>
    <xf numFmtId="2" fontId="31811" fillId="8" borderId="1" xfId="0" applyNumberFormat="1" applyFont="1" applyFill="1" applyBorder="1" applyAlignment="1">
      <alignment horizontal="center" vertical="center"/>
    </xf>
    <xf numFmtId="2" fontId="31812" fillId="8" borderId="1" xfId="0" applyNumberFormat="1" applyFont="1" applyFill="1" applyBorder="1" applyAlignment="1">
      <alignment horizontal="center" vertical="center"/>
    </xf>
    <xf numFmtId="2" fontId="31813" fillId="8" borderId="1" xfId="0" applyNumberFormat="1" applyFont="1" applyFill="1" applyBorder="1" applyAlignment="1">
      <alignment horizontal="center" vertical="center"/>
    </xf>
    <xf numFmtId="2" fontId="31814" fillId="8" borderId="1" xfId="0" applyNumberFormat="1" applyFont="1" applyFill="1" applyBorder="1" applyAlignment="1">
      <alignment horizontal="center" vertical="center"/>
    </xf>
    <xf numFmtId="2" fontId="31815" fillId="8" borderId="1" xfId="0" applyNumberFormat="1" applyFont="1" applyFill="1" applyBorder="1" applyAlignment="1">
      <alignment horizontal="center" vertical="center"/>
    </xf>
    <xf numFmtId="2" fontId="31816" fillId="8" borderId="1" xfId="0" applyNumberFormat="1" applyFont="1" applyFill="1" applyBorder="1" applyAlignment="1">
      <alignment horizontal="center" vertical="center"/>
    </xf>
    <xf numFmtId="2" fontId="31817" fillId="8" borderId="1" xfId="0" applyNumberFormat="1" applyFont="1" applyFill="1" applyBorder="1" applyAlignment="1">
      <alignment horizontal="center" vertical="center"/>
    </xf>
    <xf numFmtId="2" fontId="31818" fillId="8" borderId="1" xfId="0" applyNumberFormat="1" applyFont="1" applyFill="1" applyBorder="1" applyAlignment="1">
      <alignment horizontal="center" vertical="center"/>
    </xf>
    <xf numFmtId="2" fontId="31819" fillId="8" borderId="1" xfId="0" applyNumberFormat="1" applyFont="1" applyFill="1" applyBorder="1" applyAlignment="1">
      <alignment horizontal="center" vertical="center"/>
    </xf>
    <xf numFmtId="2" fontId="31820" fillId="8" borderId="1" xfId="0" applyNumberFormat="1" applyFont="1" applyFill="1" applyBorder="1" applyAlignment="1">
      <alignment horizontal="center" vertical="center"/>
    </xf>
    <xf numFmtId="2" fontId="31821" fillId="8" borderId="1" xfId="0" applyNumberFormat="1" applyFont="1" applyFill="1" applyBorder="1" applyAlignment="1">
      <alignment horizontal="center" vertical="center"/>
    </xf>
    <xf numFmtId="2" fontId="31822" fillId="8" borderId="1" xfId="0" applyNumberFormat="1" applyFont="1" applyFill="1" applyBorder="1" applyAlignment="1">
      <alignment horizontal="center" vertical="center"/>
    </xf>
    <xf numFmtId="2" fontId="31823" fillId="8" borderId="1" xfId="0" applyNumberFormat="1" applyFont="1" applyFill="1" applyBorder="1" applyAlignment="1">
      <alignment horizontal="center" vertical="center"/>
    </xf>
    <xf numFmtId="2" fontId="31824" fillId="8" borderId="1" xfId="0" applyNumberFormat="1" applyFont="1" applyFill="1" applyBorder="1" applyAlignment="1">
      <alignment horizontal="center" vertical="center"/>
    </xf>
    <xf numFmtId="2" fontId="31825" fillId="8" borderId="1" xfId="0" applyNumberFormat="1" applyFont="1" applyFill="1" applyBorder="1" applyAlignment="1">
      <alignment horizontal="center" vertical="center"/>
    </xf>
    <xf numFmtId="2" fontId="31826" fillId="8" borderId="1" xfId="0" applyNumberFormat="1" applyFont="1" applyFill="1" applyBorder="1" applyAlignment="1">
      <alignment horizontal="center" vertical="center"/>
    </xf>
    <xf numFmtId="0" fontId="31827" fillId="7" borderId="1" xfId="0" applyNumberFormat="1" applyFont="1" applyFill="1" applyBorder="1" applyAlignment="1">
      <alignment horizontal="left" vertical="center"/>
    </xf>
    <xf numFmtId="0" fontId="31828" fillId="8" borderId="1" xfId="0" applyNumberFormat="1" applyFont="1" applyFill="1" applyBorder="1" applyAlignment="1">
      <alignment horizontal="center" vertical="center"/>
    </xf>
    <xf numFmtId="164" fontId="31829" fillId="8" borderId="1" xfId="0" applyNumberFormat="1" applyFont="1" applyFill="1" applyBorder="1" applyAlignment="1">
      <alignment horizontal="center" vertical="center"/>
    </xf>
    <xf numFmtId="1" fontId="31830" fillId="8" borderId="1" xfId="0" applyNumberFormat="1" applyFont="1" applyFill="1" applyBorder="1" applyAlignment="1">
      <alignment horizontal="center" vertical="center"/>
    </xf>
    <xf numFmtId="1" fontId="31831" fillId="8" borderId="1" xfId="0" applyNumberFormat="1" applyFont="1" applyFill="1" applyBorder="1" applyAlignment="1">
      <alignment horizontal="center" vertical="center"/>
    </xf>
    <xf numFmtId="1" fontId="31832" fillId="8" borderId="1" xfId="0" applyNumberFormat="1" applyFont="1" applyFill="1" applyBorder="1" applyAlignment="1">
      <alignment horizontal="center" vertical="center"/>
    </xf>
    <xf numFmtId="1" fontId="31833" fillId="8" borderId="1" xfId="0" applyNumberFormat="1" applyFont="1" applyFill="1" applyBorder="1" applyAlignment="1">
      <alignment horizontal="center" vertical="center"/>
    </xf>
    <xf numFmtId="1" fontId="31834" fillId="8" borderId="1" xfId="0" applyNumberFormat="1" applyFont="1" applyFill="1" applyBorder="1" applyAlignment="1">
      <alignment horizontal="center" vertical="center"/>
    </xf>
    <xf numFmtId="1" fontId="31835" fillId="8" borderId="1" xfId="0" applyNumberFormat="1" applyFont="1" applyFill="1" applyBorder="1" applyAlignment="1">
      <alignment horizontal="center" vertical="center"/>
    </xf>
    <xf numFmtId="1" fontId="31836" fillId="8" borderId="1" xfId="0" applyNumberFormat="1" applyFont="1" applyFill="1" applyBorder="1" applyAlignment="1">
      <alignment horizontal="center" vertical="center"/>
    </xf>
    <xf numFmtId="0" fontId="31837" fillId="8" borderId="1" xfId="0" applyNumberFormat="1" applyFont="1" applyFill="1" applyBorder="1" applyAlignment="1">
      <alignment horizontal="center" vertical="center"/>
    </xf>
    <xf numFmtId="0" fontId="31838" fillId="8" borderId="1" xfId="0" applyNumberFormat="1" applyFont="1" applyFill="1" applyBorder="1" applyAlignment="1">
      <alignment horizontal="center" vertical="center"/>
    </xf>
    <xf numFmtId="1" fontId="31839" fillId="8" borderId="1" xfId="0" applyNumberFormat="1" applyFont="1" applyFill="1" applyBorder="1" applyAlignment="1">
      <alignment horizontal="center" vertical="center"/>
    </xf>
    <xf numFmtId="1" fontId="31840" fillId="8" borderId="1" xfId="0" applyNumberFormat="1" applyFont="1" applyFill="1" applyBorder="1" applyAlignment="1">
      <alignment horizontal="center" vertical="center"/>
    </xf>
    <xf numFmtId="1" fontId="31841" fillId="8" borderId="1" xfId="0" applyNumberFormat="1" applyFont="1" applyFill="1" applyBorder="1" applyAlignment="1">
      <alignment horizontal="center" vertical="center"/>
    </xf>
    <xf numFmtId="165" fontId="31842" fillId="8" borderId="1" xfId="0" applyNumberFormat="1" applyFont="1" applyFill="1" applyBorder="1" applyAlignment="1">
      <alignment horizontal="center" vertical="center"/>
    </xf>
    <xf numFmtId="1" fontId="31843" fillId="8" borderId="1" xfId="0" applyNumberFormat="1" applyFont="1" applyFill="1" applyBorder="1" applyAlignment="1">
      <alignment horizontal="center" vertical="center"/>
    </xf>
    <xf numFmtId="165" fontId="31844" fillId="8" borderId="1" xfId="0" applyNumberFormat="1" applyFont="1" applyFill="1" applyBorder="1" applyAlignment="1">
      <alignment horizontal="center" vertical="center"/>
    </xf>
    <xf numFmtId="1" fontId="31845" fillId="8" borderId="1" xfId="0" applyNumberFormat="1" applyFont="1" applyFill="1" applyBorder="1" applyAlignment="1">
      <alignment horizontal="center" vertical="center"/>
    </xf>
    <xf numFmtId="165" fontId="31846" fillId="8" borderId="1" xfId="0" applyNumberFormat="1" applyFont="1" applyFill="1" applyBorder="1" applyAlignment="1">
      <alignment horizontal="center" vertical="center"/>
    </xf>
    <xf numFmtId="1" fontId="31847" fillId="8" borderId="1" xfId="0" applyNumberFormat="1" applyFont="1" applyFill="1" applyBorder="1" applyAlignment="1">
      <alignment horizontal="center" vertical="center"/>
    </xf>
    <xf numFmtId="165" fontId="31848" fillId="8" borderId="1" xfId="0" applyNumberFormat="1" applyFont="1" applyFill="1" applyBorder="1" applyAlignment="1">
      <alignment horizontal="center" vertical="center"/>
    </xf>
    <xf numFmtId="165" fontId="31849" fillId="8" borderId="1" xfId="0" applyNumberFormat="1" applyFont="1" applyFill="1" applyBorder="1" applyAlignment="1">
      <alignment horizontal="center" vertical="center"/>
    </xf>
    <xf numFmtId="1" fontId="31850" fillId="8" borderId="1" xfId="0" applyNumberFormat="1" applyFont="1" applyFill="1" applyBorder="1" applyAlignment="1">
      <alignment horizontal="center" vertical="center"/>
    </xf>
    <xf numFmtId="1" fontId="31851" fillId="8" borderId="1" xfId="0" applyNumberFormat="1" applyFont="1" applyFill="1" applyBorder="1" applyAlignment="1">
      <alignment horizontal="center" vertical="center"/>
    </xf>
    <xf numFmtId="1" fontId="31852" fillId="8" borderId="1" xfId="0" applyNumberFormat="1" applyFont="1" applyFill="1" applyBorder="1" applyAlignment="1">
      <alignment horizontal="center" vertical="center"/>
    </xf>
    <xf numFmtId="165" fontId="31853" fillId="8" borderId="1" xfId="0" applyNumberFormat="1" applyFont="1" applyFill="1" applyBorder="1" applyAlignment="1">
      <alignment horizontal="center" vertical="center"/>
    </xf>
    <xf numFmtId="164" fontId="31854" fillId="8" borderId="1" xfId="0" applyNumberFormat="1" applyFont="1" applyFill="1" applyBorder="1" applyAlignment="1">
      <alignment horizontal="center" vertical="center"/>
    </xf>
    <xf numFmtId="164" fontId="31855" fillId="8" borderId="1" xfId="0" applyNumberFormat="1" applyFont="1" applyFill="1" applyBorder="1" applyAlignment="1">
      <alignment horizontal="center" vertical="center"/>
    </xf>
    <xf numFmtId="1" fontId="31856" fillId="8" borderId="1" xfId="0" applyNumberFormat="1" applyFont="1" applyFill="1" applyBorder="1" applyAlignment="1">
      <alignment horizontal="center" vertical="center"/>
    </xf>
    <xf numFmtId="1" fontId="31857" fillId="8" borderId="1" xfId="0" applyNumberFormat="1" applyFont="1" applyFill="1" applyBorder="1" applyAlignment="1">
      <alignment horizontal="center" vertical="center"/>
    </xf>
    <xf numFmtId="1" fontId="31858" fillId="8" borderId="1" xfId="0" applyNumberFormat="1" applyFont="1" applyFill="1" applyBorder="1" applyAlignment="1">
      <alignment horizontal="center" vertical="center"/>
    </xf>
    <xf numFmtId="165" fontId="31859" fillId="8" borderId="1" xfId="0" applyNumberFormat="1" applyFont="1" applyFill="1" applyBorder="1" applyAlignment="1">
      <alignment horizontal="center" vertical="center"/>
    </xf>
    <xf numFmtId="1" fontId="31860" fillId="8" borderId="1" xfId="0" applyNumberFormat="1" applyFont="1" applyFill="1" applyBorder="1" applyAlignment="1">
      <alignment horizontal="center" vertical="center"/>
    </xf>
    <xf numFmtId="165" fontId="31861" fillId="8" borderId="1" xfId="0" applyNumberFormat="1" applyFont="1" applyFill="1" applyBorder="1" applyAlignment="1">
      <alignment horizontal="center" vertical="center"/>
    </xf>
    <xf numFmtId="1" fontId="31862" fillId="8" borderId="1" xfId="0" applyNumberFormat="1" applyFont="1" applyFill="1" applyBorder="1" applyAlignment="1">
      <alignment horizontal="center" vertical="center"/>
    </xf>
    <xf numFmtId="1" fontId="31863" fillId="8" borderId="1" xfId="0" applyNumberFormat="1" applyFont="1" applyFill="1" applyBorder="1" applyAlignment="1">
      <alignment horizontal="center" vertical="center"/>
    </xf>
    <xf numFmtId="1" fontId="31864" fillId="8" borderId="1" xfId="0" applyNumberFormat="1" applyFont="1" applyFill="1" applyBorder="1" applyAlignment="1">
      <alignment horizontal="center" vertical="center"/>
    </xf>
    <xf numFmtId="1" fontId="31865" fillId="8" borderId="1" xfId="0" applyNumberFormat="1" applyFont="1" applyFill="1" applyBorder="1" applyAlignment="1">
      <alignment horizontal="center" vertical="center"/>
    </xf>
    <xf numFmtId="165" fontId="31866" fillId="8" borderId="1" xfId="0" applyNumberFormat="1" applyFont="1" applyFill="1" applyBorder="1" applyAlignment="1">
      <alignment horizontal="center" vertical="center"/>
    </xf>
    <xf numFmtId="1" fontId="31867" fillId="8" borderId="1" xfId="0" applyNumberFormat="1" applyFont="1" applyFill="1" applyBorder="1" applyAlignment="1">
      <alignment horizontal="center" vertical="center"/>
    </xf>
    <xf numFmtId="165" fontId="31868" fillId="8" borderId="1" xfId="0" applyNumberFormat="1" applyFont="1" applyFill="1" applyBorder="1" applyAlignment="1">
      <alignment horizontal="center" vertical="center"/>
    </xf>
    <xf numFmtId="1" fontId="31869" fillId="8" borderId="1" xfId="0" applyNumberFormat="1" applyFont="1" applyFill="1" applyBorder="1" applyAlignment="1">
      <alignment horizontal="center" vertical="center"/>
    </xf>
    <xf numFmtId="165" fontId="31870" fillId="8" borderId="1" xfId="0" applyNumberFormat="1" applyFont="1" applyFill="1" applyBorder="1" applyAlignment="1">
      <alignment horizontal="center" vertical="center"/>
    </xf>
    <xf numFmtId="2" fontId="31871" fillId="8" borderId="1" xfId="0" applyNumberFormat="1" applyFont="1" applyFill="1" applyBorder="1" applyAlignment="1">
      <alignment horizontal="center" vertical="center"/>
    </xf>
    <xf numFmtId="2" fontId="31872" fillId="8" borderId="1" xfId="0" applyNumberFormat="1" applyFont="1" applyFill="1" applyBorder="1" applyAlignment="1">
      <alignment horizontal="center" vertical="center"/>
    </xf>
    <xf numFmtId="2" fontId="31873" fillId="8" borderId="1" xfId="0" applyNumberFormat="1" applyFont="1" applyFill="1" applyBorder="1" applyAlignment="1">
      <alignment horizontal="center" vertical="center"/>
    </xf>
    <xf numFmtId="2" fontId="31874" fillId="8" borderId="1" xfId="0" applyNumberFormat="1" applyFont="1" applyFill="1" applyBorder="1" applyAlignment="1">
      <alignment horizontal="center" vertical="center"/>
    </xf>
    <xf numFmtId="2" fontId="31875" fillId="8" borderId="1" xfId="0" applyNumberFormat="1" applyFont="1" applyFill="1" applyBorder="1" applyAlignment="1">
      <alignment horizontal="center" vertical="center"/>
    </xf>
    <xf numFmtId="2" fontId="31876" fillId="8" borderId="1" xfId="0" applyNumberFormat="1" applyFont="1" applyFill="1" applyBorder="1" applyAlignment="1">
      <alignment horizontal="center" vertical="center"/>
    </xf>
    <xf numFmtId="2" fontId="31877" fillId="8" borderId="1" xfId="0" applyNumberFormat="1" applyFont="1" applyFill="1" applyBorder="1" applyAlignment="1">
      <alignment horizontal="center" vertical="center"/>
    </xf>
    <xf numFmtId="2" fontId="31878" fillId="8" borderId="1" xfId="0" applyNumberFormat="1" applyFont="1" applyFill="1" applyBorder="1" applyAlignment="1">
      <alignment horizontal="center" vertical="center"/>
    </xf>
    <xf numFmtId="2" fontId="31879" fillId="8" borderId="1" xfId="0" applyNumberFormat="1" applyFont="1" applyFill="1" applyBorder="1" applyAlignment="1">
      <alignment horizontal="center" vertical="center"/>
    </xf>
    <xf numFmtId="2" fontId="31880" fillId="8" borderId="1" xfId="0" applyNumberFormat="1" applyFont="1" applyFill="1" applyBorder="1" applyAlignment="1">
      <alignment horizontal="center" vertical="center"/>
    </xf>
    <xf numFmtId="2" fontId="31881" fillId="8" borderId="1" xfId="0" applyNumberFormat="1" applyFont="1" applyFill="1" applyBorder="1" applyAlignment="1">
      <alignment horizontal="center" vertical="center"/>
    </xf>
    <xf numFmtId="2" fontId="31882" fillId="8" borderId="1" xfId="0" applyNumberFormat="1" applyFont="1" applyFill="1" applyBorder="1" applyAlignment="1">
      <alignment horizontal="center" vertical="center"/>
    </xf>
    <xf numFmtId="2" fontId="31883" fillId="8" borderId="1" xfId="0" applyNumberFormat="1" applyFont="1" applyFill="1" applyBorder="1" applyAlignment="1">
      <alignment horizontal="center" vertical="center"/>
    </xf>
    <xf numFmtId="2" fontId="31884" fillId="8" borderId="1" xfId="0" applyNumberFormat="1" applyFont="1" applyFill="1" applyBorder="1" applyAlignment="1">
      <alignment horizontal="center" vertical="center"/>
    </xf>
    <xf numFmtId="2" fontId="31885" fillId="8" borderId="1" xfId="0" applyNumberFormat="1" applyFont="1" applyFill="1" applyBorder="1" applyAlignment="1">
      <alignment horizontal="center" vertical="center"/>
    </xf>
    <xf numFmtId="2" fontId="31886" fillId="8" borderId="1" xfId="0" applyNumberFormat="1" applyFont="1" applyFill="1" applyBorder="1" applyAlignment="1">
      <alignment horizontal="center" vertical="center"/>
    </xf>
    <xf numFmtId="2" fontId="31887" fillId="8" borderId="1" xfId="0" applyNumberFormat="1" applyFont="1" applyFill="1" applyBorder="1" applyAlignment="1">
      <alignment horizontal="center" vertical="center"/>
    </xf>
    <xf numFmtId="2" fontId="31888" fillId="8" borderId="1" xfId="0" applyNumberFormat="1" applyFont="1" applyFill="1" applyBorder="1" applyAlignment="1">
      <alignment horizontal="center" vertical="center"/>
    </xf>
    <xf numFmtId="2" fontId="31889" fillId="8" borderId="1" xfId="0" applyNumberFormat="1" applyFont="1" applyFill="1" applyBorder="1" applyAlignment="1">
      <alignment horizontal="center" vertical="center"/>
    </xf>
    <xf numFmtId="2" fontId="31890" fillId="8" borderId="1" xfId="0" applyNumberFormat="1" applyFont="1" applyFill="1" applyBorder="1" applyAlignment="1">
      <alignment horizontal="center" vertical="center"/>
    </xf>
    <xf numFmtId="2" fontId="31891" fillId="8" borderId="1" xfId="0" applyNumberFormat="1" applyFont="1" applyFill="1" applyBorder="1" applyAlignment="1">
      <alignment horizontal="center" vertical="center"/>
    </xf>
    <xf numFmtId="2" fontId="31892" fillId="8" borderId="1" xfId="0" applyNumberFormat="1" applyFont="1" applyFill="1" applyBorder="1" applyAlignment="1">
      <alignment horizontal="center" vertical="center"/>
    </xf>
    <xf numFmtId="2" fontId="31893" fillId="8" borderId="1" xfId="0" applyNumberFormat="1" applyFont="1" applyFill="1" applyBorder="1" applyAlignment="1">
      <alignment horizontal="center" vertical="center"/>
    </xf>
    <xf numFmtId="2" fontId="31894" fillId="8" borderId="1" xfId="0" applyNumberFormat="1" applyFont="1" applyFill="1" applyBorder="1" applyAlignment="1">
      <alignment horizontal="center" vertical="center"/>
    </xf>
    <xf numFmtId="2" fontId="31895" fillId="8" borderId="1" xfId="0" applyNumberFormat="1" applyFont="1" applyFill="1" applyBorder="1" applyAlignment="1">
      <alignment horizontal="center" vertical="center"/>
    </xf>
    <xf numFmtId="2" fontId="31896" fillId="8" borderId="1" xfId="0" applyNumberFormat="1" applyFont="1" applyFill="1" applyBorder="1" applyAlignment="1">
      <alignment horizontal="center" vertical="center"/>
    </xf>
    <xf numFmtId="2" fontId="31897" fillId="8" borderId="1" xfId="0" applyNumberFormat="1" applyFont="1" applyFill="1" applyBorder="1" applyAlignment="1">
      <alignment horizontal="center" vertical="center"/>
    </xf>
    <xf numFmtId="2" fontId="31898" fillId="8" borderId="1" xfId="0" applyNumberFormat="1" applyFont="1" applyFill="1" applyBorder="1" applyAlignment="1">
      <alignment horizontal="center" vertical="center"/>
    </xf>
    <xf numFmtId="2" fontId="31899" fillId="8" borderId="1" xfId="0" applyNumberFormat="1" applyFont="1" applyFill="1" applyBorder="1" applyAlignment="1">
      <alignment horizontal="center" vertical="center"/>
    </xf>
    <xf numFmtId="2" fontId="31900" fillId="8" borderId="1" xfId="0" applyNumberFormat="1" applyFont="1" applyFill="1" applyBorder="1" applyAlignment="1">
      <alignment horizontal="center" vertical="center"/>
    </xf>
    <xf numFmtId="2" fontId="31901" fillId="8" borderId="1" xfId="0" applyNumberFormat="1" applyFont="1" applyFill="1" applyBorder="1" applyAlignment="1">
      <alignment horizontal="center" vertical="center"/>
    </xf>
    <xf numFmtId="2" fontId="31902" fillId="8" borderId="1" xfId="0" applyNumberFormat="1" applyFont="1" applyFill="1" applyBorder="1" applyAlignment="1">
      <alignment horizontal="center" vertical="center"/>
    </xf>
    <xf numFmtId="2" fontId="31903" fillId="8" borderId="1" xfId="0" applyNumberFormat="1" applyFont="1" applyFill="1" applyBorder="1" applyAlignment="1">
      <alignment horizontal="center" vertical="center"/>
    </xf>
    <xf numFmtId="2" fontId="31904" fillId="8" borderId="1" xfId="0" applyNumberFormat="1" applyFont="1" applyFill="1" applyBorder="1" applyAlignment="1">
      <alignment horizontal="center" vertical="center"/>
    </xf>
    <xf numFmtId="0" fontId="31905" fillId="7" borderId="1" xfId="0" applyNumberFormat="1" applyFont="1" applyFill="1" applyBorder="1" applyAlignment="1">
      <alignment horizontal="left" vertical="center"/>
    </xf>
    <xf numFmtId="0" fontId="31906" fillId="8" borderId="1" xfId="0" applyNumberFormat="1" applyFont="1" applyFill="1" applyBorder="1" applyAlignment="1">
      <alignment horizontal="center" vertical="center"/>
    </xf>
    <xf numFmtId="164" fontId="31907" fillId="8" borderId="1" xfId="0" applyNumberFormat="1" applyFont="1" applyFill="1" applyBorder="1" applyAlignment="1">
      <alignment horizontal="center" vertical="center"/>
    </xf>
    <xf numFmtId="1" fontId="31908" fillId="8" borderId="1" xfId="0" applyNumberFormat="1" applyFont="1" applyFill="1" applyBorder="1" applyAlignment="1">
      <alignment horizontal="center" vertical="center"/>
    </xf>
    <xf numFmtId="1" fontId="31909" fillId="8" borderId="1" xfId="0" applyNumberFormat="1" applyFont="1" applyFill="1" applyBorder="1" applyAlignment="1">
      <alignment horizontal="center" vertical="center"/>
    </xf>
    <xf numFmtId="1" fontId="31910" fillId="8" borderId="1" xfId="0" applyNumberFormat="1" applyFont="1" applyFill="1" applyBorder="1" applyAlignment="1">
      <alignment horizontal="center" vertical="center"/>
    </xf>
    <xf numFmtId="1" fontId="31911" fillId="8" borderId="1" xfId="0" applyNumberFormat="1" applyFont="1" applyFill="1" applyBorder="1" applyAlignment="1">
      <alignment horizontal="center" vertical="center"/>
    </xf>
    <xf numFmtId="1" fontId="31912" fillId="8" borderId="1" xfId="0" applyNumberFormat="1" applyFont="1" applyFill="1" applyBorder="1" applyAlignment="1">
      <alignment horizontal="center" vertical="center"/>
    </xf>
    <xf numFmtId="1" fontId="31913" fillId="8" borderId="1" xfId="0" applyNumberFormat="1" applyFont="1" applyFill="1" applyBorder="1" applyAlignment="1">
      <alignment horizontal="center" vertical="center"/>
    </xf>
    <xf numFmtId="1" fontId="31914" fillId="8" borderId="1" xfId="0" applyNumberFormat="1" applyFont="1" applyFill="1" applyBorder="1" applyAlignment="1">
      <alignment horizontal="center" vertical="center"/>
    </xf>
    <xf numFmtId="0" fontId="31915" fillId="8" borderId="1" xfId="0" applyNumberFormat="1" applyFont="1" applyFill="1" applyBorder="1" applyAlignment="1">
      <alignment horizontal="center" vertical="center"/>
    </xf>
    <xf numFmtId="0" fontId="31916" fillId="8" borderId="1" xfId="0" applyNumberFormat="1" applyFont="1" applyFill="1" applyBorder="1" applyAlignment="1">
      <alignment horizontal="center" vertical="center"/>
    </xf>
    <xf numFmtId="1" fontId="31917" fillId="8" borderId="1" xfId="0" applyNumberFormat="1" applyFont="1" applyFill="1" applyBorder="1" applyAlignment="1">
      <alignment horizontal="center" vertical="center"/>
    </xf>
    <xf numFmtId="1" fontId="31918" fillId="8" borderId="1" xfId="0" applyNumberFormat="1" applyFont="1" applyFill="1" applyBorder="1" applyAlignment="1">
      <alignment horizontal="center" vertical="center"/>
    </xf>
    <xf numFmtId="1" fontId="31919" fillId="8" borderId="1" xfId="0" applyNumberFormat="1" applyFont="1" applyFill="1" applyBorder="1" applyAlignment="1">
      <alignment horizontal="center" vertical="center"/>
    </xf>
    <xf numFmtId="165" fontId="31920" fillId="8" borderId="1" xfId="0" applyNumberFormat="1" applyFont="1" applyFill="1" applyBorder="1" applyAlignment="1">
      <alignment horizontal="center" vertical="center"/>
    </xf>
    <xf numFmtId="1" fontId="31921" fillId="8" borderId="1" xfId="0" applyNumberFormat="1" applyFont="1" applyFill="1" applyBorder="1" applyAlignment="1">
      <alignment horizontal="center" vertical="center"/>
    </xf>
    <xf numFmtId="165" fontId="31922" fillId="8" borderId="1" xfId="0" applyNumberFormat="1" applyFont="1" applyFill="1" applyBorder="1" applyAlignment="1">
      <alignment horizontal="center" vertical="center"/>
    </xf>
    <xf numFmtId="1" fontId="31923" fillId="8" borderId="1" xfId="0" applyNumberFormat="1" applyFont="1" applyFill="1" applyBorder="1" applyAlignment="1">
      <alignment horizontal="center" vertical="center"/>
    </xf>
    <xf numFmtId="165" fontId="31924" fillId="8" borderId="1" xfId="0" applyNumberFormat="1" applyFont="1" applyFill="1" applyBorder="1" applyAlignment="1">
      <alignment horizontal="center" vertical="center"/>
    </xf>
    <xf numFmtId="1" fontId="31925" fillId="8" borderId="1" xfId="0" applyNumberFormat="1" applyFont="1" applyFill="1" applyBorder="1" applyAlignment="1">
      <alignment horizontal="center" vertical="center"/>
    </xf>
    <xf numFmtId="165" fontId="31926" fillId="8" borderId="1" xfId="0" applyNumberFormat="1" applyFont="1" applyFill="1" applyBorder="1" applyAlignment="1">
      <alignment horizontal="center" vertical="center"/>
    </xf>
    <xf numFmtId="165" fontId="31927" fillId="8" borderId="1" xfId="0" applyNumberFormat="1" applyFont="1" applyFill="1" applyBorder="1" applyAlignment="1">
      <alignment horizontal="center" vertical="center"/>
    </xf>
    <xf numFmtId="1" fontId="31928" fillId="8" borderId="1" xfId="0" applyNumberFormat="1" applyFont="1" applyFill="1" applyBorder="1" applyAlignment="1">
      <alignment horizontal="center" vertical="center"/>
    </xf>
    <xf numFmtId="1" fontId="31929" fillId="8" borderId="1" xfId="0" applyNumberFormat="1" applyFont="1" applyFill="1" applyBorder="1" applyAlignment="1">
      <alignment horizontal="center" vertical="center"/>
    </xf>
    <xf numFmtId="1" fontId="31930" fillId="8" borderId="1" xfId="0" applyNumberFormat="1" applyFont="1" applyFill="1" applyBorder="1" applyAlignment="1">
      <alignment horizontal="center" vertical="center"/>
    </xf>
    <xf numFmtId="165" fontId="31931" fillId="8" borderId="1" xfId="0" applyNumberFormat="1" applyFont="1" applyFill="1" applyBorder="1" applyAlignment="1">
      <alignment horizontal="center" vertical="center"/>
    </xf>
    <xf numFmtId="164" fontId="31932" fillId="8" borderId="1" xfId="0" applyNumberFormat="1" applyFont="1" applyFill="1" applyBorder="1" applyAlignment="1">
      <alignment horizontal="center" vertical="center"/>
    </xf>
    <xf numFmtId="164" fontId="31933" fillId="8" borderId="1" xfId="0" applyNumberFormat="1" applyFont="1" applyFill="1" applyBorder="1" applyAlignment="1">
      <alignment horizontal="center" vertical="center"/>
    </xf>
    <xf numFmtId="1" fontId="31934" fillId="8" borderId="1" xfId="0" applyNumberFormat="1" applyFont="1" applyFill="1" applyBorder="1" applyAlignment="1">
      <alignment horizontal="center" vertical="center"/>
    </xf>
    <xf numFmtId="1" fontId="31935" fillId="8" borderId="1" xfId="0" applyNumberFormat="1" applyFont="1" applyFill="1" applyBorder="1" applyAlignment="1">
      <alignment horizontal="center" vertical="center"/>
    </xf>
    <xf numFmtId="1" fontId="31936" fillId="8" borderId="1" xfId="0" applyNumberFormat="1" applyFont="1" applyFill="1" applyBorder="1" applyAlignment="1">
      <alignment horizontal="center" vertical="center"/>
    </xf>
    <xf numFmtId="165" fontId="31937" fillId="8" borderId="1" xfId="0" applyNumberFormat="1" applyFont="1" applyFill="1" applyBorder="1" applyAlignment="1">
      <alignment horizontal="center" vertical="center"/>
    </xf>
    <xf numFmtId="1" fontId="31938" fillId="8" borderId="1" xfId="0" applyNumberFormat="1" applyFont="1" applyFill="1" applyBorder="1" applyAlignment="1">
      <alignment horizontal="center" vertical="center"/>
    </xf>
    <xf numFmtId="165" fontId="31939" fillId="8" borderId="1" xfId="0" applyNumberFormat="1" applyFont="1" applyFill="1" applyBorder="1" applyAlignment="1">
      <alignment horizontal="center" vertical="center"/>
    </xf>
    <xf numFmtId="1" fontId="31940" fillId="8" borderId="1" xfId="0" applyNumberFormat="1" applyFont="1" applyFill="1" applyBorder="1" applyAlignment="1">
      <alignment horizontal="center" vertical="center"/>
    </xf>
    <xf numFmtId="1" fontId="31941" fillId="8" borderId="1" xfId="0" applyNumberFormat="1" applyFont="1" applyFill="1" applyBorder="1" applyAlignment="1">
      <alignment horizontal="center" vertical="center"/>
    </xf>
    <xf numFmtId="1" fontId="31942" fillId="8" borderId="1" xfId="0" applyNumberFormat="1" applyFont="1" applyFill="1" applyBorder="1" applyAlignment="1">
      <alignment horizontal="center" vertical="center"/>
    </xf>
    <xf numFmtId="1" fontId="31943" fillId="8" borderId="1" xfId="0" applyNumberFormat="1" applyFont="1" applyFill="1" applyBorder="1" applyAlignment="1">
      <alignment horizontal="center" vertical="center"/>
    </xf>
    <xf numFmtId="165" fontId="31944" fillId="8" borderId="1" xfId="0" applyNumberFormat="1" applyFont="1" applyFill="1" applyBorder="1" applyAlignment="1">
      <alignment horizontal="center" vertical="center"/>
    </xf>
    <xf numFmtId="1" fontId="31945" fillId="8" borderId="1" xfId="0" applyNumberFormat="1" applyFont="1" applyFill="1" applyBorder="1" applyAlignment="1">
      <alignment horizontal="center" vertical="center"/>
    </xf>
    <xf numFmtId="165" fontId="31946" fillId="8" borderId="1" xfId="0" applyNumberFormat="1" applyFont="1" applyFill="1" applyBorder="1" applyAlignment="1">
      <alignment horizontal="center" vertical="center"/>
    </xf>
    <xf numFmtId="1" fontId="31947" fillId="8" borderId="1" xfId="0" applyNumberFormat="1" applyFont="1" applyFill="1" applyBorder="1" applyAlignment="1">
      <alignment horizontal="center" vertical="center"/>
    </xf>
    <xf numFmtId="165" fontId="31948" fillId="8" borderId="1" xfId="0" applyNumberFormat="1" applyFont="1" applyFill="1" applyBorder="1" applyAlignment="1">
      <alignment horizontal="center" vertical="center"/>
    </xf>
    <xf numFmtId="2" fontId="31949" fillId="8" borderId="1" xfId="0" applyNumberFormat="1" applyFont="1" applyFill="1" applyBorder="1" applyAlignment="1">
      <alignment horizontal="center" vertical="center"/>
    </xf>
    <xf numFmtId="2" fontId="31950" fillId="8" borderId="1" xfId="0" applyNumberFormat="1" applyFont="1" applyFill="1" applyBorder="1" applyAlignment="1">
      <alignment horizontal="center" vertical="center"/>
    </xf>
    <xf numFmtId="2" fontId="31951" fillId="8" borderId="1" xfId="0" applyNumberFormat="1" applyFont="1" applyFill="1" applyBorder="1" applyAlignment="1">
      <alignment horizontal="center" vertical="center"/>
    </xf>
    <xf numFmtId="2" fontId="31952" fillId="8" borderId="1" xfId="0" applyNumberFormat="1" applyFont="1" applyFill="1" applyBorder="1" applyAlignment="1">
      <alignment horizontal="center" vertical="center"/>
    </xf>
    <xf numFmtId="2" fontId="31953" fillId="8" borderId="1" xfId="0" applyNumberFormat="1" applyFont="1" applyFill="1" applyBorder="1" applyAlignment="1">
      <alignment horizontal="center" vertical="center"/>
    </xf>
    <xf numFmtId="2" fontId="31954" fillId="8" borderId="1" xfId="0" applyNumberFormat="1" applyFont="1" applyFill="1" applyBorder="1" applyAlignment="1">
      <alignment horizontal="center" vertical="center"/>
    </xf>
    <xf numFmtId="2" fontId="31955" fillId="8" borderId="1" xfId="0" applyNumberFormat="1" applyFont="1" applyFill="1" applyBorder="1" applyAlignment="1">
      <alignment horizontal="center" vertical="center"/>
    </xf>
    <xf numFmtId="2" fontId="31956" fillId="8" borderId="1" xfId="0" applyNumberFormat="1" applyFont="1" applyFill="1" applyBorder="1" applyAlignment="1">
      <alignment horizontal="center" vertical="center"/>
    </xf>
    <xf numFmtId="2" fontId="31957" fillId="8" borderId="1" xfId="0" applyNumberFormat="1" applyFont="1" applyFill="1" applyBorder="1" applyAlignment="1">
      <alignment horizontal="center" vertical="center"/>
    </xf>
    <xf numFmtId="2" fontId="31958" fillId="8" borderId="1" xfId="0" applyNumberFormat="1" applyFont="1" applyFill="1" applyBorder="1" applyAlignment="1">
      <alignment horizontal="center" vertical="center"/>
    </xf>
    <xf numFmtId="2" fontId="31959" fillId="8" borderId="1" xfId="0" applyNumberFormat="1" applyFont="1" applyFill="1" applyBorder="1" applyAlignment="1">
      <alignment horizontal="center" vertical="center"/>
    </xf>
    <xf numFmtId="2" fontId="31960" fillId="8" borderId="1" xfId="0" applyNumberFormat="1" applyFont="1" applyFill="1" applyBorder="1" applyAlignment="1">
      <alignment horizontal="center" vertical="center"/>
    </xf>
    <xf numFmtId="2" fontId="31961" fillId="8" borderId="1" xfId="0" applyNumberFormat="1" applyFont="1" applyFill="1" applyBorder="1" applyAlignment="1">
      <alignment horizontal="center" vertical="center"/>
    </xf>
    <xf numFmtId="2" fontId="31962" fillId="8" borderId="1" xfId="0" applyNumberFormat="1" applyFont="1" applyFill="1" applyBorder="1" applyAlignment="1">
      <alignment horizontal="center" vertical="center"/>
    </xf>
    <xf numFmtId="2" fontId="31963" fillId="8" borderId="1" xfId="0" applyNumberFormat="1" applyFont="1" applyFill="1" applyBorder="1" applyAlignment="1">
      <alignment horizontal="center" vertical="center"/>
    </xf>
    <xf numFmtId="2" fontId="31964" fillId="8" borderId="1" xfId="0" applyNumberFormat="1" applyFont="1" applyFill="1" applyBorder="1" applyAlignment="1">
      <alignment horizontal="center" vertical="center"/>
    </xf>
    <xf numFmtId="2" fontId="31965" fillId="8" borderId="1" xfId="0" applyNumberFormat="1" applyFont="1" applyFill="1" applyBorder="1" applyAlignment="1">
      <alignment horizontal="center" vertical="center"/>
    </xf>
    <xf numFmtId="2" fontId="31966" fillId="8" borderId="1" xfId="0" applyNumberFormat="1" applyFont="1" applyFill="1" applyBorder="1" applyAlignment="1">
      <alignment horizontal="center" vertical="center"/>
    </xf>
    <xf numFmtId="2" fontId="31967" fillId="8" borderId="1" xfId="0" applyNumberFormat="1" applyFont="1" applyFill="1" applyBorder="1" applyAlignment="1">
      <alignment horizontal="center" vertical="center"/>
    </xf>
    <xf numFmtId="2" fontId="31968" fillId="8" borderId="1" xfId="0" applyNumberFormat="1" applyFont="1" applyFill="1" applyBorder="1" applyAlignment="1">
      <alignment horizontal="center" vertical="center"/>
    </xf>
    <xf numFmtId="2" fontId="31969" fillId="8" borderId="1" xfId="0" applyNumberFormat="1" applyFont="1" applyFill="1" applyBorder="1" applyAlignment="1">
      <alignment horizontal="center" vertical="center"/>
    </xf>
    <xf numFmtId="2" fontId="31970" fillId="8" borderId="1" xfId="0" applyNumberFormat="1" applyFont="1" applyFill="1" applyBorder="1" applyAlignment="1">
      <alignment horizontal="center" vertical="center"/>
    </xf>
    <xf numFmtId="2" fontId="31971" fillId="8" borderId="1" xfId="0" applyNumberFormat="1" applyFont="1" applyFill="1" applyBorder="1" applyAlignment="1">
      <alignment horizontal="center" vertical="center"/>
    </xf>
    <xf numFmtId="2" fontId="31972" fillId="8" borderId="1" xfId="0" applyNumberFormat="1" applyFont="1" applyFill="1" applyBorder="1" applyAlignment="1">
      <alignment horizontal="center" vertical="center"/>
    </xf>
    <xf numFmtId="2" fontId="31973" fillId="8" borderId="1" xfId="0" applyNumberFormat="1" applyFont="1" applyFill="1" applyBorder="1" applyAlignment="1">
      <alignment horizontal="center" vertical="center"/>
    </xf>
    <xf numFmtId="2" fontId="31974" fillId="8" borderId="1" xfId="0" applyNumberFormat="1" applyFont="1" applyFill="1" applyBorder="1" applyAlignment="1">
      <alignment horizontal="center" vertical="center"/>
    </xf>
    <xf numFmtId="2" fontId="31975" fillId="8" borderId="1" xfId="0" applyNumberFormat="1" applyFont="1" applyFill="1" applyBorder="1" applyAlignment="1">
      <alignment horizontal="center" vertical="center"/>
    </xf>
    <xf numFmtId="2" fontId="31976" fillId="8" borderId="1" xfId="0" applyNumberFormat="1" applyFont="1" applyFill="1" applyBorder="1" applyAlignment="1">
      <alignment horizontal="center" vertical="center"/>
    </xf>
    <xf numFmtId="2" fontId="31977" fillId="8" borderId="1" xfId="0" applyNumberFormat="1" applyFont="1" applyFill="1" applyBorder="1" applyAlignment="1">
      <alignment horizontal="center" vertical="center"/>
    </xf>
    <xf numFmtId="2" fontId="31978" fillId="8" borderId="1" xfId="0" applyNumberFormat="1" applyFont="1" applyFill="1" applyBorder="1" applyAlignment="1">
      <alignment horizontal="center" vertical="center"/>
    </xf>
    <xf numFmtId="2" fontId="31979" fillId="8" borderId="1" xfId="0" applyNumberFormat="1" applyFont="1" applyFill="1" applyBorder="1" applyAlignment="1">
      <alignment horizontal="center" vertical="center"/>
    </xf>
    <xf numFmtId="2" fontId="31980" fillId="8" borderId="1" xfId="0" applyNumberFormat="1" applyFont="1" applyFill="1" applyBorder="1" applyAlignment="1">
      <alignment horizontal="center" vertical="center"/>
    </xf>
    <xf numFmtId="2" fontId="31981" fillId="8" borderId="1" xfId="0" applyNumberFormat="1" applyFont="1" applyFill="1" applyBorder="1" applyAlignment="1">
      <alignment horizontal="center" vertical="center"/>
    </xf>
    <xf numFmtId="2" fontId="31982" fillId="8" borderId="1" xfId="0" applyNumberFormat="1" applyFont="1" applyFill="1" applyBorder="1" applyAlignment="1">
      <alignment horizontal="center" vertical="center"/>
    </xf>
    <xf numFmtId="0" fontId="31983" fillId="7" borderId="1" xfId="0" applyNumberFormat="1" applyFont="1" applyFill="1" applyBorder="1" applyAlignment="1">
      <alignment horizontal="left" vertical="center"/>
    </xf>
    <xf numFmtId="0" fontId="31984" fillId="8" borderId="1" xfId="0" applyNumberFormat="1" applyFont="1" applyFill="1" applyBorder="1" applyAlignment="1">
      <alignment horizontal="center" vertical="center"/>
    </xf>
    <xf numFmtId="164" fontId="31985" fillId="8" borderId="1" xfId="0" applyNumberFormat="1" applyFont="1" applyFill="1" applyBorder="1" applyAlignment="1">
      <alignment horizontal="center" vertical="center"/>
    </xf>
    <xf numFmtId="1" fontId="31986" fillId="8" borderId="1" xfId="0" applyNumberFormat="1" applyFont="1" applyFill="1" applyBorder="1" applyAlignment="1">
      <alignment horizontal="center" vertical="center"/>
    </xf>
    <xf numFmtId="1" fontId="31987" fillId="8" borderId="1" xfId="0" applyNumberFormat="1" applyFont="1" applyFill="1" applyBorder="1" applyAlignment="1">
      <alignment horizontal="center" vertical="center"/>
    </xf>
    <xf numFmtId="1" fontId="31988" fillId="8" borderId="1" xfId="0" applyNumberFormat="1" applyFont="1" applyFill="1" applyBorder="1" applyAlignment="1">
      <alignment horizontal="center" vertical="center"/>
    </xf>
    <xf numFmtId="1" fontId="31989" fillId="8" borderId="1" xfId="0" applyNumberFormat="1" applyFont="1" applyFill="1" applyBorder="1" applyAlignment="1">
      <alignment horizontal="center" vertical="center"/>
    </xf>
    <xf numFmtId="1" fontId="31990" fillId="8" borderId="1" xfId="0" applyNumberFormat="1" applyFont="1" applyFill="1" applyBorder="1" applyAlignment="1">
      <alignment horizontal="center" vertical="center"/>
    </xf>
    <xf numFmtId="1" fontId="31991" fillId="8" borderId="1" xfId="0" applyNumberFormat="1" applyFont="1" applyFill="1" applyBorder="1" applyAlignment="1">
      <alignment horizontal="center" vertical="center"/>
    </xf>
    <xf numFmtId="1" fontId="31992" fillId="8" borderId="1" xfId="0" applyNumberFormat="1" applyFont="1" applyFill="1" applyBorder="1" applyAlignment="1">
      <alignment horizontal="center" vertical="center"/>
    </xf>
    <xf numFmtId="0" fontId="31993" fillId="8" borderId="1" xfId="0" applyNumberFormat="1" applyFont="1" applyFill="1" applyBorder="1" applyAlignment="1">
      <alignment horizontal="center" vertical="center"/>
    </xf>
    <xf numFmtId="0" fontId="31994" fillId="8" borderId="1" xfId="0" applyNumberFormat="1" applyFont="1" applyFill="1" applyBorder="1" applyAlignment="1">
      <alignment horizontal="center" vertical="center"/>
    </xf>
    <xf numFmtId="1" fontId="31995" fillId="8" borderId="1" xfId="0" applyNumberFormat="1" applyFont="1" applyFill="1" applyBorder="1" applyAlignment="1">
      <alignment horizontal="center" vertical="center"/>
    </xf>
    <xf numFmtId="1" fontId="31996" fillId="8" borderId="1" xfId="0" applyNumberFormat="1" applyFont="1" applyFill="1" applyBorder="1" applyAlignment="1">
      <alignment horizontal="center" vertical="center"/>
    </xf>
    <xf numFmtId="1" fontId="31997" fillId="8" borderId="1" xfId="0" applyNumberFormat="1" applyFont="1" applyFill="1" applyBorder="1" applyAlignment="1">
      <alignment horizontal="center" vertical="center"/>
    </xf>
    <xf numFmtId="165" fontId="31998" fillId="8" borderId="1" xfId="0" applyNumberFormat="1" applyFont="1" applyFill="1" applyBorder="1" applyAlignment="1">
      <alignment horizontal="center" vertical="center"/>
    </xf>
    <xf numFmtId="1" fontId="31999" fillId="8" borderId="1" xfId="0" applyNumberFormat="1" applyFont="1" applyFill="1" applyBorder="1" applyAlignment="1">
      <alignment horizontal="center" vertical="center"/>
    </xf>
    <xf numFmtId="165" fontId="32000" fillId="8" borderId="1" xfId="0" applyNumberFormat="1" applyFont="1" applyFill="1" applyBorder="1" applyAlignment="1">
      <alignment horizontal="center" vertical="center"/>
    </xf>
    <xf numFmtId="1" fontId="32001" fillId="8" borderId="1" xfId="0" applyNumberFormat="1" applyFont="1" applyFill="1" applyBorder="1" applyAlignment="1">
      <alignment horizontal="center" vertical="center"/>
    </xf>
    <xf numFmtId="165" fontId="32002" fillId="8" borderId="1" xfId="0" applyNumberFormat="1" applyFont="1" applyFill="1" applyBorder="1" applyAlignment="1">
      <alignment horizontal="center" vertical="center"/>
    </xf>
    <xf numFmtId="1" fontId="32003" fillId="8" borderId="1" xfId="0" applyNumberFormat="1" applyFont="1" applyFill="1" applyBorder="1" applyAlignment="1">
      <alignment horizontal="center" vertical="center"/>
    </xf>
    <xf numFmtId="165" fontId="32004" fillId="8" borderId="1" xfId="0" applyNumberFormat="1" applyFont="1" applyFill="1" applyBorder="1" applyAlignment="1">
      <alignment horizontal="center" vertical="center"/>
    </xf>
    <xf numFmtId="165" fontId="32005" fillId="8" borderId="1" xfId="0" applyNumberFormat="1" applyFont="1" applyFill="1" applyBorder="1" applyAlignment="1">
      <alignment horizontal="center" vertical="center"/>
    </xf>
    <xf numFmtId="1" fontId="32006" fillId="8" borderId="1" xfId="0" applyNumberFormat="1" applyFont="1" applyFill="1" applyBorder="1" applyAlignment="1">
      <alignment horizontal="center" vertical="center"/>
    </xf>
    <xf numFmtId="1" fontId="32007" fillId="8" borderId="1" xfId="0" applyNumberFormat="1" applyFont="1" applyFill="1" applyBorder="1" applyAlignment="1">
      <alignment horizontal="center" vertical="center"/>
    </xf>
    <xf numFmtId="1" fontId="32008" fillId="8" borderId="1" xfId="0" applyNumberFormat="1" applyFont="1" applyFill="1" applyBorder="1" applyAlignment="1">
      <alignment horizontal="center" vertical="center"/>
    </xf>
    <xf numFmtId="165" fontId="32009" fillId="8" borderId="1" xfId="0" applyNumberFormat="1" applyFont="1" applyFill="1" applyBorder="1" applyAlignment="1">
      <alignment horizontal="center" vertical="center"/>
    </xf>
    <xf numFmtId="164" fontId="32010" fillId="8" borderId="1" xfId="0" applyNumberFormat="1" applyFont="1" applyFill="1" applyBorder="1" applyAlignment="1">
      <alignment horizontal="center" vertical="center"/>
    </xf>
    <xf numFmtId="164" fontId="32011" fillId="8" borderId="1" xfId="0" applyNumberFormat="1" applyFont="1" applyFill="1" applyBorder="1" applyAlignment="1">
      <alignment horizontal="center" vertical="center"/>
    </xf>
    <xf numFmtId="1" fontId="32012" fillId="8" borderId="1" xfId="0" applyNumberFormat="1" applyFont="1" applyFill="1" applyBorder="1" applyAlignment="1">
      <alignment horizontal="center" vertical="center"/>
    </xf>
    <xf numFmtId="1" fontId="32013" fillId="8" borderId="1" xfId="0" applyNumberFormat="1" applyFont="1" applyFill="1" applyBorder="1" applyAlignment="1">
      <alignment horizontal="center" vertical="center"/>
    </xf>
    <xf numFmtId="1" fontId="32014" fillId="8" borderId="1" xfId="0" applyNumberFormat="1" applyFont="1" applyFill="1" applyBorder="1" applyAlignment="1">
      <alignment horizontal="center" vertical="center"/>
    </xf>
    <xf numFmtId="165" fontId="32015" fillId="8" borderId="1" xfId="0" applyNumberFormat="1" applyFont="1" applyFill="1" applyBorder="1" applyAlignment="1">
      <alignment horizontal="center" vertical="center"/>
    </xf>
    <xf numFmtId="1" fontId="32016" fillId="8" borderId="1" xfId="0" applyNumberFormat="1" applyFont="1" applyFill="1" applyBorder="1" applyAlignment="1">
      <alignment horizontal="center" vertical="center"/>
    </xf>
    <xf numFmtId="165" fontId="32017" fillId="8" borderId="1" xfId="0" applyNumberFormat="1" applyFont="1" applyFill="1" applyBorder="1" applyAlignment="1">
      <alignment horizontal="center" vertical="center"/>
    </xf>
    <xf numFmtId="1" fontId="32018" fillId="8" borderId="1" xfId="0" applyNumberFormat="1" applyFont="1" applyFill="1" applyBorder="1" applyAlignment="1">
      <alignment horizontal="center" vertical="center"/>
    </xf>
    <xf numFmtId="1" fontId="32019" fillId="8" borderId="1" xfId="0" applyNumberFormat="1" applyFont="1" applyFill="1" applyBorder="1" applyAlignment="1">
      <alignment horizontal="center" vertical="center"/>
    </xf>
    <xf numFmtId="1" fontId="32020" fillId="8" borderId="1" xfId="0" applyNumberFormat="1" applyFont="1" applyFill="1" applyBorder="1" applyAlignment="1">
      <alignment horizontal="center" vertical="center"/>
    </xf>
    <xf numFmtId="1" fontId="32021" fillId="8" borderId="1" xfId="0" applyNumberFormat="1" applyFont="1" applyFill="1" applyBorder="1" applyAlignment="1">
      <alignment horizontal="center" vertical="center"/>
    </xf>
    <xf numFmtId="165" fontId="32022" fillId="8" borderId="1" xfId="0" applyNumberFormat="1" applyFont="1" applyFill="1" applyBorder="1" applyAlignment="1">
      <alignment horizontal="center" vertical="center"/>
    </xf>
    <xf numFmtId="1" fontId="32023" fillId="8" borderId="1" xfId="0" applyNumberFormat="1" applyFont="1" applyFill="1" applyBorder="1" applyAlignment="1">
      <alignment horizontal="center" vertical="center"/>
    </xf>
    <xf numFmtId="165" fontId="32024" fillId="8" borderId="1" xfId="0" applyNumberFormat="1" applyFont="1" applyFill="1" applyBorder="1" applyAlignment="1">
      <alignment horizontal="center" vertical="center"/>
    </xf>
    <xf numFmtId="1" fontId="32025" fillId="8" borderId="1" xfId="0" applyNumberFormat="1" applyFont="1" applyFill="1" applyBorder="1" applyAlignment="1">
      <alignment horizontal="center" vertical="center"/>
    </xf>
    <xf numFmtId="165" fontId="32026" fillId="8" borderId="1" xfId="0" applyNumberFormat="1" applyFont="1" applyFill="1" applyBorder="1" applyAlignment="1">
      <alignment horizontal="center" vertical="center"/>
    </xf>
    <xf numFmtId="2" fontId="32027" fillId="8" borderId="1" xfId="0" applyNumberFormat="1" applyFont="1" applyFill="1" applyBorder="1" applyAlignment="1">
      <alignment horizontal="center" vertical="center"/>
    </xf>
    <xf numFmtId="2" fontId="32028" fillId="8" borderId="1" xfId="0" applyNumberFormat="1" applyFont="1" applyFill="1" applyBorder="1" applyAlignment="1">
      <alignment horizontal="center" vertical="center"/>
    </xf>
    <xf numFmtId="2" fontId="32029" fillId="8" borderId="1" xfId="0" applyNumberFormat="1" applyFont="1" applyFill="1" applyBorder="1" applyAlignment="1">
      <alignment horizontal="center" vertical="center"/>
    </xf>
    <xf numFmtId="2" fontId="32030" fillId="8" borderId="1" xfId="0" applyNumberFormat="1" applyFont="1" applyFill="1" applyBorder="1" applyAlignment="1">
      <alignment horizontal="center" vertical="center"/>
    </xf>
    <xf numFmtId="2" fontId="32031" fillId="8" borderId="1" xfId="0" applyNumberFormat="1" applyFont="1" applyFill="1" applyBorder="1" applyAlignment="1">
      <alignment horizontal="center" vertical="center"/>
    </xf>
    <xf numFmtId="2" fontId="32032" fillId="8" borderId="1" xfId="0" applyNumberFormat="1" applyFont="1" applyFill="1" applyBorder="1" applyAlignment="1">
      <alignment horizontal="center" vertical="center"/>
    </xf>
    <xf numFmtId="2" fontId="32033" fillId="8" borderId="1" xfId="0" applyNumberFormat="1" applyFont="1" applyFill="1" applyBorder="1" applyAlignment="1">
      <alignment horizontal="center" vertical="center"/>
    </xf>
    <xf numFmtId="2" fontId="32034" fillId="8" borderId="1" xfId="0" applyNumberFormat="1" applyFont="1" applyFill="1" applyBorder="1" applyAlignment="1">
      <alignment horizontal="center" vertical="center"/>
    </xf>
    <xf numFmtId="2" fontId="32035" fillId="8" borderId="1" xfId="0" applyNumberFormat="1" applyFont="1" applyFill="1" applyBorder="1" applyAlignment="1">
      <alignment horizontal="center" vertical="center"/>
    </xf>
    <xf numFmtId="2" fontId="32036" fillId="8" borderId="1" xfId="0" applyNumberFormat="1" applyFont="1" applyFill="1" applyBorder="1" applyAlignment="1">
      <alignment horizontal="center" vertical="center"/>
    </xf>
    <xf numFmtId="2" fontId="32037" fillId="8" borderId="1" xfId="0" applyNumberFormat="1" applyFont="1" applyFill="1" applyBorder="1" applyAlignment="1">
      <alignment horizontal="center" vertical="center"/>
    </xf>
    <xf numFmtId="2" fontId="32038" fillId="8" borderId="1" xfId="0" applyNumberFormat="1" applyFont="1" applyFill="1" applyBorder="1" applyAlignment="1">
      <alignment horizontal="center" vertical="center"/>
    </xf>
    <xf numFmtId="2" fontId="32039" fillId="8" borderId="1" xfId="0" applyNumberFormat="1" applyFont="1" applyFill="1" applyBorder="1" applyAlignment="1">
      <alignment horizontal="center" vertical="center"/>
    </xf>
    <xf numFmtId="2" fontId="32040" fillId="8" borderId="1" xfId="0" applyNumberFormat="1" applyFont="1" applyFill="1" applyBorder="1" applyAlignment="1">
      <alignment horizontal="center" vertical="center"/>
    </xf>
    <xf numFmtId="2" fontId="32041" fillId="8" borderId="1" xfId="0" applyNumberFormat="1" applyFont="1" applyFill="1" applyBorder="1" applyAlignment="1">
      <alignment horizontal="center" vertical="center"/>
    </xf>
    <xf numFmtId="2" fontId="32042" fillId="8" borderId="1" xfId="0" applyNumberFormat="1" applyFont="1" applyFill="1" applyBorder="1" applyAlignment="1">
      <alignment horizontal="center" vertical="center"/>
    </xf>
    <xf numFmtId="2" fontId="32043" fillId="8" borderId="1" xfId="0" applyNumberFormat="1" applyFont="1" applyFill="1" applyBorder="1" applyAlignment="1">
      <alignment horizontal="center" vertical="center"/>
    </xf>
    <xf numFmtId="2" fontId="32044" fillId="8" borderId="1" xfId="0" applyNumberFormat="1" applyFont="1" applyFill="1" applyBorder="1" applyAlignment="1">
      <alignment horizontal="center" vertical="center"/>
    </xf>
    <xf numFmtId="2" fontId="32045" fillId="8" borderId="1" xfId="0" applyNumberFormat="1" applyFont="1" applyFill="1" applyBorder="1" applyAlignment="1">
      <alignment horizontal="center" vertical="center"/>
    </xf>
    <xf numFmtId="2" fontId="32046" fillId="8" borderId="1" xfId="0" applyNumberFormat="1" applyFont="1" applyFill="1" applyBorder="1" applyAlignment="1">
      <alignment horizontal="center" vertical="center"/>
    </xf>
    <xf numFmtId="2" fontId="32047" fillId="8" borderId="1" xfId="0" applyNumberFormat="1" applyFont="1" applyFill="1" applyBorder="1" applyAlignment="1">
      <alignment horizontal="center" vertical="center"/>
    </xf>
    <xf numFmtId="2" fontId="32048" fillId="8" borderId="1" xfId="0" applyNumberFormat="1" applyFont="1" applyFill="1" applyBorder="1" applyAlignment="1">
      <alignment horizontal="center" vertical="center"/>
    </xf>
    <xf numFmtId="2" fontId="32049" fillId="8" borderId="1" xfId="0" applyNumberFormat="1" applyFont="1" applyFill="1" applyBorder="1" applyAlignment="1">
      <alignment horizontal="center" vertical="center"/>
    </xf>
    <xf numFmtId="2" fontId="32050" fillId="8" borderId="1" xfId="0" applyNumberFormat="1" applyFont="1" applyFill="1" applyBorder="1" applyAlignment="1">
      <alignment horizontal="center" vertical="center"/>
    </xf>
    <xf numFmtId="2" fontId="32051" fillId="8" borderId="1" xfId="0" applyNumberFormat="1" applyFont="1" applyFill="1" applyBorder="1" applyAlignment="1">
      <alignment horizontal="center" vertical="center"/>
    </xf>
    <xf numFmtId="2" fontId="32052" fillId="8" borderId="1" xfId="0" applyNumberFormat="1" applyFont="1" applyFill="1" applyBorder="1" applyAlignment="1">
      <alignment horizontal="center" vertical="center"/>
    </xf>
    <xf numFmtId="2" fontId="32053" fillId="8" borderId="1" xfId="0" applyNumberFormat="1" applyFont="1" applyFill="1" applyBorder="1" applyAlignment="1">
      <alignment horizontal="center" vertical="center"/>
    </xf>
    <xf numFmtId="2" fontId="32054" fillId="8" borderId="1" xfId="0" applyNumberFormat="1" applyFont="1" applyFill="1" applyBorder="1" applyAlignment="1">
      <alignment horizontal="center" vertical="center"/>
    </xf>
    <xf numFmtId="2" fontId="32055" fillId="8" borderId="1" xfId="0" applyNumberFormat="1" applyFont="1" applyFill="1" applyBorder="1" applyAlignment="1">
      <alignment horizontal="center" vertical="center"/>
    </xf>
    <xf numFmtId="2" fontId="32056" fillId="8" borderId="1" xfId="0" applyNumberFormat="1" applyFont="1" applyFill="1" applyBorder="1" applyAlignment="1">
      <alignment horizontal="center" vertical="center"/>
    </xf>
    <xf numFmtId="2" fontId="32057" fillId="8" borderId="1" xfId="0" applyNumberFormat="1" applyFont="1" applyFill="1" applyBorder="1" applyAlignment="1">
      <alignment horizontal="center" vertical="center"/>
    </xf>
    <xf numFmtId="2" fontId="32058" fillId="8" borderId="1" xfId="0" applyNumberFormat="1" applyFont="1" applyFill="1" applyBorder="1" applyAlignment="1">
      <alignment horizontal="center" vertical="center"/>
    </xf>
    <xf numFmtId="2" fontId="32059" fillId="8" borderId="1" xfId="0" applyNumberFormat="1" applyFont="1" applyFill="1" applyBorder="1" applyAlignment="1">
      <alignment horizontal="center" vertical="center"/>
    </xf>
    <xf numFmtId="2" fontId="32060" fillId="8" borderId="1" xfId="0" applyNumberFormat="1" applyFont="1" applyFill="1" applyBorder="1" applyAlignment="1">
      <alignment horizontal="center" vertical="center"/>
    </xf>
    <xf numFmtId="0" fontId="32061" fillId="7" borderId="1" xfId="0" applyNumberFormat="1" applyFont="1" applyFill="1" applyBorder="1" applyAlignment="1">
      <alignment horizontal="left" vertical="center"/>
    </xf>
    <xf numFmtId="0" fontId="32062" fillId="8" borderId="1" xfId="0" applyNumberFormat="1" applyFont="1" applyFill="1" applyBorder="1" applyAlignment="1">
      <alignment horizontal="center" vertical="center"/>
    </xf>
    <xf numFmtId="164" fontId="32063" fillId="8" borderId="1" xfId="0" applyNumberFormat="1" applyFont="1" applyFill="1" applyBorder="1" applyAlignment="1">
      <alignment horizontal="center" vertical="center"/>
    </xf>
    <xf numFmtId="1" fontId="32064" fillId="8" borderId="1" xfId="0" applyNumberFormat="1" applyFont="1" applyFill="1" applyBorder="1" applyAlignment="1">
      <alignment horizontal="center" vertical="center"/>
    </xf>
    <xf numFmtId="1" fontId="32065" fillId="8" borderId="1" xfId="0" applyNumberFormat="1" applyFont="1" applyFill="1" applyBorder="1" applyAlignment="1">
      <alignment horizontal="center" vertical="center"/>
    </xf>
    <xf numFmtId="1" fontId="32066" fillId="8" borderId="1" xfId="0" applyNumberFormat="1" applyFont="1" applyFill="1" applyBorder="1" applyAlignment="1">
      <alignment horizontal="center" vertical="center"/>
    </xf>
    <xf numFmtId="1" fontId="32067" fillId="8" borderId="1" xfId="0" applyNumberFormat="1" applyFont="1" applyFill="1" applyBorder="1" applyAlignment="1">
      <alignment horizontal="center" vertical="center"/>
    </xf>
    <xf numFmtId="1" fontId="32068" fillId="8" borderId="1" xfId="0" applyNumberFormat="1" applyFont="1" applyFill="1" applyBorder="1" applyAlignment="1">
      <alignment horizontal="center" vertical="center"/>
    </xf>
    <xf numFmtId="1" fontId="32069" fillId="8" borderId="1" xfId="0" applyNumberFormat="1" applyFont="1" applyFill="1" applyBorder="1" applyAlignment="1">
      <alignment horizontal="center" vertical="center"/>
    </xf>
    <xf numFmtId="1" fontId="32070" fillId="8" borderId="1" xfId="0" applyNumberFormat="1" applyFont="1" applyFill="1" applyBorder="1" applyAlignment="1">
      <alignment horizontal="center" vertical="center"/>
    </xf>
    <xf numFmtId="0" fontId="32071" fillId="8" borderId="1" xfId="0" applyNumberFormat="1" applyFont="1" applyFill="1" applyBorder="1" applyAlignment="1">
      <alignment horizontal="center" vertical="center"/>
    </xf>
    <xf numFmtId="0" fontId="32072" fillId="8" borderId="1" xfId="0" applyNumberFormat="1" applyFont="1" applyFill="1" applyBorder="1" applyAlignment="1">
      <alignment horizontal="center" vertical="center"/>
    </xf>
    <xf numFmtId="1" fontId="32073" fillId="8" borderId="1" xfId="0" applyNumberFormat="1" applyFont="1" applyFill="1" applyBorder="1" applyAlignment="1">
      <alignment horizontal="center" vertical="center"/>
    </xf>
    <xf numFmtId="1" fontId="32074" fillId="8" borderId="1" xfId="0" applyNumberFormat="1" applyFont="1" applyFill="1" applyBorder="1" applyAlignment="1">
      <alignment horizontal="center" vertical="center"/>
    </xf>
    <xf numFmtId="1" fontId="32075" fillId="8" borderId="1" xfId="0" applyNumberFormat="1" applyFont="1" applyFill="1" applyBorder="1" applyAlignment="1">
      <alignment horizontal="center" vertical="center"/>
    </xf>
    <xf numFmtId="165" fontId="32076" fillId="8" borderId="1" xfId="0" applyNumberFormat="1" applyFont="1" applyFill="1" applyBorder="1" applyAlignment="1">
      <alignment horizontal="center" vertical="center"/>
    </xf>
    <xf numFmtId="1" fontId="32077" fillId="8" borderId="1" xfId="0" applyNumberFormat="1" applyFont="1" applyFill="1" applyBorder="1" applyAlignment="1">
      <alignment horizontal="center" vertical="center"/>
    </xf>
    <xf numFmtId="165" fontId="32078" fillId="8" borderId="1" xfId="0" applyNumberFormat="1" applyFont="1" applyFill="1" applyBorder="1" applyAlignment="1">
      <alignment horizontal="center" vertical="center"/>
    </xf>
    <xf numFmtId="1" fontId="32079" fillId="8" borderId="1" xfId="0" applyNumberFormat="1" applyFont="1" applyFill="1" applyBorder="1" applyAlignment="1">
      <alignment horizontal="center" vertical="center"/>
    </xf>
    <xf numFmtId="165" fontId="32080" fillId="8" borderId="1" xfId="0" applyNumberFormat="1" applyFont="1" applyFill="1" applyBorder="1" applyAlignment="1">
      <alignment horizontal="center" vertical="center"/>
    </xf>
    <xf numFmtId="1" fontId="32081" fillId="8" borderId="1" xfId="0" applyNumberFormat="1" applyFont="1" applyFill="1" applyBorder="1" applyAlignment="1">
      <alignment horizontal="center" vertical="center"/>
    </xf>
    <xf numFmtId="165" fontId="32082" fillId="8" borderId="1" xfId="0" applyNumberFormat="1" applyFont="1" applyFill="1" applyBorder="1" applyAlignment="1">
      <alignment horizontal="center" vertical="center"/>
    </xf>
    <xf numFmtId="165" fontId="32083" fillId="8" borderId="1" xfId="0" applyNumberFormat="1" applyFont="1" applyFill="1" applyBorder="1" applyAlignment="1">
      <alignment horizontal="center" vertical="center"/>
    </xf>
    <xf numFmtId="1" fontId="32084" fillId="8" borderId="1" xfId="0" applyNumberFormat="1" applyFont="1" applyFill="1" applyBorder="1" applyAlignment="1">
      <alignment horizontal="center" vertical="center"/>
    </xf>
    <xf numFmtId="1" fontId="32085" fillId="8" borderId="1" xfId="0" applyNumberFormat="1" applyFont="1" applyFill="1" applyBorder="1" applyAlignment="1">
      <alignment horizontal="center" vertical="center"/>
    </xf>
    <xf numFmtId="1" fontId="32086" fillId="8" borderId="1" xfId="0" applyNumberFormat="1" applyFont="1" applyFill="1" applyBorder="1" applyAlignment="1">
      <alignment horizontal="center" vertical="center"/>
    </xf>
    <xf numFmtId="165" fontId="32087" fillId="8" borderId="1" xfId="0" applyNumberFormat="1" applyFont="1" applyFill="1" applyBorder="1" applyAlignment="1">
      <alignment horizontal="center" vertical="center"/>
    </xf>
    <xf numFmtId="164" fontId="32088" fillId="8" borderId="1" xfId="0" applyNumberFormat="1" applyFont="1" applyFill="1" applyBorder="1" applyAlignment="1">
      <alignment horizontal="center" vertical="center"/>
    </xf>
    <xf numFmtId="164" fontId="32089" fillId="8" borderId="1" xfId="0" applyNumberFormat="1" applyFont="1" applyFill="1" applyBorder="1" applyAlignment="1">
      <alignment horizontal="center" vertical="center"/>
    </xf>
    <xf numFmtId="1" fontId="32090" fillId="8" borderId="1" xfId="0" applyNumberFormat="1" applyFont="1" applyFill="1" applyBorder="1" applyAlignment="1">
      <alignment horizontal="center" vertical="center"/>
    </xf>
    <xf numFmtId="1" fontId="32091" fillId="8" borderId="1" xfId="0" applyNumberFormat="1" applyFont="1" applyFill="1" applyBorder="1" applyAlignment="1">
      <alignment horizontal="center" vertical="center"/>
    </xf>
    <xf numFmtId="1" fontId="32092" fillId="8" borderId="1" xfId="0" applyNumberFormat="1" applyFont="1" applyFill="1" applyBorder="1" applyAlignment="1">
      <alignment horizontal="center" vertical="center"/>
    </xf>
    <xf numFmtId="165" fontId="32093" fillId="8" borderId="1" xfId="0" applyNumberFormat="1" applyFont="1" applyFill="1" applyBorder="1" applyAlignment="1">
      <alignment horizontal="center" vertical="center"/>
    </xf>
    <xf numFmtId="1" fontId="32094" fillId="8" borderId="1" xfId="0" applyNumberFormat="1" applyFont="1" applyFill="1" applyBorder="1" applyAlignment="1">
      <alignment horizontal="center" vertical="center"/>
    </xf>
    <xf numFmtId="165" fontId="32095" fillId="8" borderId="1" xfId="0" applyNumberFormat="1" applyFont="1" applyFill="1" applyBorder="1" applyAlignment="1">
      <alignment horizontal="center" vertical="center"/>
    </xf>
    <xf numFmtId="1" fontId="32096" fillId="8" borderId="1" xfId="0" applyNumberFormat="1" applyFont="1" applyFill="1" applyBorder="1" applyAlignment="1">
      <alignment horizontal="center" vertical="center"/>
    </xf>
    <xf numFmtId="1" fontId="32097" fillId="8" borderId="1" xfId="0" applyNumberFormat="1" applyFont="1" applyFill="1" applyBorder="1" applyAlignment="1">
      <alignment horizontal="center" vertical="center"/>
    </xf>
    <xf numFmtId="1" fontId="32098" fillId="8" borderId="1" xfId="0" applyNumberFormat="1" applyFont="1" applyFill="1" applyBorder="1" applyAlignment="1">
      <alignment horizontal="center" vertical="center"/>
    </xf>
    <xf numFmtId="1" fontId="32099" fillId="8" borderId="1" xfId="0" applyNumberFormat="1" applyFont="1" applyFill="1" applyBorder="1" applyAlignment="1">
      <alignment horizontal="center" vertical="center"/>
    </xf>
    <xf numFmtId="165" fontId="32100" fillId="8" borderId="1" xfId="0" applyNumberFormat="1" applyFont="1" applyFill="1" applyBorder="1" applyAlignment="1">
      <alignment horizontal="center" vertical="center"/>
    </xf>
    <xf numFmtId="1" fontId="32101" fillId="8" borderId="1" xfId="0" applyNumberFormat="1" applyFont="1" applyFill="1" applyBorder="1" applyAlignment="1">
      <alignment horizontal="center" vertical="center"/>
    </xf>
    <xf numFmtId="165" fontId="32102" fillId="8" borderId="1" xfId="0" applyNumberFormat="1" applyFont="1" applyFill="1" applyBorder="1" applyAlignment="1">
      <alignment horizontal="center" vertical="center"/>
    </xf>
    <xf numFmtId="1" fontId="32103" fillId="8" borderId="1" xfId="0" applyNumberFormat="1" applyFont="1" applyFill="1" applyBorder="1" applyAlignment="1">
      <alignment horizontal="center" vertical="center"/>
    </xf>
    <xf numFmtId="165" fontId="32104" fillId="8" borderId="1" xfId="0" applyNumberFormat="1" applyFont="1" applyFill="1" applyBorder="1" applyAlignment="1">
      <alignment horizontal="center" vertical="center"/>
    </xf>
    <xf numFmtId="2" fontId="32105" fillId="8" borderId="1" xfId="0" applyNumberFormat="1" applyFont="1" applyFill="1" applyBorder="1" applyAlignment="1">
      <alignment horizontal="center" vertical="center"/>
    </xf>
    <xf numFmtId="2" fontId="32106" fillId="8" borderId="1" xfId="0" applyNumberFormat="1" applyFont="1" applyFill="1" applyBorder="1" applyAlignment="1">
      <alignment horizontal="center" vertical="center"/>
    </xf>
    <xf numFmtId="2" fontId="32107" fillId="8" borderId="1" xfId="0" applyNumberFormat="1" applyFont="1" applyFill="1" applyBorder="1" applyAlignment="1">
      <alignment horizontal="center" vertical="center"/>
    </xf>
    <xf numFmtId="2" fontId="32108" fillId="8" borderId="1" xfId="0" applyNumberFormat="1" applyFont="1" applyFill="1" applyBorder="1" applyAlignment="1">
      <alignment horizontal="center" vertical="center"/>
    </xf>
    <xf numFmtId="2" fontId="32109" fillId="8" borderId="1" xfId="0" applyNumberFormat="1" applyFont="1" applyFill="1" applyBorder="1" applyAlignment="1">
      <alignment horizontal="center" vertical="center"/>
    </xf>
    <xf numFmtId="2" fontId="32110" fillId="8" borderId="1" xfId="0" applyNumberFormat="1" applyFont="1" applyFill="1" applyBorder="1" applyAlignment="1">
      <alignment horizontal="center" vertical="center"/>
    </xf>
    <xf numFmtId="2" fontId="32111" fillId="8" borderId="1" xfId="0" applyNumberFormat="1" applyFont="1" applyFill="1" applyBorder="1" applyAlignment="1">
      <alignment horizontal="center" vertical="center"/>
    </xf>
    <xf numFmtId="2" fontId="32112" fillId="8" borderId="1" xfId="0" applyNumberFormat="1" applyFont="1" applyFill="1" applyBorder="1" applyAlignment="1">
      <alignment horizontal="center" vertical="center"/>
    </xf>
    <xf numFmtId="2" fontId="32113" fillId="8" borderId="1" xfId="0" applyNumberFormat="1" applyFont="1" applyFill="1" applyBorder="1" applyAlignment="1">
      <alignment horizontal="center" vertical="center"/>
    </xf>
    <xf numFmtId="2" fontId="32114" fillId="8" borderId="1" xfId="0" applyNumberFormat="1" applyFont="1" applyFill="1" applyBorder="1" applyAlignment="1">
      <alignment horizontal="center" vertical="center"/>
    </xf>
    <xf numFmtId="2" fontId="32115" fillId="8" borderId="1" xfId="0" applyNumberFormat="1" applyFont="1" applyFill="1" applyBorder="1" applyAlignment="1">
      <alignment horizontal="center" vertical="center"/>
    </xf>
    <xf numFmtId="2" fontId="32116" fillId="8" borderId="1" xfId="0" applyNumberFormat="1" applyFont="1" applyFill="1" applyBorder="1" applyAlignment="1">
      <alignment horizontal="center" vertical="center"/>
    </xf>
    <xf numFmtId="2" fontId="32117" fillId="8" borderId="1" xfId="0" applyNumberFormat="1" applyFont="1" applyFill="1" applyBorder="1" applyAlignment="1">
      <alignment horizontal="center" vertical="center"/>
    </xf>
    <xf numFmtId="2" fontId="32118" fillId="8" borderId="1" xfId="0" applyNumberFormat="1" applyFont="1" applyFill="1" applyBorder="1" applyAlignment="1">
      <alignment horizontal="center" vertical="center"/>
    </xf>
    <xf numFmtId="2" fontId="32119" fillId="8" borderId="1" xfId="0" applyNumberFormat="1" applyFont="1" applyFill="1" applyBorder="1" applyAlignment="1">
      <alignment horizontal="center" vertical="center"/>
    </xf>
    <xf numFmtId="2" fontId="32120" fillId="8" borderId="1" xfId="0" applyNumberFormat="1" applyFont="1" applyFill="1" applyBorder="1" applyAlignment="1">
      <alignment horizontal="center" vertical="center"/>
    </xf>
    <xf numFmtId="2" fontId="32121" fillId="8" borderId="1" xfId="0" applyNumberFormat="1" applyFont="1" applyFill="1" applyBorder="1" applyAlignment="1">
      <alignment horizontal="center" vertical="center"/>
    </xf>
    <xf numFmtId="2" fontId="32122" fillId="8" borderId="1" xfId="0" applyNumberFormat="1" applyFont="1" applyFill="1" applyBorder="1" applyAlignment="1">
      <alignment horizontal="center" vertical="center"/>
    </xf>
    <xf numFmtId="2" fontId="32123" fillId="8" borderId="1" xfId="0" applyNumberFormat="1" applyFont="1" applyFill="1" applyBorder="1" applyAlignment="1">
      <alignment horizontal="center" vertical="center"/>
    </xf>
    <xf numFmtId="2" fontId="32124" fillId="8" borderId="1" xfId="0" applyNumberFormat="1" applyFont="1" applyFill="1" applyBorder="1" applyAlignment="1">
      <alignment horizontal="center" vertical="center"/>
    </xf>
    <xf numFmtId="2" fontId="32125" fillId="8" borderId="1" xfId="0" applyNumberFormat="1" applyFont="1" applyFill="1" applyBorder="1" applyAlignment="1">
      <alignment horizontal="center" vertical="center"/>
    </xf>
    <xf numFmtId="2" fontId="32126" fillId="8" borderId="1" xfId="0" applyNumberFormat="1" applyFont="1" applyFill="1" applyBorder="1" applyAlignment="1">
      <alignment horizontal="center" vertical="center"/>
    </xf>
    <xf numFmtId="2" fontId="32127" fillId="8" borderId="1" xfId="0" applyNumberFormat="1" applyFont="1" applyFill="1" applyBorder="1" applyAlignment="1">
      <alignment horizontal="center" vertical="center"/>
    </xf>
    <xf numFmtId="2" fontId="32128" fillId="8" borderId="1" xfId="0" applyNumberFormat="1" applyFont="1" applyFill="1" applyBorder="1" applyAlignment="1">
      <alignment horizontal="center" vertical="center"/>
    </xf>
    <xf numFmtId="2" fontId="32129" fillId="8" borderId="1" xfId="0" applyNumberFormat="1" applyFont="1" applyFill="1" applyBorder="1" applyAlignment="1">
      <alignment horizontal="center" vertical="center"/>
    </xf>
    <xf numFmtId="2" fontId="32130" fillId="8" borderId="1" xfId="0" applyNumberFormat="1" applyFont="1" applyFill="1" applyBorder="1" applyAlignment="1">
      <alignment horizontal="center" vertical="center"/>
    </xf>
    <xf numFmtId="2" fontId="32131" fillId="8" borderId="1" xfId="0" applyNumberFormat="1" applyFont="1" applyFill="1" applyBorder="1" applyAlignment="1">
      <alignment horizontal="center" vertical="center"/>
    </xf>
    <xf numFmtId="2" fontId="32132" fillId="8" borderId="1" xfId="0" applyNumberFormat="1" applyFont="1" applyFill="1" applyBorder="1" applyAlignment="1">
      <alignment horizontal="center" vertical="center"/>
    </xf>
    <xf numFmtId="2" fontId="32133" fillId="8" borderId="1" xfId="0" applyNumberFormat="1" applyFont="1" applyFill="1" applyBorder="1" applyAlignment="1">
      <alignment horizontal="center" vertical="center"/>
    </xf>
    <xf numFmtId="2" fontId="32134" fillId="8" borderId="1" xfId="0" applyNumberFormat="1" applyFont="1" applyFill="1" applyBorder="1" applyAlignment="1">
      <alignment horizontal="center" vertical="center"/>
    </xf>
    <xf numFmtId="2" fontId="32135" fillId="8" borderId="1" xfId="0" applyNumberFormat="1" applyFont="1" applyFill="1" applyBorder="1" applyAlignment="1">
      <alignment horizontal="center" vertical="center"/>
    </xf>
    <xf numFmtId="2" fontId="32136" fillId="8" borderId="1" xfId="0" applyNumberFormat="1" applyFont="1" applyFill="1" applyBorder="1" applyAlignment="1">
      <alignment horizontal="center" vertical="center"/>
    </xf>
    <xf numFmtId="2" fontId="32137" fillId="8" borderId="1" xfId="0" applyNumberFormat="1" applyFont="1" applyFill="1" applyBorder="1" applyAlignment="1">
      <alignment horizontal="center" vertical="center"/>
    </xf>
    <xf numFmtId="2" fontId="32138" fillId="8" borderId="1" xfId="0" applyNumberFormat="1" applyFont="1" applyFill="1" applyBorder="1" applyAlignment="1">
      <alignment horizontal="center" vertical="center"/>
    </xf>
    <xf numFmtId="0" fontId="32139" fillId="7" borderId="1" xfId="0" applyNumberFormat="1" applyFont="1" applyFill="1" applyBorder="1" applyAlignment="1">
      <alignment horizontal="left" vertical="center"/>
    </xf>
    <xf numFmtId="0" fontId="32140" fillId="8" borderId="1" xfId="0" applyNumberFormat="1" applyFont="1" applyFill="1" applyBorder="1" applyAlignment="1">
      <alignment horizontal="center" vertical="center"/>
    </xf>
    <xf numFmtId="164" fontId="32141" fillId="8" borderId="1" xfId="0" applyNumberFormat="1" applyFont="1" applyFill="1" applyBorder="1" applyAlignment="1">
      <alignment horizontal="center" vertical="center"/>
    </xf>
    <xf numFmtId="1" fontId="32142" fillId="8" borderId="1" xfId="0" applyNumberFormat="1" applyFont="1" applyFill="1" applyBorder="1" applyAlignment="1">
      <alignment horizontal="center" vertical="center"/>
    </xf>
    <xf numFmtId="1" fontId="32143" fillId="8" borderId="1" xfId="0" applyNumberFormat="1" applyFont="1" applyFill="1" applyBorder="1" applyAlignment="1">
      <alignment horizontal="center" vertical="center"/>
    </xf>
    <xf numFmtId="1" fontId="32144" fillId="8" borderId="1" xfId="0" applyNumberFormat="1" applyFont="1" applyFill="1" applyBorder="1" applyAlignment="1">
      <alignment horizontal="center" vertical="center"/>
    </xf>
    <xf numFmtId="1" fontId="32145" fillId="8" borderId="1" xfId="0" applyNumberFormat="1" applyFont="1" applyFill="1" applyBorder="1" applyAlignment="1">
      <alignment horizontal="center" vertical="center"/>
    </xf>
    <xf numFmtId="1" fontId="32146" fillId="8" borderId="1" xfId="0" applyNumberFormat="1" applyFont="1" applyFill="1" applyBorder="1" applyAlignment="1">
      <alignment horizontal="center" vertical="center"/>
    </xf>
    <xf numFmtId="1" fontId="32147" fillId="8" borderId="1" xfId="0" applyNumberFormat="1" applyFont="1" applyFill="1" applyBorder="1" applyAlignment="1">
      <alignment horizontal="center" vertical="center"/>
    </xf>
    <xf numFmtId="1" fontId="32148" fillId="8" borderId="1" xfId="0" applyNumberFormat="1" applyFont="1" applyFill="1" applyBorder="1" applyAlignment="1">
      <alignment horizontal="center" vertical="center"/>
    </xf>
    <xf numFmtId="0" fontId="32149" fillId="8" borderId="1" xfId="0" applyNumberFormat="1" applyFont="1" applyFill="1" applyBorder="1" applyAlignment="1">
      <alignment horizontal="center" vertical="center"/>
    </xf>
    <xf numFmtId="0" fontId="32150" fillId="8" borderId="1" xfId="0" applyNumberFormat="1" applyFont="1" applyFill="1" applyBorder="1" applyAlignment="1">
      <alignment horizontal="center" vertical="center"/>
    </xf>
    <xf numFmtId="1" fontId="32151" fillId="8" borderId="1" xfId="0" applyNumberFormat="1" applyFont="1" applyFill="1" applyBorder="1" applyAlignment="1">
      <alignment horizontal="center" vertical="center"/>
    </xf>
    <xf numFmtId="1" fontId="32152" fillId="8" borderId="1" xfId="0" applyNumberFormat="1" applyFont="1" applyFill="1" applyBorder="1" applyAlignment="1">
      <alignment horizontal="center" vertical="center"/>
    </xf>
    <xf numFmtId="1" fontId="32153" fillId="8" borderId="1" xfId="0" applyNumberFormat="1" applyFont="1" applyFill="1" applyBorder="1" applyAlignment="1">
      <alignment horizontal="center" vertical="center"/>
    </xf>
    <xf numFmtId="165" fontId="32154" fillId="8" borderId="1" xfId="0" applyNumberFormat="1" applyFont="1" applyFill="1" applyBorder="1" applyAlignment="1">
      <alignment horizontal="center" vertical="center"/>
    </xf>
    <xf numFmtId="1" fontId="32155" fillId="8" borderId="1" xfId="0" applyNumberFormat="1" applyFont="1" applyFill="1" applyBorder="1" applyAlignment="1">
      <alignment horizontal="center" vertical="center"/>
    </xf>
    <xf numFmtId="165" fontId="32156" fillId="8" borderId="1" xfId="0" applyNumberFormat="1" applyFont="1" applyFill="1" applyBorder="1" applyAlignment="1">
      <alignment horizontal="center" vertical="center"/>
    </xf>
    <xf numFmtId="1" fontId="32157" fillId="8" borderId="1" xfId="0" applyNumberFormat="1" applyFont="1" applyFill="1" applyBorder="1" applyAlignment="1">
      <alignment horizontal="center" vertical="center"/>
    </xf>
    <xf numFmtId="165" fontId="32158" fillId="8" borderId="1" xfId="0" applyNumberFormat="1" applyFont="1" applyFill="1" applyBorder="1" applyAlignment="1">
      <alignment horizontal="center" vertical="center"/>
    </xf>
    <xf numFmtId="1" fontId="32159" fillId="8" borderId="1" xfId="0" applyNumberFormat="1" applyFont="1" applyFill="1" applyBorder="1" applyAlignment="1">
      <alignment horizontal="center" vertical="center"/>
    </xf>
    <xf numFmtId="165" fontId="32160" fillId="8" borderId="1" xfId="0" applyNumberFormat="1" applyFont="1" applyFill="1" applyBorder="1" applyAlignment="1">
      <alignment horizontal="center" vertical="center"/>
    </xf>
    <xf numFmtId="165" fontId="32161" fillId="8" borderId="1" xfId="0" applyNumberFormat="1" applyFont="1" applyFill="1" applyBorder="1" applyAlignment="1">
      <alignment horizontal="center" vertical="center"/>
    </xf>
    <xf numFmtId="1" fontId="32162" fillId="8" borderId="1" xfId="0" applyNumberFormat="1" applyFont="1" applyFill="1" applyBorder="1" applyAlignment="1">
      <alignment horizontal="center" vertical="center"/>
    </xf>
    <xf numFmtId="1" fontId="32163" fillId="8" borderId="1" xfId="0" applyNumberFormat="1" applyFont="1" applyFill="1" applyBorder="1" applyAlignment="1">
      <alignment horizontal="center" vertical="center"/>
    </xf>
    <xf numFmtId="1" fontId="32164" fillId="8" borderId="1" xfId="0" applyNumberFormat="1" applyFont="1" applyFill="1" applyBorder="1" applyAlignment="1">
      <alignment horizontal="center" vertical="center"/>
    </xf>
    <xf numFmtId="165" fontId="32165" fillId="8" borderId="1" xfId="0" applyNumberFormat="1" applyFont="1" applyFill="1" applyBorder="1" applyAlignment="1">
      <alignment horizontal="center" vertical="center"/>
    </xf>
    <xf numFmtId="164" fontId="32166" fillId="8" borderId="1" xfId="0" applyNumberFormat="1" applyFont="1" applyFill="1" applyBorder="1" applyAlignment="1">
      <alignment horizontal="center" vertical="center"/>
    </xf>
    <xf numFmtId="164" fontId="32167" fillId="8" borderId="1" xfId="0" applyNumberFormat="1" applyFont="1" applyFill="1" applyBorder="1" applyAlignment="1">
      <alignment horizontal="center" vertical="center"/>
    </xf>
    <xf numFmtId="1" fontId="32168" fillId="8" borderId="1" xfId="0" applyNumberFormat="1" applyFont="1" applyFill="1" applyBorder="1" applyAlignment="1">
      <alignment horizontal="center" vertical="center"/>
    </xf>
    <xf numFmtId="1" fontId="32169" fillId="8" borderId="1" xfId="0" applyNumberFormat="1" applyFont="1" applyFill="1" applyBorder="1" applyAlignment="1">
      <alignment horizontal="center" vertical="center"/>
    </xf>
    <xf numFmtId="1" fontId="32170" fillId="8" borderId="1" xfId="0" applyNumberFormat="1" applyFont="1" applyFill="1" applyBorder="1" applyAlignment="1">
      <alignment horizontal="center" vertical="center"/>
    </xf>
    <xf numFmtId="165" fontId="32171" fillId="8" borderId="1" xfId="0" applyNumberFormat="1" applyFont="1" applyFill="1" applyBorder="1" applyAlignment="1">
      <alignment horizontal="center" vertical="center"/>
    </xf>
    <xf numFmtId="1" fontId="32172" fillId="8" borderId="1" xfId="0" applyNumberFormat="1" applyFont="1" applyFill="1" applyBorder="1" applyAlignment="1">
      <alignment horizontal="center" vertical="center"/>
    </xf>
    <xf numFmtId="165" fontId="32173" fillId="8" borderId="1" xfId="0" applyNumberFormat="1" applyFont="1" applyFill="1" applyBorder="1" applyAlignment="1">
      <alignment horizontal="center" vertical="center"/>
    </xf>
    <xf numFmtId="1" fontId="32174" fillId="8" borderId="1" xfId="0" applyNumberFormat="1" applyFont="1" applyFill="1" applyBorder="1" applyAlignment="1">
      <alignment horizontal="center" vertical="center"/>
    </xf>
    <xf numFmtId="1" fontId="32175" fillId="8" borderId="1" xfId="0" applyNumberFormat="1" applyFont="1" applyFill="1" applyBorder="1" applyAlignment="1">
      <alignment horizontal="center" vertical="center"/>
    </xf>
    <xf numFmtId="1" fontId="32176" fillId="8" borderId="1" xfId="0" applyNumberFormat="1" applyFont="1" applyFill="1" applyBorder="1" applyAlignment="1">
      <alignment horizontal="center" vertical="center"/>
    </xf>
    <xf numFmtId="1" fontId="32177" fillId="8" borderId="1" xfId="0" applyNumberFormat="1" applyFont="1" applyFill="1" applyBorder="1" applyAlignment="1">
      <alignment horizontal="center" vertical="center"/>
    </xf>
    <xf numFmtId="165" fontId="32178" fillId="8" borderId="1" xfId="0" applyNumberFormat="1" applyFont="1" applyFill="1" applyBorder="1" applyAlignment="1">
      <alignment horizontal="center" vertical="center"/>
    </xf>
    <xf numFmtId="1" fontId="32179" fillId="8" borderId="1" xfId="0" applyNumberFormat="1" applyFont="1" applyFill="1" applyBorder="1" applyAlignment="1">
      <alignment horizontal="center" vertical="center"/>
    </xf>
    <xf numFmtId="165" fontId="32180" fillId="8" borderId="1" xfId="0" applyNumberFormat="1" applyFont="1" applyFill="1" applyBorder="1" applyAlignment="1">
      <alignment horizontal="center" vertical="center"/>
    </xf>
    <xf numFmtId="1" fontId="32181" fillId="8" borderId="1" xfId="0" applyNumberFormat="1" applyFont="1" applyFill="1" applyBorder="1" applyAlignment="1">
      <alignment horizontal="center" vertical="center"/>
    </xf>
    <xf numFmtId="165" fontId="32182" fillId="8" borderId="1" xfId="0" applyNumberFormat="1" applyFont="1" applyFill="1" applyBorder="1" applyAlignment="1">
      <alignment horizontal="center" vertical="center"/>
    </xf>
    <xf numFmtId="2" fontId="32183" fillId="8" borderId="1" xfId="0" applyNumberFormat="1" applyFont="1" applyFill="1" applyBorder="1" applyAlignment="1">
      <alignment horizontal="center" vertical="center"/>
    </xf>
    <xf numFmtId="2" fontId="32184" fillId="8" borderId="1" xfId="0" applyNumberFormat="1" applyFont="1" applyFill="1" applyBorder="1" applyAlignment="1">
      <alignment horizontal="center" vertical="center"/>
    </xf>
    <xf numFmtId="2" fontId="32185" fillId="8" borderId="1" xfId="0" applyNumberFormat="1" applyFont="1" applyFill="1" applyBorder="1" applyAlignment="1">
      <alignment horizontal="center" vertical="center"/>
    </xf>
    <xf numFmtId="2" fontId="32186" fillId="8" borderId="1" xfId="0" applyNumberFormat="1" applyFont="1" applyFill="1" applyBorder="1" applyAlignment="1">
      <alignment horizontal="center" vertical="center"/>
    </xf>
    <xf numFmtId="2" fontId="32187" fillId="8" borderId="1" xfId="0" applyNumberFormat="1" applyFont="1" applyFill="1" applyBorder="1" applyAlignment="1">
      <alignment horizontal="center" vertical="center"/>
    </xf>
    <xf numFmtId="2" fontId="32188" fillId="8" borderId="1" xfId="0" applyNumberFormat="1" applyFont="1" applyFill="1" applyBorder="1" applyAlignment="1">
      <alignment horizontal="center" vertical="center"/>
    </xf>
    <xf numFmtId="2" fontId="32189" fillId="8" borderId="1" xfId="0" applyNumberFormat="1" applyFont="1" applyFill="1" applyBorder="1" applyAlignment="1">
      <alignment horizontal="center" vertical="center"/>
    </xf>
    <xf numFmtId="2" fontId="32190" fillId="8" borderId="1" xfId="0" applyNumberFormat="1" applyFont="1" applyFill="1" applyBorder="1" applyAlignment="1">
      <alignment horizontal="center" vertical="center"/>
    </xf>
    <xf numFmtId="2" fontId="32191" fillId="8" borderId="1" xfId="0" applyNumberFormat="1" applyFont="1" applyFill="1" applyBorder="1" applyAlignment="1">
      <alignment horizontal="center" vertical="center"/>
    </xf>
    <xf numFmtId="2" fontId="32192" fillId="8" borderId="1" xfId="0" applyNumberFormat="1" applyFont="1" applyFill="1" applyBorder="1" applyAlignment="1">
      <alignment horizontal="center" vertical="center"/>
    </xf>
    <xf numFmtId="2" fontId="32193" fillId="8" borderId="1" xfId="0" applyNumberFormat="1" applyFont="1" applyFill="1" applyBorder="1" applyAlignment="1">
      <alignment horizontal="center" vertical="center"/>
    </xf>
    <xf numFmtId="2" fontId="32194" fillId="8" borderId="1" xfId="0" applyNumberFormat="1" applyFont="1" applyFill="1" applyBorder="1" applyAlignment="1">
      <alignment horizontal="center" vertical="center"/>
    </xf>
    <xf numFmtId="2" fontId="32195" fillId="8" borderId="1" xfId="0" applyNumberFormat="1" applyFont="1" applyFill="1" applyBorder="1" applyAlignment="1">
      <alignment horizontal="center" vertical="center"/>
    </xf>
    <xf numFmtId="2" fontId="32196" fillId="8" borderId="1" xfId="0" applyNumberFormat="1" applyFont="1" applyFill="1" applyBorder="1" applyAlignment="1">
      <alignment horizontal="center" vertical="center"/>
    </xf>
    <xf numFmtId="2" fontId="32197" fillId="8" borderId="1" xfId="0" applyNumberFormat="1" applyFont="1" applyFill="1" applyBorder="1" applyAlignment="1">
      <alignment horizontal="center" vertical="center"/>
    </xf>
    <xf numFmtId="2" fontId="32198" fillId="8" borderId="1" xfId="0" applyNumberFormat="1" applyFont="1" applyFill="1" applyBorder="1" applyAlignment="1">
      <alignment horizontal="center" vertical="center"/>
    </xf>
    <xf numFmtId="2" fontId="32199" fillId="8" borderId="1" xfId="0" applyNumberFormat="1" applyFont="1" applyFill="1" applyBorder="1" applyAlignment="1">
      <alignment horizontal="center" vertical="center"/>
    </xf>
    <xf numFmtId="2" fontId="32200" fillId="8" borderId="1" xfId="0" applyNumberFormat="1" applyFont="1" applyFill="1" applyBorder="1" applyAlignment="1">
      <alignment horizontal="center" vertical="center"/>
    </xf>
    <xf numFmtId="2" fontId="32201" fillId="8" borderId="1" xfId="0" applyNumberFormat="1" applyFont="1" applyFill="1" applyBorder="1" applyAlignment="1">
      <alignment horizontal="center" vertical="center"/>
    </xf>
    <xf numFmtId="2" fontId="32202" fillId="8" borderId="1" xfId="0" applyNumberFormat="1" applyFont="1" applyFill="1" applyBorder="1" applyAlignment="1">
      <alignment horizontal="center" vertical="center"/>
    </xf>
    <xf numFmtId="2" fontId="32203" fillId="8" borderId="1" xfId="0" applyNumberFormat="1" applyFont="1" applyFill="1" applyBorder="1" applyAlignment="1">
      <alignment horizontal="center" vertical="center"/>
    </xf>
    <xf numFmtId="2" fontId="32204" fillId="8" borderId="1" xfId="0" applyNumberFormat="1" applyFont="1" applyFill="1" applyBorder="1" applyAlignment="1">
      <alignment horizontal="center" vertical="center"/>
    </xf>
    <xf numFmtId="2" fontId="32205" fillId="8" borderId="1" xfId="0" applyNumberFormat="1" applyFont="1" applyFill="1" applyBorder="1" applyAlignment="1">
      <alignment horizontal="center" vertical="center"/>
    </xf>
    <xf numFmtId="2" fontId="32206" fillId="8" borderId="1" xfId="0" applyNumberFormat="1" applyFont="1" applyFill="1" applyBorder="1" applyAlignment="1">
      <alignment horizontal="center" vertical="center"/>
    </xf>
    <xf numFmtId="2" fontId="32207" fillId="8" borderId="1" xfId="0" applyNumberFormat="1" applyFont="1" applyFill="1" applyBorder="1" applyAlignment="1">
      <alignment horizontal="center" vertical="center"/>
    </xf>
    <xf numFmtId="2" fontId="32208" fillId="8" borderId="1" xfId="0" applyNumberFormat="1" applyFont="1" applyFill="1" applyBorder="1" applyAlignment="1">
      <alignment horizontal="center" vertical="center"/>
    </xf>
    <xf numFmtId="2" fontId="32209" fillId="8" borderId="1" xfId="0" applyNumberFormat="1" applyFont="1" applyFill="1" applyBorder="1" applyAlignment="1">
      <alignment horizontal="center" vertical="center"/>
    </xf>
    <xf numFmtId="2" fontId="32210" fillId="8" borderId="1" xfId="0" applyNumberFormat="1" applyFont="1" applyFill="1" applyBorder="1" applyAlignment="1">
      <alignment horizontal="center" vertical="center"/>
    </xf>
    <xf numFmtId="2" fontId="32211" fillId="8" borderId="1" xfId="0" applyNumberFormat="1" applyFont="1" applyFill="1" applyBorder="1" applyAlignment="1">
      <alignment horizontal="center" vertical="center"/>
    </xf>
    <xf numFmtId="2" fontId="32212" fillId="8" borderId="1" xfId="0" applyNumberFormat="1" applyFont="1" applyFill="1" applyBorder="1" applyAlignment="1">
      <alignment horizontal="center" vertical="center"/>
    </xf>
    <xf numFmtId="2" fontId="32213" fillId="8" borderId="1" xfId="0" applyNumberFormat="1" applyFont="1" applyFill="1" applyBorder="1" applyAlignment="1">
      <alignment horizontal="center" vertical="center"/>
    </xf>
    <xf numFmtId="2" fontId="32214" fillId="8" borderId="1" xfId="0" applyNumberFormat="1" applyFont="1" applyFill="1" applyBorder="1" applyAlignment="1">
      <alignment horizontal="center" vertical="center"/>
    </xf>
    <xf numFmtId="2" fontId="32215" fillId="8" borderId="1" xfId="0" applyNumberFormat="1" applyFont="1" applyFill="1" applyBorder="1" applyAlignment="1">
      <alignment horizontal="center" vertical="center"/>
    </xf>
    <xf numFmtId="2" fontId="32216" fillId="8" borderId="1" xfId="0" applyNumberFormat="1" applyFont="1" applyFill="1" applyBorder="1" applyAlignment="1">
      <alignment horizontal="center" vertical="center"/>
    </xf>
    <xf numFmtId="0" fontId="32217" fillId="7" borderId="1" xfId="0" applyNumberFormat="1" applyFont="1" applyFill="1" applyBorder="1" applyAlignment="1">
      <alignment horizontal="left" vertical="center"/>
    </xf>
    <xf numFmtId="0" fontId="32218" fillId="8" borderId="1" xfId="0" applyNumberFormat="1" applyFont="1" applyFill="1" applyBorder="1" applyAlignment="1">
      <alignment horizontal="center" vertical="center"/>
    </xf>
    <xf numFmtId="164" fontId="32219" fillId="8" borderId="1" xfId="0" applyNumberFormat="1" applyFont="1" applyFill="1" applyBorder="1" applyAlignment="1">
      <alignment horizontal="center" vertical="center"/>
    </xf>
    <xf numFmtId="1" fontId="32220" fillId="8" borderId="1" xfId="0" applyNumberFormat="1" applyFont="1" applyFill="1" applyBorder="1" applyAlignment="1">
      <alignment horizontal="center" vertical="center"/>
    </xf>
    <xf numFmtId="1" fontId="32221" fillId="8" borderId="1" xfId="0" applyNumberFormat="1" applyFont="1" applyFill="1" applyBorder="1" applyAlignment="1">
      <alignment horizontal="center" vertical="center"/>
    </xf>
    <xf numFmtId="1" fontId="32222" fillId="8" borderId="1" xfId="0" applyNumberFormat="1" applyFont="1" applyFill="1" applyBorder="1" applyAlignment="1">
      <alignment horizontal="center" vertical="center"/>
    </xf>
    <xf numFmtId="1" fontId="32223" fillId="8" borderId="1" xfId="0" applyNumberFormat="1" applyFont="1" applyFill="1" applyBorder="1" applyAlignment="1">
      <alignment horizontal="center" vertical="center"/>
    </xf>
    <xf numFmtId="1" fontId="32224" fillId="8" borderId="1" xfId="0" applyNumberFormat="1" applyFont="1" applyFill="1" applyBorder="1" applyAlignment="1">
      <alignment horizontal="center" vertical="center"/>
    </xf>
    <xf numFmtId="1" fontId="32225" fillId="8" borderId="1" xfId="0" applyNumberFormat="1" applyFont="1" applyFill="1" applyBorder="1" applyAlignment="1">
      <alignment horizontal="center" vertical="center"/>
    </xf>
    <xf numFmtId="1" fontId="32226" fillId="8" borderId="1" xfId="0" applyNumberFormat="1" applyFont="1" applyFill="1" applyBorder="1" applyAlignment="1">
      <alignment horizontal="center" vertical="center"/>
    </xf>
    <xf numFmtId="0" fontId="32227" fillId="8" borderId="1" xfId="0" applyNumberFormat="1" applyFont="1" applyFill="1" applyBorder="1" applyAlignment="1">
      <alignment horizontal="center" vertical="center"/>
    </xf>
    <xf numFmtId="0" fontId="32228" fillId="8" borderId="1" xfId="0" applyNumberFormat="1" applyFont="1" applyFill="1" applyBorder="1" applyAlignment="1">
      <alignment horizontal="center" vertical="center"/>
    </xf>
    <xf numFmtId="1" fontId="32229" fillId="8" borderId="1" xfId="0" applyNumberFormat="1" applyFont="1" applyFill="1" applyBorder="1" applyAlignment="1">
      <alignment horizontal="center" vertical="center"/>
    </xf>
    <xf numFmtId="1" fontId="32230" fillId="8" borderId="1" xfId="0" applyNumberFormat="1" applyFont="1" applyFill="1" applyBorder="1" applyAlignment="1">
      <alignment horizontal="center" vertical="center"/>
    </xf>
    <xf numFmtId="1" fontId="32231" fillId="8" borderId="1" xfId="0" applyNumberFormat="1" applyFont="1" applyFill="1" applyBorder="1" applyAlignment="1">
      <alignment horizontal="center" vertical="center"/>
    </xf>
    <xf numFmtId="165" fontId="32232" fillId="8" borderId="1" xfId="0" applyNumberFormat="1" applyFont="1" applyFill="1" applyBorder="1" applyAlignment="1">
      <alignment horizontal="center" vertical="center"/>
    </xf>
    <xf numFmtId="1" fontId="32233" fillId="8" borderId="1" xfId="0" applyNumberFormat="1" applyFont="1" applyFill="1" applyBorder="1" applyAlignment="1">
      <alignment horizontal="center" vertical="center"/>
    </xf>
    <xf numFmtId="165" fontId="32234" fillId="8" borderId="1" xfId="0" applyNumberFormat="1" applyFont="1" applyFill="1" applyBorder="1" applyAlignment="1">
      <alignment horizontal="center" vertical="center"/>
    </xf>
    <xf numFmtId="1" fontId="32235" fillId="8" borderId="1" xfId="0" applyNumberFormat="1" applyFont="1" applyFill="1" applyBorder="1" applyAlignment="1">
      <alignment horizontal="center" vertical="center"/>
    </xf>
    <xf numFmtId="165" fontId="32236" fillId="8" borderId="1" xfId="0" applyNumberFormat="1" applyFont="1" applyFill="1" applyBorder="1" applyAlignment="1">
      <alignment horizontal="center" vertical="center"/>
    </xf>
    <xf numFmtId="1" fontId="32237" fillId="8" borderId="1" xfId="0" applyNumberFormat="1" applyFont="1" applyFill="1" applyBorder="1" applyAlignment="1">
      <alignment horizontal="center" vertical="center"/>
    </xf>
    <xf numFmtId="165" fontId="32238" fillId="8" borderId="1" xfId="0" applyNumberFormat="1" applyFont="1" applyFill="1" applyBorder="1" applyAlignment="1">
      <alignment horizontal="center" vertical="center"/>
    </xf>
    <xf numFmtId="165" fontId="32239" fillId="8" borderId="1" xfId="0" applyNumberFormat="1" applyFont="1" applyFill="1" applyBorder="1" applyAlignment="1">
      <alignment horizontal="center" vertical="center"/>
    </xf>
    <xf numFmtId="1" fontId="32240" fillId="8" borderId="1" xfId="0" applyNumberFormat="1" applyFont="1" applyFill="1" applyBorder="1" applyAlignment="1">
      <alignment horizontal="center" vertical="center"/>
    </xf>
    <xf numFmtId="1" fontId="32241" fillId="8" borderId="1" xfId="0" applyNumberFormat="1" applyFont="1" applyFill="1" applyBorder="1" applyAlignment="1">
      <alignment horizontal="center" vertical="center"/>
    </xf>
    <xf numFmtId="1" fontId="32242" fillId="8" borderId="1" xfId="0" applyNumberFormat="1" applyFont="1" applyFill="1" applyBorder="1" applyAlignment="1">
      <alignment horizontal="center" vertical="center"/>
    </xf>
    <xf numFmtId="165" fontId="32243" fillId="8" borderId="1" xfId="0" applyNumberFormat="1" applyFont="1" applyFill="1" applyBorder="1" applyAlignment="1">
      <alignment horizontal="center" vertical="center"/>
    </xf>
    <xf numFmtId="164" fontId="32244" fillId="8" borderId="1" xfId="0" applyNumberFormat="1" applyFont="1" applyFill="1" applyBorder="1" applyAlignment="1">
      <alignment horizontal="center" vertical="center"/>
    </xf>
    <xf numFmtId="164" fontId="32245" fillId="8" borderId="1" xfId="0" applyNumberFormat="1" applyFont="1" applyFill="1" applyBorder="1" applyAlignment="1">
      <alignment horizontal="center" vertical="center"/>
    </xf>
    <xf numFmtId="1" fontId="32246" fillId="8" borderId="1" xfId="0" applyNumberFormat="1" applyFont="1" applyFill="1" applyBorder="1" applyAlignment="1">
      <alignment horizontal="center" vertical="center"/>
    </xf>
    <xf numFmtId="1" fontId="32247" fillId="8" borderId="1" xfId="0" applyNumberFormat="1" applyFont="1" applyFill="1" applyBorder="1" applyAlignment="1">
      <alignment horizontal="center" vertical="center"/>
    </xf>
    <xf numFmtId="1" fontId="32248" fillId="8" borderId="1" xfId="0" applyNumberFormat="1" applyFont="1" applyFill="1" applyBorder="1" applyAlignment="1">
      <alignment horizontal="center" vertical="center"/>
    </xf>
    <xf numFmtId="165" fontId="32249" fillId="8" borderId="1" xfId="0" applyNumberFormat="1" applyFont="1" applyFill="1" applyBorder="1" applyAlignment="1">
      <alignment horizontal="center" vertical="center"/>
    </xf>
    <xf numFmtId="1" fontId="32250" fillId="8" borderId="1" xfId="0" applyNumberFormat="1" applyFont="1" applyFill="1" applyBorder="1" applyAlignment="1">
      <alignment horizontal="center" vertical="center"/>
    </xf>
    <xf numFmtId="165" fontId="32251" fillId="8" borderId="1" xfId="0" applyNumberFormat="1" applyFont="1" applyFill="1" applyBorder="1" applyAlignment="1">
      <alignment horizontal="center" vertical="center"/>
    </xf>
    <xf numFmtId="1" fontId="32252" fillId="8" borderId="1" xfId="0" applyNumberFormat="1" applyFont="1" applyFill="1" applyBorder="1" applyAlignment="1">
      <alignment horizontal="center" vertical="center"/>
    </xf>
    <xf numFmtId="1" fontId="32253" fillId="8" borderId="1" xfId="0" applyNumberFormat="1" applyFont="1" applyFill="1" applyBorder="1" applyAlignment="1">
      <alignment horizontal="center" vertical="center"/>
    </xf>
    <xf numFmtId="1" fontId="32254" fillId="8" borderId="1" xfId="0" applyNumberFormat="1" applyFont="1" applyFill="1" applyBorder="1" applyAlignment="1">
      <alignment horizontal="center" vertical="center"/>
    </xf>
    <xf numFmtId="1" fontId="32255" fillId="8" borderId="1" xfId="0" applyNumberFormat="1" applyFont="1" applyFill="1" applyBorder="1" applyAlignment="1">
      <alignment horizontal="center" vertical="center"/>
    </xf>
    <xf numFmtId="165" fontId="32256" fillId="8" borderId="1" xfId="0" applyNumberFormat="1" applyFont="1" applyFill="1" applyBorder="1" applyAlignment="1">
      <alignment horizontal="center" vertical="center"/>
    </xf>
    <xf numFmtId="1" fontId="32257" fillId="8" borderId="1" xfId="0" applyNumberFormat="1" applyFont="1" applyFill="1" applyBorder="1" applyAlignment="1">
      <alignment horizontal="center" vertical="center"/>
    </xf>
    <xf numFmtId="165" fontId="32258" fillId="8" borderId="1" xfId="0" applyNumberFormat="1" applyFont="1" applyFill="1" applyBorder="1" applyAlignment="1">
      <alignment horizontal="center" vertical="center"/>
    </xf>
    <xf numFmtId="1" fontId="32259" fillId="8" borderId="1" xfId="0" applyNumberFormat="1" applyFont="1" applyFill="1" applyBorder="1" applyAlignment="1">
      <alignment horizontal="center" vertical="center"/>
    </xf>
    <xf numFmtId="165" fontId="32260" fillId="8" borderId="1" xfId="0" applyNumberFormat="1" applyFont="1" applyFill="1" applyBorder="1" applyAlignment="1">
      <alignment horizontal="center" vertical="center"/>
    </xf>
    <xf numFmtId="2" fontId="32261" fillId="8" borderId="1" xfId="0" applyNumberFormat="1" applyFont="1" applyFill="1" applyBorder="1" applyAlignment="1">
      <alignment horizontal="center" vertical="center"/>
    </xf>
    <xf numFmtId="2" fontId="32262" fillId="8" borderId="1" xfId="0" applyNumberFormat="1" applyFont="1" applyFill="1" applyBorder="1" applyAlignment="1">
      <alignment horizontal="center" vertical="center"/>
    </xf>
    <xf numFmtId="2" fontId="32263" fillId="8" borderId="1" xfId="0" applyNumberFormat="1" applyFont="1" applyFill="1" applyBorder="1" applyAlignment="1">
      <alignment horizontal="center" vertical="center"/>
    </xf>
    <xf numFmtId="2" fontId="32264" fillId="8" borderId="1" xfId="0" applyNumberFormat="1" applyFont="1" applyFill="1" applyBorder="1" applyAlignment="1">
      <alignment horizontal="center" vertical="center"/>
    </xf>
    <xf numFmtId="2" fontId="32265" fillId="8" borderId="1" xfId="0" applyNumberFormat="1" applyFont="1" applyFill="1" applyBorder="1" applyAlignment="1">
      <alignment horizontal="center" vertical="center"/>
    </xf>
    <xf numFmtId="2" fontId="32266" fillId="8" borderId="1" xfId="0" applyNumberFormat="1" applyFont="1" applyFill="1" applyBorder="1" applyAlignment="1">
      <alignment horizontal="center" vertical="center"/>
    </xf>
    <xf numFmtId="2" fontId="32267" fillId="8" borderId="1" xfId="0" applyNumberFormat="1" applyFont="1" applyFill="1" applyBorder="1" applyAlignment="1">
      <alignment horizontal="center" vertical="center"/>
    </xf>
    <xf numFmtId="2" fontId="32268" fillId="8" borderId="1" xfId="0" applyNumberFormat="1" applyFont="1" applyFill="1" applyBorder="1" applyAlignment="1">
      <alignment horizontal="center" vertical="center"/>
    </xf>
    <xf numFmtId="2" fontId="32269" fillId="8" borderId="1" xfId="0" applyNumberFormat="1" applyFont="1" applyFill="1" applyBorder="1" applyAlignment="1">
      <alignment horizontal="center" vertical="center"/>
    </xf>
    <xf numFmtId="2" fontId="32270" fillId="8" borderId="1" xfId="0" applyNumberFormat="1" applyFont="1" applyFill="1" applyBorder="1" applyAlignment="1">
      <alignment horizontal="center" vertical="center"/>
    </xf>
    <xf numFmtId="2" fontId="32271" fillId="8" borderId="1" xfId="0" applyNumberFormat="1" applyFont="1" applyFill="1" applyBorder="1" applyAlignment="1">
      <alignment horizontal="center" vertical="center"/>
    </xf>
    <xf numFmtId="2" fontId="32272" fillId="8" borderId="1" xfId="0" applyNumberFormat="1" applyFont="1" applyFill="1" applyBorder="1" applyAlignment="1">
      <alignment horizontal="center" vertical="center"/>
    </xf>
    <xf numFmtId="2" fontId="32273" fillId="8" borderId="1" xfId="0" applyNumberFormat="1" applyFont="1" applyFill="1" applyBorder="1" applyAlignment="1">
      <alignment horizontal="center" vertical="center"/>
    </xf>
    <xf numFmtId="2" fontId="32274" fillId="8" borderId="1" xfId="0" applyNumberFormat="1" applyFont="1" applyFill="1" applyBorder="1" applyAlignment="1">
      <alignment horizontal="center" vertical="center"/>
    </xf>
    <xf numFmtId="2" fontId="32275" fillId="8" borderId="1" xfId="0" applyNumberFormat="1" applyFont="1" applyFill="1" applyBorder="1" applyAlignment="1">
      <alignment horizontal="center" vertical="center"/>
    </xf>
    <xf numFmtId="2" fontId="32276" fillId="8" borderId="1" xfId="0" applyNumberFormat="1" applyFont="1" applyFill="1" applyBorder="1" applyAlignment="1">
      <alignment horizontal="center" vertical="center"/>
    </xf>
    <xf numFmtId="2" fontId="32277" fillId="8" borderId="1" xfId="0" applyNumberFormat="1" applyFont="1" applyFill="1" applyBorder="1" applyAlignment="1">
      <alignment horizontal="center" vertical="center"/>
    </xf>
    <xf numFmtId="2" fontId="32278" fillId="8" borderId="1" xfId="0" applyNumberFormat="1" applyFont="1" applyFill="1" applyBorder="1" applyAlignment="1">
      <alignment horizontal="center" vertical="center"/>
    </xf>
    <xf numFmtId="2" fontId="32279" fillId="8" borderId="1" xfId="0" applyNumberFormat="1" applyFont="1" applyFill="1" applyBorder="1" applyAlignment="1">
      <alignment horizontal="center" vertical="center"/>
    </xf>
    <xf numFmtId="2" fontId="32280" fillId="8" borderId="1" xfId="0" applyNumberFormat="1" applyFont="1" applyFill="1" applyBorder="1" applyAlignment="1">
      <alignment horizontal="center" vertical="center"/>
    </xf>
    <xf numFmtId="2" fontId="32281" fillId="8" borderId="1" xfId="0" applyNumberFormat="1" applyFont="1" applyFill="1" applyBorder="1" applyAlignment="1">
      <alignment horizontal="center" vertical="center"/>
    </xf>
    <xf numFmtId="2" fontId="32282" fillId="8" borderId="1" xfId="0" applyNumberFormat="1" applyFont="1" applyFill="1" applyBorder="1" applyAlignment="1">
      <alignment horizontal="center" vertical="center"/>
    </xf>
    <xf numFmtId="2" fontId="32283" fillId="8" borderId="1" xfId="0" applyNumberFormat="1" applyFont="1" applyFill="1" applyBorder="1" applyAlignment="1">
      <alignment horizontal="center" vertical="center"/>
    </xf>
    <xf numFmtId="2" fontId="32284" fillId="8" borderId="1" xfId="0" applyNumberFormat="1" applyFont="1" applyFill="1" applyBorder="1" applyAlignment="1">
      <alignment horizontal="center" vertical="center"/>
    </xf>
    <xf numFmtId="2" fontId="32285" fillId="8" borderId="1" xfId="0" applyNumberFormat="1" applyFont="1" applyFill="1" applyBorder="1" applyAlignment="1">
      <alignment horizontal="center" vertical="center"/>
    </xf>
    <xf numFmtId="2" fontId="32286" fillId="8" borderId="1" xfId="0" applyNumberFormat="1" applyFont="1" applyFill="1" applyBorder="1" applyAlignment="1">
      <alignment horizontal="center" vertical="center"/>
    </xf>
    <xf numFmtId="2" fontId="32287" fillId="8" borderId="1" xfId="0" applyNumberFormat="1" applyFont="1" applyFill="1" applyBorder="1" applyAlignment="1">
      <alignment horizontal="center" vertical="center"/>
    </xf>
    <xf numFmtId="2" fontId="32288" fillId="8" borderId="1" xfId="0" applyNumberFormat="1" applyFont="1" applyFill="1" applyBorder="1" applyAlignment="1">
      <alignment horizontal="center" vertical="center"/>
    </xf>
    <xf numFmtId="2" fontId="32289" fillId="8" borderId="1" xfId="0" applyNumberFormat="1" applyFont="1" applyFill="1" applyBorder="1" applyAlignment="1">
      <alignment horizontal="center" vertical="center"/>
    </xf>
    <xf numFmtId="2" fontId="32290" fillId="8" borderId="1" xfId="0" applyNumberFormat="1" applyFont="1" applyFill="1" applyBorder="1" applyAlignment="1">
      <alignment horizontal="center" vertical="center"/>
    </xf>
    <xf numFmtId="2" fontId="32291" fillId="8" borderId="1" xfId="0" applyNumberFormat="1" applyFont="1" applyFill="1" applyBorder="1" applyAlignment="1">
      <alignment horizontal="center" vertical="center"/>
    </xf>
    <xf numFmtId="2" fontId="32292" fillId="8" borderId="1" xfId="0" applyNumberFormat="1" applyFont="1" applyFill="1" applyBorder="1" applyAlignment="1">
      <alignment horizontal="center" vertical="center"/>
    </xf>
    <xf numFmtId="2" fontId="32293" fillId="8" borderId="1" xfId="0" applyNumberFormat="1" applyFont="1" applyFill="1" applyBorder="1" applyAlignment="1">
      <alignment horizontal="center" vertical="center"/>
    </xf>
    <xf numFmtId="2" fontId="32294" fillId="8" borderId="1" xfId="0" applyNumberFormat="1" applyFont="1" applyFill="1" applyBorder="1" applyAlignment="1">
      <alignment horizontal="center" vertical="center"/>
    </xf>
    <xf numFmtId="0" fontId="32295" fillId="7" borderId="1" xfId="0" applyNumberFormat="1" applyFont="1" applyFill="1" applyBorder="1" applyAlignment="1">
      <alignment horizontal="left" vertical="center"/>
    </xf>
    <xf numFmtId="0" fontId="32296" fillId="8" borderId="1" xfId="0" applyNumberFormat="1" applyFont="1" applyFill="1" applyBorder="1" applyAlignment="1">
      <alignment horizontal="center" vertical="center"/>
    </xf>
    <xf numFmtId="164" fontId="32297" fillId="8" borderId="1" xfId="0" applyNumberFormat="1" applyFont="1" applyFill="1" applyBorder="1" applyAlignment="1">
      <alignment horizontal="center" vertical="center"/>
    </xf>
    <xf numFmtId="1" fontId="32298" fillId="8" borderId="1" xfId="0" applyNumberFormat="1" applyFont="1" applyFill="1" applyBorder="1" applyAlignment="1">
      <alignment horizontal="center" vertical="center"/>
    </xf>
    <xf numFmtId="1" fontId="32299" fillId="8" borderId="1" xfId="0" applyNumberFormat="1" applyFont="1" applyFill="1" applyBorder="1" applyAlignment="1">
      <alignment horizontal="center" vertical="center"/>
    </xf>
    <xf numFmtId="1" fontId="32300" fillId="8" borderId="1" xfId="0" applyNumberFormat="1" applyFont="1" applyFill="1" applyBorder="1" applyAlignment="1">
      <alignment horizontal="center" vertical="center"/>
    </xf>
    <xf numFmtId="1" fontId="32301" fillId="8" borderId="1" xfId="0" applyNumberFormat="1" applyFont="1" applyFill="1" applyBorder="1" applyAlignment="1">
      <alignment horizontal="center" vertical="center"/>
    </xf>
    <xf numFmtId="1" fontId="32302" fillId="8" borderId="1" xfId="0" applyNumberFormat="1" applyFont="1" applyFill="1" applyBorder="1" applyAlignment="1">
      <alignment horizontal="center" vertical="center"/>
    </xf>
    <xf numFmtId="1" fontId="32303" fillId="8" borderId="1" xfId="0" applyNumberFormat="1" applyFont="1" applyFill="1" applyBorder="1" applyAlignment="1">
      <alignment horizontal="center" vertical="center"/>
    </xf>
    <xf numFmtId="1" fontId="32304" fillId="8" borderId="1" xfId="0" applyNumberFormat="1" applyFont="1" applyFill="1" applyBorder="1" applyAlignment="1">
      <alignment horizontal="center" vertical="center"/>
    </xf>
    <xf numFmtId="0" fontId="32305" fillId="8" borderId="1" xfId="0" applyNumberFormat="1" applyFont="1" applyFill="1" applyBorder="1" applyAlignment="1">
      <alignment horizontal="center" vertical="center"/>
    </xf>
    <xf numFmtId="0" fontId="32306" fillId="8" borderId="1" xfId="0" applyNumberFormat="1" applyFont="1" applyFill="1" applyBorder="1" applyAlignment="1">
      <alignment horizontal="center" vertical="center"/>
    </xf>
    <xf numFmtId="1" fontId="32307" fillId="8" borderId="1" xfId="0" applyNumberFormat="1" applyFont="1" applyFill="1" applyBorder="1" applyAlignment="1">
      <alignment horizontal="center" vertical="center"/>
    </xf>
    <xf numFmtId="1" fontId="32308" fillId="8" borderId="1" xfId="0" applyNumberFormat="1" applyFont="1" applyFill="1" applyBorder="1" applyAlignment="1">
      <alignment horizontal="center" vertical="center"/>
    </xf>
    <xf numFmtId="1" fontId="32309" fillId="8" borderId="1" xfId="0" applyNumberFormat="1" applyFont="1" applyFill="1" applyBorder="1" applyAlignment="1">
      <alignment horizontal="center" vertical="center"/>
    </xf>
    <xf numFmtId="165" fontId="32310" fillId="8" borderId="1" xfId="0" applyNumberFormat="1" applyFont="1" applyFill="1" applyBorder="1" applyAlignment="1">
      <alignment horizontal="center" vertical="center"/>
    </xf>
    <xf numFmtId="1" fontId="32311" fillId="8" borderId="1" xfId="0" applyNumberFormat="1" applyFont="1" applyFill="1" applyBorder="1" applyAlignment="1">
      <alignment horizontal="center" vertical="center"/>
    </xf>
    <xf numFmtId="165" fontId="32312" fillId="8" borderId="1" xfId="0" applyNumberFormat="1" applyFont="1" applyFill="1" applyBorder="1" applyAlignment="1">
      <alignment horizontal="center" vertical="center"/>
    </xf>
    <xf numFmtId="1" fontId="32313" fillId="8" borderId="1" xfId="0" applyNumberFormat="1" applyFont="1" applyFill="1" applyBorder="1" applyAlignment="1">
      <alignment horizontal="center" vertical="center"/>
    </xf>
    <xf numFmtId="165" fontId="32314" fillId="8" borderId="1" xfId="0" applyNumberFormat="1" applyFont="1" applyFill="1" applyBorder="1" applyAlignment="1">
      <alignment horizontal="center" vertical="center"/>
    </xf>
    <xf numFmtId="1" fontId="32315" fillId="8" borderId="1" xfId="0" applyNumberFormat="1" applyFont="1" applyFill="1" applyBorder="1" applyAlignment="1">
      <alignment horizontal="center" vertical="center"/>
    </xf>
    <xf numFmtId="165" fontId="32316" fillId="8" borderId="1" xfId="0" applyNumberFormat="1" applyFont="1" applyFill="1" applyBorder="1" applyAlignment="1">
      <alignment horizontal="center" vertical="center"/>
    </xf>
    <xf numFmtId="165" fontId="32317" fillId="8" borderId="1" xfId="0" applyNumberFormat="1" applyFont="1" applyFill="1" applyBorder="1" applyAlignment="1">
      <alignment horizontal="center" vertical="center"/>
    </xf>
    <xf numFmtId="1" fontId="32318" fillId="8" borderId="1" xfId="0" applyNumberFormat="1" applyFont="1" applyFill="1" applyBorder="1" applyAlignment="1">
      <alignment horizontal="center" vertical="center"/>
    </xf>
    <xf numFmtId="1" fontId="32319" fillId="8" borderId="1" xfId="0" applyNumberFormat="1" applyFont="1" applyFill="1" applyBorder="1" applyAlignment="1">
      <alignment horizontal="center" vertical="center"/>
    </xf>
    <xf numFmtId="1" fontId="32320" fillId="8" borderId="1" xfId="0" applyNumberFormat="1" applyFont="1" applyFill="1" applyBorder="1" applyAlignment="1">
      <alignment horizontal="center" vertical="center"/>
    </xf>
    <xf numFmtId="165" fontId="32321" fillId="8" borderId="1" xfId="0" applyNumberFormat="1" applyFont="1" applyFill="1" applyBorder="1" applyAlignment="1">
      <alignment horizontal="center" vertical="center"/>
    </xf>
    <xf numFmtId="164" fontId="32322" fillId="8" borderId="1" xfId="0" applyNumberFormat="1" applyFont="1" applyFill="1" applyBorder="1" applyAlignment="1">
      <alignment horizontal="center" vertical="center"/>
    </xf>
    <xf numFmtId="164" fontId="32323" fillId="8" borderId="1" xfId="0" applyNumberFormat="1" applyFont="1" applyFill="1" applyBorder="1" applyAlignment="1">
      <alignment horizontal="center" vertical="center"/>
    </xf>
    <xf numFmtId="1" fontId="32324" fillId="8" borderId="1" xfId="0" applyNumberFormat="1" applyFont="1" applyFill="1" applyBorder="1" applyAlignment="1">
      <alignment horizontal="center" vertical="center"/>
    </xf>
    <xf numFmtId="1" fontId="32325" fillId="8" borderId="1" xfId="0" applyNumberFormat="1" applyFont="1" applyFill="1" applyBorder="1" applyAlignment="1">
      <alignment horizontal="center" vertical="center"/>
    </xf>
    <xf numFmtId="1" fontId="32326" fillId="8" borderId="1" xfId="0" applyNumberFormat="1" applyFont="1" applyFill="1" applyBorder="1" applyAlignment="1">
      <alignment horizontal="center" vertical="center"/>
    </xf>
    <xf numFmtId="165" fontId="32327" fillId="8" borderId="1" xfId="0" applyNumberFormat="1" applyFont="1" applyFill="1" applyBorder="1" applyAlignment="1">
      <alignment horizontal="center" vertical="center"/>
    </xf>
    <xf numFmtId="1" fontId="32328" fillId="8" borderId="1" xfId="0" applyNumberFormat="1" applyFont="1" applyFill="1" applyBorder="1" applyAlignment="1">
      <alignment horizontal="center" vertical="center"/>
    </xf>
    <xf numFmtId="165" fontId="32329" fillId="8" borderId="1" xfId="0" applyNumberFormat="1" applyFont="1" applyFill="1" applyBorder="1" applyAlignment="1">
      <alignment horizontal="center" vertical="center"/>
    </xf>
    <xf numFmtId="1" fontId="32330" fillId="8" borderId="1" xfId="0" applyNumberFormat="1" applyFont="1" applyFill="1" applyBorder="1" applyAlignment="1">
      <alignment horizontal="center" vertical="center"/>
    </xf>
    <xf numFmtId="1" fontId="32331" fillId="8" borderId="1" xfId="0" applyNumberFormat="1" applyFont="1" applyFill="1" applyBorder="1" applyAlignment="1">
      <alignment horizontal="center" vertical="center"/>
    </xf>
    <xf numFmtId="1" fontId="32332" fillId="8" borderId="1" xfId="0" applyNumberFormat="1" applyFont="1" applyFill="1" applyBorder="1" applyAlignment="1">
      <alignment horizontal="center" vertical="center"/>
    </xf>
    <xf numFmtId="1" fontId="32333" fillId="8" borderId="1" xfId="0" applyNumberFormat="1" applyFont="1" applyFill="1" applyBorder="1" applyAlignment="1">
      <alignment horizontal="center" vertical="center"/>
    </xf>
    <xf numFmtId="165" fontId="32334" fillId="8" borderId="1" xfId="0" applyNumberFormat="1" applyFont="1" applyFill="1" applyBorder="1" applyAlignment="1">
      <alignment horizontal="center" vertical="center"/>
    </xf>
    <xf numFmtId="1" fontId="32335" fillId="8" borderId="1" xfId="0" applyNumberFormat="1" applyFont="1" applyFill="1" applyBorder="1" applyAlignment="1">
      <alignment horizontal="center" vertical="center"/>
    </xf>
    <xf numFmtId="165" fontId="32336" fillId="8" borderId="1" xfId="0" applyNumberFormat="1" applyFont="1" applyFill="1" applyBorder="1" applyAlignment="1">
      <alignment horizontal="center" vertical="center"/>
    </xf>
    <xf numFmtId="1" fontId="32337" fillId="8" borderId="1" xfId="0" applyNumberFormat="1" applyFont="1" applyFill="1" applyBorder="1" applyAlignment="1">
      <alignment horizontal="center" vertical="center"/>
    </xf>
    <xf numFmtId="165" fontId="32338" fillId="8" borderId="1" xfId="0" applyNumberFormat="1" applyFont="1" applyFill="1" applyBorder="1" applyAlignment="1">
      <alignment horizontal="center" vertical="center"/>
    </xf>
    <xf numFmtId="2" fontId="32339" fillId="8" borderId="1" xfId="0" applyNumberFormat="1" applyFont="1" applyFill="1" applyBorder="1" applyAlignment="1">
      <alignment horizontal="center" vertical="center"/>
    </xf>
    <xf numFmtId="2" fontId="32340" fillId="8" borderId="1" xfId="0" applyNumberFormat="1" applyFont="1" applyFill="1" applyBorder="1" applyAlignment="1">
      <alignment horizontal="center" vertical="center"/>
    </xf>
    <xf numFmtId="2" fontId="32341" fillId="8" borderId="1" xfId="0" applyNumberFormat="1" applyFont="1" applyFill="1" applyBorder="1" applyAlignment="1">
      <alignment horizontal="center" vertical="center"/>
    </xf>
    <xf numFmtId="2" fontId="32342" fillId="8" borderId="1" xfId="0" applyNumberFormat="1" applyFont="1" applyFill="1" applyBorder="1" applyAlignment="1">
      <alignment horizontal="center" vertical="center"/>
    </xf>
    <xf numFmtId="2" fontId="32343" fillId="8" borderId="1" xfId="0" applyNumberFormat="1" applyFont="1" applyFill="1" applyBorder="1" applyAlignment="1">
      <alignment horizontal="center" vertical="center"/>
    </xf>
    <xf numFmtId="2" fontId="32344" fillId="8" borderId="1" xfId="0" applyNumberFormat="1" applyFont="1" applyFill="1" applyBorder="1" applyAlignment="1">
      <alignment horizontal="center" vertical="center"/>
    </xf>
    <xf numFmtId="2" fontId="32345" fillId="8" borderId="1" xfId="0" applyNumberFormat="1" applyFont="1" applyFill="1" applyBorder="1" applyAlignment="1">
      <alignment horizontal="center" vertical="center"/>
    </xf>
    <xf numFmtId="2" fontId="32346" fillId="8" borderId="1" xfId="0" applyNumberFormat="1" applyFont="1" applyFill="1" applyBorder="1" applyAlignment="1">
      <alignment horizontal="center" vertical="center"/>
    </xf>
    <xf numFmtId="2" fontId="32347" fillId="8" borderId="1" xfId="0" applyNumberFormat="1" applyFont="1" applyFill="1" applyBorder="1" applyAlignment="1">
      <alignment horizontal="center" vertical="center"/>
    </xf>
    <xf numFmtId="2" fontId="32348" fillId="8" borderId="1" xfId="0" applyNumberFormat="1" applyFont="1" applyFill="1" applyBorder="1" applyAlignment="1">
      <alignment horizontal="center" vertical="center"/>
    </xf>
    <xf numFmtId="2" fontId="32349" fillId="8" borderId="1" xfId="0" applyNumberFormat="1" applyFont="1" applyFill="1" applyBorder="1" applyAlignment="1">
      <alignment horizontal="center" vertical="center"/>
    </xf>
    <xf numFmtId="2" fontId="32350" fillId="8" borderId="1" xfId="0" applyNumberFormat="1" applyFont="1" applyFill="1" applyBorder="1" applyAlignment="1">
      <alignment horizontal="center" vertical="center"/>
    </xf>
    <xf numFmtId="2" fontId="32351" fillId="8" borderId="1" xfId="0" applyNumberFormat="1" applyFont="1" applyFill="1" applyBorder="1" applyAlignment="1">
      <alignment horizontal="center" vertical="center"/>
    </xf>
    <xf numFmtId="2" fontId="32352" fillId="8" borderId="1" xfId="0" applyNumberFormat="1" applyFont="1" applyFill="1" applyBorder="1" applyAlignment="1">
      <alignment horizontal="center" vertical="center"/>
    </xf>
    <xf numFmtId="2" fontId="32353" fillId="8" borderId="1" xfId="0" applyNumberFormat="1" applyFont="1" applyFill="1" applyBorder="1" applyAlignment="1">
      <alignment horizontal="center" vertical="center"/>
    </xf>
    <xf numFmtId="2" fontId="32354" fillId="8" borderId="1" xfId="0" applyNumberFormat="1" applyFont="1" applyFill="1" applyBorder="1" applyAlignment="1">
      <alignment horizontal="center" vertical="center"/>
    </xf>
    <xf numFmtId="2" fontId="32355" fillId="8" borderId="1" xfId="0" applyNumberFormat="1" applyFont="1" applyFill="1" applyBorder="1" applyAlignment="1">
      <alignment horizontal="center" vertical="center"/>
    </xf>
    <xf numFmtId="2" fontId="32356" fillId="8" borderId="1" xfId="0" applyNumberFormat="1" applyFont="1" applyFill="1" applyBorder="1" applyAlignment="1">
      <alignment horizontal="center" vertical="center"/>
    </xf>
    <xf numFmtId="2" fontId="32357" fillId="8" borderId="1" xfId="0" applyNumberFormat="1" applyFont="1" applyFill="1" applyBorder="1" applyAlignment="1">
      <alignment horizontal="center" vertical="center"/>
    </xf>
    <xf numFmtId="2" fontId="32358" fillId="8" borderId="1" xfId="0" applyNumberFormat="1" applyFont="1" applyFill="1" applyBorder="1" applyAlignment="1">
      <alignment horizontal="center" vertical="center"/>
    </xf>
    <xf numFmtId="2" fontId="32359" fillId="8" borderId="1" xfId="0" applyNumberFormat="1" applyFont="1" applyFill="1" applyBorder="1" applyAlignment="1">
      <alignment horizontal="center" vertical="center"/>
    </xf>
    <xf numFmtId="2" fontId="32360" fillId="8" borderId="1" xfId="0" applyNumberFormat="1" applyFont="1" applyFill="1" applyBorder="1" applyAlignment="1">
      <alignment horizontal="center" vertical="center"/>
    </xf>
    <xf numFmtId="2" fontId="32361" fillId="8" borderId="1" xfId="0" applyNumberFormat="1" applyFont="1" applyFill="1" applyBorder="1" applyAlignment="1">
      <alignment horizontal="center" vertical="center"/>
    </xf>
    <xf numFmtId="2" fontId="32362" fillId="8" borderId="1" xfId="0" applyNumberFormat="1" applyFont="1" applyFill="1" applyBorder="1" applyAlignment="1">
      <alignment horizontal="center" vertical="center"/>
    </xf>
    <xf numFmtId="2" fontId="32363" fillId="8" borderId="1" xfId="0" applyNumberFormat="1" applyFont="1" applyFill="1" applyBorder="1" applyAlignment="1">
      <alignment horizontal="center" vertical="center"/>
    </xf>
    <xf numFmtId="2" fontId="32364" fillId="8" borderId="1" xfId="0" applyNumberFormat="1" applyFont="1" applyFill="1" applyBorder="1" applyAlignment="1">
      <alignment horizontal="center" vertical="center"/>
    </xf>
    <xf numFmtId="2" fontId="32365" fillId="8" borderId="1" xfId="0" applyNumberFormat="1" applyFont="1" applyFill="1" applyBorder="1" applyAlignment="1">
      <alignment horizontal="center" vertical="center"/>
    </xf>
    <xf numFmtId="2" fontId="32366" fillId="8" borderId="1" xfId="0" applyNumberFormat="1" applyFont="1" applyFill="1" applyBorder="1" applyAlignment="1">
      <alignment horizontal="center" vertical="center"/>
    </xf>
    <xf numFmtId="2" fontId="32367" fillId="8" borderId="1" xfId="0" applyNumberFormat="1" applyFont="1" applyFill="1" applyBorder="1" applyAlignment="1">
      <alignment horizontal="center" vertical="center"/>
    </xf>
    <xf numFmtId="2" fontId="32368" fillId="8" borderId="1" xfId="0" applyNumberFormat="1" applyFont="1" applyFill="1" applyBorder="1" applyAlignment="1">
      <alignment horizontal="center" vertical="center"/>
    </xf>
    <xf numFmtId="2" fontId="32369" fillId="8" borderId="1" xfId="0" applyNumberFormat="1" applyFont="1" applyFill="1" applyBorder="1" applyAlignment="1">
      <alignment horizontal="center" vertical="center"/>
    </xf>
    <xf numFmtId="2" fontId="32370" fillId="8" borderId="1" xfId="0" applyNumberFormat="1" applyFont="1" applyFill="1" applyBorder="1" applyAlignment="1">
      <alignment horizontal="center" vertical="center"/>
    </xf>
    <xf numFmtId="2" fontId="32371" fillId="8" borderId="1" xfId="0" applyNumberFormat="1" applyFont="1" applyFill="1" applyBorder="1" applyAlignment="1">
      <alignment horizontal="center" vertical="center"/>
    </xf>
    <xf numFmtId="2" fontId="32372" fillId="8" borderId="1" xfId="0" applyNumberFormat="1" applyFont="1" applyFill="1" applyBorder="1" applyAlignment="1">
      <alignment horizontal="center" vertical="center"/>
    </xf>
    <xf numFmtId="0" fontId="32373" fillId="7" borderId="1" xfId="0" applyNumberFormat="1" applyFont="1" applyFill="1" applyBorder="1" applyAlignment="1">
      <alignment horizontal="left" vertical="center"/>
    </xf>
    <xf numFmtId="0" fontId="32374" fillId="8" borderId="1" xfId="0" applyNumberFormat="1" applyFont="1" applyFill="1" applyBorder="1" applyAlignment="1">
      <alignment horizontal="center" vertical="center"/>
    </xf>
    <xf numFmtId="164" fontId="32375" fillId="8" borderId="1" xfId="0" applyNumberFormat="1" applyFont="1" applyFill="1" applyBorder="1" applyAlignment="1">
      <alignment horizontal="center" vertical="center"/>
    </xf>
    <xf numFmtId="1" fontId="32376" fillId="8" borderId="1" xfId="0" applyNumberFormat="1" applyFont="1" applyFill="1" applyBorder="1" applyAlignment="1">
      <alignment horizontal="center" vertical="center"/>
    </xf>
    <xf numFmtId="1" fontId="32377" fillId="8" borderId="1" xfId="0" applyNumberFormat="1" applyFont="1" applyFill="1" applyBorder="1" applyAlignment="1">
      <alignment horizontal="center" vertical="center"/>
    </xf>
    <xf numFmtId="1" fontId="32378" fillId="8" borderId="1" xfId="0" applyNumberFormat="1" applyFont="1" applyFill="1" applyBorder="1" applyAlignment="1">
      <alignment horizontal="center" vertical="center"/>
    </xf>
    <xf numFmtId="1" fontId="32379" fillId="8" borderId="1" xfId="0" applyNumberFormat="1" applyFont="1" applyFill="1" applyBorder="1" applyAlignment="1">
      <alignment horizontal="center" vertical="center"/>
    </xf>
    <xf numFmtId="1" fontId="32380" fillId="8" borderId="1" xfId="0" applyNumberFormat="1" applyFont="1" applyFill="1" applyBorder="1" applyAlignment="1">
      <alignment horizontal="center" vertical="center"/>
    </xf>
    <xf numFmtId="1" fontId="32381" fillId="8" borderId="1" xfId="0" applyNumberFormat="1" applyFont="1" applyFill="1" applyBorder="1" applyAlignment="1">
      <alignment horizontal="center" vertical="center"/>
    </xf>
    <xf numFmtId="1" fontId="32382" fillId="8" borderId="1" xfId="0" applyNumberFormat="1" applyFont="1" applyFill="1" applyBorder="1" applyAlignment="1">
      <alignment horizontal="center" vertical="center"/>
    </xf>
    <xf numFmtId="0" fontId="32383" fillId="8" borderId="1" xfId="0" applyNumberFormat="1" applyFont="1" applyFill="1" applyBorder="1" applyAlignment="1">
      <alignment horizontal="center" vertical="center"/>
    </xf>
    <xf numFmtId="0" fontId="32384" fillId="8" borderId="1" xfId="0" applyNumberFormat="1" applyFont="1" applyFill="1" applyBorder="1" applyAlignment="1">
      <alignment horizontal="center" vertical="center"/>
    </xf>
    <xf numFmtId="1" fontId="32385" fillId="8" borderId="1" xfId="0" applyNumberFormat="1" applyFont="1" applyFill="1" applyBorder="1" applyAlignment="1">
      <alignment horizontal="center" vertical="center"/>
    </xf>
    <xf numFmtId="1" fontId="32386" fillId="8" borderId="1" xfId="0" applyNumberFormat="1" applyFont="1" applyFill="1" applyBorder="1" applyAlignment="1">
      <alignment horizontal="center" vertical="center"/>
    </xf>
    <xf numFmtId="1" fontId="32387" fillId="8" borderId="1" xfId="0" applyNumberFormat="1" applyFont="1" applyFill="1" applyBorder="1" applyAlignment="1">
      <alignment horizontal="center" vertical="center"/>
    </xf>
    <xf numFmtId="165" fontId="32388" fillId="8" borderId="1" xfId="0" applyNumberFormat="1" applyFont="1" applyFill="1" applyBorder="1" applyAlignment="1">
      <alignment horizontal="center" vertical="center"/>
    </xf>
    <xf numFmtId="1" fontId="32389" fillId="8" borderId="1" xfId="0" applyNumberFormat="1" applyFont="1" applyFill="1" applyBorder="1" applyAlignment="1">
      <alignment horizontal="center" vertical="center"/>
    </xf>
    <xf numFmtId="165" fontId="32390" fillId="8" borderId="1" xfId="0" applyNumberFormat="1" applyFont="1" applyFill="1" applyBorder="1" applyAlignment="1">
      <alignment horizontal="center" vertical="center"/>
    </xf>
    <xf numFmtId="1" fontId="32391" fillId="8" borderId="1" xfId="0" applyNumberFormat="1" applyFont="1" applyFill="1" applyBorder="1" applyAlignment="1">
      <alignment horizontal="center" vertical="center"/>
    </xf>
    <xf numFmtId="165" fontId="32392" fillId="8" borderId="1" xfId="0" applyNumberFormat="1" applyFont="1" applyFill="1" applyBorder="1" applyAlignment="1">
      <alignment horizontal="center" vertical="center"/>
    </xf>
    <xf numFmtId="1" fontId="32393" fillId="8" borderId="1" xfId="0" applyNumberFormat="1" applyFont="1" applyFill="1" applyBorder="1" applyAlignment="1">
      <alignment horizontal="center" vertical="center"/>
    </xf>
    <xf numFmtId="165" fontId="32394" fillId="8" borderId="1" xfId="0" applyNumberFormat="1" applyFont="1" applyFill="1" applyBorder="1" applyAlignment="1">
      <alignment horizontal="center" vertical="center"/>
    </xf>
    <xf numFmtId="165" fontId="32395" fillId="8" borderId="1" xfId="0" applyNumberFormat="1" applyFont="1" applyFill="1" applyBorder="1" applyAlignment="1">
      <alignment horizontal="center" vertical="center"/>
    </xf>
    <xf numFmtId="1" fontId="32396" fillId="8" borderId="1" xfId="0" applyNumberFormat="1" applyFont="1" applyFill="1" applyBorder="1" applyAlignment="1">
      <alignment horizontal="center" vertical="center"/>
    </xf>
    <xf numFmtId="1" fontId="32397" fillId="8" borderId="1" xfId="0" applyNumberFormat="1" applyFont="1" applyFill="1" applyBorder="1" applyAlignment="1">
      <alignment horizontal="center" vertical="center"/>
    </xf>
    <xf numFmtId="1" fontId="32398" fillId="8" borderId="1" xfId="0" applyNumberFormat="1" applyFont="1" applyFill="1" applyBorder="1" applyAlignment="1">
      <alignment horizontal="center" vertical="center"/>
    </xf>
    <xf numFmtId="165" fontId="32399" fillId="8" borderId="1" xfId="0" applyNumberFormat="1" applyFont="1" applyFill="1" applyBorder="1" applyAlignment="1">
      <alignment horizontal="center" vertical="center"/>
    </xf>
    <xf numFmtId="164" fontId="32400" fillId="8" borderId="1" xfId="0" applyNumberFormat="1" applyFont="1" applyFill="1" applyBorder="1" applyAlignment="1">
      <alignment horizontal="center" vertical="center"/>
    </xf>
    <xf numFmtId="164" fontId="32401" fillId="8" borderId="1" xfId="0" applyNumberFormat="1" applyFont="1" applyFill="1" applyBorder="1" applyAlignment="1">
      <alignment horizontal="center" vertical="center"/>
    </xf>
    <xf numFmtId="1" fontId="32402" fillId="8" borderId="1" xfId="0" applyNumberFormat="1" applyFont="1" applyFill="1" applyBorder="1" applyAlignment="1">
      <alignment horizontal="center" vertical="center"/>
    </xf>
    <xf numFmtId="1" fontId="32403" fillId="8" borderId="1" xfId="0" applyNumberFormat="1" applyFont="1" applyFill="1" applyBorder="1" applyAlignment="1">
      <alignment horizontal="center" vertical="center"/>
    </xf>
    <xf numFmtId="1" fontId="32404" fillId="8" borderId="1" xfId="0" applyNumberFormat="1" applyFont="1" applyFill="1" applyBorder="1" applyAlignment="1">
      <alignment horizontal="center" vertical="center"/>
    </xf>
    <xf numFmtId="165" fontId="32405" fillId="8" borderId="1" xfId="0" applyNumberFormat="1" applyFont="1" applyFill="1" applyBorder="1" applyAlignment="1">
      <alignment horizontal="center" vertical="center"/>
    </xf>
    <xf numFmtId="1" fontId="32406" fillId="8" borderId="1" xfId="0" applyNumberFormat="1" applyFont="1" applyFill="1" applyBorder="1" applyAlignment="1">
      <alignment horizontal="center" vertical="center"/>
    </xf>
    <xf numFmtId="165" fontId="32407" fillId="8" borderId="1" xfId="0" applyNumberFormat="1" applyFont="1" applyFill="1" applyBorder="1" applyAlignment="1">
      <alignment horizontal="center" vertical="center"/>
    </xf>
    <xf numFmtId="1" fontId="32408" fillId="8" borderId="1" xfId="0" applyNumberFormat="1" applyFont="1" applyFill="1" applyBorder="1" applyAlignment="1">
      <alignment horizontal="center" vertical="center"/>
    </xf>
    <xf numFmtId="1" fontId="32409" fillId="8" borderId="1" xfId="0" applyNumberFormat="1" applyFont="1" applyFill="1" applyBorder="1" applyAlignment="1">
      <alignment horizontal="center" vertical="center"/>
    </xf>
    <xf numFmtId="1" fontId="32410" fillId="8" borderId="1" xfId="0" applyNumberFormat="1" applyFont="1" applyFill="1" applyBorder="1" applyAlignment="1">
      <alignment horizontal="center" vertical="center"/>
    </xf>
    <xf numFmtId="1" fontId="32411" fillId="8" borderId="1" xfId="0" applyNumberFormat="1" applyFont="1" applyFill="1" applyBorder="1" applyAlignment="1">
      <alignment horizontal="center" vertical="center"/>
    </xf>
    <xf numFmtId="165" fontId="32412" fillId="8" borderId="1" xfId="0" applyNumberFormat="1" applyFont="1" applyFill="1" applyBorder="1" applyAlignment="1">
      <alignment horizontal="center" vertical="center"/>
    </xf>
    <xf numFmtId="1" fontId="32413" fillId="8" borderId="1" xfId="0" applyNumberFormat="1" applyFont="1" applyFill="1" applyBorder="1" applyAlignment="1">
      <alignment horizontal="center" vertical="center"/>
    </xf>
    <xf numFmtId="165" fontId="32414" fillId="8" borderId="1" xfId="0" applyNumberFormat="1" applyFont="1" applyFill="1" applyBorder="1" applyAlignment="1">
      <alignment horizontal="center" vertical="center"/>
    </xf>
    <xf numFmtId="1" fontId="32415" fillId="8" borderId="1" xfId="0" applyNumberFormat="1" applyFont="1" applyFill="1" applyBorder="1" applyAlignment="1">
      <alignment horizontal="center" vertical="center"/>
    </xf>
    <xf numFmtId="165" fontId="32416" fillId="8" borderId="1" xfId="0" applyNumberFormat="1" applyFont="1" applyFill="1" applyBorder="1" applyAlignment="1">
      <alignment horizontal="center" vertical="center"/>
    </xf>
    <xf numFmtId="2" fontId="32417" fillId="8" borderId="1" xfId="0" applyNumberFormat="1" applyFont="1" applyFill="1" applyBorder="1" applyAlignment="1">
      <alignment horizontal="center" vertical="center"/>
    </xf>
    <xf numFmtId="2" fontId="32418" fillId="8" borderId="1" xfId="0" applyNumberFormat="1" applyFont="1" applyFill="1" applyBorder="1" applyAlignment="1">
      <alignment horizontal="center" vertical="center"/>
    </xf>
    <xf numFmtId="2" fontId="32419" fillId="8" borderId="1" xfId="0" applyNumberFormat="1" applyFont="1" applyFill="1" applyBorder="1" applyAlignment="1">
      <alignment horizontal="center" vertical="center"/>
    </xf>
    <xf numFmtId="2" fontId="32420" fillId="8" borderId="1" xfId="0" applyNumberFormat="1" applyFont="1" applyFill="1" applyBorder="1" applyAlignment="1">
      <alignment horizontal="center" vertical="center"/>
    </xf>
    <xf numFmtId="2" fontId="32421" fillId="8" borderId="1" xfId="0" applyNumberFormat="1" applyFont="1" applyFill="1" applyBorder="1" applyAlignment="1">
      <alignment horizontal="center" vertical="center"/>
    </xf>
    <xf numFmtId="2" fontId="32422" fillId="8" borderId="1" xfId="0" applyNumberFormat="1" applyFont="1" applyFill="1" applyBorder="1" applyAlignment="1">
      <alignment horizontal="center" vertical="center"/>
    </xf>
    <xf numFmtId="2" fontId="32423" fillId="8" borderId="1" xfId="0" applyNumberFormat="1" applyFont="1" applyFill="1" applyBorder="1" applyAlignment="1">
      <alignment horizontal="center" vertical="center"/>
    </xf>
    <xf numFmtId="2" fontId="32424" fillId="8" borderId="1" xfId="0" applyNumberFormat="1" applyFont="1" applyFill="1" applyBorder="1" applyAlignment="1">
      <alignment horizontal="center" vertical="center"/>
    </xf>
    <xf numFmtId="2" fontId="32425" fillId="8" borderId="1" xfId="0" applyNumberFormat="1" applyFont="1" applyFill="1" applyBorder="1" applyAlignment="1">
      <alignment horizontal="center" vertical="center"/>
    </xf>
    <xf numFmtId="2" fontId="32426" fillId="8" borderId="1" xfId="0" applyNumberFormat="1" applyFont="1" applyFill="1" applyBorder="1" applyAlignment="1">
      <alignment horizontal="center" vertical="center"/>
    </xf>
    <xf numFmtId="2" fontId="32427" fillId="8" borderId="1" xfId="0" applyNumberFormat="1" applyFont="1" applyFill="1" applyBorder="1" applyAlignment="1">
      <alignment horizontal="center" vertical="center"/>
    </xf>
    <xf numFmtId="2" fontId="32428" fillId="8" borderId="1" xfId="0" applyNumberFormat="1" applyFont="1" applyFill="1" applyBorder="1" applyAlignment="1">
      <alignment horizontal="center" vertical="center"/>
    </xf>
    <xf numFmtId="2" fontId="32429" fillId="8" borderId="1" xfId="0" applyNumberFormat="1" applyFont="1" applyFill="1" applyBorder="1" applyAlignment="1">
      <alignment horizontal="center" vertical="center"/>
    </xf>
    <xf numFmtId="2" fontId="32430" fillId="8" borderId="1" xfId="0" applyNumberFormat="1" applyFont="1" applyFill="1" applyBorder="1" applyAlignment="1">
      <alignment horizontal="center" vertical="center"/>
    </xf>
    <xf numFmtId="2" fontId="32431" fillId="8" borderId="1" xfId="0" applyNumberFormat="1" applyFont="1" applyFill="1" applyBorder="1" applyAlignment="1">
      <alignment horizontal="center" vertical="center"/>
    </xf>
    <xf numFmtId="2" fontId="32432" fillId="8" borderId="1" xfId="0" applyNumberFormat="1" applyFont="1" applyFill="1" applyBorder="1" applyAlignment="1">
      <alignment horizontal="center" vertical="center"/>
    </xf>
    <xf numFmtId="2" fontId="32433" fillId="8" borderId="1" xfId="0" applyNumberFormat="1" applyFont="1" applyFill="1" applyBorder="1" applyAlignment="1">
      <alignment horizontal="center" vertical="center"/>
    </xf>
    <xf numFmtId="2" fontId="32434" fillId="8" borderId="1" xfId="0" applyNumberFormat="1" applyFont="1" applyFill="1" applyBorder="1" applyAlignment="1">
      <alignment horizontal="center" vertical="center"/>
    </xf>
    <xf numFmtId="2" fontId="32435" fillId="8" borderId="1" xfId="0" applyNumberFormat="1" applyFont="1" applyFill="1" applyBorder="1" applyAlignment="1">
      <alignment horizontal="center" vertical="center"/>
    </xf>
    <xf numFmtId="2" fontId="32436" fillId="8" borderId="1" xfId="0" applyNumberFormat="1" applyFont="1" applyFill="1" applyBorder="1" applyAlignment="1">
      <alignment horizontal="center" vertical="center"/>
    </xf>
    <xf numFmtId="2" fontId="32437" fillId="8" borderId="1" xfId="0" applyNumberFormat="1" applyFont="1" applyFill="1" applyBorder="1" applyAlignment="1">
      <alignment horizontal="center" vertical="center"/>
    </xf>
    <xf numFmtId="2" fontId="32438" fillId="8" borderId="1" xfId="0" applyNumberFormat="1" applyFont="1" applyFill="1" applyBorder="1" applyAlignment="1">
      <alignment horizontal="center" vertical="center"/>
    </xf>
    <xf numFmtId="2" fontId="32439" fillId="8" borderId="1" xfId="0" applyNumberFormat="1" applyFont="1" applyFill="1" applyBorder="1" applyAlignment="1">
      <alignment horizontal="center" vertical="center"/>
    </xf>
    <xf numFmtId="2" fontId="32440" fillId="8" borderId="1" xfId="0" applyNumberFormat="1" applyFont="1" applyFill="1" applyBorder="1" applyAlignment="1">
      <alignment horizontal="center" vertical="center"/>
    </xf>
    <xf numFmtId="2" fontId="32441" fillId="8" borderId="1" xfId="0" applyNumberFormat="1" applyFont="1" applyFill="1" applyBorder="1" applyAlignment="1">
      <alignment horizontal="center" vertical="center"/>
    </xf>
    <xf numFmtId="2" fontId="32442" fillId="8" borderId="1" xfId="0" applyNumberFormat="1" applyFont="1" applyFill="1" applyBorder="1" applyAlignment="1">
      <alignment horizontal="center" vertical="center"/>
    </xf>
    <xf numFmtId="2" fontId="32443" fillId="8" borderId="1" xfId="0" applyNumberFormat="1" applyFont="1" applyFill="1" applyBorder="1" applyAlignment="1">
      <alignment horizontal="center" vertical="center"/>
    </xf>
    <xf numFmtId="2" fontId="32444" fillId="8" borderId="1" xfId="0" applyNumberFormat="1" applyFont="1" applyFill="1" applyBorder="1" applyAlignment="1">
      <alignment horizontal="center" vertical="center"/>
    </xf>
    <xf numFmtId="2" fontId="32445" fillId="8" borderId="1" xfId="0" applyNumberFormat="1" applyFont="1" applyFill="1" applyBorder="1" applyAlignment="1">
      <alignment horizontal="center" vertical="center"/>
    </xf>
    <xf numFmtId="2" fontId="32446" fillId="8" borderId="1" xfId="0" applyNumberFormat="1" applyFont="1" applyFill="1" applyBorder="1" applyAlignment="1">
      <alignment horizontal="center" vertical="center"/>
    </xf>
    <xf numFmtId="2" fontId="32447" fillId="8" borderId="1" xfId="0" applyNumberFormat="1" applyFont="1" applyFill="1" applyBorder="1" applyAlignment="1">
      <alignment horizontal="center" vertical="center"/>
    </xf>
    <xf numFmtId="2" fontId="32448" fillId="8" borderId="1" xfId="0" applyNumberFormat="1" applyFont="1" applyFill="1" applyBorder="1" applyAlignment="1">
      <alignment horizontal="center" vertical="center"/>
    </xf>
    <xf numFmtId="2" fontId="32449" fillId="8" borderId="1" xfId="0" applyNumberFormat="1" applyFont="1" applyFill="1" applyBorder="1" applyAlignment="1">
      <alignment horizontal="center" vertical="center"/>
    </xf>
    <xf numFmtId="2" fontId="32450" fillId="8" borderId="1" xfId="0" applyNumberFormat="1" applyFont="1" applyFill="1" applyBorder="1" applyAlignment="1">
      <alignment horizontal="center" vertical="center"/>
    </xf>
    <xf numFmtId="0" fontId="32451" fillId="7" borderId="1" xfId="0" applyNumberFormat="1" applyFont="1" applyFill="1" applyBorder="1" applyAlignment="1">
      <alignment horizontal="left" vertical="center"/>
    </xf>
    <xf numFmtId="0" fontId="32452" fillId="8" borderId="1" xfId="0" applyNumberFormat="1" applyFont="1" applyFill="1" applyBorder="1" applyAlignment="1">
      <alignment horizontal="center" vertical="center"/>
    </xf>
    <xf numFmtId="164" fontId="32453" fillId="8" borderId="1" xfId="0" applyNumberFormat="1" applyFont="1" applyFill="1" applyBorder="1" applyAlignment="1">
      <alignment horizontal="center" vertical="center"/>
    </xf>
    <xf numFmtId="1" fontId="32454" fillId="8" borderId="1" xfId="0" applyNumberFormat="1" applyFont="1" applyFill="1" applyBorder="1" applyAlignment="1">
      <alignment horizontal="center" vertical="center"/>
    </xf>
    <xf numFmtId="1" fontId="32455" fillId="8" borderId="1" xfId="0" applyNumberFormat="1" applyFont="1" applyFill="1" applyBorder="1" applyAlignment="1">
      <alignment horizontal="center" vertical="center"/>
    </xf>
    <xf numFmtId="1" fontId="32456" fillId="8" borderId="1" xfId="0" applyNumberFormat="1" applyFont="1" applyFill="1" applyBorder="1" applyAlignment="1">
      <alignment horizontal="center" vertical="center"/>
    </xf>
    <xf numFmtId="1" fontId="32457" fillId="8" borderId="1" xfId="0" applyNumberFormat="1" applyFont="1" applyFill="1" applyBorder="1" applyAlignment="1">
      <alignment horizontal="center" vertical="center"/>
    </xf>
    <xf numFmtId="1" fontId="32458" fillId="8" borderId="1" xfId="0" applyNumberFormat="1" applyFont="1" applyFill="1" applyBorder="1" applyAlignment="1">
      <alignment horizontal="center" vertical="center"/>
    </xf>
    <xf numFmtId="1" fontId="32459" fillId="8" borderId="1" xfId="0" applyNumberFormat="1" applyFont="1" applyFill="1" applyBorder="1" applyAlignment="1">
      <alignment horizontal="center" vertical="center"/>
    </xf>
    <xf numFmtId="1" fontId="32460" fillId="8" borderId="1" xfId="0" applyNumberFormat="1" applyFont="1" applyFill="1" applyBorder="1" applyAlignment="1">
      <alignment horizontal="center" vertical="center"/>
    </xf>
    <xf numFmtId="0" fontId="32461" fillId="8" borderId="1" xfId="0" applyNumberFormat="1" applyFont="1" applyFill="1" applyBorder="1" applyAlignment="1">
      <alignment horizontal="center" vertical="center"/>
    </xf>
    <xf numFmtId="0" fontId="32462" fillId="8" borderId="1" xfId="0" applyNumberFormat="1" applyFont="1" applyFill="1" applyBorder="1" applyAlignment="1">
      <alignment horizontal="center" vertical="center"/>
    </xf>
    <xf numFmtId="1" fontId="32463" fillId="8" borderId="1" xfId="0" applyNumberFormat="1" applyFont="1" applyFill="1" applyBorder="1" applyAlignment="1">
      <alignment horizontal="center" vertical="center"/>
    </xf>
    <xf numFmtId="1" fontId="32464" fillId="8" borderId="1" xfId="0" applyNumberFormat="1" applyFont="1" applyFill="1" applyBorder="1" applyAlignment="1">
      <alignment horizontal="center" vertical="center"/>
    </xf>
    <xf numFmtId="1" fontId="32465" fillId="8" borderId="1" xfId="0" applyNumberFormat="1" applyFont="1" applyFill="1" applyBorder="1" applyAlignment="1">
      <alignment horizontal="center" vertical="center"/>
    </xf>
    <xf numFmtId="165" fontId="32466" fillId="8" borderId="1" xfId="0" applyNumberFormat="1" applyFont="1" applyFill="1" applyBorder="1" applyAlignment="1">
      <alignment horizontal="center" vertical="center"/>
    </xf>
    <xf numFmtId="1" fontId="32467" fillId="8" borderId="1" xfId="0" applyNumberFormat="1" applyFont="1" applyFill="1" applyBorder="1" applyAlignment="1">
      <alignment horizontal="center" vertical="center"/>
    </xf>
    <xf numFmtId="165" fontId="32468" fillId="8" borderId="1" xfId="0" applyNumberFormat="1" applyFont="1" applyFill="1" applyBorder="1" applyAlignment="1">
      <alignment horizontal="center" vertical="center"/>
    </xf>
    <xf numFmtId="1" fontId="32469" fillId="8" borderId="1" xfId="0" applyNumberFormat="1" applyFont="1" applyFill="1" applyBorder="1" applyAlignment="1">
      <alignment horizontal="center" vertical="center"/>
    </xf>
    <xf numFmtId="165" fontId="32470" fillId="8" borderId="1" xfId="0" applyNumberFormat="1" applyFont="1" applyFill="1" applyBorder="1" applyAlignment="1">
      <alignment horizontal="center" vertical="center"/>
    </xf>
    <xf numFmtId="1" fontId="32471" fillId="8" borderId="1" xfId="0" applyNumberFormat="1" applyFont="1" applyFill="1" applyBorder="1" applyAlignment="1">
      <alignment horizontal="center" vertical="center"/>
    </xf>
    <xf numFmtId="165" fontId="32472" fillId="8" borderId="1" xfId="0" applyNumberFormat="1" applyFont="1" applyFill="1" applyBorder="1" applyAlignment="1">
      <alignment horizontal="center" vertical="center"/>
    </xf>
    <xf numFmtId="165" fontId="32473" fillId="8" borderId="1" xfId="0" applyNumberFormat="1" applyFont="1" applyFill="1" applyBorder="1" applyAlignment="1">
      <alignment horizontal="center" vertical="center"/>
    </xf>
    <xf numFmtId="1" fontId="32474" fillId="8" borderId="1" xfId="0" applyNumberFormat="1" applyFont="1" applyFill="1" applyBorder="1" applyAlignment="1">
      <alignment horizontal="center" vertical="center"/>
    </xf>
    <xf numFmtId="1" fontId="32475" fillId="8" borderId="1" xfId="0" applyNumberFormat="1" applyFont="1" applyFill="1" applyBorder="1" applyAlignment="1">
      <alignment horizontal="center" vertical="center"/>
    </xf>
    <xf numFmtId="1" fontId="32476" fillId="8" borderId="1" xfId="0" applyNumberFormat="1" applyFont="1" applyFill="1" applyBorder="1" applyAlignment="1">
      <alignment horizontal="center" vertical="center"/>
    </xf>
    <xf numFmtId="165" fontId="32477" fillId="8" borderId="1" xfId="0" applyNumberFormat="1" applyFont="1" applyFill="1" applyBorder="1" applyAlignment="1">
      <alignment horizontal="center" vertical="center"/>
    </xf>
    <xf numFmtId="164" fontId="32478" fillId="8" borderId="1" xfId="0" applyNumberFormat="1" applyFont="1" applyFill="1" applyBorder="1" applyAlignment="1">
      <alignment horizontal="center" vertical="center"/>
    </xf>
    <xf numFmtId="164" fontId="32479" fillId="8" borderId="1" xfId="0" applyNumberFormat="1" applyFont="1" applyFill="1" applyBorder="1" applyAlignment="1">
      <alignment horizontal="center" vertical="center"/>
    </xf>
    <xf numFmtId="1" fontId="32480" fillId="8" borderId="1" xfId="0" applyNumberFormat="1" applyFont="1" applyFill="1" applyBorder="1" applyAlignment="1">
      <alignment horizontal="center" vertical="center"/>
    </xf>
    <xf numFmtId="1" fontId="32481" fillId="8" borderId="1" xfId="0" applyNumberFormat="1" applyFont="1" applyFill="1" applyBorder="1" applyAlignment="1">
      <alignment horizontal="center" vertical="center"/>
    </xf>
    <xf numFmtId="1" fontId="32482" fillId="8" borderId="1" xfId="0" applyNumberFormat="1" applyFont="1" applyFill="1" applyBorder="1" applyAlignment="1">
      <alignment horizontal="center" vertical="center"/>
    </xf>
    <xf numFmtId="165" fontId="32483" fillId="8" borderId="1" xfId="0" applyNumberFormat="1" applyFont="1" applyFill="1" applyBorder="1" applyAlignment="1">
      <alignment horizontal="center" vertical="center"/>
    </xf>
    <xf numFmtId="1" fontId="32484" fillId="8" borderId="1" xfId="0" applyNumberFormat="1" applyFont="1" applyFill="1" applyBorder="1" applyAlignment="1">
      <alignment horizontal="center" vertical="center"/>
    </xf>
    <xf numFmtId="165" fontId="32485" fillId="8" borderId="1" xfId="0" applyNumberFormat="1" applyFont="1" applyFill="1" applyBorder="1" applyAlignment="1">
      <alignment horizontal="center" vertical="center"/>
    </xf>
    <xf numFmtId="1" fontId="32486" fillId="8" borderId="1" xfId="0" applyNumberFormat="1" applyFont="1" applyFill="1" applyBorder="1" applyAlignment="1">
      <alignment horizontal="center" vertical="center"/>
    </xf>
    <xf numFmtId="1" fontId="32487" fillId="8" borderId="1" xfId="0" applyNumberFormat="1" applyFont="1" applyFill="1" applyBorder="1" applyAlignment="1">
      <alignment horizontal="center" vertical="center"/>
    </xf>
    <xf numFmtId="1" fontId="32488" fillId="8" borderId="1" xfId="0" applyNumberFormat="1" applyFont="1" applyFill="1" applyBorder="1" applyAlignment="1">
      <alignment horizontal="center" vertical="center"/>
    </xf>
    <xf numFmtId="1" fontId="32489" fillId="8" borderId="1" xfId="0" applyNumberFormat="1" applyFont="1" applyFill="1" applyBorder="1" applyAlignment="1">
      <alignment horizontal="center" vertical="center"/>
    </xf>
    <xf numFmtId="165" fontId="32490" fillId="8" borderId="1" xfId="0" applyNumberFormat="1" applyFont="1" applyFill="1" applyBorder="1" applyAlignment="1">
      <alignment horizontal="center" vertical="center"/>
    </xf>
    <xf numFmtId="1" fontId="32491" fillId="8" borderId="1" xfId="0" applyNumberFormat="1" applyFont="1" applyFill="1" applyBorder="1" applyAlignment="1">
      <alignment horizontal="center" vertical="center"/>
    </xf>
    <xf numFmtId="165" fontId="32492" fillId="8" borderId="1" xfId="0" applyNumberFormat="1" applyFont="1" applyFill="1" applyBorder="1" applyAlignment="1">
      <alignment horizontal="center" vertical="center"/>
    </xf>
    <xf numFmtId="1" fontId="32493" fillId="8" borderId="1" xfId="0" applyNumberFormat="1" applyFont="1" applyFill="1" applyBorder="1" applyAlignment="1">
      <alignment horizontal="center" vertical="center"/>
    </xf>
    <xf numFmtId="165" fontId="32494" fillId="8" borderId="1" xfId="0" applyNumberFormat="1" applyFont="1" applyFill="1" applyBorder="1" applyAlignment="1">
      <alignment horizontal="center" vertical="center"/>
    </xf>
    <xf numFmtId="2" fontId="32495" fillId="8" borderId="1" xfId="0" applyNumberFormat="1" applyFont="1" applyFill="1" applyBorder="1" applyAlignment="1">
      <alignment horizontal="center" vertical="center"/>
    </xf>
    <xf numFmtId="2" fontId="32496" fillId="8" borderId="1" xfId="0" applyNumberFormat="1" applyFont="1" applyFill="1" applyBorder="1" applyAlignment="1">
      <alignment horizontal="center" vertical="center"/>
    </xf>
    <xf numFmtId="2" fontId="32497" fillId="8" borderId="1" xfId="0" applyNumberFormat="1" applyFont="1" applyFill="1" applyBorder="1" applyAlignment="1">
      <alignment horizontal="center" vertical="center"/>
    </xf>
    <xf numFmtId="2" fontId="32498" fillId="8" borderId="1" xfId="0" applyNumberFormat="1" applyFont="1" applyFill="1" applyBorder="1" applyAlignment="1">
      <alignment horizontal="center" vertical="center"/>
    </xf>
    <xf numFmtId="2" fontId="32499" fillId="8" borderId="1" xfId="0" applyNumberFormat="1" applyFont="1" applyFill="1" applyBorder="1" applyAlignment="1">
      <alignment horizontal="center" vertical="center"/>
    </xf>
    <xf numFmtId="2" fontId="32500" fillId="8" borderId="1" xfId="0" applyNumberFormat="1" applyFont="1" applyFill="1" applyBorder="1" applyAlignment="1">
      <alignment horizontal="center" vertical="center"/>
    </xf>
    <xf numFmtId="2" fontId="32501" fillId="8" borderId="1" xfId="0" applyNumberFormat="1" applyFont="1" applyFill="1" applyBorder="1" applyAlignment="1">
      <alignment horizontal="center" vertical="center"/>
    </xf>
    <xf numFmtId="2" fontId="32502" fillId="8" borderId="1" xfId="0" applyNumberFormat="1" applyFont="1" applyFill="1" applyBorder="1" applyAlignment="1">
      <alignment horizontal="center" vertical="center"/>
    </xf>
    <xf numFmtId="2" fontId="32503" fillId="8" borderId="1" xfId="0" applyNumberFormat="1" applyFont="1" applyFill="1" applyBorder="1" applyAlignment="1">
      <alignment horizontal="center" vertical="center"/>
    </xf>
    <xf numFmtId="2" fontId="32504" fillId="8" borderId="1" xfId="0" applyNumberFormat="1" applyFont="1" applyFill="1" applyBorder="1" applyAlignment="1">
      <alignment horizontal="center" vertical="center"/>
    </xf>
    <xf numFmtId="2" fontId="32505" fillId="8" borderId="1" xfId="0" applyNumberFormat="1" applyFont="1" applyFill="1" applyBorder="1" applyAlignment="1">
      <alignment horizontal="center" vertical="center"/>
    </xf>
    <xf numFmtId="2" fontId="32506" fillId="8" borderId="1" xfId="0" applyNumberFormat="1" applyFont="1" applyFill="1" applyBorder="1" applyAlignment="1">
      <alignment horizontal="center" vertical="center"/>
    </xf>
    <xf numFmtId="2" fontId="32507" fillId="8" borderId="1" xfId="0" applyNumberFormat="1" applyFont="1" applyFill="1" applyBorder="1" applyAlignment="1">
      <alignment horizontal="center" vertical="center"/>
    </xf>
    <xf numFmtId="2" fontId="32508" fillId="8" borderId="1" xfId="0" applyNumberFormat="1" applyFont="1" applyFill="1" applyBorder="1" applyAlignment="1">
      <alignment horizontal="center" vertical="center"/>
    </xf>
    <xf numFmtId="2" fontId="32509" fillId="8" borderId="1" xfId="0" applyNumberFormat="1" applyFont="1" applyFill="1" applyBorder="1" applyAlignment="1">
      <alignment horizontal="center" vertical="center"/>
    </xf>
    <xf numFmtId="2" fontId="32510" fillId="8" borderId="1" xfId="0" applyNumberFormat="1" applyFont="1" applyFill="1" applyBorder="1" applyAlignment="1">
      <alignment horizontal="center" vertical="center"/>
    </xf>
    <xf numFmtId="2" fontId="32511" fillId="8" borderId="1" xfId="0" applyNumberFormat="1" applyFont="1" applyFill="1" applyBorder="1" applyAlignment="1">
      <alignment horizontal="center" vertical="center"/>
    </xf>
    <xf numFmtId="2" fontId="32512" fillId="8" borderId="1" xfId="0" applyNumberFormat="1" applyFont="1" applyFill="1" applyBorder="1" applyAlignment="1">
      <alignment horizontal="center" vertical="center"/>
    </xf>
    <xf numFmtId="2" fontId="32513" fillId="8" borderId="1" xfId="0" applyNumberFormat="1" applyFont="1" applyFill="1" applyBorder="1" applyAlignment="1">
      <alignment horizontal="center" vertical="center"/>
    </xf>
    <xf numFmtId="2" fontId="32514" fillId="8" borderId="1" xfId="0" applyNumberFormat="1" applyFont="1" applyFill="1" applyBorder="1" applyAlignment="1">
      <alignment horizontal="center" vertical="center"/>
    </xf>
    <xf numFmtId="2" fontId="32515" fillId="8" borderId="1" xfId="0" applyNumberFormat="1" applyFont="1" applyFill="1" applyBorder="1" applyAlignment="1">
      <alignment horizontal="center" vertical="center"/>
    </xf>
    <xf numFmtId="2" fontId="32516" fillId="8" borderId="1" xfId="0" applyNumberFormat="1" applyFont="1" applyFill="1" applyBorder="1" applyAlignment="1">
      <alignment horizontal="center" vertical="center"/>
    </xf>
    <xf numFmtId="2" fontId="32517" fillId="8" borderId="1" xfId="0" applyNumberFormat="1" applyFont="1" applyFill="1" applyBorder="1" applyAlignment="1">
      <alignment horizontal="center" vertical="center"/>
    </xf>
    <xf numFmtId="2" fontId="32518" fillId="8" borderId="1" xfId="0" applyNumberFormat="1" applyFont="1" applyFill="1" applyBorder="1" applyAlignment="1">
      <alignment horizontal="center" vertical="center"/>
    </xf>
    <xf numFmtId="2" fontId="32519" fillId="8" borderId="1" xfId="0" applyNumberFormat="1" applyFont="1" applyFill="1" applyBorder="1" applyAlignment="1">
      <alignment horizontal="center" vertical="center"/>
    </xf>
    <xf numFmtId="2" fontId="32520" fillId="8" borderId="1" xfId="0" applyNumberFormat="1" applyFont="1" applyFill="1" applyBorder="1" applyAlignment="1">
      <alignment horizontal="center" vertical="center"/>
    </xf>
    <xf numFmtId="2" fontId="32521" fillId="8" borderId="1" xfId="0" applyNumberFormat="1" applyFont="1" applyFill="1" applyBorder="1" applyAlignment="1">
      <alignment horizontal="center" vertical="center"/>
    </xf>
    <xf numFmtId="2" fontId="32522" fillId="8" borderId="1" xfId="0" applyNumberFormat="1" applyFont="1" applyFill="1" applyBorder="1" applyAlignment="1">
      <alignment horizontal="center" vertical="center"/>
    </xf>
    <xf numFmtId="2" fontId="32523" fillId="8" borderId="1" xfId="0" applyNumberFormat="1" applyFont="1" applyFill="1" applyBorder="1" applyAlignment="1">
      <alignment horizontal="center" vertical="center"/>
    </xf>
    <xf numFmtId="2" fontId="32524" fillId="8" borderId="1" xfId="0" applyNumberFormat="1" applyFont="1" applyFill="1" applyBorder="1" applyAlignment="1">
      <alignment horizontal="center" vertical="center"/>
    </xf>
    <xf numFmtId="2" fontId="32525" fillId="8" borderId="1" xfId="0" applyNumberFormat="1" applyFont="1" applyFill="1" applyBorder="1" applyAlignment="1">
      <alignment horizontal="center" vertical="center"/>
    </xf>
    <xf numFmtId="2" fontId="32526" fillId="8" borderId="1" xfId="0" applyNumberFormat="1" applyFont="1" applyFill="1" applyBorder="1" applyAlignment="1">
      <alignment horizontal="center" vertical="center"/>
    </xf>
    <xf numFmtId="2" fontId="32527" fillId="8" borderId="1" xfId="0" applyNumberFormat="1" applyFont="1" applyFill="1" applyBorder="1" applyAlignment="1">
      <alignment horizontal="center" vertical="center"/>
    </xf>
    <xf numFmtId="2" fontId="32528" fillId="8" borderId="1" xfId="0" applyNumberFormat="1" applyFont="1" applyFill="1" applyBorder="1" applyAlignment="1">
      <alignment horizontal="center" vertical="center"/>
    </xf>
    <xf numFmtId="0" fontId="32529" fillId="7" borderId="1" xfId="0" applyNumberFormat="1" applyFont="1" applyFill="1" applyBorder="1" applyAlignment="1">
      <alignment horizontal="left" vertical="center"/>
    </xf>
    <xf numFmtId="0" fontId="32530" fillId="8" borderId="1" xfId="0" applyNumberFormat="1" applyFont="1" applyFill="1" applyBorder="1" applyAlignment="1">
      <alignment horizontal="center" vertical="center"/>
    </xf>
    <xf numFmtId="164" fontId="32531" fillId="8" borderId="1" xfId="0" applyNumberFormat="1" applyFont="1" applyFill="1" applyBorder="1" applyAlignment="1">
      <alignment horizontal="center" vertical="center"/>
    </xf>
    <xf numFmtId="1" fontId="32532" fillId="8" borderId="1" xfId="0" applyNumberFormat="1" applyFont="1" applyFill="1" applyBorder="1" applyAlignment="1">
      <alignment horizontal="center" vertical="center"/>
    </xf>
    <xf numFmtId="1" fontId="32533" fillId="8" borderId="1" xfId="0" applyNumberFormat="1" applyFont="1" applyFill="1" applyBorder="1" applyAlignment="1">
      <alignment horizontal="center" vertical="center"/>
    </xf>
    <xf numFmtId="1" fontId="32534" fillId="8" borderId="1" xfId="0" applyNumberFormat="1" applyFont="1" applyFill="1" applyBorder="1" applyAlignment="1">
      <alignment horizontal="center" vertical="center"/>
    </xf>
    <xf numFmtId="1" fontId="32535" fillId="8" borderId="1" xfId="0" applyNumberFormat="1" applyFont="1" applyFill="1" applyBorder="1" applyAlignment="1">
      <alignment horizontal="center" vertical="center"/>
    </xf>
    <xf numFmtId="1" fontId="32536" fillId="8" borderId="1" xfId="0" applyNumberFormat="1" applyFont="1" applyFill="1" applyBorder="1" applyAlignment="1">
      <alignment horizontal="center" vertical="center"/>
    </xf>
    <xf numFmtId="1" fontId="32537" fillId="8" borderId="1" xfId="0" applyNumberFormat="1" applyFont="1" applyFill="1" applyBorder="1" applyAlignment="1">
      <alignment horizontal="center" vertical="center"/>
    </xf>
    <xf numFmtId="1" fontId="32538" fillId="8" borderId="1" xfId="0" applyNumberFormat="1" applyFont="1" applyFill="1" applyBorder="1" applyAlignment="1">
      <alignment horizontal="center" vertical="center"/>
    </xf>
    <xf numFmtId="0" fontId="32539" fillId="8" borderId="1" xfId="0" applyNumberFormat="1" applyFont="1" applyFill="1" applyBorder="1" applyAlignment="1">
      <alignment horizontal="center" vertical="center"/>
    </xf>
    <xf numFmtId="0" fontId="32540" fillId="8" borderId="1" xfId="0" applyNumberFormat="1" applyFont="1" applyFill="1" applyBorder="1" applyAlignment="1">
      <alignment horizontal="center" vertical="center"/>
    </xf>
    <xf numFmtId="1" fontId="32541" fillId="8" borderId="1" xfId="0" applyNumberFormat="1" applyFont="1" applyFill="1" applyBorder="1" applyAlignment="1">
      <alignment horizontal="center" vertical="center"/>
    </xf>
    <xf numFmtId="1" fontId="32542" fillId="8" borderId="1" xfId="0" applyNumberFormat="1" applyFont="1" applyFill="1" applyBorder="1" applyAlignment="1">
      <alignment horizontal="center" vertical="center"/>
    </xf>
    <xf numFmtId="1" fontId="32543" fillId="8" borderId="1" xfId="0" applyNumberFormat="1" applyFont="1" applyFill="1" applyBorder="1" applyAlignment="1">
      <alignment horizontal="center" vertical="center"/>
    </xf>
    <xf numFmtId="165" fontId="32544" fillId="8" borderId="1" xfId="0" applyNumberFormat="1" applyFont="1" applyFill="1" applyBorder="1" applyAlignment="1">
      <alignment horizontal="center" vertical="center"/>
    </xf>
    <xf numFmtId="1" fontId="32545" fillId="8" borderId="1" xfId="0" applyNumberFormat="1" applyFont="1" applyFill="1" applyBorder="1" applyAlignment="1">
      <alignment horizontal="center" vertical="center"/>
    </xf>
    <xf numFmtId="165" fontId="32546" fillId="8" borderId="1" xfId="0" applyNumberFormat="1" applyFont="1" applyFill="1" applyBorder="1" applyAlignment="1">
      <alignment horizontal="center" vertical="center"/>
    </xf>
    <xf numFmtId="1" fontId="32547" fillId="8" borderId="1" xfId="0" applyNumberFormat="1" applyFont="1" applyFill="1" applyBorder="1" applyAlignment="1">
      <alignment horizontal="center" vertical="center"/>
    </xf>
    <xf numFmtId="165" fontId="32548" fillId="8" borderId="1" xfId="0" applyNumberFormat="1" applyFont="1" applyFill="1" applyBorder="1" applyAlignment="1">
      <alignment horizontal="center" vertical="center"/>
    </xf>
    <xf numFmtId="1" fontId="32549" fillId="8" borderId="1" xfId="0" applyNumberFormat="1" applyFont="1" applyFill="1" applyBorder="1" applyAlignment="1">
      <alignment horizontal="center" vertical="center"/>
    </xf>
    <xf numFmtId="165" fontId="32550" fillId="8" borderId="1" xfId="0" applyNumberFormat="1" applyFont="1" applyFill="1" applyBorder="1" applyAlignment="1">
      <alignment horizontal="center" vertical="center"/>
    </xf>
    <xf numFmtId="165" fontId="32551" fillId="8" borderId="1" xfId="0" applyNumberFormat="1" applyFont="1" applyFill="1" applyBorder="1" applyAlignment="1">
      <alignment horizontal="center" vertical="center"/>
    </xf>
    <xf numFmtId="1" fontId="32552" fillId="8" borderId="1" xfId="0" applyNumberFormat="1" applyFont="1" applyFill="1" applyBorder="1" applyAlignment="1">
      <alignment horizontal="center" vertical="center"/>
    </xf>
    <xf numFmtId="1" fontId="32553" fillId="8" borderId="1" xfId="0" applyNumberFormat="1" applyFont="1" applyFill="1" applyBorder="1" applyAlignment="1">
      <alignment horizontal="center" vertical="center"/>
    </xf>
    <xf numFmtId="1" fontId="32554" fillId="8" borderId="1" xfId="0" applyNumberFormat="1" applyFont="1" applyFill="1" applyBorder="1" applyAlignment="1">
      <alignment horizontal="center" vertical="center"/>
    </xf>
    <xf numFmtId="165" fontId="32555" fillId="8" borderId="1" xfId="0" applyNumberFormat="1" applyFont="1" applyFill="1" applyBorder="1" applyAlignment="1">
      <alignment horizontal="center" vertical="center"/>
    </xf>
    <xf numFmtId="164" fontId="32556" fillId="8" borderId="1" xfId="0" applyNumberFormat="1" applyFont="1" applyFill="1" applyBorder="1" applyAlignment="1">
      <alignment horizontal="center" vertical="center"/>
    </xf>
    <xf numFmtId="164" fontId="32557" fillId="8" borderId="1" xfId="0" applyNumberFormat="1" applyFont="1" applyFill="1" applyBorder="1" applyAlignment="1">
      <alignment horizontal="center" vertical="center"/>
    </xf>
    <xf numFmtId="1" fontId="32558" fillId="8" borderId="1" xfId="0" applyNumberFormat="1" applyFont="1" applyFill="1" applyBorder="1" applyAlignment="1">
      <alignment horizontal="center" vertical="center"/>
    </xf>
    <xf numFmtId="1" fontId="32559" fillId="8" borderId="1" xfId="0" applyNumberFormat="1" applyFont="1" applyFill="1" applyBorder="1" applyAlignment="1">
      <alignment horizontal="center" vertical="center"/>
    </xf>
    <xf numFmtId="1" fontId="32560" fillId="8" borderId="1" xfId="0" applyNumberFormat="1" applyFont="1" applyFill="1" applyBorder="1" applyAlignment="1">
      <alignment horizontal="center" vertical="center"/>
    </xf>
    <xf numFmtId="165" fontId="32561" fillId="8" borderId="1" xfId="0" applyNumberFormat="1" applyFont="1" applyFill="1" applyBorder="1" applyAlignment="1">
      <alignment horizontal="center" vertical="center"/>
    </xf>
    <xf numFmtId="1" fontId="32562" fillId="8" borderId="1" xfId="0" applyNumberFormat="1" applyFont="1" applyFill="1" applyBorder="1" applyAlignment="1">
      <alignment horizontal="center" vertical="center"/>
    </xf>
    <xf numFmtId="165" fontId="32563" fillId="8" borderId="1" xfId="0" applyNumberFormat="1" applyFont="1" applyFill="1" applyBorder="1" applyAlignment="1">
      <alignment horizontal="center" vertical="center"/>
    </xf>
    <xf numFmtId="1" fontId="32564" fillId="8" borderId="1" xfId="0" applyNumberFormat="1" applyFont="1" applyFill="1" applyBorder="1" applyAlignment="1">
      <alignment horizontal="center" vertical="center"/>
    </xf>
    <xf numFmtId="1" fontId="32565" fillId="8" borderId="1" xfId="0" applyNumberFormat="1" applyFont="1" applyFill="1" applyBorder="1" applyAlignment="1">
      <alignment horizontal="center" vertical="center"/>
    </xf>
    <xf numFmtId="1" fontId="32566" fillId="8" borderId="1" xfId="0" applyNumberFormat="1" applyFont="1" applyFill="1" applyBorder="1" applyAlignment="1">
      <alignment horizontal="center" vertical="center"/>
    </xf>
    <xf numFmtId="1" fontId="32567" fillId="8" borderId="1" xfId="0" applyNumberFormat="1" applyFont="1" applyFill="1" applyBorder="1" applyAlignment="1">
      <alignment horizontal="center" vertical="center"/>
    </xf>
    <xf numFmtId="165" fontId="32568" fillId="8" borderId="1" xfId="0" applyNumberFormat="1" applyFont="1" applyFill="1" applyBorder="1" applyAlignment="1">
      <alignment horizontal="center" vertical="center"/>
    </xf>
    <xf numFmtId="1" fontId="32569" fillId="8" borderId="1" xfId="0" applyNumberFormat="1" applyFont="1" applyFill="1" applyBorder="1" applyAlignment="1">
      <alignment horizontal="center" vertical="center"/>
    </xf>
    <xf numFmtId="165" fontId="32570" fillId="8" borderId="1" xfId="0" applyNumberFormat="1" applyFont="1" applyFill="1" applyBorder="1" applyAlignment="1">
      <alignment horizontal="center" vertical="center"/>
    </xf>
    <xf numFmtId="1" fontId="32571" fillId="8" borderId="1" xfId="0" applyNumberFormat="1" applyFont="1" applyFill="1" applyBorder="1" applyAlignment="1">
      <alignment horizontal="center" vertical="center"/>
    </xf>
    <xf numFmtId="165" fontId="32572" fillId="8" borderId="1" xfId="0" applyNumberFormat="1" applyFont="1" applyFill="1" applyBorder="1" applyAlignment="1">
      <alignment horizontal="center" vertical="center"/>
    </xf>
    <xf numFmtId="2" fontId="32573" fillId="8" borderId="1" xfId="0" applyNumberFormat="1" applyFont="1" applyFill="1" applyBorder="1" applyAlignment="1">
      <alignment horizontal="center" vertical="center"/>
    </xf>
    <xf numFmtId="2" fontId="32574" fillId="8" borderId="1" xfId="0" applyNumberFormat="1" applyFont="1" applyFill="1" applyBorder="1" applyAlignment="1">
      <alignment horizontal="center" vertical="center"/>
    </xf>
    <xf numFmtId="2" fontId="32575" fillId="8" borderId="1" xfId="0" applyNumberFormat="1" applyFont="1" applyFill="1" applyBorder="1" applyAlignment="1">
      <alignment horizontal="center" vertical="center"/>
    </xf>
    <xf numFmtId="2" fontId="32576" fillId="8" borderId="1" xfId="0" applyNumberFormat="1" applyFont="1" applyFill="1" applyBorder="1" applyAlignment="1">
      <alignment horizontal="center" vertical="center"/>
    </xf>
    <xf numFmtId="2" fontId="32577" fillId="8" borderId="1" xfId="0" applyNumberFormat="1" applyFont="1" applyFill="1" applyBorder="1" applyAlignment="1">
      <alignment horizontal="center" vertical="center"/>
    </xf>
    <xf numFmtId="2" fontId="32578" fillId="8" borderId="1" xfId="0" applyNumberFormat="1" applyFont="1" applyFill="1" applyBorder="1" applyAlignment="1">
      <alignment horizontal="center" vertical="center"/>
    </xf>
    <xf numFmtId="2" fontId="32579" fillId="8" borderId="1" xfId="0" applyNumberFormat="1" applyFont="1" applyFill="1" applyBorder="1" applyAlignment="1">
      <alignment horizontal="center" vertical="center"/>
    </xf>
    <xf numFmtId="2" fontId="32580" fillId="8" borderId="1" xfId="0" applyNumberFormat="1" applyFont="1" applyFill="1" applyBorder="1" applyAlignment="1">
      <alignment horizontal="center" vertical="center"/>
    </xf>
    <xf numFmtId="2" fontId="32581" fillId="8" borderId="1" xfId="0" applyNumberFormat="1" applyFont="1" applyFill="1" applyBorder="1" applyAlignment="1">
      <alignment horizontal="center" vertical="center"/>
    </xf>
    <xf numFmtId="2" fontId="32582" fillId="8" borderId="1" xfId="0" applyNumberFormat="1" applyFont="1" applyFill="1" applyBorder="1" applyAlignment="1">
      <alignment horizontal="center" vertical="center"/>
    </xf>
    <xf numFmtId="2" fontId="32583" fillId="8" borderId="1" xfId="0" applyNumberFormat="1" applyFont="1" applyFill="1" applyBorder="1" applyAlignment="1">
      <alignment horizontal="center" vertical="center"/>
    </xf>
    <xf numFmtId="2" fontId="32584" fillId="8" borderId="1" xfId="0" applyNumberFormat="1" applyFont="1" applyFill="1" applyBorder="1" applyAlignment="1">
      <alignment horizontal="center" vertical="center"/>
    </xf>
    <xf numFmtId="2" fontId="32585" fillId="8" borderId="1" xfId="0" applyNumberFormat="1" applyFont="1" applyFill="1" applyBorder="1" applyAlignment="1">
      <alignment horizontal="center" vertical="center"/>
    </xf>
    <xf numFmtId="2" fontId="32586" fillId="8" borderId="1" xfId="0" applyNumberFormat="1" applyFont="1" applyFill="1" applyBorder="1" applyAlignment="1">
      <alignment horizontal="center" vertical="center"/>
    </xf>
    <xf numFmtId="2" fontId="32587" fillId="8" borderId="1" xfId="0" applyNumberFormat="1" applyFont="1" applyFill="1" applyBorder="1" applyAlignment="1">
      <alignment horizontal="center" vertical="center"/>
    </xf>
    <xf numFmtId="2" fontId="32588" fillId="8" borderId="1" xfId="0" applyNumberFormat="1" applyFont="1" applyFill="1" applyBorder="1" applyAlignment="1">
      <alignment horizontal="center" vertical="center"/>
    </xf>
    <xf numFmtId="2" fontId="32589" fillId="8" borderId="1" xfId="0" applyNumberFormat="1" applyFont="1" applyFill="1" applyBorder="1" applyAlignment="1">
      <alignment horizontal="center" vertical="center"/>
    </xf>
    <xf numFmtId="2" fontId="32590" fillId="8" borderId="1" xfId="0" applyNumberFormat="1" applyFont="1" applyFill="1" applyBorder="1" applyAlignment="1">
      <alignment horizontal="center" vertical="center"/>
    </xf>
    <xf numFmtId="2" fontId="32591" fillId="8" borderId="1" xfId="0" applyNumberFormat="1" applyFont="1" applyFill="1" applyBorder="1" applyAlignment="1">
      <alignment horizontal="center" vertical="center"/>
    </xf>
    <xf numFmtId="2" fontId="32592" fillId="8" borderId="1" xfId="0" applyNumberFormat="1" applyFont="1" applyFill="1" applyBorder="1" applyAlignment="1">
      <alignment horizontal="center" vertical="center"/>
    </xf>
    <xf numFmtId="2" fontId="32593" fillId="8" borderId="1" xfId="0" applyNumberFormat="1" applyFont="1" applyFill="1" applyBorder="1" applyAlignment="1">
      <alignment horizontal="center" vertical="center"/>
    </xf>
    <xf numFmtId="2" fontId="32594" fillId="8" borderId="1" xfId="0" applyNumberFormat="1" applyFont="1" applyFill="1" applyBorder="1" applyAlignment="1">
      <alignment horizontal="center" vertical="center"/>
    </xf>
    <xf numFmtId="2" fontId="32595" fillId="8" borderId="1" xfId="0" applyNumberFormat="1" applyFont="1" applyFill="1" applyBorder="1" applyAlignment="1">
      <alignment horizontal="center" vertical="center"/>
    </xf>
    <xf numFmtId="2" fontId="32596" fillId="8" borderId="1" xfId="0" applyNumberFormat="1" applyFont="1" applyFill="1" applyBorder="1" applyAlignment="1">
      <alignment horizontal="center" vertical="center"/>
    </xf>
    <xf numFmtId="2" fontId="32597" fillId="8" borderId="1" xfId="0" applyNumberFormat="1" applyFont="1" applyFill="1" applyBorder="1" applyAlignment="1">
      <alignment horizontal="center" vertical="center"/>
    </xf>
    <xf numFmtId="2" fontId="32598" fillId="8" borderId="1" xfId="0" applyNumberFormat="1" applyFont="1" applyFill="1" applyBorder="1" applyAlignment="1">
      <alignment horizontal="center" vertical="center"/>
    </xf>
    <xf numFmtId="2" fontId="32599" fillId="8" borderId="1" xfId="0" applyNumberFormat="1" applyFont="1" applyFill="1" applyBorder="1" applyAlignment="1">
      <alignment horizontal="center" vertical="center"/>
    </xf>
    <xf numFmtId="2" fontId="32600" fillId="8" borderId="1" xfId="0" applyNumberFormat="1" applyFont="1" applyFill="1" applyBorder="1" applyAlignment="1">
      <alignment horizontal="center" vertical="center"/>
    </xf>
    <xf numFmtId="2" fontId="32601" fillId="8" borderId="1" xfId="0" applyNumberFormat="1" applyFont="1" applyFill="1" applyBorder="1" applyAlignment="1">
      <alignment horizontal="center" vertical="center"/>
    </xf>
    <xf numFmtId="2" fontId="32602" fillId="8" borderId="1" xfId="0" applyNumberFormat="1" applyFont="1" applyFill="1" applyBorder="1" applyAlignment="1">
      <alignment horizontal="center" vertical="center"/>
    </xf>
    <xf numFmtId="2" fontId="32603" fillId="8" borderId="1" xfId="0" applyNumberFormat="1" applyFont="1" applyFill="1" applyBorder="1" applyAlignment="1">
      <alignment horizontal="center" vertical="center"/>
    </xf>
    <xf numFmtId="2" fontId="32604" fillId="8" borderId="1" xfId="0" applyNumberFormat="1" applyFont="1" applyFill="1" applyBorder="1" applyAlignment="1">
      <alignment horizontal="center" vertical="center"/>
    </xf>
    <xf numFmtId="2" fontId="32605" fillId="8" borderId="1" xfId="0" applyNumberFormat="1" applyFont="1" applyFill="1" applyBorder="1" applyAlignment="1">
      <alignment horizontal="center" vertical="center"/>
    </xf>
    <xf numFmtId="2" fontId="32606" fillId="8" borderId="1" xfId="0" applyNumberFormat="1" applyFont="1" applyFill="1" applyBorder="1" applyAlignment="1">
      <alignment horizontal="center" vertical="center"/>
    </xf>
    <xf numFmtId="0" fontId="32607" fillId="7" borderId="1" xfId="0" applyNumberFormat="1" applyFont="1" applyFill="1" applyBorder="1" applyAlignment="1">
      <alignment horizontal="left" vertical="center"/>
    </xf>
    <xf numFmtId="0" fontId="32608" fillId="8" borderId="1" xfId="0" applyNumberFormat="1" applyFont="1" applyFill="1" applyBorder="1" applyAlignment="1">
      <alignment horizontal="center" vertical="center"/>
    </xf>
    <xf numFmtId="164" fontId="32609" fillId="8" borderId="1" xfId="0" applyNumberFormat="1" applyFont="1" applyFill="1" applyBorder="1" applyAlignment="1">
      <alignment horizontal="center" vertical="center"/>
    </xf>
    <xf numFmtId="1" fontId="32610" fillId="8" borderId="1" xfId="0" applyNumberFormat="1" applyFont="1" applyFill="1" applyBorder="1" applyAlignment="1">
      <alignment horizontal="center" vertical="center"/>
    </xf>
    <xf numFmtId="1" fontId="32611" fillId="8" borderId="1" xfId="0" applyNumberFormat="1" applyFont="1" applyFill="1" applyBorder="1" applyAlignment="1">
      <alignment horizontal="center" vertical="center"/>
    </xf>
    <xf numFmtId="1" fontId="32612" fillId="8" borderId="1" xfId="0" applyNumberFormat="1" applyFont="1" applyFill="1" applyBorder="1" applyAlignment="1">
      <alignment horizontal="center" vertical="center"/>
    </xf>
    <xf numFmtId="1" fontId="32613" fillId="8" borderId="1" xfId="0" applyNumberFormat="1" applyFont="1" applyFill="1" applyBorder="1" applyAlignment="1">
      <alignment horizontal="center" vertical="center"/>
    </xf>
    <xf numFmtId="1" fontId="32614" fillId="8" borderId="1" xfId="0" applyNumberFormat="1" applyFont="1" applyFill="1" applyBorder="1" applyAlignment="1">
      <alignment horizontal="center" vertical="center"/>
    </xf>
    <xf numFmtId="1" fontId="32615" fillId="8" borderId="1" xfId="0" applyNumberFormat="1" applyFont="1" applyFill="1" applyBorder="1" applyAlignment="1">
      <alignment horizontal="center" vertical="center"/>
    </xf>
    <xf numFmtId="1" fontId="32616" fillId="8" borderId="1" xfId="0" applyNumberFormat="1" applyFont="1" applyFill="1" applyBorder="1" applyAlignment="1">
      <alignment horizontal="center" vertical="center"/>
    </xf>
    <xf numFmtId="0" fontId="32617" fillId="8" borderId="1" xfId="0" applyNumberFormat="1" applyFont="1" applyFill="1" applyBorder="1" applyAlignment="1">
      <alignment horizontal="center" vertical="center"/>
    </xf>
    <xf numFmtId="0" fontId="32618" fillId="8" borderId="1" xfId="0" applyNumberFormat="1" applyFont="1" applyFill="1" applyBorder="1" applyAlignment="1">
      <alignment horizontal="center" vertical="center"/>
    </xf>
    <xf numFmtId="1" fontId="32619" fillId="8" borderId="1" xfId="0" applyNumberFormat="1" applyFont="1" applyFill="1" applyBorder="1" applyAlignment="1">
      <alignment horizontal="center" vertical="center"/>
    </xf>
    <xf numFmtId="1" fontId="32620" fillId="8" borderId="1" xfId="0" applyNumberFormat="1" applyFont="1" applyFill="1" applyBorder="1" applyAlignment="1">
      <alignment horizontal="center" vertical="center"/>
    </xf>
    <xf numFmtId="1" fontId="32621" fillId="8" borderId="1" xfId="0" applyNumberFormat="1" applyFont="1" applyFill="1" applyBorder="1" applyAlignment="1">
      <alignment horizontal="center" vertical="center"/>
    </xf>
    <xf numFmtId="165" fontId="32622" fillId="8" borderId="1" xfId="0" applyNumberFormat="1" applyFont="1" applyFill="1" applyBorder="1" applyAlignment="1">
      <alignment horizontal="center" vertical="center"/>
    </xf>
    <xf numFmtId="1" fontId="32623" fillId="8" borderId="1" xfId="0" applyNumberFormat="1" applyFont="1" applyFill="1" applyBorder="1" applyAlignment="1">
      <alignment horizontal="center" vertical="center"/>
    </xf>
    <xf numFmtId="165" fontId="32624" fillId="8" borderId="1" xfId="0" applyNumberFormat="1" applyFont="1" applyFill="1" applyBorder="1" applyAlignment="1">
      <alignment horizontal="center" vertical="center"/>
    </xf>
    <xf numFmtId="1" fontId="32625" fillId="8" borderId="1" xfId="0" applyNumberFormat="1" applyFont="1" applyFill="1" applyBorder="1" applyAlignment="1">
      <alignment horizontal="center" vertical="center"/>
    </xf>
    <xf numFmtId="165" fontId="32626" fillId="8" borderId="1" xfId="0" applyNumberFormat="1" applyFont="1" applyFill="1" applyBorder="1" applyAlignment="1">
      <alignment horizontal="center" vertical="center"/>
    </xf>
    <xf numFmtId="1" fontId="32627" fillId="8" borderId="1" xfId="0" applyNumberFormat="1" applyFont="1" applyFill="1" applyBorder="1" applyAlignment="1">
      <alignment horizontal="center" vertical="center"/>
    </xf>
    <xf numFmtId="165" fontId="32628" fillId="8" borderId="1" xfId="0" applyNumberFormat="1" applyFont="1" applyFill="1" applyBorder="1" applyAlignment="1">
      <alignment horizontal="center" vertical="center"/>
    </xf>
    <xf numFmtId="165" fontId="32629" fillId="8" borderId="1" xfId="0" applyNumberFormat="1" applyFont="1" applyFill="1" applyBorder="1" applyAlignment="1">
      <alignment horizontal="center" vertical="center"/>
    </xf>
    <xf numFmtId="1" fontId="32630" fillId="8" borderId="1" xfId="0" applyNumberFormat="1" applyFont="1" applyFill="1" applyBorder="1" applyAlignment="1">
      <alignment horizontal="center" vertical="center"/>
    </xf>
    <xf numFmtId="1" fontId="32631" fillId="8" borderId="1" xfId="0" applyNumberFormat="1" applyFont="1" applyFill="1" applyBorder="1" applyAlignment="1">
      <alignment horizontal="center" vertical="center"/>
    </xf>
    <xf numFmtId="1" fontId="32632" fillId="8" borderId="1" xfId="0" applyNumberFormat="1" applyFont="1" applyFill="1" applyBorder="1" applyAlignment="1">
      <alignment horizontal="center" vertical="center"/>
    </xf>
    <xf numFmtId="165" fontId="32633" fillId="8" borderId="1" xfId="0" applyNumberFormat="1" applyFont="1" applyFill="1" applyBorder="1" applyAlignment="1">
      <alignment horizontal="center" vertical="center"/>
    </xf>
    <xf numFmtId="164" fontId="32634" fillId="8" borderId="1" xfId="0" applyNumberFormat="1" applyFont="1" applyFill="1" applyBorder="1" applyAlignment="1">
      <alignment horizontal="center" vertical="center"/>
    </xf>
    <xf numFmtId="164" fontId="32635" fillId="8" borderId="1" xfId="0" applyNumberFormat="1" applyFont="1" applyFill="1" applyBorder="1" applyAlignment="1">
      <alignment horizontal="center" vertical="center"/>
    </xf>
    <xf numFmtId="1" fontId="32636" fillId="8" borderId="1" xfId="0" applyNumberFormat="1" applyFont="1" applyFill="1" applyBorder="1" applyAlignment="1">
      <alignment horizontal="center" vertical="center"/>
    </xf>
    <xf numFmtId="1" fontId="32637" fillId="8" borderId="1" xfId="0" applyNumberFormat="1" applyFont="1" applyFill="1" applyBorder="1" applyAlignment="1">
      <alignment horizontal="center" vertical="center"/>
    </xf>
    <xf numFmtId="1" fontId="32638" fillId="8" borderId="1" xfId="0" applyNumberFormat="1" applyFont="1" applyFill="1" applyBorder="1" applyAlignment="1">
      <alignment horizontal="center" vertical="center"/>
    </xf>
    <xf numFmtId="165" fontId="32639" fillId="8" borderId="1" xfId="0" applyNumberFormat="1" applyFont="1" applyFill="1" applyBorder="1" applyAlignment="1">
      <alignment horizontal="center" vertical="center"/>
    </xf>
    <xf numFmtId="1" fontId="32640" fillId="8" borderId="1" xfId="0" applyNumberFormat="1" applyFont="1" applyFill="1" applyBorder="1" applyAlignment="1">
      <alignment horizontal="center" vertical="center"/>
    </xf>
    <xf numFmtId="165" fontId="32641" fillId="8" borderId="1" xfId="0" applyNumberFormat="1" applyFont="1" applyFill="1" applyBorder="1" applyAlignment="1">
      <alignment horizontal="center" vertical="center"/>
    </xf>
    <xf numFmtId="1" fontId="32642" fillId="8" borderId="1" xfId="0" applyNumberFormat="1" applyFont="1" applyFill="1" applyBorder="1" applyAlignment="1">
      <alignment horizontal="center" vertical="center"/>
    </xf>
    <xf numFmtId="1" fontId="32643" fillId="8" borderId="1" xfId="0" applyNumberFormat="1" applyFont="1" applyFill="1" applyBorder="1" applyAlignment="1">
      <alignment horizontal="center" vertical="center"/>
    </xf>
    <xf numFmtId="1" fontId="32644" fillId="8" borderId="1" xfId="0" applyNumberFormat="1" applyFont="1" applyFill="1" applyBorder="1" applyAlignment="1">
      <alignment horizontal="center" vertical="center"/>
    </xf>
    <xf numFmtId="1" fontId="32645" fillId="8" borderId="1" xfId="0" applyNumberFormat="1" applyFont="1" applyFill="1" applyBorder="1" applyAlignment="1">
      <alignment horizontal="center" vertical="center"/>
    </xf>
    <xf numFmtId="165" fontId="32646" fillId="8" borderId="1" xfId="0" applyNumberFormat="1" applyFont="1" applyFill="1" applyBorder="1" applyAlignment="1">
      <alignment horizontal="center" vertical="center"/>
    </xf>
    <xf numFmtId="1" fontId="32647" fillId="8" borderId="1" xfId="0" applyNumberFormat="1" applyFont="1" applyFill="1" applyBorder="1" applyAlignment="1">
      <alignment horizontal="center" vertical="center"/>
    </xf>
    <xf numFmtId="165" fontId="32648" fillId="8" borderId="1" xfId="0" applyNumberFormat="1" applyFont="1" applyFill="1" applyBorder="1" applyAlignment="1">
      <alignment horizontal="center" vertical="center"/>
    </xf>
    <xf numFmtId="1" fontId="32649" fillId="8" borderId="1" xfId="0" applyNumberFormat="1" applyFont="1" applyFill="1" applyBorder="1" applyAlignment="1">
      <alignment horizontal="center" vertical="center"/>
    </xf>
    <xf numFmtId="165" fontId="32650" fillId="8" borderId="1" xfId="0" applyNumberFormat="1" applyFont="1" applyFill="1" applyBorder="1" applyAlignment="1">
      <alignment horizontal="center" vertical="center"/>
    </xf>
    <xf numFmtId="2" fontId="32651" fillId="8" borderId="1" xfId="0" applyNumberFormat="1" applyFont="1" applyFill="1" applyBorder="1" applyAlignment="1">
      <alignment horizontal="center" vertical="center"/>
    </xf>
    <xf numFmtId="2" fontId="32652" fillId="8" borderId="1" xfId="0" applyNumberFormat="1" applyFont="1" applyFill="1" applyBorder="1" applyAlignment="1">
      <alignment horizontal="center" vertical="center"/>
    </xf>
    <xf numFmtId="2" fontId="32653" fillId="8" borderId="1" xfId="0" applyNumberFormat="1" applyFont="1" applyFill="1" applyBorder="1" applyAlignment="1">
      <alignment horizontal="center" vertical="center"/>
    </xf>
    <xf numFmtId="2" fontId="32654" fillId="8" borderId="1" xfId="0" applyNumberFormat="1" applyFont="1" applyFill="1" applyBorder="1" applyAlignment="1">
      <alignment horizontal="center" vertical="center"/>
    </xf>
    <xf numFmtId="2" fontId="32655" fillId="8" borderId="1" xfId="0" applyNumberFormat="1" applyFont="1" applyFill="1" applyBorder="1" applyAlignment="1">
      <alignment horizontal="center" vertical="center"/>
    </xf>
    <xf numFmtId="2" fontId="32656" fillId="8" borderId="1" xfId="0" applyNumberFormat="1" applyFont="1" applyFill="1" applyBorder="1" applyAlignment="1">
      <alignment horizontal="center" vertical="center"/>
    </xf>
    <xf numFmtId="2" fontId="32657" fillId="8" borderId="1" xfId="0" applyNumberFormat="1" applyFont="1" applyFill="1" applyBorder="1" applyAlignment="1">
      <alignment horizontal="center" vertical="center"/>
    </xf>
    <xf numFmtId="2" fontId="32658" fillId="8" borderId="1" xfId="0" applyNumberFormat="1" applyFont="1" applyFill="1" applyBorder="1" applyAlignment="1">
      <alignment horizontal="center" vertical="center"/>
    </xf>
    <xf numFmtId="2" fontId="32659" fillId="8" borderId="1" xfId="0" applyNumberFormat="1" applyFont="1" applyFill="1" applyBorder="1" applyAlignment="1">
      <alignment horizontal="center" vertical="center"/>
    </xf>
    <xf numFmtId="2" fontId="32660" fillId="8" borderId="1" xfId="0" applyNumberFormat="1" applyFont="1" applyFill="1" applyBorder="1" applyAlignment="1">
      <alignment horizontal="center" vertical="center"/>
    </xf>
    <xf numFmtId="2" fontId="32661" fillId="8" borderId="1" xfId="0" applyNumberFormat="1" applyFont="1" applyFill="1" applyBorder="1" applyAlignment="1">
      <alignment horizontal="center" vertical="center"/>
    </xf>
    <xf numFmtId="2" fontId="32662" fillId="8" borderId="1" xfId="0" applyNumberFormat="1" applyFont="1" applyFill="1" applyBorder="1" applyAlignment="1">
      <alignment horizontal="center" vertical="center"/>
    </xf>
    <xf numFmtId="2" fontId="32663" fillId="8" borderId="1" xfId="0" applyNumberFormat="1" applyFont="1" applyFill="1" applyBorder="1" applyAlignment="1">
      <alignment horizontal="center" vertical="center"/>
    </xf>
    <xf numFmtId="2" fontId="32664" fillId="8" borderId="1" xfId="0" applyNumberFormat="1" applyFont="1" applyFill="1" applyBorder="1" applyAlignment="1">
      <alignment horizontal="center" vertical="center"/>
    </xf>
    <xf numFmtId="2" fontId="32665" fillId="8" borderId="1" xfId="0" applyNumberFormat="1" applyFont="1" applyFill="1" applyBorder="1" applyAlignment="1">
      <alignment horizontal="center" vertical="center"/>
    </xf>
    <xf numFmtId="2" fontId="32666" fillId="8" borderId="1" xfId="0" applyNumberFormat="1" applyFont="1" applyFill="1" applyBorder="1" applyAlignment="1">
      <alignment horizontal="center" vertical="center"/>
    </xf>
    <xf numFmtId="2" fontId="32667" fillId="8" borderId="1" xfId="0" applyNumberFormat="1" applyFont="1" applyFill="1" applyBorder="1" applyAlignment="1">
      <alignment horizontal="center" vertical="center"/>
    </xf>
    <xf numFmtId="2" fontId="32668" fillId="8" borderId="1" xfId="0" applyNumberFormat="1" applyFont="1" applyFill="1" applyBorder="1" applyAlignment="1">
      <alignment horizontal="center" vertical="center"/>
    </xf>
    <xf numFmtId="2" fontId="32669" fillId="8" borderId="1" xfId="0" applyNumberFormat="1" applyFont="1" applyFill="1" applyBorder="1" applyAlignment="1">
      <alignment horizontal="center" vertical="center"/>
    </xf>
    <xf numFmtId="2" fontId="32670" fillId="8" borderId="1" xfId="0" applyNumberFormat="1" applyFont="1" applyFill="1" applyBorder="1" applyAlignment="1">
      <alignment horizontal="center" vertical="center"/>
    </xf>
    <xf numFmtId="2" fontId="32671" fillId="8" borderId="1" xfId="0" applyNumberFormat="1" applyFont="1" applyFill="1" applyBorder="1" applyAlignment="1">
      <alignment horizontal="center" vertical="center"/>
    </xf>
    <xf numFmtId="2" fontId="32672" fillId="8" borderId="1" xfId="0" applyNumberFormat="1" applyFont="1" applyFill="1" applyBorder="1" applyAlignment="1">
      <alignment horizontal="center" vertical="center"/>
    </xf>
    <xf numFmtId="2" fontId="32673" fillId="8" borderId="1" xfId="0" applyNumberFormat="1" applyFont="1" applyFill="1" applyBorder="1" applyAlignment="1">
      <alignment horizontal="center" vertical="center"/>
    </xf>
    <xf numFmtId="2" fontId="32674" fillId="8" borderId="1" xfId="0" applyNumberFormat="1" applyFont="1" applyFill="1" applyBorder="1" applyAlignment="1">
      <alignment horizontal="center" vertical="center"/>
    </xf>
    <xf numFmtId="2" fontId="32675" fillId="8" borderId="1" xfId="0" applyNumberFormat="1" applyFont="1" applyFill="1" applyBorder="1" applyAlignment="1">
      <alignment horizontal="center" vertical="center"/>
    </xf>
    <xf numFmtId="2" fontId="32676" fillId="8" borderId="1" xfId="0" applyNumberFormat="1" applyFont="1" applyFill="1" applyBorder="1" applyAlignment="1">
      <alignment horizontal="center" vertical="center"/>
    </xf>
    <xf numFmtId="2" fontId="32677" fillId="8" borderId="1" xfId="0" applyNumberFormat="1" applyFont="1" applyFill="1" applyBorder="1" applyAlignment="1">
      <alignment horizontal="center" vertical="center"/>
    </xf>
    <xf numFmtId="2" fontId="32678" fillId="8" borderId="1" xfId="0" applyNumberFormat="1" applyFont="1" applyFill="1" applyBorder="1" applyAlignment="1">
      <alignment horizontal="center" vertical="center"/>
    </xf>
    <xf numFmtId="2" fontId="32679" fillId="8" borderId="1" xfId="0" applyNumberFormat="1" applyFont="1" applyFill="1" applyBorder="1" applyAlignment="1">
      <alignment horizontal="center" vertical="center"/>
    </xf>
    <xf numFmtId="2" fontId="32680" fillId="8" borderId="1" xfId="0" applyNumberFormat="1" applyFont="1" applyFill="1" applyBorder="1" applyAlignment="1">
      <alignment horizontal="center" vertical="center"/>
    </xf>
    <xf numFmtId="2" fontId="32681" fillId="8" borderId="1" xfId="0" applyNumberFormat="1" applyFont="1" applyFill="1" applyBorder="1" applyAlignment="1">
      <alignment horizontal="center" vertical="center"/>
    </xf>
    <xf numFmtId="2" fontId="32682" fillId="8" borderId="1" xfId="0" applyNumberFormat="1" applyFont="1" applyFill="1" applyBorder="1" applyAlignment="1">
      <alignment horizontal="center" vertical="center"/>
    </xf>
    <xf numFmtId="2" fontId="32683" fillId="8" borderId="1" xfId="0" applyNumberFormat="1" applyFont="1" applyFill="1" applyBorder="1" applyAlignment="1">
      <alignment horizontal="center" vertical="center"/>
    </xf>
    <xf numFmtId="2" fontId="32684" fillId="8" borderId="1" xfId="0" applyNumberFormat="1" applyFont="1" applyFill="1" applyBorder="1" applyAlignment="1">
      <alignment horizontal="center" vertical="center"/>
    </xf>
    <xf numFmtId="0" fontId="32685" fillId="7" borderId="1" xfId="0" applyNumberFormat="1" applyFont="1" applyFill="1" applyBorder="1" applyAlignment="1">
      <alignment horizontal="left" vertical="center"/>
    </xf>
    <xf numFmtId="0" fontId="32686" fillId="8" borderId="1" xfId="0" applyNumberFormat="1" applyFont="1" applyFill="1" applyBorder="1" applyAlignment="1">
      <alignment horizontal="center" vertical="center"/>
    </xf>
    <xf numFmtId="164" fontId="32687" fillId="8" borderId="1" xfId="0" applyNumberFormat="1" applyFont="1" applyFill="1" applyBorder="1" applyAlignment="1">
      <alignment horizontal="center" vertical="center"/>
    </xf>
    <xf numFmtId="1" fontId="32688" fillId="8" borderId="1" xfId="0" applyNumberFormat="1" applyFont="1" applyFill="1" applyBorder="1" applyAlignment="1">
      <alignment horizontal="center" vertical="center"/>
    </xf>
    <xf numFmtId="1" fontId="32689" fillId="8" borderId="1" xfId="0" applyNumberFormat="1" applyFont="1" applyFill="1" applyBorder="1" applyAlignment="1">
      <alignment horizontal="center" vertical="center"/>
    </xf>
    <xf numFmtId="1" fontId="32690" fillId="8" borderId="1" xfId="0" applyNumberFormat="1" applyFont="1" applyFill="1" applyBorder="1" applyAlignment="1">
      <alignment horizontal="center" vertical="center"/>
    </xf>
    <xf numFmtId="1" fontId="32691" fillId="8" borderId="1" xfId="0" applyNumberFormat="1" applyFont="1" applyFill="1" applyBorder="1" applyAlignment="1">
      <alignment horizontal="center" vertical="center"/>
    </xf>
    <xf numFmtId="1" fontId="32692" fillId="8" borderId="1" xfId="0" applyNumberFormat="1" applyFont="1" applyFill="1" applyBorder="1" applyAlignment="1">
      <alignment horizontal="center" vertical="center"/>
    </xf>
    <xf numFmtId="1" fontId="32693" fillId="8" borderId="1" xfId="0" applyNumberFormat="1" applyFont="1" applyFill="1" applyBorder="1" applyAlignment="1">
      <alignment horizontal="center" vertical="center"/>
    </xf>
    <xf numFmtId="1" fontId="32694" fillId="8" borderId="1" xfId="0" applyNumberFormat="1" applyFont="1" applyFill="1" applyBorder="1" applyAlignment="1">
      <alignment horizontal="center" vertical="center"/>
    </xf>
    <xf numFmtId="0" fontId="32695" fillId="8" borderId="1" xfId="0" applyNumberFormat="1" applyFont="1" applyFill="1" applyBorder="1" applyAlignment="1">
      <alignment horizontal="center" vertical="center"/>
    </xf>
    <xf numFmtId="0" fontId="32696" fillId="8" borderId="1" xfId="0" applyNumberFormat="1" applyFont="1" applyFill="1" applyBorder="1" applyAlignment="1">
      <alignment horizontal="center" vertical="center"/>
    </xf>
    <xf numFmtId="1" fontId="32697" fillId="8" borderId="1" xfId="0" applyNumberFormat="1" applyFont="1" applyFill="1" applyBorder="1" applyAlignment="1">
      <alignment horizontal="center" vertical="center"/>
    </xf>
    <xf numFmtId="1" fontId="32698" fillId="8" borderId="1" xfId="0" applyNumberFormat="1" applyFont="1" applyFill="1" applyBorder="1" applyAlignment="1">
      <alignment horizontal="center" vertical="center"/>
    </xf>
    <xf numFmtId="1" fontId="32699" fillId="8" borderId="1" xfId="0" applyNumberFormat="1" applyFont="1" applyFill="1" applyBorder="1" applyAlignment="1">
      <alignment horizontal="center" vertical="center"/>
    </xf>
    <xf numFmtId="165" fontId="32700" fillId="8" borderId="1" xfId="0" applyNumberFormat="1" applyFont="1" applyFill="1" applyBorder="1" applyAlignment="1">
      <alignment horizontal="center" vertical="center"/>
    </xf>
    <xf numFmtId="1" fontId="32701" fillId="8" borderId="1" xfId="0" applyNumberFormat="1" applyFont="1" applyFill="1" applyBorder="1" applyAlignment="1">
      <alignment horizontal="center" vertical="center"/>
    </xf>
    <xf numFmtId="165" fontId="32702" fillId="8" borderId="1" xfId="0" applyNumberFormat="1" applyFont="1" applyFill="1" applyBorder="1" applyAlignment="1">
      <alignment horizontal="center" vertical="center"/>
    </xf>
    <xf numFmtId="1" fontId="32703" fillId="8" borderId="1" xfId="0" applyNumberFormat="1" applyFont="1" applyFill="1" applyBorder="1" applyAlignment="1">
      <alignment horizontal="center" vertical="center"/>
    </xf>
    <xf numFmtId="165" fontId="32704" fillId="8" borderId="1" xfId="0" applyNumberFormat="1" applyFont="1" applyFill="1" applyBorder="1" applyAlignment="1">
      <alignment horizontal="center" vertical="center"/>
    </xf>
    <xf numFmtId="1" fontId="32705" fillId="8" borderId="1" xfId="0" applyNumberFormat="1" applyFont="1" applyFill="1" applyBorder="1" applyAlignment="1">
      <alignment horizontal="center" vertical="center"/>
    </xf>
    <xf numFmtId="165" fontId="32706" fillId="8" borderId="1" xfId="0" applyNumberFormat="1" applyFont="1" applyFill="1" applyBorder="1" applyAlignment="1">
      <alignment horizontal="center" vertical="center"/>
    </xf>
    <xf numFmtId="165" fontId="32707" fillId="8" borderId="1" xfId="0" applyNumberFormat="1" applyFont="1" applyFill="1" applyBorder="1" applyAlignment="1">
      <alignment horizontal="center" vertical="center"/>
    </xf>
    <xf numFmtId="1" fontId="32708" fillId="8" borderId="1" xfId="0" applyNumberFormat="1" applyFont="1" applyFill="1" applyBorder="1" applyAlignment="1">
      <alignment horizontal="center" vertical="center"/>
    </xf>
    <xf numFmtId="1" fontId="32709" fillId="8" borderId="1" xfId="0" applyNumberFormat="1" applyFont="1" applyFill="1" applyBorder="1" applyAlignment="1">
      <alignment horizontal="center" vertical="center"/>
    </xf>
    <xf numFmtId="1" fontId="32710" fillId="8" borderId="1" xfId="0" applyNumberFormat="1" applyFont="1" applyFill="1" applyBorder="1" applyAlignment="1">
      <alignment horizontal="center" vertical="center"/>
    </xf>
    <xf numFmtId="165" fontId="32711" fillId="8" borderId="1" xfId="0" applyNumberFormat="1" applyFont="1" applyFill="1" applyBorder="1" applyAlignment="1">
      <alignment horizontal="center" vertical="center"/>
    </xf>
    <xf numFmtId="164" fontId="32712" fillId="8" borderId="1" xfId="0" applyNumberFormat="1" applyFont="1" applyFill="1" applyBorder="1" applyAlignment="1">
      <alignment horizontal="center" vertical="center"/>
    </xf>
    <xf numFmtId="164" fontId="32713" fillId="8" borderId="1" xfId="0" applyNumberFormat="1" applyFont="1" applyFill="1" applyBorder="1" applyAlignment="1">
      <alignment horizontal="center" vertical="center"/>
    </xf>
    <xf numFmtId="1" fontId="32714" fillId="8" borderId="1" xfId="0" applyNumberFormat="1" applyFont="1" applyFill="1" applyBorder="1" applyAlignment="1">
      <alignment horizontal="center" vertical="center"/>
    </xf>
    <xf numFmtId="1" fontId="32715" fillId="8" borderId="1" xfId="0" applyNumberFormat="1" applyFont="1" applyFill="1" applyBorder="1" applyAlignment="1">
      <alignment horizontal="center" vertical="center"/>
    </xf>
    <xf numFmtId="1" fontId="32716" fillId="8" borderId="1" xfId="0" applyNumberFormat="1" applyFont="1" applyFill="1" applyBorder="1" applyAlignment="1">
      <alignment horizontal="center" vertical="center"/>
    </xf>
    <xf numFmtId="165" fontId="32717" fillId="8" borderId="1" xfId="0" applyNumberFormat="1" applyFont="1" applyFill="1" applyBorder="1" applyAlignment="1">
      <alignment horizontal="center" vertical="center"/>
    </xf>
    <xf numFmtId="1" fontId="32718" fillId="8" borderId="1" xfId="0" applyNumberFormat="1" applyFont="1" applyFill="1" applyBorder="1" applyAlignment="1">
      <alignment horizontal="center" vertical="center"/>
    </xf>
    <xf numFmtId="165" fontId="32719" fillId="8" borderId="1" xfId="0" applyNumberFormat="1" applyFont="1" applyFill="1" applyBorder="1" applyAlignment="1">
      <alignment horizontal="center" vertical="center"/>
    </xf>
    <xf numFmtId="1" fontId="32720" fillId="8" borderId="1" xfId="0" applyNumberFormat="1" applyFont="1" applyFill="1" applyBorder="1" applyAlignment="1">
      <alignment horizontal="center" vertical="center"/>
    </xf>
    <xf numFmtId="1" fontId="32721" fillId="8" borderId="1" xfId="0" applyNumberFormat="1" applyFont="1" applyFill="1" applyBorder="1" applyAlignment="1">
      <alignment horizontal="center" vertical="center"/>
    </xf>
    <xf numFmtId="1" fontId="32722" fillId="8" borderId="1" xfId="0" applyNumberFormat="1" applyFont="1" applyFill="1" applyBorder="1" applyAlignment="1">
      <alignment horizontal="center" vertical="center"/>
    </xf>
    <xf numFmtId="1" fontId="32723" fillId="8" borderId="1" xfId="0" applyNumberFormat="1" applyFont="1" applyFill="1" applyBorder="1" applyAlignment="1">
      <alignment horizontal="center" vertical="center"/>
    </xf>
    <xf numFmtId="165" fontId="32724" fillId="8" borderId="1" xfId="0" applyNumberFormat="1" applyFont="1" applyFill="1" applyBorder="1" applyAlignment="1">
      <alignment horizontal="center" vertical="center"/>
    </xf>
    <xf numFmtId="1" fontId="32725" fillId="8" borderId="1" xfId="0" applyNumberFormat="1" applyFont="1" applyFill="1" applyBorder="1" applyAlignment="1">
      <alignment horizontal="center" vertical="center"/>
    </xf>
    <xf numFmtId="165" fontId="32726" fillId="8" borderId="1" xfId="0" applyNumberFormat="1" applyFont="1" applyFill="1" applyBorder="1" applyAlignment="1">
      <alignment horizontal="center" vertical="center"/>
    </xf>
    <xf numFmtId="1" fontId="32727" fillId="8" borderId="1" xfId="0" applyNumberFormat="1" applyFont="1" applyFill="1" applyBorder="1" applyAlignment="1">
      <alignment horizontal="center" vertical="center"/>
    </xf>
    <xf numFmtId="165" fontId="32728" fillId="8" borderId="1" xfId="0" applyNumberFormat="1" applyFont="1" applyFill="1" applyBorder="1" applyAlignment="1">
      <alignment horizontal="center" vertical="center"/>
    </xf>
    <xf numFmtId="2" fontId="32729" fillId="8" borderId="1" xfId="0" applyNumberFormat="1" applyFont="1" applyFill="1" applyBorder="1" applyAlignment="1">
      <alignment horizontal="center" vertical="center"/>
    </xf>
    <xf numFmtId="2" fontId="32730" fillId="8" borderId="1" xfId="0" applyNumberFormat="1" applyFont="1" applyFill="1" applyBorder="1" applyAlignment="1">
      <alignment horizontal="center" vertical="center"/>
    </xf>
    <xf numFmtId="2" fontId="32731" fillId="8" borderId="1" xfId="0" applyNumberFormat="1" applyFont="1" applyFill="1" applyBorder="1" applyAlignment="1">
      <alignment horizontal="center" vertical="center"/>
    </xf>
    <xf numFmtId="2" fontId="32732" fillId="8" borderId="1" xfId="0" applyNumberFormat="1" applyFont="1" applyFill="1" applyBorder="1" applyAlignment="1">
      <alignment horizontal="center" vertical="center"/>
    </xf>
    <xf numFmtId="2" fontId="32733" fillId="8" borderId="1" xfId="0" applyNumberFormat="1" applyFont="1" applyFill="1" applyBorder="1" applyAlignment="1">
      <alignment horizontal="center" vertical="center"/>
    </xf>
    <xf numFmtId="2" fontId="32734" fillId="8" borderId="1" xfId="0" applyNumberFormat="1" applyFont="1" applyFill="1" applyBorder="1" applyAlignment="1">
      <alignment horizontal="center" vertical="center"/>
    </xf>
    <xf numFmtId="2" fontId="32735" fillId="8" borderId="1" xfId="0" applyNumberFormat="1" applyFont="1" applyFill="1" applyBorder="1" applyAlignment="1">
      <alignment horizontal="center" vertical="center"/>
    </xf>
    <xf numFmtId="2" fontId="32736" fillId="8" borderId="1" xfId="0" applyNumberFormat="1" applyFont="1" applyFill="1" applyBorder="1" applyAlignment="1">
      <alignment horizontal="center" vertical="center"/>
    </xf>
    <xf numFmtId="2" fontId="32737" fillId="8" borderId="1" xfId="0" applyNumberFormat="1" applyFont="1" applyFill="1" applyBorder="1" applyAlignment="1">
      <alignment horizontal="center" vertical="center"/>
    </xf>
    <xf numFmtId="2" fontId="32738" fillId="8" borderId="1" xfId="0" applyNumberFormat="1" applyFont="1" applyFill="1" applyBorder="1" applyAlignment="1">
      <alignment horizontal="center" vertical="center"/>
    </xf>
    <xf numFmtId="2" fontId="32739" fillId="8" borderId="1" xfId="0" applyNumberFormat="1" applyFont="1" applyFill="1" applyBorder="1" applyAlignment="1">
      <alignment horizontal="center" vertical="center"/>
    </xf>
    <xf numFmtId="2" fontId="32740" fillId="8" borderId="1" xfId="0" applyNumberFormat="1" applyFont="1" applyFill="1" applyBorder="1" applyAlignment="1">
      <alignment horizontal="center" vertical="center"/>
    </xf>
    <xf numFmtId="2" fontId="32741" fillId="8" borderId="1" xfId="0" applyNumberFormat="1" applyFont="1" applyFill="1" applyBorder="1" applyAlignment="1">
      <alignment horizontal="center" vertical="center"/>
    </xf>
    <xf numFmtId="2" fontId="32742" fillId="8" borderId="1" xfId="0" applyNumberFormat="1" applyFont="1" applyFill="1" applyBorder="1" applyAlignment="1">
      <alignment horizontal="center" vertical="center"/>
    </xf>
    <xf numFmtId="2" fontId="32743" fillId="8" borderId="1" xfId="0" applyNumberFormat="1" applyFont="1" applyFill="1" applyBorder="1" applyAlignment="1">
      <alignment horizontal="center" vertical="center"/>
    </xf>
    <xf numFmtId="2" fontId="32744" fillId="8" borderId="1" xfId="0" applyNumberFormat="1" applyFont="1" applyFill="1" applyBorder="1" applyAlignment="1">
      <alignment horizontal="center" vertical="center"/>
    </xf>
    <xf numFmtId="2" fontId="32745" fillId="8" borderId="1" xfId="0" applyNumberFormat="1" applyFont="1" applyFill="1" applyBorder="1" applyAlignment="1">
      <alignment horizontal="center" vertical="center"/>
    </xf>
    <xf numFmtId="2" fontId="32746" fillId="8" borderId="1" xfId="0" applyNumberFormat="1" applyFont="1" applyFill="1" applyBorder="1" applyAlignment="1">
      <alignment horizontal="center" vertical="center"/>
    </xf>
    <xf numFmtId="2" fontId="32747" fillId="8" borderId="1" xfId="0" applyNumberFormat="1" applyFont="1" applyFill="1" applyBorder="1" applyAlignment="1">
      <alignment horizontal="center" vertical="center"/>
    </xf>
    <xf numFmtId="2" fontId="32748" fillId="8" borderId="1" xfId="0" applyNumberFormat="1" applyFont="1" applyFill="1" applyBorder="1" applyAlignment="1">
      <alignment horizontal="center" vertical="center"/>
    </xf>
    <xf numFmtId="2" fontId="32749" fillId="8" borderId="1" xfId="0" applyNumberFormat="1" applyFont="1" applyFill="1" applyBorder="1" applyAlignment="1">
      <alignment horizontal="center" vertical="center"/>
    </xf>
    <xf numFmtId="2" fontId="32750" fillId="8" borderId="1" xfId="0" applyNumberFormat="1" applyFont="1" applyFill="1" applyBorder="1" applyAlignment="1">
      <alignment horizontal="center" vertical="center"/>
    </xf>
    <xf numFmtId="2" fontId="32751" fillId="8" borderId="1" xfId="0" applyNumberFormat="1" applyFont="1" applyFill="1" applyBorder="1" applyAlignment="1">
      <alignment horizontal="center" vertical="center"/>
    </xf>
    <xf numFmtId="2" fontId="32752" fillId="8" borderId="1" xfId="0" applyNumberFormat="1" applyFont="1" applyFill="1" applyBorder="1" applyAlignment="1">
      <alignment horizontal="center" vertical="center"/>
    </xf>
    <xf numFmtId="2" fontId="32753" fillId="8" borderId="1" xfId="0" applyNumberFormat="1" applyFont="1" applyFill="1" applyBorder="1" applyAlignment="1">
      <alignment horizontal="center" vertical="center"/>
    </xf>
    <xf numFmtId="2" fontId="32754" fillId="8" borderId="1" xfId="0" applyNumberFormat="1" applyFont="1" applyFill="1" applyBorder="1" applyAlignment="1">
      <alignment horizontal="center" vertical="center"/>
    </xf>
    <xf numFmtId="2" fontId="32755" fillId="8" borderId="1" xfId="0" applyNumberFormat="1" applyFont="1" applyFill="1" applyBorder="1" applyAlignment="1">
      <alignment horizontal="center" vertical="center"/>
    </xf>
    <xf numFmtId="2" fontId="32756" fillId="8" borderId="1" xfId="0" applyNumberFormat="1" applyFont="1" applyFill="1" applyBorder="1" applyAlignment="1">
      <alignment horizontal="center" vertical="center"/>
    </xf>
    <xf numFmtId="2" fontId="32757" fillId="8" borderId="1" xfId="0" applyNumberFormat="1" applyFont="1" applyFill="1" applyBorder="1" applyAlignment="1">
      <alignment horizontal="center" vertical="center"/>
    </xf>
    <xf numFmtId="2" fontId="32758" fillId="8" borderId="1" xfId="0" applyNumberFormat="1" applyFont="1" applyFill="1" applyBorder="1" applyAlignment="1">
      <alignment horizontal="center" vertical="center"/>
    </xf>
    <xf numFmtId="2" fontId="32759" fillId="8" borderId="1" xfId="0" applyNumberFormat="1" applyFont="1" applyFill="1" applyBorder="1" applyAlignment="1">
      <alignment horizontal="center" vertical="center"/>
    </xf>
    <xf numFmtId="2" fontId="32760" fillId="8" borderId="1" xfId="0" applyNumberFormat="1" applyFont="1" applyFill="1" applyBorder="1" applyAlignment="1">
      <alignment horizontal="center" vertical="center"/>
    </xf>
    <xf numFmtId="2" fontId="32761" fillId="8" borderId="1" xfId="0" applyNumberFormat="1" applyFont="1" applyFill="1" applyBorder="1" applyAlignment="1">
      <alignment horizontal="center" vertical="center"/>
    </xf>
    <xf numFmtId="2" fontId="32762" fillId="8" borderId="1" xfId="0" applyNumberFormat="1" applyFont="1" applyFill="1" applyBorder="1" applyAlignment="1">
      <alignment horizontal="center" vertical="center"/>
    </xf>
    <xf numFmtId="0" fontId="32763" fillId="7" borderId="1" xfId="0" applyNumberFormat="1" applyFont="1" applyFill="1" applyBorder="1" applyAlignment="1">
      <alignment horizontal="left" vertical="center"/>
    </xf>
    <xf numFmtId="0" fontId="32764" fillId="8" borderId="1" xfId="0" applyNumberFormat="1" applyFont="1" applyFill="1" applyBorder="1" applyAlignment="1">
      <alignment horizontal="center" vertical="center"/>
    </xf>
    <xf numFmtId="164" fontId="32765" fillId="8" borderId="1" xfId="0" applyNumberFormat="1" applyFont="1" applyFill="1" applyBorder="1" applyAlignment="1">
      <alignment horizontal="center" vertical="center"/>
    </xf>
    <xf numFmtId="1" fontId="32766" fillId="8" borderId="1" xfId="0" applyNumberFormat="1" applyFont="1" applyFill="1" applyBorder="1" applyAlignment="1">
      <alignment horizontal="center" vertical="center"/>
    </xf>
    <xf numFmtId="1" fontId="32767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Z68"/>
  <sheetViews>
    <sheetView workbookViewId="0">
      <pane xSplit="3" ySplit="1" topLeftCell="BM2" activePane="bottomRight" state="frozen"/>
      <selection pane="topRight"/>
      <selection pane="bottomLeft"/>
      <selection pane="bottomRight" activeCell="BZ33" sqref="BZ33"/>
    </sheetView>
  </sheetViews>
  <sheetFormatPr defaultRowHeight="14.4" outlineLevelCol="1" x14ac:dyDescent="0.3"/>
  <cols>
    <col min="1" max="1" width="14.109375" customWidth="1"/>
    <col min="4" max="46" width="0" hidden="1" customWidth="1" outlineLevel="1" collapsed="1"/>
    <col min="47" max="47" width="8.88671875" collapsed="1"/>
  </cols>
  <sheetData>
    <row r="1" spans="1:78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  <c r="BB1" s="54" t="s">
        <v>53</v>
      </c>
      <c r="BC1" s="55" t="s">
        <v>54</v>
      </c>
      <c r="BD1" s="56" t="s">
        <v>55</v>
      </c>
      <c r="BE1" s="57" t="s">
        <v>56</v>
      </c>
      <c r="BF1" s="58" t="s">
        <v>57</v>
      </c>
      <c r="BG1" s="59" t="s">
        <v>58</v>
      </c>
      <c r="BH1" s="60" t="s">
        <v>59</v>
      </c>
      <c r="BI1" s="61" t="s">
        <v>60</v>
      </c>
      <c r="BJ1" s="62" t="s">
        <v>61</v>
      </c>
      <c r="BK1" s="63" t="s">
        <v>62</v>
      </c>
      <c r="BL1" s="64" t="s">
        <v>63</v>
      </c>
      <c r="BM1" s="65" t="s">
        <v>64</v>
      </c>
      <c r="BN1" s="66" t="s">
        <v>65</v>
      </c>
      <c r="BO1" s="67" t="s">
        <v>66</v>
      </c>
      <c r="BP1" s="68" t="s">
        <v>67</v>
      </c>
      <c r="BQ1" s="69" t="s">
        <v>68</v>
      </c>
      <c r="BR1" s="70" t="s">
        <v>69</v>
      </c>
      <c r="BS1" s="71" t="s">
        <v>70</v>
      </c>
      <c r="BT1" s="72" t="s">
        <v>71</v>
      </c>
      <c r="BU1" s="73" t="s">
        <v>72</v>
      </c>
      <c r="BV1" s="74" t="s">
        <v>73</v>
      </c>
      <c r="BW1" s="75" t="s">
        <v>74</v>
      </c>
      <c r="BX1" s="76" t="s">
        <v>75</v>
      </c>
      <c r="BY1" s="77" t="s">
        <v>76</v>
      </c>
      <c r="BZ1" s="78" t="s">
        <v>77</v>
      </c>
    </row>
    <row r="2" spans="1:78" hidden="1" x14ac:dyDescent="0.3">
      <c r="A2" s="79" t="s">
        <v>78</v>
      </c>
      <c r="B2" s="80" t="s">
        <v>79</v>
      </c>
      <c r="C2" s="81">
        <v>4.5</v>
      </c>
      <c r="D2" s="82">
        <v>386</v>
      </c>
      <c r="E2" s="83">
        <v>11</v>
      </c>
      <c r="F2" s="84">
        <v>21</v>
      </c>
      <c r="G2" s="85">
        <v>1</v>
      </c>
      <c r="H2" s="86">
        <v>1</v>
      </c>
      <c r="I2" s="87">
        <v>69</v>
      </c>
      <c r="J2" s="88">
        <v>36</v>
      </c>
      <c r="K2" s="89">
        <v>0</v>
      </c>
      <c r="L2" s="90">
        <v>1</v>
      </c>
      <c r="M2" s="91">
        <v>24</v>
      </c>
      <c r="N2" s="92">
        <v>7</v>
      </c>
      <c r="O2" s="93">
        <v>6</v>
      </c>
      <c r="P2" s="94">
        <v>0.8571428571428571</v>
      </c>
      <c r="Q2" s="95">
        <v>1</v>
      </c>
      <c r="R2" s="96">
        <v>0.14285714285714285</v>
      </c>
      <c r="S2" s="97">
        <v>1</v>
      </c>
      <c r="T2" s="98">
        <v>0.14285714285714285</v>
      </c>
      <c r="U2" s="99">
        <v>3</v>
      </c>
      <c r="V2" s="100">
        <v>0.42857142857142855</v>
      </c>
      <c r="W2" s="101">
        <v>0.14285714285714285</v>
      </c>
      <c r="X2" s="102">
        <v>0</v>
      </c>
      <c r="Y2" s="103">
        <v>1</v>
      </c>
      <c r="Z2" s="104">
        <v>1</v>
      </c>
      <c r="AA2" s="105">
        <v>0</v>
      </c>
      <c r="AB2" s="106">
        <v>22.7</v>
      </c>
      <c r="AC2" s="107">
        <v>50</v>
      </c>
      <c r="AD2" s="108">
        <v>0</v>
      </c>
      <c r="AE2" s="109">
        <v>2</v>
      </c>
      <c r="AF2" s="110">
        <v>1</v>
      </c>
      <c r="AG2" s="111">
        <v>0.5</v>
      </c>
      <c r="AH2" s="112">
        <v>1</v>
      </c>
      <c r="AI2" s="113">
        <v>1</v>
      </c>
      <c r="AJ2" s="114">
        <v>0</v>
      </c>
      <c r="AK2" s="115">
        <v>0</v>
      </c>
      <c r="AL2" s="116">
        <v>2</v>
      </c>
      <c r="AM2" s="117">
        <v>1</v>
      </c>
      <c r="AN2" s="118">
        <v>0.5</v>
      </c>
      <c r="AO2" s="119">
        <v>1</v>
      </c>
      <c r="AP2" s="120">
        <v>1</v>
      </c>
      <c r="AQ2" s="121">
        <v>1</v>
      </c>
      <c r="AR2" s="122">
        <v>1</v>
      </c>
      <c r="AS2" s="123">
        <v>0.76</v>
      </c>
      <c r="AT2" s="124">
        <v>0.13</v>
      </c>
      <c r="AU2" s="125">
        <v>4.8963730569948183</v>
      </c>
      <c r="AV2" s="126">
        <v>1.9090909090909092</v>
      </c>
      <c r="AW2" s="127">
        <v>0.23316062176165803</v>
      </c>
      <c r="AX2" s="128">
        <v>0.23316062176165803</v>
      </c>
      <c r="AY2" s="129">
        <v>16.088082901554404</v>
      </c>
      <c r="AZ2" s="130">
        <v>8.3937823834196887</v>
      </c>
      <c r="BA2" s="131">
        <v>5.5958549222797931</v>
      </c>
      <c r="BB2" s="132">
        <v>1.632124352331606</v>
      </c>
      <c r="BC2" s="133">
        <v>1.3989637305699483</v>
      </c>
      <c r="BD2" s="134">
        <v>0.23316062176165803</v>
      </c>
      <c r="BE2" s="135">
        <v>0.23316062176165803</v>
      </c>
      <c r="BF2" s="136">
        <v>0.69948186528497414</v>
      </c>
      <c r="BG2" s="137">
        <v>0</v>
      </c>
      <c r="BH2" s="138">
        <v>0.23316062176165803</v>
      </c>
      <c r="BI2" s="139">
        <v>0</v>
      </c>
      <c r="BJ2" s="140">
        <v>0.23316062176165803</v>
      </c>
      <c r="BK2" s="141">
        <v>0.46632124352331605</v>
      </c>
      <c r="BL2" s="142">
        <v>0.23316062176165803</v>
      </c>
      <c r="BM2" s="143">
        <v>0.23316062176165803</v>
      </c>
      <c r="BN2" s="144">
        <v>0.23316062176165803</v>
      </c>
      <c r="BO2" s="145">
        <v>0.23316062176165803</v>
      </c>
      <c r="BP2" s="146">
        <v>5.2927461139896366</v>
      </c>
      <c r="BQ2" s="147">
        <v>0.23665803108808287</v>
      </c>
      <c r="BR2" s="148">
        <v>2.4015544041450777E-2</v>
      </c>
      <c r="BS2" s="149">
        <v>1.0186787564766837</v>
      </c>
      <c r="BT2" s="150">
        <v>1.0186787564766837</v>
      </c>
      <c r="BU2" s="151">
        <v>0.17720207253886011</v>
      </c>
      <c r="BV2" s="152">
        <v>3.0310880829015542E-2</v>
      </c>
      <c r="BW2" s="153">
        <v>0.79974093264248713</v>
      </c>
      <c r="BX2" s="154">
        <v>0.17052085697650909</v>
      </c>
      <c r="BY2" s="155">
        <v>2.285124734044075E-2</v>
      </c>
      <c r="BZ2" s="156">
        <v>0.75063716992735863</v>
      </c>
    </row>
    <row r="3" spans="1:78" hidden="1" x14ac:dyDescent="0.3">
      <c r="A3" s="157" t="s">
        <v>80</v>
      </c>
      <c r="B3" s="158" t="s">
        <v>81</v>
      </c>
      <c r="C3" s="159">
        <v>5.6999998092651367</v>
      </c>
      <c r="D3" s="160">
        <v>316</v>
      </c>
      <c r="E3" s="161">
        <v>6</v>
      </c>
      <c r="F3" s="162">
        <v>31</v>
      </c>
      <c r="G3" s="163">
        <v>3</v>
      </c>
      <c r="H3" s="164">
        <v>5</v>
      </c>
      <c r="I3" s="165">
        <v>111</v>
      </c>
      <c r="J3" s="166">
        <v>21</v>
      </c>
      <c r="K3" s="167">
        <v>0</v>
      </c>
      <c r="L3" s="168">
        <v>1</v>
      </c>
      <c r="M3" s="169">
        <v>30</v>
      </c>
      <c r="N3" s="170">
        <v>13</v>
      </c>
      <c r="O3" s="171">
        <v>11</v>
      </c>
      <c r="P3" s="172">
        <v>0.84615384615384615</v>
      </c>
      <c r="Q3" s="173">
        <v>2</v>
      </c>
      <c r="R3" s="174">
        <v>0.15384615384615385</v>
      </c>
      <c r="S3" s="175">
        <v>3</v>
      </c>
      <c r="T3" s="176">
        <v>0.23076923076923078</v>
      </c>
      <c r="U3" s="177">
        <v>8</v>
      </c>
      <c r="V3" s="178">
        <v>0.61538461538461542</v>
      </c>
      <c r="W3" s="179">
        <v>0.23076923076923078</v>
      </c>
      <c r="X3" s="180">
        <v>2</v>
      </c>
      <c r="Y3" s="181">
        <v>2</v>
      </c>
      <c r="Z3" s="182">
        <v>7</v>
      </c>
      <c r="AA3" s="183">
        <v>0.2857142857142857</v>
      </c>
      <c r="AB3" s="184">
        <v>49.8</v>
      </c>
      <c r="AC3" s="185">
        <v>50</v>
      </c>
      <c r="AD3" s="186">
        <v>2</v>
      </c>
      <c r="AE3" s="187">
        <v>4</v>
      </c>
      <c r="AF3" s="188">
        <v>2</v>
      </c>
      <c r="AG3" s="189">
        <v>0.5</v>
      </c>
      <c r="AH3" s="190">
        <v>2</v>
      </c>
      <c r="AI3" s="191">
        <v>0.66666666666666663</v>
      </c>
      <c r="AJ3" s="192">
        <v>0</v>
      </c>
      <c r="AK3" s="193">
        <v>0</v>
      </c>
      <c r="AL3" s="194">
        <v>4</v>
      </c>
      <c r="AM3" s="195">
        <v>2</v>
      </c>
      <c r="AN3" s="196">
        <v>0.5</v>
      </c>
      <c r="AO3" s="197">
        <v>3</v>
      </c>
      <c r="AP3" s="198">
        <v>1</v>
      </c>
      <c r="AQ3" s="199">
        <v>2</v>
      </c>
      <c r="AR3" s="200">
        <v>0.66666666666666663</v>
      </c>
      <c r="AS3" s="201">
        <v>2.39</v>
      </c>
      <c r="AT3" s="202">
        <v>0.65</v>
      </c>
      <c r="AU3" s="203">
        <v>8.8291139240506329</v>
      </c>
      <c r="AV3" s="204">
        <v>5.166666666666667</v>
      </c>
      <c r="AW3" s="205">
        <v>0.85443037974683544</v>
      </c>
      <c r="AX3" s="206">
        <v>1.4240506329113924</v>
      </c>
      <c r="AY3" s="207">
        <v>31.61392405063291</v>
      </c>
      <c r="AZ3" s="208">
        <v>5.9810126582278471</v>
      </c>
      <c r="BA3" s="209">
        <v>8.5443037974683556</v>
      </c>
      <c r="BB3" s="210">
        <v>3.70253164556962</v>
      </c>
      <c r="BC3" s="211">
        <v>3.1329113924050631</v>
      </c>
      <c r="BD3" s="212">
        <v>0.569620253164557</v>
      </c>
      <c r="BE3" s="213">
        <v>0.85443037974683544</v>
      </c>
      <c r="BF3" s="214">
        <v>2.278481012658228</v>
      </c>
      <c r="BG3" s="215">
        <v>0.569620253164557</v>
      </c>
      <c r="BH3" s="216">
        <v>0.569620253164557</v>
      </c>
      <c r="BI3" s="217">
        <v>0.569620253164557</v>
      </c>
      <c r="BJ3" s="218">
        <v>1.9936708860759493</v>
      </c>
      <c r="BK3" s="219">
        <v>1.139240506329114</v>
      </c>
      <c r="BL3" s="220">
        <v>0.569620253164557</v>
      </c>
      <c r="BM3" s="221">
        <v>0.569620253164557</v>
      </c>
      <c r="BN3" s="222">
        <v>0.85443037974683544</v>
      </c>
      <c r="BO3" s="223">
        <v>0.569620253164557</v>
      </c>
      <c r="BP3" s="224">
        <v>14.183544303797467</v>
      </c>
      <c r="BQ3" s="225">
        <v>0.53202531645569628</v>
      </c>
      <c r="BR3" s="226">
        <v>0.20534810126582276</v>
      </c>
      <c r="BS3" s="227">
        <v>2.7441455696202537</v>
      </c>
      <c r="BT3" s="228">
        <v>2.7441455696202537</v>
      </c>
      <c r="BU3" s="229">
        <v>0.68069620253164564</v>
      </c>
      <c r="BV3" s="230">
        <v>0.18512658227848103</v>
      </c>
      <c r="BW3" s="231">
        <v>3.2781645569620257</v>
      </c>
      <c r="BX3" s="232">
        <v>0.59446448087692261</v>
      </c>
      <c r="BY3" s="233">
        <v>0.52663695812225342</v>
      </c>
      <c r="BZ3" s="234">
        <v>3.9577687978744507</v>
      </c>
    </row>
    <row r="4" spans="1:78" hidden="1" x14ac:dyDescent="0.3">
      <c r="A4" s="2731" t="s">
        <v>129</v>
      </c>
      <c r="B4" s="2732" t="s">
        <v>105</v>
      </c>
      <c r="C4" s="2733">
        <v>11.800000190734863</v>
      </c>
      <c r="D4" s="2734">
        <v>998</v>
      </c>
      <c r="E4" s="2735">
        <v>16</v>
      </c>
      <c r="F4" s="2736">
        <v>102</v>
      </c>
      <c r="G4" s="2737">
        <v>13</v>
      </c>
      <c r="H4" s="2738">
        <v>11</v>
      </c>
      <c r="I4" s="2739">
        <v>415</v>
      </c>
      <c r="J4" s="2740">
        <v>67</v>
      </c>
      <c r="K4" s="2741">
        <v>0</v>
      </c>
      <c r="L4" s="2742">
        <v>3</v>
      </c>
      <c r="M4" s="2743">
        <v>99</v>
      </c>
      <c r="N4" s="2744">
        <v>51</v>
      </c>
      <c r="O4" s="2745">
        <v>44</v>
      </c>
      <c r="P4" s="2746">
        <v>0.86274509803921573</v>
      </c>
      <c r="Q4" s="2747">
        <v>5</v>
      </c>
      <c r="R4" s="2748">
        <v>9.8039215686274508E-2</v>
      </c>
      <c r="S4" s="2749">
        <v>6</v>
      </c>
      <c r="T4" s="2750">
        <v>0.11764705882352941</v>
      </c>
      <c r="U4" s="2751">
        <v>18</v>
      </c>
      <c r="V4" s="2752">
        <v>0.35294117647058826</v>
      </c>
      <c r="W4" s="2753">
        <v>0.25490196078431371</v>
      </c>
      <c r="X4" s="2754">
        <v>3</v>
      </c>
      <c r="Y4" s="2755">
        <v>4</v>
      </c>
      <c r="Z4" s="2756">
        <v>14</v>
      </c>
      <c r="AA4" s="2757">
        <v>0.21428571428571427</v>
      </c>
      <c r="AB4" s="2758">
        <v>142.6</v>
      </c>
      <c r="AC4" s="2759">
        <v>49</v>
      </c>
      <c r="AD4" s="2760">
        <v>3</v>
      </c>
      <c r="AE4" s="2761">
        <v>17</v>
      </c>
      <c r="AF4" s="2762">
        <v>7</v>
      </c>
      <c r="AG4" s="2763">
        <v>0.58823529411764708</v>
      </c>
      <c r="AH4" s="2764">
        <v>10</v>
      </c>
      <c r="AI4" s="2765">
        <v>0.76923076923076927</v>
      </c>
      <c r="AJ4" s="2766">
        <v>2</v>
      </c>
      <c r="AK4" s="2767">
        <v>0</v>
      </c>
      <c r="AL4" s="2768">
        <v>15</v>
      </c>
      <c r="AM4" s="2769">
        <v>7</v>
      </c>
      <c r="AN4" s="2770">
        <v>0.46666666666666667</v>
      </c>
      <c r="AO4" s="2771">
        <v>11</v>
      </c>
      <c r="AP4" s="2772">
        <v>0.84615384615384615</v>
      </c>
      <c r="AQ4" s="2773">
        <v>11</v>
      </c>
      <c r="AR4" s="2774">
        <v>0.84615384615384615</v>
      </c>
      <c r="AS4" s="2775">
        <v>9.24</v>
      </c>
      <c r="AT4" s="2776">
        <v>1.97</v>
      </c>
      <c r="AU4" s="2777">
        <v>9.1983967935871753</v>
      </c>
      <c r="AV4" s="2778">
        <v>6.375</v>
      </c>
      <c r="AW4" s="2779">
        <v>1.1723446893787575</v>
      </c>
      <c r="AX4" s="2780">
        <v>0.99198396793587185</v>
      </c>
      <c r="AY4" s="2781">
        <v>37.424849699398798</v>
      </c>
      <c r="AZ4" s="2782">
        <v>6.0420841683366735</v>
      </c>
      <c r="BA4" s="2783">
        <v>8.9278557114228452</v>
      </c>
      <c r="BB4" s="2784">
        <v>4.5991983967935877</v>
      </c>
      <c r="BC4" s="2785">
        <v>3.9679358717434874</v>
      </c>
      <c r="BD4" s="2786">
        <v>0.45090180360721444</v>
      </c>
      <c r="BE4" s="2787">
        <v>0.5410821643286573</v>
      </c>
      <c r="BF4" s="2788">
        <v>1.623246492985972</v>
      </c>
      <c r="BG4" s="2789">
        <v>0.27054108216432865</v>
      </c>
      <c r="BH4" s="2790">
        <v>0.36072144288577151</v>
      </c>
      <c r="BI4" s="2791">
        <v>0.27054108216432865</v>
      </c>
      <c r="BJ4" s="2792">
        <v>1.2625250501002003</v>
      </c>
      <c r="BK4" s="2793">
        <v>1.5330661322645289</v>
      </c>
      <c r="BL4" s="2794">
        <v>0.63126252505010017</v>
      </c>
      <c r="BM4" s="2795">
        <v>0.90180360721442887</v>
      </c>
      <c r="BN4" s="2796">
        <v>0.99198396793587185</v>
      </c>
      <c r="BO4" s="2797">
        <v>0.99198396793587185</v>
      </c>
      <c r="BP4" s="2798">
        <v>12.859719438877754</v>
      </c>
      <c r="BQ4" s="2799">
        <v>0.77600200400801611</v>
      </c>
      <c r="BR4" s="2800">
        <v>0.13004008016032062</v>
      </c>
      <c r="BS4" s="2801">
        <v>3.4941282565130263</v>
      </c>
      <c r="BT4" s="2802">
        <v>2.9530460921843691</v>
      </c>
      <c r="BU4" s="2803">
        <v>0.8332665330661323</v>
      </c>
      <c r="BV4" s="2804">
        <v>0.17765531062124248</v>
      </c>
      <c r="BW4" s="2805">
        <v>3.8660320641282566</v>
      </c>
      <c r="BX4" s="2806">
        <v>0.91645818948745728</v>
      </c>
      <c r="BY4" s="2807">
        <v>0.21030819416046143</v>
      </c>
      <c r="BZ4" s="2808">
        <v>4.2967573404312134</v>
      </c>
    </row>
    <row r="5" spans="1:78" hidden="1" x14ac:dyDescent="0.3">
      <c r="A5" s="1249" t="s">
        <v>104</v>
      </c>
      <c r="B5" s="1250" t="s">
        <v>105</v>
      </c>
      <c r="C5" s="1251">
        <v>9.5</v>
      </c>
      <c r="D5" s="1252">
        <v>1090</v>
      </c>
      <c r="E5" s="1253">
        <v>18</v>
      </c>
      <c r="F5" s="1254">
        <v>84</v>
      </c>
      <c r="G5" s="1255">
        <v>9</v>
      </c>
      <c r="H5" s="1256">
        <v>8</v>
      </c>
      <c r="I5" s="1257">
        <v>304</v>
      </c>
      <c r="J5" s="1258">
        <v>52</v>
      </c>
      <c r="K5" s="1259">
        <v>0</v>
      </c>
      <c r="L5" s="1260">
        <v>4</v>
      </c>
      <c r="M5" s="1261">
        <v>110</v>
      </c>
      <c r="N5" s="1262">
        <v>57</v>
      </c>
      <c r="O5" s="1263">
        <v>53</v>
      </c>
      <c r="P5" s="1264">
        <v>0.92982456140350878</v>
      </c>
      <c r="Q5" s="1265">
        <v>10</v>
      </c>
      <c r="R5" s="1266">
        <v>0.17543859649122806</v>
      </c>
      <c r="S5" s="1267">
        <v>17</v>
      </c>
      <c r="T5" s="1268">
        <v>0.2982456140350877</v>
      </c>
      <c r="U5" s="1269">
        <v>26</v>
      </c>
      <c r="V5" s="1270">
        <v>0.45614035087719296</v>
      </c>
      <c r="W5" s="1271">
        <v>0.15789473684210525</v>
      </c>
      <c r="X5" s="1272">
        <v>3</v>
      </c>
      <c r="Y5" s="1273">
        <v>4</v>
      </c>
      <c r="Z5" s="1274">
        <v>12</v>
      </c>
      <c r="AA5" s="1275">
        <v>0.25</v>
      </c>
      <c r="AB5" s="1276">
        <v>152.5</v>
      </c>
      <c r="AC5" s="1277">
        <v>39</v>
      </c>
      <c r="AD5" s="1278">
        <v>1</v>
      </c>
      <c r="AE5" s="1279">
        <v>20</v>
      </c>
      <c r="AF5" s="1280">
        <v>14</v>
      </c>
      <c r="AG5" s="1281">
        <v>0.3</v>
      </c>
      <c r="AH5" s="1282">
        <v>6</v>
      </c>
      <c r="AI5" s="1283">
        <v>0.66666666666666663</v>
      </c>
      <c r="AJ5" s="1284">
        <v>0</v>
      </c>
      <c r="AK5" s="1285">
        <v>0</v>
      </c>
      <c r="AL5" s="1286">
        <v>20</v>
      </c>
      <c r="AM5" s="1287">
        <v>14</v>
      </c>
      <c r="AN5" s="1288">
        <v>0.7</v>
      </c>
      <c r="AO5" s="1289">
        <v>9</v>
      </c>
      <c r="AP5" s="1290">
        <v>1</v>
      </c>
      <c r="AQ5" s="1291">
        <v>9</v>
      </c>
      <c r="AR5" s="1292">
        <v>1</v>
      </c>
      <c r="AS5" s="1293">
        <v>10.25</v>
      </c>
      <c r="AT5" s="1294">
        <v>0.82</v>
      </c>
      <c r="AU5" s="1295">
        <v>6.9357798165137616</v>
      </c>
      <c r="AV5" s="1296">
        <v>4.666666666666667</v>
      </c>
      <c r="AW5" s="1297">
        <v>0.74311926605504586</v>
      </c>
      <c r="AX5" s="1298">
        <v>0.66055045871559637</v>
      </c>
      <c r="AY5" s="1299">
        <v>25.100917431192663</v>
      </c>
      <c r="AZ5" s="1300">
        <v>4.2935779816513762</v>
      </c>
      <c r="BA5" s="1301">
        <v>9.0825688073394506</v>
      </c>
      <c r="BB5" s="1302">
        <v>4.7064220183486238</v>
      </c>
      <c r="BC5" s="1303">
        <v>4.3761467889908259</v>
      </c>
      <c r="BD5" s="1304">
        <v>0.82568807339449546</v>
      </c>
      <c r="BE5" s="1305">
        <v>1.4036697247706422</v>
      </c>
      <c r="BF5" s="1306">
        <v>2.1467889908256881</v>
      </c>
      <c r="BG5" s="1307">
        <v>0.24770642201834864</v>
      </c>
      <c r="BH5" s="1308">
        <v>0.33027522935779818</v>
      </c>
      <c r="BI5" s="1309">
        <v>8.2568807339449546E-2</v>
      </c>
      <c r="BJ5" s="1310">
        <v>0.99082568807339455</v>
      </c>
      <c r="BK5" s="1311">
        <v>1.6513761467889909</v>
      </c>
      <c r="BL5" s="1312">
        <v>1.1559633027522938</v>
      </c>
      <c r="BM5" s="1313">
        <v>0.49541284403669728</v>
      </c>
      <c r="BN5" s="1314">
        <v>0.74311926605504586</v>
      </c>
      <c r="BO5" s="1315">
        <v>0.74311926605504586</v>
      </c>
      <c r="BP5" s="1316">
        <v>12.591743119266054</v>
      </c>
      <c r="BQ5" s="1317">
        <v>0.72313761467889914</v>
      </c>
      <c r="BR5" s="1318">
        <v>0.10205504587155963</v>
      </c>
      <c r="BS5" s="1319">
        <v>3.1987155963302754</v>
      </c>
      <c r="BT5" s="1320">
        <v>3.1987155963302754</v>
      </c>
      <c r="BU5" s="1321">
        <v>0.84633027522935789</v>
      </c>
      <c r="BV5" s="1322">
        <v>6.770642201834863E-2</v>
      </c>
      <c r="BW5" s="1323">
        <v>3.5884403669724776</v>
      </c>
      <c r="BX5" s="1324">
        <v>0.95841705799102783</v>
      </c>
      <c r="BY5" s="1325">
        <v>9.7695976495742798E-2</v>
      </c>
      <c r="BZ5" s="1326">
        <v>4.1267561614513397</v>
      </c>
    </row>
    <row r="6" spans="1:78" hidden="1" x14ac:dyDescent="0.3">
      <c r="A6" s="5071" t="s">
        <v>162</v>
      </c>
      <c r="B6" s="5072" t="s">
        <v>151</v>
      </c>
      <c r="C6" s="5073">
        <v>9.1999998092651367</v>
      </c>
      <c r="D6" s="5074">
        <v>1881</v>
      </c>
      <c r="E6" s="5075">
        <v>22</v>
      </c>
      <c r="F6" s="5076">
        <v>134</v>
      </c>
      <c r="G6" s="5077">
        <v>14</v>
      </c>
      <c r="H6" s="5078">
        <v>26</v>
      </c>
      <c r="I6" s="5079">
        <v>494</v>
      </c>
      <c r="J6" s="5080">
        <v>125</v>
      </c>
      <c r="K6" s="5081">
        <v>0</v>
      </c>
      <c r="L6" s="5082">
        <v>4</v>
      </c>
      <c r="M6" s="5083">
        <v>120</v>
      </c>
      <c r="N6" s="5084">
        <v>74</v>
      </c>
      <c r="O6" s="5085">
        <v>42</v>
      </c>
      <c r="P6" s="5086">
        <v>0.56756756756756754</v>
      </c>
      <c r="Q6" s="5087">
        <v>6</v>
      </c>
      <c r="R6" s="5088">
        <v>8.1081081081081086E-2</v>
      </c>
      <c r="S6" s="5089">
        <v>5</v>
      </c>
      <c r="T6" s="5090">
        <v>6.7567567567567571E-2</v>
      </c>
      <c r="U6" s="5091">
        <v>34</v>
      </c>
      <c r="V6" s="5092">
        <v>0.45945945945945948</v>
      </c>
      <c r="W6" s="5093">
        <v>0.1891891891891892</v>
      </c>
      <c r="X6" s="5094">
        <v>4</v>
      </c>
      <c r="Y6" s="5095">
        <v>5</v>
      </c>
      <c r="Z6" s="5096">
        <v>24</v>
      </c>
      <c r="AA6" s="5097">
        <v>0.16666666666666666</v>
      </c>
      <c r="AB6" s="5098">
        <v>202.2</v>
      </c>
      <c r="AC6" s="5099">
        <v>54</v>
      </c>
      <c r="AD6" s="5100">
        <v>4</v>
      </c>
      <c r="AE6" s="5101">
        <v>22</v>
      </c>
      <c r="AF6" s="5102">
        <v>9</v>
      </c>
      <c r="AG6" s="5103">
        <v>0.59090909090909094</v>
      </c>
      <c r="AH6" s="5104">
        <v>13</v>
      </c>
      <c r="AI6" s="5105">
        <v>0.9285714285714286</v>
      </c>
      <c r="AJ6" s="5106">
        <v>5</v>
      </c>
      <c r="AK6" s="5107">
        <v>2</v>
      </c>
      <c r="AL6" s="5108">
        <v>15</v>
      </c>
      <c r="AM6" s="5109">
        <v>7</v>
      </c>
      <c r="AN6" s="5110">
        <v>0.46666666666666667</v>
      </c>
      <c r="AO6" s="5111">
        <v>13</v>
      </c>
      <c r="AP6" s="5112">
        <v>0.9285714285714286</v>
      </c>
      <c r="AQ6" s="5113">
        <v>6</v>
      </c>
      <c r="AR6" s="5114">
        <v>0.42857142857142855</v>
      </c>
      <c r="AS6" s="5115">
        <v>14.94</v>
      </c>
      <c r="AT6" s="5116">
        <v>2.57</v>
      </c>
      <c r="AU6" s="5117">
        <v>6.4114832535885169</v>
      </c>
      <c r="AV6" s="5118">
        <v>6.0909090909090908</v>
      </c>
      <c r="AW6" s="5119">
        <v>0.66985645933014348</v>
      </c>
      <c r="AX6" s="5120">
        <v>1.2440191387559809</v>
      </c>
      <c r="AY6" s="5121">
        <v>23.63636363636364</v>
      </c>
      <c r="AZ6" s="5122">
        <v>5.9808612440191391</v>
      </c>
      <c r="BA6" s="5123">
        <v>5.741626794258373</v>
      </c>
      <c r="BB6" s="5124">
        <v>3.5406698564593304</v>
      </c>
      <c r="BC6" s="5125">
        <v>2.0095693779904304</v>
      </c>
      <c r="BD6" s="5126">
        <v>0.28708133971291866</v>
      </c>
      <c r="BE6" s="5127">
        <v>0.23923444976076555</v>
      </c>
      <c r="BF6" s="5128">
        <v>1.6267942583732058</v>
      </c>
      <c r="BG6" s="5129">
        <v>0.19138755980861247</v>
      </c>
      <c r="BH6" s="5130">
        <v>0.23923444976076555</v>
      </c>
      <c r="BI6" s="5131">
        <v>0.19138755980861247</v>
      </c>
      <c r="BJ6" s="5132">
        <v>1.1483253588516746</v>
      </c>
      <c r="BK6" s="5133">
        <v>1.0526315789473684</v>
      </c>
      <c r="BL6" s="5134">
        <v>0.43062200956937796</v>
      </c>
      <c r="BM6" s="5135">
        <v>0.62200956937799046</v>
      </c>
      <c r="BN6" s="5136">
        <v>0.62200956937799046</v>
      </c>
      <c r="BO6" s="5137">
        <v>0.28708133971291866</v>
      </c>
      <c r="BP6" s="5138">
        <v>9.6746411483253585</v>
      </c>
      <c r="BQ6" s="5139">
        <v>0.58832535885167458</v>
      </c>
      <c r="BR6" s="5140">
        <v>0.11827751196172248</v>
      </c>
      <c r="BS6" s="5141">
        <v>2.7081339712918657</v>
      </c>
      <c r="BT6" s="5142">
        <v>1.7033492822966505</v>
      </c>
      <c r="BU6" s="5143">
        <v>0.71483253588516749</v>
      </c>
      <c r="BV6" s="5144">
        <v>0.12296650717703347</v>
      </c>
      <c r="BW6" s="5145">
        <v>3.2282296650717703</v>
      </c>
      <c r="BX6" s="5146">
        <v>0.71957063674926758</v>
      </c>
      <c r="BY6" s="5147">
        <v>0.15260018408298492</v>
      </c>
      <c r="BZ6" s="5148">
        <v>3.3360830992460251</v>
      </c>
    </row>
    <row r="7" spans="1:78" hidden="1" x14ac:dyDescent="0.3">
      <c r="A7" s="4447" t="s">
        <v>154</v>
      </c>
      <c r="B7" s="4448" t="s">
        <v>147</v>
      </c>
      <c r="C7" s="4449">
        <v>7.8000001907348633</v>
      </c>
      <c r="D7" s="4450">
        <v>1672</v>
      </c>
      <c r="E7" s="4451">
        <v>21</v>
      </c>
      <c r="F7" s="4452">
        <v>121</v>
      </c>
      <c r="G7" s="4453">
        <v>13</v>
      </c>
      <c r="H7" s="4454">
        <v>20</v>
      </c>
      <c r="I7" s="4455">
        <v>383</v>
      </c>
      <c r="J7" s="4456">
        <v>41</v>
      </c>
      <c r="K7" s="4457">
        <v>1</v>
      </c>
      <c r="L7" s="4458">
        <v>6</v>
      </c>
      <c r="M7" s="4459">
        <v>120</v>
      </c>
      <c r="N7" s="4460">
        <v>66</v>
      </c>
      <c r="O7" s="4461">
        <v>59</v>
      </c>
      <c r="P7" s="4462">
        <v>0.89393939393939392</v>
      </c>
      <c r="Q7" s="4463">
        <v>3</v>
      </c>
      <c r="R7" s="4464">
        <v>4.5454545454545456E-2</v>
      </c>
      <c r="S7" s="4465">
        <v>15</v>
      </c>
      <c r="T7" s="4466">
        <v>0.22727272727272727</v>
      </c>
      <c r="U7" s="4467">
        <v>27</v>
      </c>
      <c r="V7" s="4468">
        <v>0.40909090909090912</v>
      </c>
      <c r="W7" s="4469">
        <v>0.19696969696969696</v>
      </c>
      <c r="X7" s="4470">
        <v>3</v>
      </c>
      <c r="Y7" s="4471">
        <v>4</v>
      </c>
      <c r="Z7" s="4472">
        <v>18</v>
      </c>
      <c r="AA7" s="4473">
        <v>0.16666666666666666</v>
      </c>
      <c r="AB7" s="4474">
        <v>175</v>
      </c>
      <c r="AC7" s="4475">
        <v>49</v>
      </c>
      <c r="AD7" s="4476">
        <v>3</v>
      </c>
      <c r="AE7" s="4477">
        <v>20</v>
      </c>
      <c r="AF7" s="4478">
        <v>13</v>
      </c>
      <c r="AG7" s="4479">
        <v>0.35</v>
      </c>
      <c r="AH7" s="4480">
        <v>7</v>
      </c>
      <c r="AI7" s="4481">
        <v>0.53846153846153844</v>
      </c>
      <c r="AJ7" s="4482">
        <v>0</v>
      </c>
      <c r="AK7" s="4483">
        <v>0</v>
      </c>
      <c r="AL7" s="4484">
        <v>20</v>
      </c>
      <c r="AM7" s="4485">
        <v>13</v>
      </c>
      <c r="AN7" s="4486">
        <v>0.65</v>
      </c>
      <c r="AO7" s="4487">
        <v>12</v>
      </c>
      <c r="AP7" s="4488">
        <v>0.92307692307692313</v>
      </c>
      <c r="AQ7" s="4489">
        <v>10</v>
      </c>
      <c r="AR7" s="4490">
        <v>0.76923076923076927</v>
      </c>
      <c r="AS7" s="4491">
        <v>10.199999999999999</v>
      </c>
      <c r="AT7" s="4492">
        <v>1.71</v>
      </c>
      <c r="AU7" s="4493">
        <v>6.5131578947368425</v>
      </c>
      <c r="AV7" s="4494">
        <v>5.7619047619047619</v>
      </c>
      <c r="AW7" s="4495">
        <v>0.69976076555023925</v>
      </c>
      <c r="AX7" s="4496">
        <v>1.0765550239234449</v>
      </c>
      <c r="AY7" s="4497">
        <v>20.616028708133971</v>
      </c>
      <c r="AZ7" s="4498">
        <v>2.2069377990430623</v>
      </c>
      <c r="BA7" s="4499">
        <v>6.4593301435406696</v>
      </c>
      <c r="BB7" s="4500">
        <v>3.5526315789473681</v>
      </c>
      <c r="BC7" s="4501">
        <v>3.1758373205741623</v>
      </c>
      <c r="BD7" s="4502">
        <v>0.16148325358851676</v>
      </c>
      <c r="BE7" s="4503">
        <v>0.8074162679425837</v>
      </c>
      <c r="BF7" s="4504">
        <v>1.4533492822966507</v>
      </c>
      <c r="BG7" s="4505">
        <v>0.16148325358851676</v>
      </c>
      <c r="BH7" s="4506">
        <v>0.21531100478468898</v>
      </c>
      <c r="BI7" s="4507">
        <v>0.16148325358851676</v>
      </c>
      <c r="BJ7" s="4508">
        <v>0.96889952153110048</v>
      </c>
      <c r="BK7" s="4509">
        <v>1.0765550239234449</v>
      </c>
      <c r="BL7" s="4510">
        <v>0.69976076555023925</v>
      </c>
      <c r="BM7" s="4511">
        <v>0.37679425837320574</v>
      </c>
      <c r="BN7" s="4512">
        <v>0.64593301435406703</v>
      </c>
      <c r="BO7" s="4513">
        <v>0.53827751196172247</v>
      </c>
      <c r="BP7" s="4514">
        <v>9.4198564593301448</v>
      </c>
      <c r="BQ7" s="4515">
        <v>0.53068779904306229</v>
      </c>
      <c r="BR7" s="4516">
        <v>9.9796650717703342E-2</v>
      </c>
      <c r="BS7" s="4517">
        <v>2.422141148325359</v>
      </c>
      <c r="BT7" s="4518">
        <v>2.422141148325359</v>
      </c>
      <c r="BU7" s="4519">
        <v>0.54904306220095689</v>
      </c>
      <c r="BV7" s="4520">
        <v>9.2045454545454555E-2</v>
      </c>
      <c r="BW7" s="4521">
        <v>2.4723086124401914</v>
      </c>
      <c r="BX7" s="4522">
        <v>0.59575086832046509</v>
      </c>
      <c r="BY7" s="4523">
        <v>0.14533695578575134</v>
      </c>
      <c r="BZ7" s="4524">
        <v>2.8190143406391144</v>
      </c>
    </row>
    <row r="8" spans="1:78" hidden="1" x14ac:dyDescent="0.3">
      <c r="A8" s="547" t="s">
        <v>88</v>
      </c>
      <c r="B8" s="548" t="s">
        <v>89</v>
      </c>
      <c r="C8" s="549">
        <v>4.3000001907348633</v>
      </c>
      <c r="D8" s="550">
        <v>5</v>
      </c>
      <c r="E8" s="551">
        <v>1</v>
      </c>
      <c r="F8" s="552">
        <v>1</v>
      </c>
      <c r="G8" s="553">
        <v>0</v>
      </c>
      <c r="H8" s="554">
        <v>0</v>
      </c>
      <c r="I8" s="555">
        <v>3</v>
      </c>
      <c r="J8" s="556">
        <v>3</v>
      </c>
      <c r="K8" s="557">
        <v>0</v>
      </c>
      <c r="L8" s="558">
        <v>0</v>
      </c>
      <c r="M8" s="559">
        <v>0</v>
      </c>
      <c r="N8" s="560">
        <v>0</v>
      </c>
      <c r="O8" s="561">
        <v>0</v>
      </c>
      <c r="P8" s="562">
        <v>0</v>
      </c>
      <c r="Q8" s="563">
        <v>0</v>
      </c>
      <c r="R8" s="564">
        <v>0</v>
      </c>
      <c r="S8" s="565">
        <v>0</v>
      </c>
      <c r="T8" s="566">
        <v>0</v>
      </c>
      <c r="U8" s="567">
        <v>0</v>
      </c>
      <c r="V8" s="568">
        <v>0</v>
      </c>
      <c r="W8" s="569">
        <v>0</v>
      </c>
      <c r="X8" s="570">
        <v>0</v>
      </c>
      <c r="Y8" s="571">
        <v>0</v>
      </c>
      <c r="Z8" s="572">
        <v>0</v>
      </c>
      <c r="AA8" s="573">
        <v>0</v>
      </c>
      <c r="AB8" s="574">
        <v>0</v>
      </c>
      <c r="AC8" s="575">
        <v>0</v>
      </c>
      <c r="AD8" s="576">
        <v>0</v>
      </c>
      <c r="AE8" s="577">
        <v>0</v>
      </c>
      <c r="AF8" s="578">
        <v>0</v>
      </c>
      <c r="AG8" s="579">
        <v>0</v>
      </c>
      <c r="AH8" s="580">
        <v>0</v>
      </c>
      <c r="AI8" s="581">
        <v>0</v>
      </c>
      <c r="AJ8" s="582">
        <v>0</v>
      </c>
      <c r="AK8" s="583">
        <v>0</v>
      </c>
      <c r="AL8" s="584">
        <v>0</v>
      </c>
      <c r="AM8" s="585">
        <v>0</v>
      </c>
      <c r="AN8" s="586">
        <v>0</v>
      </c>
      <c r="AO8" s="587">
        <v>0</v>
      </c>
      <c r="AP8" s="588">
        <v>0</v>
      </c>
      <c r="AQ8" s="589">
        <v>0</v>
      </c>
      <c r="AR8" s="590">
        <v>0</v>
      </c>
      <c r="AS8" s="591">
        <v>0</v>
      </c>
      <c r="AT8" s="592">
        <v>0</v>
      </c>
      <c r="AU8" s="593">
        <v>18</v>
      </c>
      <c r="AV8" s="594">
        <v>1</v>
      </c>
      <c r="AW8" s="595">
        <v>0</v>
      </c>
      <c r="AX8" s="596">
        <v>0</v>
      </c>
      <c r="AY8" s="597">
        <v>54</v>
      </c>
      <c r="AZ8" s="598">
        <v>54</v>
      </c>
      <c r="BA8" s="599">
        <v>0</v>
      </c>
      <c r="BB8" s="600">
        <v>0</v>
      </c>
      <c r="BC8" s="601">
        <v>0</v>
      </c>
      <c r="BD8" s="602">
        <v>0</v>
      </c>
      <c r="BE8" s="603">
        <v>0</v>
      </c>
      <c r="BF8" s="604">
        <v>0</v>
      </c>
      <c r="BG8" s="605">
        <v>0</v>
      </c>
      <c r="BH8" s="606">
        <v>0</v>
      </c>
      <c r="BI8" s="607">
        <v>0</v>
      </c>
      <c r="BJ8" s="608">
        <v>0</v>
      </c>
      <c r="BK8" s="609">
        <v>0</v>
      </c>
      <c r="BL8" s="610">
        <v>0</v>
      </c>
      <c r="BM8" s="611">
        <v>0</v>
      </c>
      <c r="BN8" s="612">
        <v>0</v>
      </c>
      <c r="BO8" s="613">
        <v>0</v>
      </c>
      <c r="BP8" s="614">
        <v>0</v>
      </c>
      <c r="BQ8" s="615">
        <v>0</v>
      </c>
      <c r="BR8" s="616">
        <v>0</v>
      </c>
      <c r="BS8" s="617">
        <v>0</v>
      </c>
      <c r="BT8" s="618">
        <v>0</v>
      </c>
      <c r="BU8" s="619">
        <v>0</v>
      </c>
      <c r="BV8" s="620">
        <v>0</v>
      </c>
      <c r="BW8" s="621">
        <v>0</v>
      </c>
      <c r="BX8" s="622">
        <v>0</v>
      </c>
      <c r="BY8" s="623">
        <v>0</v>
      </c>
      <c r="BZ8" s="624">
        <v>0</v>
      </c>
    </row>
    <row r="9" spans="1:78" hidden="1" x14ac:dyDescent="0.3">
      <c r="A9" s="625" t="s">
        <v>90</v>
      </c>
      <c r="B9" s="626" t="s">
        <v>91</v>
      </c>
      <c r="C9" s="627">
        <v>4.4000000953674316</v>
      </c>
      <c r="D9" s="628">
        <v>66</v>
      </c>
      <c r="E9" s="629">
        <v>2</v>
      </c>
      <c r="F9" s="630">
        <v>3</v>
      </c>
      <c r="G9" s="631">
        <v>0</v>
      </c>
      <c r="H9" s="632">
        <v>0</v>
      </c>
      <c r="I9" s="633">
        <v>9</v>
      </c>
      <c r="J9" s="634">
        <v>9</v>
      </c>
      <c r="K9" s="635">
        <v>0</v>
      </c>
      <c r="L9" s="636">
        <v>0</v>
      </c>
      <c r="M9" s="637">
        <v>2</v>
      </c>
      <c r="N9" s="638">
        <v>0</v>
      </c>
      <c r="O9" s="639">
        <v>0</v>
      </c>
      <c r="P9" s="640">
        <v>0</v>
      </c>
      <c r="Q9" s="641">
        <v>0</v>
      </c>
      <c r="R9" s="642">
        <v>0</v>
      </c>
      <c r="S9" s="643">
        <v>0</v>
      </c>
      <c r="T9" s="644">
        <v>0</v>
      </c>
      <c r="U9" s="645">
        <v>0</v>
      </c>
      <c r="V9" s="646">
        <v>0</v>
      </c>
      <c r="W9" s="647">
        <v>0</v>
      </c>
      <c r="X9" s="648">
        <v>0</v>
      </c>
      <c r="Y9" s="649">
        <v>0</v>
      </c>
      <c r="Z9" s="650">
        <v>0</v>
      </c>
      <c r="AA9" s="651">
        <v>0</v>
      </c>
      <c r="AB9" s="652">
        <v>0.9</v>
      </c>
      <c r="AC9" s="653">
        <v>0</v>
      </c>
      <c r="AD9" s="654">
        <v>0</v>
      </c>
      <c r="AE9" s="655">
        <v>0</v>
      </c>
      <c r="AF9" s="656">
        <v>0</v>
      </c>
      <c r="AG9" s="657">
        <v>0</v>
      </c>
      <c r="AH9" s="658">
        <v>0</v>
      </c>
      <c r="AI9" s="659">
        <v>0</v>
      </c>
      <c r="AJ9" s="660">
        <v>0</v>
      </c>
      <c r="AK9" s="661">
        <v>0</v>
      </c>
      <c r="AL9" s="662">
        <v>0</v>
      </c>
      <c r="AM9" s="663">
        <v>0</v>
      </c>
      <c r="AN9" s="664">
        <v>0</v>
      </c>
      <c r="AO9" s="665">
        <v>0</v>
      </c>
      <c r="AP9" s="666">
        <v>0</v>
      </c>
      <c r="AQ9" s="667">
        <v>0</v>
      </c>
      <c r="AR9" s="668">
        <v>0</v>
      </c>
      <c r="AS9" s="669">
        <v>0</v>
      </c>
      <c r="AT9" s="670">
        <v>0</v>
      </c>
      <c r="AU9" s="671">
        <v>4.0909090909090908</v>
      </c>
      <c r="AV9" s="672">
        <v>1.5</v>
      </c>
      <c r="AW9" s="673">
        <v>0</v>
      </c>
      <c r="AX9" s="674">
        <v>0</v>
      </c>
      <c r="AY9" s="675">
        <v>12.272727272727272</v>
      </c>
      <c r="AZ9" s="676">
        <v>12.272727272727272</v>
      </c>
      <c r="BA9" s="677">
        <v>2.7272727272727275</v>
      </c>
      <c r="BB9" s="678">
        <v>0</v>
      </c>
      <c r="BC9" s="679">
        <v>0</v>
      </c>
      <c r="BD9" s="680">
        <v>0</v>
      </c>
      <c r="BE9" s="681">
        <v>0</v>
      </c>
      <c r="BF9" s="682">
        <v>0</v>
      </c>
      <c r="BG9" s="683">
        <v>0</v>
      </c>
      <c r="BH9" s="684">
        <v>0</v>
      </c>
      <c r="BI9" s="685">
        <v>0</v>
      </c>
      <c r="BJ9" s="686">
        <v>0</v>
      </c>
      <c r="BK9" s="687">
        <v>0</v>
      </c>
      <c r="BL9" s="688">
        <v>0</v>
      </c>
      <c r="BM9" s="689">
        <v>0</v>
      </c>
      <c r="BN9" s="690">
        <v>0</v>
      </c>
      <c r="BO9" s="691">
        <v>0</v>
      </c>
      <c r="BP9" s="692">
        <v>1.2272727272727273</v>
      </c>
      <c r="BQ9" s="693">
        <v>0</v>
      </c>
      <c r="BR9" s="694">
        <v>0</v>
      </c>
      <c r="BS9" s="695">
        <v>0</v>
      </c>
      <c r="BT9" s="696">
        <v>0</v>
      </c>
      <c r="BU9" s="697">
        <v>0</v>
      </c>
      <c r="BV9" s="698">
        <v>0</v>
      </c>
      <c r="BW9" s="699">
        <v>0</v>
      </c>
      <c r="BX9" s="700">
        <v>0</v>
      </c>
      <c r="BY9" s="701">
        <v>0</v>
      </c>
      <c r="BZ9" s="702">
        <v>0</v>
      </c>
    </row>
    <row r="10" spans="1:78" hidden="1" x14ac:dyDescent="0.3">
      <c r="A10" s="2887" t="s">
        <v>131</v>
      </c>
      <c r="B10" s="2888" t="s">
        <v>132</v>
      </c>
      <c r="C10" s="2889">
        <v>9.3000001907348633</v>
      </c>
      <c r="D10" s="2890">
        <v>1719</v>
      </c>
      <c r="E10" s="2891">
        <v>21</v>
      </c>
      <c r="F10" s="2892">
        <v>100</v>
      </c>
      <c r="G10" s="2893">
        <v>7</v>
      </c>
      <c r="H10" s="2894">
        <v>17</v>
      </c>
      <c r="I10" s="2895">
        <v>394</v>
      </c>
      <c r="J10" s="2896">
        <v>181</v>
      </c>
      <c r="K10" s="2897">
        <v>0</v>
      </c>
      <c r="L10" s="2898">
        <v>10</v>
      </c>
      <c r="M10" s="2899">
        <v>131</v>
      </c>
      <c r="N10" s="2900">
        <v>65</v>
      </c>
      <c r="O10" s="2901">
        <v>55</v>
      </c>
      <c r="P10" s="2902">
        <v>0.84615384615384615</v>
      </c>
      <c r="Q10" s="2903">
        <v>10</v>
      </c>
      <c r="R10" s="2904">
        <v>0.15384615384615385</v>
      </c>
      <c r="S10" s="2905">
        <v>11</v>
      </c>
      <c r="T10" s="2906">
        <v>0.16923076923076924</v>
      </c>
      <c r="U10" s="2907">
        <v>26</v>
      </c>
      <c r="V10" s="2908">
        <v>0.4</v>
      </c>
      <c r="W10" s="2909">
        <v>0.1076923076923077</v>
      </c>
      <c r="X10" s="2910">
        <v>4</v>
      </c>
      <c r="Y10" s="2911">
        <v>5</v>
      </c>
      <c r="Z10" s="2912">
        <v>27</v>
      </c>
      <c r="AA10" s="2913">
        <v>0.14814814814814814</v>
      </c>
      <c r="AB10" s="2914">
        <v>190.2</v>
      </c>
      <c r="AC10" s="2915">
        <v>28</v>
      </c>
      <c r="AD10" s="2916">
        <v>8</v>
      </c>
      <c r="AE10" s="2917">
        <v>15</v>
      </c>
      <c r="AF10" s="2918">
        <v>10</v>
      </c>
      <c r="AG10" s="2919">
        <v>0.33333333333333331</v>
      </c>
      <c r="AH10" s="2920">
        <v>5</v>
      </c>
      <c r="AI10" s="2921">
        <v>0.7142857142857143</v>
      </c>
      <c r="AJ10" s="2922">
        <v>0</v>
      </c>
      <c r="AK10" s="2923">
        <v>0</v>
      </c>
      <c r="AL10" s="2924">
        <v>15</v>
      </c>
      <c r="AM10" s="2925">
        <v>10</v>
      </c>
      <c r="AN10" s="2926">
        <v>0.66666666666666663</v>
      </c>
      <c r="AO10" s="2927">
        <v>6</v>
      </c>
      <c r="AP10" s="2928">
        <v>0.8571428571428571</v>
      </c>
      <c r="AQ10" s="2929">
        <v>3</v>
      </c>
      <c r="AR10" s="2930">
        <v>0.42857142857142855</v>
      </c>
      <c r="AS10" s="2931">
        <v>8.3000000000000007</v>
      </c>
      <c r="AT10" s="2932">
        <v>2.21</v>
      </c>
      <c r="AU10" s="2933">
        <v>5.2356020942408374</v>
      </c>
      <c r="AV10" s="2934">
        <v>4.7619047619047619</v>
      </c>
      <c r="AW10" s="2935">
        <v>0.36649214659685864</v>
      </c>
      <c r="AX10" s="2936">
        <v>0.89005235602094235</v>
      </c>
      <c r="AY10" s="2937">
        <v>20.6282722513089</v>
      </c>
      <c r="AZ10" s="2938">
        <v>9.476439790575915</v>
      </c>
      <c r="BA10" s="2939">
        <v>6.8586387434554972</v>
      </c>
      <c r="BB10" s="2940">
        <v>3.4031413612565444</v>
      </c>
      <c r="BC10" s="2941">
        <v>2.8795811518324608</v>
      </c>
      <c r="BD10" s="2942">
        <v>0.52356020942408377</v>
      </c>
      <c r="BE10" s="2943">
        <v>0.57591623036649209</v>
      </c>
      <c r="BF10" s="2944">
        <v>1.3612565445026177</v>
      </c>
      <c r="BG10" s="2945">
        <v>0.20942408376963351</v>
      </c>
      <c r="BH10" s="2946">
        <v>0.26178010471204188</v>
      </c>
      <c r="BI10" s="2947">
        <v>0.41884816753926701</v>
      </c>
      <c r="BJ10" s="2948">
        <v>1.413612565445026</v>
      </c>
      <c r="BK10" s="2949">
        <v>0.78534031413612571</v>
      </c>
      <c r="BL10" s="2950">
        <v>0.52356020942408377</v>
      </c>
      <c r="BM10" s="2951">
        <v>0.26178010471204188</v>
      </c>
      <c r="BN10" s="2952">
        <v>0.31413612565445026</v>
      </c>
      <c r="BO10" s="2953">
        <v>0.15706806282722513</v>
      </c>
      <c r="BP10" s="2954">
        <v>9.9581151832460719</v>
      </c>
      <c r="BQ10" s="2955">
        <v>0.48900523560209419</v>
      </c>
      <c r="BR10" s="2956">
        <v>0.14560209424083767</v>
      </c>
      <c r="BS10" s="2957">
        <v>2.3928272251308895</v>
      </c>
      <c r="BT10" s="2958">
        <v>2.3928272251308895</v>
      </c>
      <c r="BU10" s="2959">
        <v>0.43455497382198954</v>
      </c>
      <c r="BV10" s="2960">
        <v>0.11570680628272251</v>
      </c>
      <c r="BW10" s="2961">
        <v>2.0853403141361255</v>
      </c>
      <c r="BX10" s="2962">
        <v>0.51370936632156372</v>
      </c>
      <c r="BY10" s="2963">
        <v>0.24326314032077789</v>
      </c>
      <c r="BZ10" s="2964">
        <v>2.7846268862485886</v>
      </c>
    </row>
    <row r="11" spans="1:78" hidden="1" x14ac:dyDescent="0.3">
      <c r="A11" s="235" t="s">
        <v>82</v>
      </c>
      <c r="B11" s="236" t="s">
        <v>81</v>
      </c>
      <c r="C11" s="237">
        <v>10.100000381469727</v>
      </c>
      <c r="D11" s="238">
        <v>1800</v>
      </c>
      <c r="E11" s="239">
        <v>20</v>
      </c>
      <c r="F11" s="240">
        <v>149</v>
      </c>
      <c r="G11" s="241">
        <v>17</v>
      </c>
      <c r="H11" s="242">
        <v>25</v>
      </c>
      <c r="I11" s="243">
        <v>550</v>
      </c>
      <c r="J11" s="244">
        <v>88</v>
      </c>
      <c r="K11" s="245">
        <v>0</v>
      </c>
      <c r="L11" s="246">
        <v>7</v>
      </c>
      <c r="M11" s="247">
        <v>114</v>
      </c>
      <c r="N11" s="248">
        <v>49</v>
      </c>
      <c r="O11" s="249">
        <v>44</v>
      </c>
      <c r="P11" s="250">
        <v>0.89795918367346939</v>
      </c>
      <c r="Q11" s="251">
        <v>6</v>
      </c>
      <c r="R11" s="252">
        <v>0.12244897959183673</v>
      </c>
      <c r="S11" s="253">
        <v>10</v>
      </c>
      <c r="T11" s="254">
        <v>0.20408163265306123</v>
      </c>
      <c r="U11" s="255">
        <v>28</v>
      </c>
      <c r="V11" s="256">
        <v>0.5714285714285714</v>
      </c>
      <c r="W11" s="257">
        <v>0.34693877551020408</v>
      </c>
      <c r="X11" s="258">
        <v>4</v>
      </c>
      <c r="Y11" s="259">
        <v>6</v>
      </c>
      <c r="Z11" s="260">
        <v>14</v>
      </c>
      <c r="AA11" s="261">
        <v>0.2857142857142857</v>
      </c>
      <c r="AB11" s="262">
        <v>174.1</v>
      </c>
      <c r="AC11" s="263">
        <v>55</v>
      </c>
      <c r="AD11" s="264">
        <v>5</v>
      </c>
      <c r="AE11" s="265">
        <v>23</v>
      </c>
      <c r="AF11" s="266">
        <v>10</v>
      </c>
      <c r="AG11" s="267">
        <v>0.56521739130434778</v>
      </c>
      <c r="AH11" s="268">
        <v>13</v>
      </c>
      <c r="AI11" s="269">
        <v>0.76470588235294112</v>
      </c>
      <c r="AJ11" s="270">
        <v>3</v>
      </c>
      <c r="AK11" s="271">
        <v>0</v>
      </c>
      <c r="AL11" s="272">
        <v>20</v>
      </c>
      <c r="AM11" s="273">
        <v>10</v>
      </c>
      <c r="AN11" s="274">
        <v>0.5</v>
      </c>
      <c r="AO11" s="275">
        <v>16</v>
      </c>
      <c r="AP11" s="276">
        <v>0.94117647058823528</v>
      </c>
      <c r="AQ11" s="277">
        <v>10</v>
      </c>
      <c r="AR11" s="278">
        <v>0.58823529411764708</v>
      </c>
      <c r="AS11" s="279">
        <v>11.24</v>
      </c>
      <c r="AT11" s="280">
        <v>2.2799999999999998</v>
      </c>
      <c r="AU11" s="281">
        <v>7.45</v>
      </c>
      <c r="AV11" s="282">
        <v>7.45</v>
      </c>
      <c r="AW11" s="283">
        <v>0.85</v>
      </c>
      <c r="AX11" s="284">
        <v>1.25</v>
      </c>
      <c r="AY11" s="285">
        <v>27.500000000000004</v>
      </c>
      <c r="AZ11" s="286">
        <v>4.4000000000000004</v>
      </c>
      <c r="BA11" s="287">
        <v>5.7</v>
      </c>
      <c r="BB11" s="288">
        <v>2.4499999999999997</v>
      </c>
      <c r="BC11" s="289">
        <v>2.2000000000000002</v>
      </c>
      <c r="BD11" s="290">
        <v>0.30000000000000004</v>
      </c>
      <c r="BE11" s="291">
        <v>0.5</v>
      </c>
      <c r="BF11" s="292">
        <v>1.4</v>
      </c>
      <c r="BG11" s="293">
        <v>0.2</v>
      </c>
      <c r="BH11" s="294">
        <v>0.30000000000000004</v>
      </c>
      <c r="BI11" s="295">
        <v>0.25</v>
      </c>
      <c r="BJ11" s="296">
        <v>0.7</v>
      </c>
      <c r="BK11" s="297">
        <v>1.1500000000000001</v>
      </c>
      <c r="BL11" s="298">
        <v>0.5</v>
      </c>
      <c r="BM11" s="299">
        <v>0.65</v>
      </c>
      <c r="BN11" s="300">
        <v>0.8</v>
      </c>
      <c r="BO11" s="301">
        <v>0.5</v>
      </c>
      <c r="BP11" s="302">
        <v>8.7050000000000001</v>
      </c>
      <c r="BQ11" s="303">
        <v>0.45534999999999992</v>
      </c>
      <c r="BR11" s="304">
        <v>7.2099999999999997E-2</v>
      </c>
      <c r="BS11" s="305">
        <v>2.0376999999999996</v>
      </c>
      <c r="BT11" s="306">
        <v>1.5876999999999997</v>
      </c>
      <c r="BU11" s="307">
        <v>0.56200000000000006</v>
      </c>
      <c r="BV11" s="308">
        <v>0.11399999999999999</v>
      </c>
      <c r="BW11" s="309">
        <v>2.5900000000000003</v>
      </c>
      <c r="BX11" s="310">
        <v>0.57415097951889038</v>
      </c>
      <c r="BY11" s="311">
        <v>0.14257250726222992</v>
      </c>
      <c r="BZ11" s="312">
        <v>2.7243214398622513</v>
      </c>
    </row>
    <row r="12" spans="1:78" hidden="1" x14ac:dyDescent="0.3">
      <c r="A12" s="859" t="s">
        <v>95</v>
      </c>
      <c r="B12" s="860" t="s">
        <v>96</v>
      </c>
      <c r="C12" s="861">
        <v>5.3000001907348633</v>
      </c>
      <c r="D12" s="862">
        <v>100</v>
      </c>
      <c r="E12" s="863">
        <v>6</v>
      </c>
      <c r="F12" s="864">
        <v>9</v>
      </c>
      <c r="G12" s="865">
        <v>0</v>
      </c>
      <c r="H12" s="866">
        <v>0</v>
      </c>
      <c r="I12" s="867">
        <v>20</v>
      </c>
      <c r="J12" s="868">
        <v>11</v>
      </c>
      <c r="K12" s="869">
        <v>0</v>
      </c>
      <c r="L12" s="870">
        <v>0</v>
      </c>
      <c r="M12" s="871">
        <v>4</v>
      </c>
      <c r="N12" s="872">
        <v>2</v>
      </c>
      <c r="O12" s="873">
        <v>2</v>
      </c>
      <c r="P12" s="874">
        <v>1</v>
      </c>
      <c r="Q12" s="875">
        <v>1</v>
      </c>
      <c r="R12" s="876">
        <v>0.5</v>
      </c>
      <c r="S12" s="877">
        <v>1</v>
      </c>
      <c r="T12" s="878">
        <v>0.5</v>
      </c>
      <c r="U12" s="879">
        <v>0</v>
      </c>
      <c r="V12" s="880">
        <v>0</v>
      </c>
      <c r="W12" s="881">
        <v>0</v>
      </c>
      <c r="X12" s="882">
        <v>1</v>
      </c>
      <c r="Y12" s="883">
        <v>1</v>
      </c>
      <c r="Z12" s="884">
        <v>1</v>
      </c>
      <c r="AA12" s="885">
        <v>1</v>
      </c>
      <c r="AB12" s="886">
        <v>4.8</v>
      </c>
      <c r="AC12" s="887">
        <v>33</v>
      </c>
      <c r="AD12" s="888">
        <v>0</v>
      </c>
      <c r="AE12" s="889">
        <v>0</v>
      </c>
      <c r="AF12" s="890">
        <v>0</v>
      </c>
      <c r="AG12" s="891">
        <v>0</v>
      </c>
      <c r="AH12" s="892">
        <v>0</v>
      </c>
      <c r="AI12" s="893">
        <v>0</v>
      </c>
      <c r="AJ12" s="894">
        <v>0</v>
      </c>
      <c r="AK12" s="895">
        <v>0</v>
      </c>
      <c r="AL12" s="896">
        <v>0</v>
      </c>
      <c r="AM12" s="897">
        <v>0</v>
      </c>
      <c r="AN12" s="898">
        <v>0</v>
      </c>
      <c r="AO12" s="899">
        <v>0</v>
      </c>
      <c r="AP12" s="900">
        <v>0</v>
      </c>
      <c r="AQ12" s="901">
        <v>0</v>
      </c>
      <c r="AR12" s="902">
        <v>0</v>
      </c>
      <c r="AS12" s="903">
        <v>0.16</v>
      </c>
      <c r="AT12" s="904">
        <v>0.01</v>
      </c>
      <c r="AU12" s="905">
        <v>8.1</v>
      </c>
      <c r="AV12" s="906">
        <v>1.5</v>
      </c>
      <c r="AW12" s="907">
        <v>0</v>
      </c>
      <c r="AX12" s="908">
        <v>0</v>
      </c>
      <c r="AY12" s="909">
        <v>18</v>
      </c>
      <c r="AZ12" s="910">
        <v>9.9</v>
      </c>
      <c r="BA12" s="911">
        <v>3.6</v>
      </c>
      <c r="BB12" s="912">
        <v>1.8</v>
      </c>
      <c r="BC12" s="913">
        <v>1.8</v>
      </c>
      <c r="BD12" s="914">
        <v>0.9</v>
      </c>
      <c r="BE12" s="915">
        <v>0.9</v>
      </c>
      <c r="BF12" s="916">
        <v>0</v>
      </c>
      <c r="BG12" s="917">
        <v>0.9</v>
      </c>
      <c r="BH12" s="918">
        <v>0.9</v>
      </c>
      <c r="BI12" s="919">
        <v>0</v>
      </c>
      <c r="BJ12" s="920">
        <v>0.9</v>
      </c>
      <c r="BK12" s="921">
        <v>0</v>
      </c>
      <c r="BL12" s="922">
        <v>0</v>
      </c>
      <c r="BM12" s="923">
        <v>0</v>
      </c>
      <c r="BN12" s="924">
        <v>0</v>
      </c>
      <c r="BO12" s="925">
        <v>0</v>
      </c>
      <c r="BP12" s="926">
        <v>4.32</v>
      </c>
      <c r="BQ12" s="927">
        <v>0.29160000000000003</v>
      </c>
      <c r="BR12" s="928">
        <v>9.2699999999999991E-2</v>
      </c>
      <c r="BS12" s="929">
        <v>1.4445000000000001</v>
      </c>
      <c r="BT12" s="930">
        <v>1.4445000000000001</v>
      </c>
      <c r="BU12" s="931">
        <v>0.14400000000000002</v>
      </c>
      <c r="BV12" s="932">
        <v>9.0000000000000011E-3</v>
      </c>
      <c r="BW12" s="933">
        <v>0.60300000000000009</v>
      </c>
      <c r="BX12" s="934">
        <v>9.5001466572284698E-2</v>
      </c>
      <c r="BY12" s="935">
        <v>2.0690703764557838E-2</v>
      </c>
      <c r="BZ12" s="936">
        <v>0.44207797758281231</v>
      </c>
    </row>
    <row r="13" spans="1:78" hidden="1" x14ac:dyDescent="0.3">
      <c r="A13" s="937" t="s">
        <v>97</v>
      </c>
      <c r="B13" s="938" t="s">
        <v>98</v>
      </c>
      <c r="C13" s="939">
        <v>4.9000000953674316</v>
      </c>
      <c r="D13" s="940">
        <v>273</v>
      </c>
      <c r="E13" s="941">
        <v>9</v>
      </c>
      <c r="F13" s="942">
        <v>17</v>
      </c>
      <c r="G13" s="943">
        <v>1</v>
      </c>
      <c r="H13" s="944">
        <v>2</v>
      </c>
      <c r="I13" s="945">
        <v>49</v>
      </c>
      <c r="J13" s="946">
        <v>25</v>
      </c>
      <c r="K13" s="947">
        <v>0</v>
      </c>
      <c r="L13" s="948">
        <v>1</v>
      </c>
      <c r="M13" s="949">
        <v>11</v>
      </c>
      <c r="N13" s="950">
        <v>3</v>
      </c>
      <c r="O13" s="951">
        <v>3</v>
      </c>
      <c r="P13" s="952">
        <v>1</v>
      </c>
      <c r="Q13" s="953">
        <v>0</v>
      </c>
      <c r="R13" s="954">
        <v>0</v>
      </c>
      <c r="S13" s="955">
        <v>0</v>
      </c>
      <c r="T13" s="956">
        <v>0</v>
      </c>
      <c r="U13" s="957">
        <v>1</v>
      </c>
      <c r="V13" s="958">
        <v>0.33333333333333331</v>
      </c>
      <c r="W13" s="959">
        <v>0.33333333333333331</v>
      </c>
      <c r="X13" s="960">
        <v>0</v>
      </c>
      <c r="Y13" s="961">
        <v>0</v>
      </c>
      <c r="Z13" s="962">
        <v>2</v>
      </c>
      <c r="AA13" s="963">
        <v>0</v>
      </c>
      <c r="AB13" s="964">
        <v>14.1</v>
      </c>
      <c r="AC13" s="965">
        <v>33</v>
      </c>
      <c r="AD13" s="966">
        <v>0</v>
      </c>
      <c r="AE13" s="967">
        <v>0</v>
      </c>
      <c r="AF13" s="968">
        <v>0</v>
      </c>
      <c r="AG13" s="969">
        <v>0</v>
      </c>
      <c r="AH13" s="970">
        <v>0</v>
      </c>
      <c r="AI13" s="971">
        <v>0</v>
      </c>
      <c r="AJ13" s="972">
        <v>0</v>
      </c>
      <c r="AK13" s="973">
        <v>0</v>
      </c>
      <c r="AL13" s="974">
        <v>0</v>
      </c>
      <c r="AM13" s="975">
        <v>0</v>
      </c>
      <c r="AN13" s="976">
        <v>0</v>
      </c>
      <c r="AO13" s="977">
        <v>1</v>
      </c>
      <c r="AP13" s="978">
        <v>1</v>
      </c>
      <c r="AQ13" s="979">
        <v>0</v>
      </c>
      <c r="AR13" s="980">
        <v>0</v>
      </c>
      <c r="AS13" s="981">
        <v>0.24</v>
      </c>
      <c r="AT13" s="982">
        <v>0.2</v>
      </c>
      <c r="AU13" s="983">
        <v>5.604395604395604</v>
      </c>
      <c r="AV13" s="984">
        <v>1.8888888888888888</v>
      </c>
      <c r="AW13" s="985">
        <v>0.32967032967032966</v>
      </c>
      <c r="AX13" s="986">
        <v>0.65934065934065933</v>
      </c>
      <c r="AY13" s="987">
        <v>16.153846153846153</v>
      </c>
      <c r="AZ13" s="988">
        <v>8.2417582417582409</v>
      </c>
      <c r="BA13" s="989">
        <v>3.6263736263736268</v>
      </c>
      <c r="BB13" s="990">
        <v>0.98901098901098905</v>
      </c>
      <c r="BC13" s="991">
        <v>0.98901098901098905</v>
      </c>
      <c r="BD13" s="992">
        <v>0</v>
      </c>
      <c r="BE13" s="993">
        <v>0</v>
      </c>
      <c r="BF13" s="994">
        <v>0.32967032967032966</v>
      </c>
      <c r="BG13" s="995">
        <v>0</v>
      </c>
      <c r="BH13" s="996">
        <v>0</v>
      </c>
      <c r="BI13" s="997">
        <v>0</v>
      </c>
      <c r="BJ13" s="998">
        <v>0.65934065934065933</v>
      </c>
      <c r="BK13" s="999">
        <v>0</v>
      </c>
      <c r="BL13" s="1000">
        <v>0</v>
      </c>
      <c r="BM13" s="1001">
        <v>0</v>
      </c>
      <c r="BN13" s="1002">
        <v>0.32967032967032966</v>
      </c>
      <c r="BO13" s="1003">
        <v>0</v>
      </c>
      <c r="BP13" s="1004">
        <v>4.6483516483516478</v>
      </c>
      <c r="BQ13" s="1005">
        <v>0.16021978021978023</v>
      </c>
      <c r="BR13" s="1006">
        <v>6.7912087912087901E-2</v>
      </c>
      <c r="BS13" s="1007">
        <v>0.84461538461538455</v>
      </c>
      <c r="BT13" s="1008">
        <v>0.84461538461538455</v>
      </c>
      <c r="BU13" s="1009">
        <v>7.9120879120879117E-2</v>
      </c>
      <c r="BV13" s="1010">
        <v>6.5934065934065936E-2</v>
      </c>
      <c r="BW13" s="1011">
        <v>0.51428571428571423</v>
      </c>
      <c r="BX13" s="1012">
        <v>7.1442633867263794E-2</v>
      </c>
      <c r="BY13" s="1013">
        <v>4.841206967830658E-2</v>
      </c>
      <c r="BZ13" s="1014">
        <v>0.43100674450397491</v>
      </c>
    </row>
    <row r="14" spans="1:78" hidden="1" x14ac:dyDescent="0.3">
      <c r="A14" s="1015" t="s">
        <v>99</v>
      </c>
      <c r="B14" s="1016" t="s">
        <v>100</v>
      </c>
      <c r="C14" s="1017">
        <v>5.5</v>
      </c>
      <c r="D14" s="1018">
        <v>295</v>
      </c>
      <c r="E14" s="1019">
        <v>12</v>
      </c>
      <c r="F14" s="1020">
        <v>23</v>
      </c>
      <c r="G14" s="1021">
        <v>2</v>
      </c>
      <c r="H14" s="1022">
        <v>0</v>
      </c>
      <c r="I14" s="1023">
        <v>69</v>
      </c>
      <c r="J14" s="1024">
        <v>21</v>
      </c>
      <c r="K14" s="1025">
        <v>0</v>
      </c>
      <c r="L14" s="1026">
        <v>1</v>
      </c>
      <c r="M14" s="1027">
        <v>15</v>
      </c>
      <c r="N14" s="1028">
        <v>11</v>
      </c>
      <c r="O14" s="1029">
        <v>8</v>
      </c>
      <c r="P14" s="1030">
        <v>0.72727272727272729</v>
      </c>
      <c r="Q14" s="1031">
        <v>2</v>
      </c>
      <c r="R14" s="1032">
        <v>0.18181818181818182</v>
      </c>
      <c r="S14" s="1033">
        <v>1</v>
      </c>
      <c r="T14" s="1034">
        <v>9.0909090909090912E-2</v>
      </c>
      <c r="U14" s="1035">
        <v>4</v>
      </c>
      <c r="V14" s="1036">
        <v>0.36363636363636365</v>
      </c>
      <c r="W14" s="1037">
        <v>0.18181818181818182</v>
      </c>
      <c r="X14" s="1038">
        <v>0</v>
      </c>
      <c r="Y14" s="1039">
        <v>0</v>
      </c>
      <c r="Z14" s="1040">
        <v>2</v>
      </c>
      <c r="AA14" s="1041">
        <v>0</v>
      </c>
      <c r="AB14" s="1042">
        <v>27.4</v>
      </c>
      <c r="AC14" s="1043">
        <v>33</v>
      </c>
      <c r="AD14" s="1044">
        <v>1</v>
      </c>
      <c r="AE14" s="1045">
        <v>4</v>
      </c>
      <c r="AF14" s="1046">
        <v>2</v>
      </c>
      <c r="AG14" s="1047">
        <v>0.5</v>
      </c>
      <c r="AH14" s="1048">
        <v>2</v>
      </c>
      <c r="AI14" s="1049">
        <v>1</v>
      </c>
      <c r="AJ14" s="1050">
        <v>0</v>
      </c>
      <c r="AK14" s="1051">
        <v>0</v>
      </c>
      <c r="AL14" s="1052">
        <v>4</v>
      </c>
      <c r="AM14" s="1053">
        <v>2</v>
      </c>
      <c r="AN14" s="1054">
        <v>0.5</v>
      </c>
      <c r="AO14" s="1055">
        <v>2</v>
      </c>
      <c r="AP14" s="1056">
        <v>1</v>
      </c>
      <c r="AQ14" s="1057">
        <v>2</v>
      </c>
      <c r="AR14" s="1058">
        <v>1</v>
      </c>
      <c r="AS14" s="1059">
        <v>2.25</v>
      </c>
      <c r="AT14" s="1060">
        <v>0.37</v>
      </c>
      <c r="AU14" s="1061">
        <v>7.0169491525423737</v>
      </c>
      <c r="AV14" s="1062">
        <v>1.9166666666666667</v>
      </c>
      <c r="AW14" s="1063">
        <v>0.61016949152542366</v>
      </c>
      <c r="AX14" s="1064">
        <v>0</v>
      </c>
      <c r="AY14" s="1065">
        <v>21.050847457627118</v>
      </c>
      <c r="AZ14" s="1066">
        <v>6.406779661016949</v>
      </c>
      <c r="BA14" s="1067">
        <v>4.5762711864406782</v>
      </c>
      <c r="BB14" s="1068">
        <v>3.3559322033898309</v>
      </c>
      <c r="BC14" s="1069">
        <v>2.4406779661016946</v>
      </c>
      <c r="BD14" s="1070">
        <v>0.61016949152542366</v>
      </c>
      <c r="BE14" s="1071">
        <v>0.30508474576271183</v>
      </c>
      <c r="BF14" s="1072">
        <v>1.2203389830508473</v>
      </c>
      <c r="BG14" s="1073">
        <v>0</v>
      </c>
      <c r="BH14" s="1074">
        <v>0</v>
      </c>
      <c r="BI14" s="1075">
        <v>0.30508474576271183</v>
      </c>
      <c r="BJ14" s="1076">
        <v>0.61016949152542366</v>
      </c>
      <c r="BK14" s="1077">
        <v>1.2203389830508473</v>
      </c>
      <c r="BL14" s="1078">
        <v>0.61016949152542366</v>
      </c>
      <c r="BM14" s="1079">
        <v>0.61016949152542366</v>
      </c>
      <c r="BN14" s="1080">
        <v>0.61016949152542366</v>
      </c>
      <c r="BO14" s="1081">
        <v>0.61016949152542366</v>
      </c>
      <c r="BP14" s="1082">
        <v>8.3593220338983052</v>
      </c>
      <c r="BQ14" s="1083">
        <v>0.43474576271186444</v>
      </c>
      <c r="BR14" s="1084">
        <v>6.284745762711863E-2</v>
      </c>
      <c r="BS14" s="1085">
        <v>1.9275254237288135</v>
      </c>
      <c r="BT14" s="1086">
        <v>1.9275254237288135</v>
      </c>
      <c r="BU14" s="1087">
        <v>0.68644067796610175</v>
      </c>
      <c r="BV14" s="1088">
        <v>0.11288135593220339</v>
      </c>
      <c r="BW14" s="1089">
        <v>3.0844067796610171</v>
      </c>
      <c r="BX14" s="1090">
        <v>0.7078784704208374</v>
      </c>
      <c r="BY14" s="1091">
        <v>0.14970776438713074</v>
      </c>
      <c r="BZ14" s="1092">
        <v>3.2806371748447418</v>
      </c>
    </row>
    <row r="15" spans="1:78" hidden="1" x14ac:dyDescent="0.3">
      <c r="A15" s="4525" t="s">
        <v>155</v>
      </c>
      <c r="B15" s="4526" t="s">
        <v>98</v>
      </c>
      <c r="C15" s="4527">
        <v>6.8000001907348633</v>
      </c>
      <c r="D15" s="4528">
        <v>1537</v>
      </c>
      <c r="E15" s="4529">
        <v>22</v>
      </c>
      <c r="F15" s="4530">
        <v>123</v>
      </c>
      <c r="G15" s="4531">
        <v>14</v>
      </c>
      <c r="H15" s="4532">
        <v>27</v>
      </c>
      <c r="I15" s="4533">
        <v>452</v>
      </c>
      <c r="J15" s="4534">
        <v>107</v>
      </c>
      <c r="K15" s="4535">
        <v>0</v>
      </c>
      <c r="L15" s="4536">
        <v>2</v>
      </c>
      <c r="M15" s="4537">
        <v>93</v>
      </c>
      <c r="N15" s="4538">
        <v>57</v>
      </c>
      <c r="O15" s="4539">
        <v>47</v>
      </c>
      <c r="P15" s="4540">
        <v>0.82456140350877194</v>
      </c>
      <c r="Q15" s="4541">
        <v>12</v>
      </c>
      <c r="R15" s="4542">
        <v>0.21052631578947367</v>
      </c>
      <c r="S15" s="4543">
        <v>9</v>
      </c>
      <c r="T15" s="4544">
        <v>0.15789473684210525</v>
      </c>
      <c r="U15" s="4545">
        <v>25</v>
      </c>
      <c r="V15" s="4546">
        <v>0.43859649122807015</v>
      </c>
      <c r="W15" s="4547">
        <v>0.24561403508771928</v>
      </c>
      <c r="X15" s="4548">
        <v>1</v>
      </c>
      <c r="Y15" s="4549">
        <v>1</v>
      </c>
      <c r="Z15" s="4550">
        <v>17</v>
      </c>
      <c r="AA15" s="4551">
        <v>5.8823529411764705E-2</v>
      </c>
      <c r="AB15" s="4552">
        <v>170.2</v>
      </c>
      <c r="AC15" s="4553">
        <v>65</v>
      </c>
      <c r="AD15" s="4554">
        <v>1</v>
      </c>
      <c r="AE15" s="4555">
        <v>15</v>
      </c>
      <c r="AF15" s="4556">
        <v>4</v>
      </c>
      <c r="AG15" s="4557">
        <v>0.73333333333333328</v>
      </c>
      <c r="AH15" s="4558">
        <v>11</v>
      </c>
      <c r="AI15" s="4559">
        <v>0.7857142857142857</v>
      </c>
      <c r="AJ15" s="4560">
        <v>0</v>
      </c>
      <c r="AK15" s="4561">
        <v>0</v>
      </c>
      <c r="AL15" s="4562">
        <v>15</v>
      </c>
      <c r="AM15" s="4563">
        <v>4</v>
      </c>
      <c r="AN15" s="4564">
        <v>0.26666666666666666</v>
      </c>
      <c r="AO15" s="4565">
        <v>13</v>
      </c>
      <c r="AP15" s="4566">
        <v>0.9285714285714286</v>
      </c>
      <c r="AQ15" s="4567">
        <v>11</v>
      </c>
      <c r="AR15" s="4568">
        <v>0.7857142857142857</v>
      </c>
      <c r="AS15" s="4569">
        <v>10.41</v>
      </c>
      <c r="AT15" s="4570">
        <v>1.29</v>
      </c>
      <c r="AU15" s="4571">
        <v>7.202342225113858</v>
      </c>
      <c r="AV15" s="4572">
        <v>5.5909090909090908</v>
      </c>
      <c r="AW15" s="4573">
        <v>0.8197787898503579</v>
      </c>
      <c r="AX15" s="4574">
        <v>1.5810019518542615</v>
      </c>
      <c r="AY15" s="4575">
        <v>26.467143786597269</v>
      </c>
      <c r="AZ15" s="4576">
        <v>6.265452179570592</v>
      </c>
      <c r="BA15" s="4577">
        <v>5.4456733897202341</v>
      </c>
      <c r="BB15" s="4578">
        <v>3.3376707872478857</v>
      </c>
      <c r="BC15" s="4579">
        <v>2.7521145087833441</v>
      </c>
      <c r="BD15" s="4580">
        <v>0.70266753415744954</v>
      </c>
      <c r="BE15" s="4581">
        <v>0.5270006506180871</v>
      </c>
      <c r="BF15" s="4582">
        <v>1.4638906961613531</v>
      </c>
      <c r="BG15" s="4583">
        <v>5.8555627846454135E-2</v>
      </c>
      <c r="BH15" s="4584">
        <v>5.8555627846454135E-2</v>
      </c>
      <c r="BI15" s="4585">
        <v>5.8555627846454135E-2</v>
      </c>
      <c r="BJ15" s="4586">
        <v>0.99544567338972012</v>
      </c>
      <c r="BK15" s="4587">
        <v>0.87833441769681198</v>
      </c>
      <c r="BL15" s="4588">
        <v>0.23422251138581654</v>
      </c>
      <c r="BM15" s="4589">
        <v>0.64411190631099546</v>
      </c>
      <c r="BN15" s="4590">
        <v>0.76122316200390372</v>
      </c>
      <c r="BO15" s="4591">
        <v>0.64411190631099546</v>
      </c>
      <c r="BP15" s="4592">
        <v>9.9661678594664913</v>
      </c>
      <c r="BQ15" s="4593">
        <v>0.47102147039687708</v>
      </c>
      <c r="BR15" s="4594">
        <v>0.10253090435914117</v>
      </c>
      <c r="BS15" s="4595">
        <v>2.191678594664932</v>
      </c>
      <c r="BT15" s="4596">
        <v>2.191678594664932</v>
      </c>
      <c r="BU15" s="4597">
        <v>0.6095640858815875</v>
      </c>
      <c r="BV15" s="4598">
        <v>7.5536759921925822E-2</v>
      </c>
      <c r="BW15" s="4599">
        <v>2.6648666232921276</v>
      </c>
      <c r="BX15" s="4600">
        <v>0.5683131217956543</v>
      </c>
      <c r="BY15" s="4601">
        <v>7.8503675758838654E-2</v>
      </c>
      <c r="BZ15" s="4602">
        <v>2.5087635144591331</v>
      </c>
    </row>
    <row r="16" spans="1:78" x14ac:dyDescent="0.3">
      <c r="A16" s="313" t="s">
        <v>83</v>
      </c>
      <c r="B16" s="314" t="s">
        <v>84</v>
      </c>
      <c r="C16" s="315">
        <v>4.6999998092651367</v>
      </c>
      <c r="D16" s="316">
        <v>889</v>
      </c>
      <c r="E16" s="317">
        <v>19</v>
      </c>
      <c r="F16" s="318">
        <v>65</v>
      </c>
      <c r="G16" s="319">
        <v>5</v>
      </c>
      <c r="H16" s="320">
        <v>9</v>
      </c>
      <c r="I16" s="321">
        <v>202</v>
      </c>
      <c r="J16" s="322">
        <v>55</v>
      </c>
      <c r="K16" s="323">
        <v>0</v>
      </c>
      <c r="L16" s="324">
        <v>3</v>
      </c>
      <c r="M16" s="325">
        <v>60</v>
      </c>
      <c r="N16" s="326">
        <v>27</v>
      </c>
      <c r="O16" s="327">
        <v>20</v>
      </c>
      <c r="P16" s="328">
        <v>0.7407407407407407</v>
      </c>
      <c r="Q16" s="329">
        <v>1</v>
      </c>
      <c r="R16" s="330">
        <v>3.7037037037037035E-2</v>
      </c>
      <c r="S16" s="331">
        <v>1</v>
      </c>
      <c r="T16" s="332">
        <v>3.7037037037037035E-2</v>
      </c>
      <c r="U16" s="333">
        <v>6</v>
      </c>
      <c r="V16" s="334">
        <v>0.22222222222222221</v>
      </c>
      <c r="W16" s="335">
        <v>0.18518518518518517</v>
      </c>
      <c r="X16" s="336">
        <v>3</v>
      </c>
      <c r="Y16" s="337">
        <v>3</v>
      </c>
      <c r="Z16" s="338">
        <v>10</v>
      </c>
      <c r="AA16" s="339">
        <v>0.3</v>
      </c>
      <c r="AB16" s="340">
        <v>76.5</v>
      </c>
      <c r="AC16" s="341">
        <v>57</v>
      </c>
      <c r="AD16" s="342">
        <v>5</v>
      </c>
      <c r="AE16" s="343">
        <v>7</v>
      </c>
      <c r="AF16" s="344">
        <v>4</v>
      </c>
      <c r="AG16" s="345">
        <v>0.42857142857142855</v>
      </c>
      <c r="AH16" s="346">
        <v>3</v>
      </c>
      <c r="AI16" s="347">
        <v>0.6</v>
      </c>
      <c r="AJ16" s="348">
        <v>0</v>
      </c>
      <c r="AK16" s="349">
        <v>0</v>
      </c>
      <c r="AL16" s="350">
        <v>7</v>
      </c>
      <c r="AM16" s="351">
        <v>4</v>
      </c>
      <c r="AN16" s="352">
        <v>0.5714285714285714</v>
      </c>
      <c r="AO16" s="353">
        <v>4</v>
      </c>
      <c r="AP16" s="354">
        <v>0.8</v>
      </c>
      <c r="AQ16" s="355">
        <v>2</v>
      </c>
      <c r="AR16" s="356">
        <v>0.4</v>
      </c>
      <c r="AS16" s="357">
        <v>3.51</v>
      </c>
      <c r="AT16" s="358">
        <v>0.94</v>
      </c>
      <c r="AU16" s="359">
        <v>6.5804274465691792</v>
      </c>
      <c r="AV16" s="360">
        <v>3.4210526315789473</v>
      </c>
      <c r="AW16" s="361">
        <v>0.50618672665916753</v>
      </c>
      <c r="AX16" s="362">
        <v>0.91113610798650169</v>
      </c>
      <c r="AY16" s="363">
        <v>20.449943757030372</v>
      </c>
      <c r="AZ16" s="364">
        <v>5.5680539932508433</v>
      </c>
      <c r="BA16" s="365">
        <v>6.0742407199100112</v>
      </c>
      <c r="BB16" s="366">
        <v>2.7334083239595048</v>
      </c>
      <c r="BC16" s="367">
        <v>2.0247469066366701</v>
      </c>
      <c r="BD16" s="368">
        <v>0.10123734533183353</v>
      </c>
      <c r="BE16" s="369">
        <v>0.10123734533183353</v>
      </c>
      <c r="BF16" s="370">
        <v>0.60742407199100112</v>
      </c>
      <c r="BG16" s="371">
        <v>0.30371203599550056</v>
      </c>
      <c r="BH16" s="372">
        <v>0.30371203599550056</v>
      </c>
      <c r="BI16" s="373">
        <v>0.50618672665916753</v>
      </c>
      <c r="BJ16" s="374">
        <v>1.0123734533183351</v>
      </c>
      <c r="BK16" s="375">
        <v>0.70866141732283461</v>
      </c>
      <c r="BL16" s="376">
        <v>0.4049493813273341</v>
      </c>
      <c r="BM16" s="377">
        <v>0.30371203599550056</v>
      </c>
      <c r="BN16" s="378">
        <v>0.4049493813273341</v>
      </c>
      <c r="BO16" s="379">
        <v>0.20247469066366705</v>
      </c>
      <c r="BP16" s="380">
        <v>7.7446569178852647</v>
      </c>
      <c r="BQ16" s="381">
        <v>0.35848143982002256</v>
      </c>
      <c r="BR16" s="382">
        <v>0.10427446569178851</v>
      </c>
      <c r="BS16" s="383">
        <v>1.7467491563554558</v>
      </c>
      <c r="BT16" s="384">
        <v>1.7467491563554558</v>
      </c>
      <c r="BU16" s="385">
        <v>0.35534308211473564</v>
      </c>
      <c r="BV16" s="386">
        <v>9.5163104611923496E-2</v>
      </c>
      <c r="BW16" s="387">
        <v>1.7068616422947129</v>
      </c>
      <c r="BX16" s="388">
        <v>0.41359826922416687</v>
      </c>
      <c r="BY16" s="389">
        <v>0.27526482939720154</v>
      </c>
      <c r="BZ16" s="390">
        <v>2.4801875650882721</v>
      </c>
    </row>
    <row r="17" spans="1:78" hidden="1" x14ac:dyDescent="0.3">
      <c r="A17" s="2419" t="s">
        <v>125</v>
      </c>
      <c r="B17" s="2420" t="s">
        <v>96</v>
      </c>
      <c r="C17" s="2421">
        <v>6.1999998092651367</v>
      </c>
      <c r="D17" s="2422">
        <v>1654</v>
      </c>
      <c r="E17" s="2423">
        <v>20</v>
      </c>
      <c r="F17" s="2424">
        <v>77</v>
      </c>
      <c r="G17" s="2425">
        <v>8</v>
      </c>
      <c r="H17" s="2426">
        <v>9</v>
      </c>
      <c r="I17" s="2427">
        <v>198</v>
      </c>
      <c r="J17" s="2428">
        <v>12</v>
      </c>
      <c r="K17" s="2429">
        <v>1</v>
      </c>
      <c r="L17" s="2430">
        <v>8</v>
      </c>
      <c r="M17" s="2431">
        <v>69</v>
      </c>
      <c r="N17" s="2432">
        <v>38</v>
      </c>
      <c r="O17" s="2433">
        <v>37</v>
      </c>
      <c r="P17" s="2434">
        <v>0.97368421052631582</v>
      </c>
      <c r="Q17" s="2435">
        <v>13</v>
      </c>
      <c r="R17" s="2436">
        <v>0.34210526315789475</v>
      </c>
      <c r="S17" s="2437">
        <v>14</v>
      </c>
      <c r="T17" s="2438">
        <v>0.36842105263157893</v>
      </c>
      <c r="U17" s="2439">
        <v>18</v>
      </c>
      <c r="V17" s="2440">
        <v>0.47368421052631576</v>
      </c>
      <c r="W17" s="2441">
        <v>0.21052631578947367</v>
      </c>
      <c r="X17" s="2442">
        <v>0</v>
      </c>
      <c r="Y17" s="2443">
        <v>0</v>
      </c>
      <c r="Z17" s="2444">
        <v>11</v>
      </c>
      <c r="AA17" s="2445">
        <v>0</v>
      </c>
      <c r="AB17" s="2446">
        <v>115.6</v>
      </c>
      <c r="AC17" s="2447">
        <v>44</v>
      </c>
      <c r="AD17" s="2448">
        <v>0</v>
      </c>
      <c r="AE17" s="2449">
        <v>22</v>
      </c>
      <c r="AF17" s="2450">
        <v>15</v>
      </c>
      <c r="AG17" s="2451">
        <v>0.31818181818181818</v>
      </c>
      <c r="AH17" s="2452">
        <v>7</v>
      </c>
      <c r="AI17" s="2453">
        <v>0.875</v>
      </c>
      <c r="AJ17" s="2454">
        <v>0</v>
      </c>
      <c r="AK17" s="2455">
        <v>0</v>
      </c>
      <c r="AL17" s="2456">
        <v>22</v>
      </c>
      <c r="AM17" s="2457">
        <v>15</v>
      </c>
      <c r="AN17" s="2458">
        <v>0.68181818181818177</v>
      </c>
      <c r="AO17" s="2459">
        <v>8</v>
      </c>
      <c r="AP17" s="2460">
        <v>1</v>
      </c>
      <c r="AQ17" s="2461">
        <v>5</v>
      </c>
      <c r="AR17" s="2462">
        <v>0.625</v>
      </c>
      <c r="AS17" s="2463">
        <v>9.56</v>
      </c>
      <c r="AT17" s="2464">
        <v>0.37</v>
      </c>
      <c r="AU17" s="2465">
        <v>4.1898428053204348</v>
      </c>
      <c r="AV17" s="2466">
        <v>3.85</v>
      </c>
      <c r="AW17" s="2467">
        <v>0.43530834340991531</v>
      </c>
      <c r="AX17" s="2468">
        <v>0.48972188633615482</v>
      </c>
      <c r="AY17" s="2469">
        <v>10.773881499395404</v>
      </c>
      <c r="AZ17" s="2470">
        <v>0.65296251511487302</v>
      </c>
      <c r="BA17" s="2471">
        <v>3.7545344619105201</v>
      </c>
      <c r="BB17" s="2472">
        <v>2.0677146311970978</v>
      </c>
      <c r="BC17" s="2473">
        <v>2.0133010882708584</v>
      </c>
      <c r="BD17" s="2474">
        <v>0.70737605804111248</v>
      </c>
      <c r="BE17" s="2475">
        <v>0.76178960096735193</v>
      </c>
      <c r="BF17" s="2476">
        <v>0.97944377267230964</v>
      </c>
      <c r="BG17" s="2477">
        <v>0</v>
      </c>
      <c r="BH17" s="2478">
        <v>0</v>
      </c>
      <c r="BI17" s="2479">
        <v>0</v>
      </c>
      <c r="BJ17" s="2480">
        <v>0.59854897218863357</v>
      </c>
      <c r="BK17" s="2481">
        <v>1.1970979443772671</v>
      </c>
      <c r="BL17" s="2482">
        <v>0.81620314389359139</v>
      </c>
      <c r="BM17" s="2483">
        <v>0.38089480048367597</v>
      </c>
      <c r="BN17" s="2484">
        <v>0.43530834340991531</v>
      </c>
      <c r="BO17" s="2485">
        <v>0.27206771463119711</v>
      </c>
      <c r="BP17" s="2486">
        <v>6.2902055622732771</v>
      </c>
      <c r="BQ17" s="2487">
        <v>0.32849455864570737</v>
      </c>
      <c r="BR17" s="2488">
        <v>6.1650544135429253E-2</v>
      </c>
      <c r="BS17" s="2489">
        <v>1.4989298669891173</v>
      </c>
      <c r="BT17" s="2490">
        <v>1.4989298669891173</v>
      </c>
      <c r="BU17" s="2491">
        <v>0.52019347037484887</v>
      </c>
      <c r="BV17" s="2492">
        <v>2.0133010882708587E-2</v>
      </c>
      <c r="BW17" s="2493">
        <v>2.1411729141475213</v>
      </c>
      <c r="BX17" s="2494">
        <v>0.60059791803359985</v>
      </c>
      <c r="BY17" s="2495">
        <v>2.2929761558771133E-2</v>
      </c>
      <c r="BZ17" s="2496">
        <v>2.4711809568107128</v>
      </c>
    </row>
    <row r="18" spans="1:78" hidden="1" x14ac:dyDescent="0.3">
      <c r="A18" s="1327" t="s">
        <v>106</v>
      </c>
      <c r="B18" s="1328" t="s">
        <v>107</v>
      </c>
      <c r="C18" s="1329">
        <v>5.6999998092651367</v>
      </c>
      <c r="D18" s="1330">
        <v>312</v>
      </c>
      <c r="E18" s="1331">
        <v>6</v>
      </c>
      <c r="F18" s="1332">
        <v>13</v>
      </c>
      <c r="G18" s="1333">
        <v>1</v>
      </c>
      <c r="H18" s="1334">
        <v>0</v>
      </c>
      <c r="I18" s="1335">
        <v>42</v>
      </c>
      <c r="J18" s="1336">
        <v>18</v>
      </c>
      <c r="K18" s="1337">
        <v>0</v>
      </c>
      <c r="L18" s="1338">
        <v>1</v>
      </c>
      <c r="M18" s="1339">
        <v>31</v>
      </c>
      <c r="N18" s="1340">
        <v>11</v>
      </c>
      <c r="O18" s="1341">
        <v>10</v>
      </c>
      <c r="P18" s="1342">
        <v>0.90909090909090906</v>
      </c>
      <c r="Q18" s="1343">
        <v>1</v>
      </c>
      <c r="R18" s="1344">
        <v>9.0909090909090912E-2</v>
      </c>
      <c r="S18" s="1345">
        <v>3</v>
      </c>
      <c r="T18" s="1346">
        <v>0.27272727272727271</v>
      </c>
      <c r="U18" s="1347">
        <v>3</v>
      </c>
      <c r="V18" s="1348">
        <v>0.27272727272727271</v>
      </c>
      <c r="W18" s="1349">
        <v>9.0909090909090912E-2</v>
      </c>
      <c r="X18" s="1350">
        <v>0</v>
      </c>
      <c r="Y18" s="1351">
        <v>0</v>
      </c>
      <c r="Z18" s="1352">
        <v>4</v>
      </c>
      <c r="AA18" s="1353">
        <v>0</v>
      </c>
      <c r="AB18" s="1354">
        <v>25.7</v>
      </c>
      <c r="AC18" s="1355">
        <v>50</v>
      </c>
      <c r="AD18" s="1356">
        <v>0</v>
      </c>
      <c r="AE18" s="1357">
        <v>1</v>
      </c>
      <c r="AF18" s="1358">
        <v>0</v>
      </c>
      <c r="AG18" s="1359">
        <v>1</v>
      </c>
      <c r="AH18" s="1360">
        <v>1</v>
      </c>
      <c r="AI18" s="1361">
        <v>1</v>
      </c>
      <c r="AJ18" s="1362">
        <v>0</v>
      </c>
      <c r="AK18" s="1363">
        <v>0</v>
      </c>
      <c r="AL18" s="1364">
        <v>1</v>
      </c>
      <c r="AM18" s="1365">
        <v>0</v>
      </c>
      <c r="AN18" s="1366">
        <v>0</v>
      </c>
      <c r="AO18" s="1367">
        <v>1</v>
      </c>
      <c r="AP18" s="1368">
        <v>1</v>
      </c>
      <c r="AQ18" s="1369">
        <v>1</v>
      </c>
      <c r="AR18" s="1370">
        <v>1</v>
      </c>
      <c r="AS18" s="1371">
        <v>0.95</v>
      </c>
      <c r="AT18" s="1372">
        <v>0.15</v>
      </c>
      <c r="AU18" s="1373">
        <v>3.75</v>
      </c>
      <c r="AV18" s="1374">
        <v>2.1666666666666665</v>
      </c>
      <c r="AW18" s="1375">
        <v>0.28846153846153844</v>
      </c>
      <c r="AX18" s="1376">
        <v>0</v>
      </c>
      <c r="AY18" s="1377">
        <v>12.115384615384615</v>
      </c>
      <c r="AZ18" s="1378">
        <v>5.1923076923076925</v>
      </c>
      <c r="BA18" s="1379">
        <v>8.9423076923076916</v>
      </c>
      <c r="BB18" s="1380">
        <v>3.1730769230769229</v>
      </c>
      <c r="BC18" s="1381">
        <v>2.8846153846153841</v>
      </c>
      <c r="BD18" s="1382">
        <v>0.28846153846153844</v>
      </c>
      <c r="BE18" s="1383">
        <v>0.86538461538461542</v>
      </c>
      <c r="BF18" s="1384">
        <v>0.86538461538461542</v>
      </c>
      <c r="BG18" s="1385">
        <v>0</v>
      </c>
      <c r="BH18" s="1386">
        <v>0</v>
      </c>
      <c r="BI18" s="1387">
        <v>0</v>
      </c>
      <c r="BJ18" s="1388">
        <v>1.1538461538461537</v>
      </c>
      <c r="BK18" s="1389">
        <v>0.28846153846153844</v>
      </c>
      <c r="BL18" s="1390">
        <v>0</v>
      </c>
      <c r="BM18" s="1391">
        <v>0.28846153846153844</v>
      </c>
      <c r="BN18" s="1392">
        <v>0.28846153846153844</v>
      </c>
      <c r="BO18" s="1393">
        <v>0.28846153846153844</v>
      </c>
      <c r="BP18" s="1394">
        <v>7.4134615384615383</v>
      </c>
      <c r="BQ18" s="1395">
        <v>0.47971153846153847</v>
      </c>
      <c r="BR18" s="1396">
        <v>0.11884615384615382</v>
      </c>
      <c r="BS18" s="1397">
        <v>2.2753846153846151</v>
      </c>
      <c r="BT18" s="1398">
        <v>2.2753846153846151</v>
      </c>
      <c r="BU18" s="1399">
        <v>0.27403846153846156</v>
      </c>
      <c r="BV18" s="1400">
        <v>4.3269230769230768E-2</v>
      </c>
      <c r="BW18" s="1401">
        <v>1.2259615384615385</v>
      </c>
      <c r="BX18" s="1402">
        <v>0.31399953365325928</v>
      </c>
      <c r="BY18" s="1403">
        <v>4.2895141988992691E-2</v>
      </c>
      <c r="BZ18" s="1404">
        <v>1.3846835605800152</v>
      </c>
    </row>
    <row r="19" spans="1:78" hidden="1" x14ac:dyDescent="0.3">
      <c r="A19" s="1405" t="s">
        <v>108</v>
      </c>
      <c r="B19" s="1406" t="s">
        <v>109</v>
      </c>
      <c r="C19" s="1407">
        <v>5.4000000953674316</v>
      </c>
      <c r="D19" s="1408">
        <v>417</v>
      </c>
      <c r="E19" s="1409">
        <v>14</v>
      </c>
      <c r="F19" s="1410">
        <v>17</v>
      </c>
      <c r="G19" s="1411">
        <v>0</v>
      </c>
      <c r="H19" s="1412">
        <v>0</v>
      </c>
      <c r="I19" s="1413">
        <v>17</v>
      </c>
      <c r="J19" s="1414">
        <v>17</v>
      </c>
      <c r="K19" s="1415">
        <v>0</v>
      </c>
      <c r="L19" s="1416">
        <v>2</v>
      </c>
      <c r="M19" s="1417">
        <v>20</v>
      </c>
      <c r="N19" s="1418">
        <v>9</v>
      </c>
      <c r="O19" s="1419">
        <v>7</v>
      </c>
      <c r="P19" s="1420">
        <v>0.77777777777777779</v>
      </c>
      <c r="Q19" s="1421">
        <v>1</v>
      </c>
      <c r="R19" s="1422">
        <v>0.1111111111111111</v>
      </c>
      <c r="S19" s="1423">
        <v>4</v>
      </c>
      <c r="T19" s="1424">
        <v>0.44444444444444442</v>
      </c>
      <c r="U19" s="1425">
        <v>3</v>
      </c>
      <c r="V19" s="1426">
        <v>0.33333333333333331</v>
      </c>
      <c r="W19" s="1427">
        <v>0</v>
      </c>
      <c r="X19" s="1428">
        <v>0</v>
      </c>
      <c r="Y19" s="1429">
        <v>0</v>
      </c>
      <c r="Z19" s="1430">
        <v>2</v>
      </c>
      <c r="AA19" s="1431">
        <v>0</v>
      </c>
      <c r="AB19" s="1432">
        <v>13.9</v>
      </c>
      <c r="AC19" s="1433">
        <v>0</v>
      </c>
      <c r="AD19" s="1434">
        <v>2</v>
      </c>
      <c r="AE19" s="1435">
        <v>3</v>
      </c>
      <c r="AF19" s="1436">
        <v>3</v>
      </c>
      <c r="AG19" s="1437">
        <v>0</v>
      </c>
      <c r="AH19" s="1438">
        <v>0</v>
      </c>
      <c r="AI19" s="1439">
        <v>0</v>
      </c>
      <c r="AJ19" s="1440">
        <v>0</v>
      </c>
      <c r="AK19" s="1441">
        <v>0</v>
      </c>
      <c r="AL19" s="1442">
        <v>3</v>
      </c>
      <c r="AM19" s="1443">
        <v>3</v>
      </c>
      <c r="AN19" s="1444">
        <v>1</v>
      </c>
      <c r="AO19" s="1445">
        <v>0</v>
      </c>
      <c r="AP19" s="1446">
        <v>0</v>
      </c>
      <c r="AQ19" s="1447">
        <v>0</v>
      </c>
      <c r="AR19" s="1448">
        <v>0</v>
      </c>
      <c r="AS19" s="1449">
        <v>1.43</v>
      </c>
      <c r="AT19" s="1450">
        <v>0.4</v>
      </c>
      <c r="AU19" s="1451">
        <v>3.6690647482014391</v>
      </c>
      <c r="AV19" s="1452">
        <v>1.2142857142857142</v>
      </c>
      <c r="AW19" s="1453">
        <v>0</v>
      </c>
      <c r="AX19" s="1454">
        <v>0</v>
      </c>
      <c r="AY19" s="1455">
        <v>3.6690647482014391</v>
      </c>
      <c r="AZ19" s="1456">
        <v>3.6690647482014391</v>
      </c>
      <c r="BA19" s="1457">
        <v>4.3165467625899279</v>
      </c>
      <c r="BB19" s="1458">
        <v>1.9424460431654678</v>
      </c>
      <c r="BC19" s="1459">
        <v>1.5107913669064748</v>
      </c>
      <c r="BD19" s="1460">
        <v>0.21582733812949639</v>
      </c>
      <c r="BE19" s="1461">
        <v>0.86330935251798557</v>
      </c>
      <c r="BF19" s="1462">
        <v>0.64748201438848929</v>
      </c>
      <c r="BG19" s="1463">
        <v>0</v>
      </c>
      <c r="BH19" s="1464">
        <v>0</v>
      </c>
      <c r="BI19" s="1465">
        <v>0.43165467625899279</v>
      </c>
      <c r="BJ19" s="1466">
        <v>0.43165467625899279</v>
      </c>
      <c r="BK19" s="1467">
        <v>0.64748201438848929</v>
      </c>
      <c r="BL19" s="1468">
        <v>0.64748201438848929</v>
      </c>
      <c r="BM19" s="1469">
        <v>0</v>
      </c>
      <c r="BN19" s="1470">
        <v>0</v>
      </c>
      <c r="BO19" s="1471">
        <v>0</v>
      </c>
      <c r="BP19" s="1472">
        <v>3</v>
      </c>
      <c r="BQ19" s="1473">
        <v>0.26330935251798565</v>
      </c>
      <c r="BR19" s="1474">
        <v>4.4460431654676252E-2</v>
      </c>
      <c r="BS19" s="1475">
        <v>1.1866187050359713</v>
      </c>
      <c r="BT19" s="1476">
        <v>1.1866187050359713</v>
      </c>
      <c r="BU19" s="1477">
        <v>0.30863309352517981</v>
      </c>
      <c r="BV19" s="1478">
        <v>8.6330935251798566E-2</v>
      </c>
      <c r="BW19" s="1479">
        <v>1.4935251798561149</v>
      </c>
      <c r="BX19" s="1480">
        <v>0.40450620651245117</v>
      </c>
      <c r="BY19" s="1481">
        <v>0.18209898471832275</v>
      </c>
      <c r="BZ19" s="1482">
        <v>2.1643217802047729</v>
      </c>
    </row>
    <row r="20" spans="1:78" hidden="1" x14ac:dyDescent="0.3">
      <c r="A20" s="3277" t="s">
        <v>137</v>
      </c>
      <c r="B20" s="3278" t="s">
        <v>100</v>
      </c>
      <c r="C20" s="3279">
        <v>7.5</v>
      </c>
      <c r="D20" s="3280">
        <v>1849</v>
      </c>
      <c r="E20" s="3281">
        <v>22</v>
      </c>
      <c r="F20" s="3282">
        <v>108</v>
      </c>
      <c r="G20" s="3283">
        <v>8</v>
      </c>
      <c r="H20" s="3284">
        <v>17</v>
      </c>
      <c r="I20" s="3285">
        <v>381</v>
      </c>
      <c r="J20" s="3286">
        <v>135</v>
      </c>
      <c r="K20" s="3287">
        <v>0</v>
      </c>
      <c r="L20" s="3288">
        <v>5</v>
      </c>
      <c r="M20" s="3289">
        <v>130</v>
      </c>
      <c r="N20" s="3290">
        <v>71</v>
      </c>
      <c r="O20" s="3291">
        <v>55</v>
      </c>
      <c r="P20" s="3292">
        <v>0.77464788732394363</v>
      </c>
      <c r="Q20" s="3293">
        <v>7</v>
      </c>
      <c r="R20" s="3294">
        <v>9.8591549295774641E-2</v>
      </c>
      <c r="S20" s="3295">
        <v>16</v>
      </c>
      <c r="T20" s="3296">
        <v>0.22535211267605634</v>
      </c>
      <c r="U20" s="3297">
        <v>25</v>
      </c>
      <c r="V20" s="3298">
        <v>0.352112676056338</v>
      </c>
      <c r="W20" s="3299">
        <v>0.11267605633802817</v>
      </c>
      <c r="X20" s="3300">
        <v>6</v>
      </c>
      <c r="Y20" s="3301">
        <v>6</v>
      </c>
      <c r="Z20" s="3302">
        <v>35</v>
      </c>
      <c r="AA20" s="3303">
        <v>0.17142857142857143</v>
      </c>
      <c r="AB20" s="3304">
        <v>200.1</v>
      </c>
      <c r="AC20" s="3305">
        <v>50</v>
      </c>
      <c r="AD20" s="3306">
        <v>11</v>
      </c>
      <c r="AE20" s="3307">
        <v>11</v>
      </c>
      <c r="AF20" s="3308">
        <v>5</v>
      </c>
      <c r="AG20" s="3309">
        <v>0.54545454545454541</v>
      </c>
      <c r="AH20" s="3310">
        <v>6</v>
      </c>
      <c r="AI20" s="3311">
        <v>0.75</v>
      </c>
      <c r="AJ20" s="3312">
        <v>2</v>
      </c>
      <c r="AK20" s="3313">
        <v>0</v>
      </c>
      <c r="AL20" s="3314">
        <v>9</v>
      </c>
      <c r="AM20" s="3315">
        <v>5</v>
      </c>
      <c r="AN20" s="3316">
        <v>0.55555555555555558</v>
      </c>
      <c r="AO20" s="3317">
        <v>8</v>
      </c>
      <c r="AP20" s="3318">
        <v>1</v>
      </c>
      <c r="AQ20" s="3319">
        <v>2</v>
      </c>
      <c r="AR20" s="3320">
        <v>0.25</v>
      </c>
      <c r="AS20" s="3321">
        <v>8.4700000000000006</v>
      </c>
      <c r="AT20" s="3322">
        <v>3.79</v>
      </c>
      <c r="AU20" s="3323">
        <v>5.2568956192536511</v>
      </c>
      <c r="AV20" s="3324">
        <v>4.9090909090909092</v>
      </c>
      <c r="AW20" s="3325">
        <v>0.38939967550027044</v>
      </c>
      <c r="AX20" s="3326">
        <v>0.82747431043807462</v>
      </c>
      <c r="AY20" s="3327">
        <v>18.545159545700379</v>
      </c>
      <c r="AZ20" s="3328">
        <v>6.5711195240670639</v>
      </c>
      <c r="BA20" s="3329">
        <v>6.3277447268793949</v>
      </c>
      <c r="BB20" s="3330">
        <v>3.4559221200649</v>
      </c>
      <c r="BC20" s="3331">
        <v>2.6771227690643591</v>
      </c>
      <c r="BD20" s="3332">
        <v>0.34072471606273663</v>
      </c>
      <c r="BE20" s="3333">
        <v>0.77879935100054087</v>
      </c>
      <c r="BF20" s="3334">
        <v>1.2168739859383451</v>
      </c>
      <c r="BG20" s="3335">
        <v>0.29204975662520283</v>
      </c>
      <c r="BH20" s="3336">
        <v>0.29204975662520283</v>
      </c>
      <c r="BI20" s="3337">
        <v>0.5354245538128718</v>
      </c>
      <c r="BJ20" s="3338">
        <v>1.703623580313683</v>
      </c>
      <c r="BK20" s="3339">
        <v>0.5354245538128718</v>
      </c>
      <c r="BL20" s="3340">
        <v>0.24337479718766902</v>
      </c>
      <c r="BM20" s="3341">
        <v>0.29204975662520283</v>
      </c>
      <c r="BN20" s="3342">
        <v>0.38939967550027044</v>
      </c>
      <c r="BO20" s="3343">
        <v>9.7349918875067609E-2</v>
      </c>
      <c r="BP20" s="3344">
        <v>9.7398593834505149</v>
      </c>
      <c r="BQ20" s="3345">
        <v>0.5244240129799892</v>
      </c>
      <c r="BR20" s="3346">
        <v>0.17547322877230934</v>
      </c>
      <c r="BS20" s="3347">
        <v>2.6241157382368847</v>
      </c>
      <c r="BT20" s="3348">
        <v>2.3320659816116818</v>
      </c>
      <c r="BU20" s="3349">
        <v>0.41227690643591136</v>
      </c>
      <c r="BV20" s="3350">
        <v>0.18447809626825312</v>
      </c>
      <c r="BW20" s="3351">
        <v>2.2025419145484051</v>
      </c>
      <c r="BX20" s="3352">
        <v>0.39545509219169617</v>
      </c>
      <c r="BY20" s="3353">
        <v>0.27534386515617371</v>
      </c>
      <c r="BZ20" s="3354">
        <v>2.4078519642353058</v>
      </c>
    </row>
    <row r="21" spans="1:78" hidden="1" x14ac:dyDescent="0.3">
      <c r="A21" s="1561" t="s">
        <v>111</v>
      </c>
      <c r="B21" s="1562" t="s">
        <v>91</v>
      </c>
      <c r="C21" s="1563">
        <v>5.3000001907348633</v>
      </c>
      <c r="D21" s="1564">
        <v>115</v>
      </c>
      <c r="E21" s="1565">
        <v>8</v>
      </c>
      <c r="F21" s="1566">
        <v>12</v>
      </c>
      <c r="G21" s="1567">
        <v>1</v>
      </c>
      <c r="H21" s="1568">
        <v>0</v>
      </c>
      <c r="I21" s="1569">
        <v>35</v>
      </c>
      <c r="J21" s="1570">
        <v>11</v>
      </c>
      <c r="K21" s="1571">
        <v>0</v>
      </c>
      <c r="L21" s="1572">
        <v>0</v>
      </c>
      <c r="M21" s="1573">
        <v>10</v>
      </c>
      <c r="N21" s="1574">
        <v>3</v>
      </c>
      <c r="O21" s="1575">
        <v>3</v>
      </c>
      <c r="P21" s="1576">
        <v>1</v>
      </c>
      <c r="Q21" s="1577">
        <v>1</v>
      </c>
      <c r="R21" s="1578">
        <v>0.33333333333333331</v>
      </c>
      <c r="S21" s="1579">
        <v>1</v>
      </c>
      <c r="T21" s="1580">
        <v>0.33333333333333331</v>
      </c>
      <c r="U21" s="1581">
        <v>1</v>
      </c>
      <c r="V21" s="1582">
        <v>0.33333333333333331</v>
      </c>
      <c r="W21" s="1583">
        <v>0.33333333333333331</v>
      </c>
      <c r="X21" s="1584">
        <v>0</v>
      </c>
      <c r="Y21" s="1585">
        <v>0</v>
      </c>
      <c r="Z21" s="1586">
        <v>0</v>
      </c>
      <c r="AA21" s="1587">
        <v>0</v>
      </c>
      <c r="AB21" s="1588">
        <v>8.1999999999999993</v>
      </c>
      <c r="AC21" s="1589">
        <v>100</v>
      </c>
      <c r="AD21" s="1590">
        <v>0</v>
      </c>
      <c r="AE21" s="1591">
        <v>2</v>
      </c>
      <c r="AF21" s="1592">
        <v>1</v>
      </c>
      <c r="AG21" s="1593">
        <v>0.5</v>
      </c>
      <c r="AH21" s="1594">
        <v>1</v>
      </c>
      <c r="AI21" s="1595">
        <v>1</v>
      </c>
      <c r="AJ21" s="1596">
        <v>0</v>
      </c>
      <c r="AK21" s="1597">
        <v>0</v>
      </c>
      <c r="AL21" s="1598">
        <v>2</v>
      </c>
      <c r="AM21" s="1599">
        <v>1</v>
      </c>
      <c r="AN21" s="1600">
        <v>0.5</v>
      </c>
      <c r="AO21" s="1601">
        <v>1</v>
      </c>
      <c r="AP21" s="1602">
        <v>1</v>
      </c>
      <c r="AQ21" s="1603">
        <v>1</v>
      </c>
      <c r="AR21" s="1604">
        <v>1</v>
      </c>
      <c r="AS21" s="1605">
        <v>1.08</v>
      </c>
      <c r="AT21" s="1606">
        <v>0.02</v>
      </c>
      <c r="AU21" s="1607">
        <v>9.391304347826086</v>
      </c>
      <c r="AV21" s="1608">
        <v>1.5</v>
      </c>
      <c r="AW21" s="1609">
        <v>0.78260869565217395</v>
      </c>
      <c r="AX21" s="1610">
        <v>0</v>
      </c>
      <c r="AY21" s="1611">
        <v>27.39130434782609</v>
      </c>
      <c r="AZ21" s="1612">
        <v>8.608695652173914</v>
      </c>
      <c r="BA21" s="1613">
        <v>7.8260869565217392</v>
      </c>
      <c r="BB21" s="1614">
        <v>2.3478260869565215</v>
      </c>
      <c r="BC21" s="1615">
        <v>2.3478260869565215</v>
      </c>
      <c r="BD21" s="1616">
        <v>0.78260869565217395</v>
      </c>
      <c r="BE21" s="1617">
        <v>0.78260869565217395</v>
      </c>
      <c r="BF21" s="1618">
        <v>0.78260869565217395</v>
      </c>
      <c r="BG21" s="1619">
        <v>0</v>
      </c>
      <c r="BH21" s="1620">
        <v>0</v>
      </c>
      <c r="BI21" s="1621">
        <v>0</v>
      </c>
      <c r="BJ21" s="1622">
        <v>0</v>
      </c>
      <c r="BK21" s="1623">
        <v>1.5652173913043479</v>
      </c>
      <c r="BL21" s="1624">
        <v>0.78260869565217395</v>
      </c>
      <c r="BM21" s="1625">
        <v>0.78260869565217395</v>
      </c>
      <c r="BN21" s="1626">
        <v>0.78260869565217395</v>
      </c>
      <c r="BO21" s="1627">
        <v>0.78260869565217395</v>
      </c>
      <c r="BP21" s="1628">
        <v>6.4173913043478255</v>
      </c>
      <c r="BQ21" s="1629">
        <v>0.3803478260869565</v>
      </c>
      <c r="BR21" s="1630">
        <v>0</v>
      </c>
      <c r="BS21" s="1631">
        <v>1.521391304347826</v>
      </c>
      <c r="BT21" s="1632">
        <v>1.521391304347826</v>
      </c>
      <c r="BU21" s="1633">
        <v>0.84521739130434781</v>
      </c>
      <c r="BV21" s="1634">
        <v>1.5652173913043479E-2</v>
      </c>
      <c r="BW21" s="1635">
        <v>3.4278260869565216</v>
      </c>
      <c r="BX21" s="1636">
        <v>0.80459964275360107</v>
      </c>
      <c r="BY21" s="1637">
        <v>0</v>
      </c>
      <c r="BZ21" s="1638">
        <v>3.2183985710144043</v>
      </c>
    </row>
    <row r="22" spans="1:78" x14ac:dyDescent="0.3">
      <c r="A22" s="3355" t="s">
        <v>138</v>
      </c>
      <c r="B22" s="3356" t="s">
        <v>98</v>
      </c>
      <c r="C22" s="3357">
        <v>4.5999999046325684</v>
      </c>
      <c r="D22" s="3358">
        <v>605</v>
      </c>
      <c r="E22" s="3359">
        <v>12</v>
      </c>
      <c r="F22" s="3360">
        <v>27</v>
      </c>
      <c r="G22" s="3361">
        <v>0</v>
      </c>
      <c r="H22" s="3362">
        <v>0</v>
      </c>
      <c r="I22" s="3363">
        <v>58</v>
      </c>
      <c r="J22" s="3364">
        <v>31</v>
      </c>
      <c r="K22" s="3365">
        <v>0</v>
      </c>
      <c r="L22" s="3366">
        <v>0</v>
      </c>
      <c r="M22" s="3367">
        <v>30</v>
      </c>
      <c r="N22" s="3368">
        <v>15</v>
      </c>
      <c r="O22" s="3369">
        <v>14</v>
      </c>
      <c r="P22" s="3370">
        <v>0.93333333333333335</v>
      </c>
      <c r="Q22" s="3371">
        <v>7</v>
      </c>
      <c r="R22" s="3372">
        <v>0.46666666666666667</v>
      </c>
      <c r="S22" s="3373">
        <v>7</v>
      </c>
      <c r="T22" s="3374">
        <v>0.46666666666666667</v>
      </c>
      <c r="U22" s="3375">
        <v>5</v>
      </c>
      <c r="V22" s="3376">
        <v>0.33333333333333331</v>
      </c>
      <c r="W22" s="3377">
        <v>0</v>
      </c>
      <c r="X22" s="3378">
        <v>2</v>
      </c>
      <c r="Y22" s="3379">
        <v>3</v>
      </c>
      <c r="Z22" s="3380">
        <v>10</v>
      </c>
      <c r="AA22" s="3381">
        <v>0.2</v>
      </c>
      <c r="AB22" s="3382">
        <v>45.4</v>
      </c>
      <c r="AC22" s="3383">
        <v>30</v>
      </c>
      <c r="AD22" s="3384">
        <v>2</v>
      </c>
      <c r="AE22" s="3385">
        <v>4</v>
      </c>
      <c r="AF22" s="3386">
        <v>4</v>
      </c>
      <c r="AG22" s="3387">
        <v>0</v>
      </c>
      <c r="AH22" s="3388">
        <v>0</v>
      </c>
      <c r="AI22" s="3389">
        <v>0</v>
      </c>
      <c r="AJ22" s="3390">
        <v>0</v>
      </c>
      <c r="AK22" s="3391">
        <v>0</v>
      </c>
      <c r="AL22" s="3392">
        <v>4</v>
      </c>
      <c r="AM22" s="3393">
        <v>4</v>
      </c>
      <c r="AN22" s="3394">
        <v>1</v>
      </c>
      <c r="AO22" s="3395">
        <v>0</v>
      </c>
      <c r="AP22" s="3396">
        <v>0</v>
      </c>
      <c r="AQ22" s="3397">
        <v>0</v>
      </c>
      <c r="AR22" s="3398">
        <v>0</v>
      </c>
      <c r="AS22" s="3399">
        <v>2.98</v>
      </c>
      <c r="AT22" s="3400">
        <v>0.28000000000000003</v>
      </c>
      <c r="AU22" s="3401">
        <v>4.0165289256198342</v>
      </c>
      <c r="AV22" s="3402">
        <v>2.25</v>
      </c>
      <c r="AW22" s="3403">
        <v>0</v>
      </c>
      <c r="AX22" s="3404">
        <v>0</v>
      </c>
      <c r="AY22" s="3405">
        <v>8.6280991735537196</v>
      </c>
      <c r="AZ22" s="3406">
        <v>4.6115702479338845</v>
      </c>
      <c r="BA22" s="3407">
        <v>4.4628099173553721</v>
      </c>
      <c r="BB22" s="3408">
        <v>2.2314049586776861</v>
      </c>
      <c r="BC22" s="3409">
        <v>2.0826446280991733</v>
      </c>
      <c r="BD22" s="3410">
        <v>1.0413223140495866</v>
      </c>
      <c r="BE22" s="3411">
        <v>1.0413223140495866</v>
      </c>
      <c r="BF22" s="3412">
        <v>0.74380165289256195</v>
      </c>
      <c r="BG22" s="3413">
        <v>0.2975206611570248</v>
      </c>
      <c r="BH22" s="3414">
        <v>0.4462809917355372</v>
      </c>
      <c r="BI22" s="3415">
        <v>0.2975206611570248</v>
      </c>
      <c r="BJ22" s="3416">
        <v>1.4876033057851239</v>
      </c>
      <c r="BK22" s="3417">
        <v>0.5950413223140496</v>
      </c>
      <c r="BL22" s="3418">
        <v>0.5950413223140496</v>
      </c>
      <c r="BM22" s="3419">
        <v>0</v>
      </c>
      <c r="BN22" s="3420">
        <v>0</v>
      </c>
      <c r="BO22" s="3421">
        <v>0</v>
      </c>
      <c r="BP22" s="3422">
        <v>6.7537190082644631</v>
      </c>
      <c r="BQ22" s="3423">
        <v>0.34378512396694222</v>
      </c>
      <c r="BR22" s="3424">
        <v>0.15322314049586774</v>
      </c>
      <c r="BS22" s="3425">
        <v>1.834809917355372</v>
      </c>
      <c r="BT22" s="3426">
        <v>1.834809917355372</v>
      </c>
      <c r="BU22" s="3427">
        <v>0.44330578512396696</v>
      </c>
      <c r="BV22" s="3428">
        <v>4.1652892561983478E-2</v>
      </c>
      <c r="BW22" s="3429">
        <v>1.8981818181818182</v>
      </c>
      <c r="BX22" s="3430">
        <v>0.36769434809684753</v>
      </c>
      <c r="BY22" s="3431">
        <v>0.27568340301513672</v>
      </c>
      <c r="BZ22" s="3432">
        <v>2.2978276014328003</v>
      </c>
    </row>
    <row r="23" spans="1:78" hidden="1" x14ac:dyDescent="0.3">
      <c r="A23" s="1717" t="s">
        <v>114</v>
      </c>
      <c r="B23" s="1718" t="s">
        <v>115</v>
      </c>
      <c r="C23" s="1719">
        <v>5.8000001907348633</v>
      </c>
      <c r="D23" s="1720">
        <v>210</v>
      </c>
      <c r="E23" s="1721">
        <v>5</v>
      </c>
      <c r="F23" s="1722">
        <v>7</v>
      </c>
      <c r="G23" s="1723">
        <v>0</v>
      </c>
      <c r="H23" s="1724">
        <v>0</v>
      </c>
      <c r="I23" s="1725">
        <v>13</v>
      </c>
      <c r="J23" s="1726">
        <v>13</v>
      </c>
      <c r="K23" s="1727">
        <v>0</v>
      </c>
      <c r="L23" s="1728">
        <v>1</v>
      </c>
      <c r="M23" s="1729">
        <v>9</v>
      </c>
      <c r="N23" s="1730">
        <v>5</v>
      </c>
      <c r="O23" s="1731">
        <v>4</v>
      </c>
      <c r="P23" s="1732">
        <v>0.8</v>
      </c>
      <c r="Q23" s="1733">
        <v>1</v>
      </c>
      <c r="R23" s="1734">
        <v>0.2</v>
      </c>
      <c r="S23" s="1735">
        <v>1</v>
      </c>
      <c r="T23" s="1736">
        <v>0.2</v>
      </c>
      <c r="U23" s="1737">
        <v>2</v>
      </c>
      <c r="V23" s="1738">
        <v>0.4</v>
      </c>
      <c r="W23" s="1739">
        <v>0</v>
      </c>
      <c r="X23" s="1740">
        <v>0</v>
      </c>
      <c r="Y23" s="1741">
        <v>0</v>
      </c>
      <c r="Z23" s="1742">
        <v>2</v>
      </c>
      <c r="AA23" s="1743">
        <v>0</v>
      </c>
      <c r="AB23" s="1744">
        <v>12.1</v>
      </c>
      <c r="AC23" s="1745">
        <v>0</v>
      </c>
      <c r="AD23" s="1746">
        <v>0</v>
      </c>
      <c r="AE23" s="1747">
        <v>1</v>
      </c>
      <c r="AF23" s="1748">
        <v>1</v>
      </c>
      <c r="AG23" s="1749">
        <v>0</v>
      </c>
      <c r="AH23" s="1750">
        <v>0</v>
      </c>
      <c r="AI23" s="1751">
        <v>0</v>
      </c>
      <c r="AJ23" s="1752">
        <v>0</v>
      </c>
      <c r="AK23" s="1753">
        <v>0</v>
      </c>
      <c r="AL23" s="1754">
        <v>1</v>
      </c>
      <c r="AM23" s="1755">
        <v>1</v>
      </c>
      <c r="AN23" s="1756">
        <v>1</v>
      </c>
      <c r="AO23" s="1757">
        <v>0</v>
      </c>
      <c r="AP23" s="1758">
        <v>0</v>
      </c>
      <c r="AQ23" s="1759">
        <v>0</v>
      </c>
      <c r="AR23" s="1760">
        <v>0</v>
      </c>
      <c r="AS23" s="1761">
        <v>0.77</v>
      </c>
      <c r="AT23" s="1762">
        <v>0.05</v>
      </c>
      <c r="AU23" s="1763">
        <v>3</v>
      </c>
      <c r="AV23" s="1764">
        <v>1.4</v>
      </c>
      <c r="AW23" s="1765">
        <v>0</v>
      </c>
      <c r="AX23" s="1766">
        <v>0</v>
      </c>
      <c r="AY23" s="1767">
        <v>5.5714285714285712</v>
      </c>
      <c r="AZ23" s="1768">
        <v>5.5714285714285712</v>
      </c>
      <c r="BA23" s="1769">
        <v>3.8571428571428572</v>
      </c>
      <c r="BB23" s="1770">
        <v>2.1428571428571428</v>
      </c>
      <c r="BC23" s="1771">
        <v>1.7142857142857144</v>
      </c>
      <c r="BD23" s="1772">
        <v>0.4285714285714286</v>
      </c>
      <c r="BE23" s="1773">
        <v>0.4285714285714286</v>
      </c>
      <c r="BF23" s="1774">
        <v>0.85714285714285721</v>
      </c>
      <c r="BG23" s="1775">
        <v>0</v>
      </c>
      <c r="BH23" s="1776">
        <v>0</v>
      </c>
      <c r="BI23" s="1777">
        <v>0</v>
      </c>
      <c r="BJ23" s="1778">
        <v>0.85714285714285721</v>
      </c>
      <c r="BK23" s="1779">
        <v>0.4285714285714286</v>
      </c>
      <c r="BL23" s="1780">
        <v>0.4285714285714286</v>
      </c>
      <c r="BM23" s="1781">
        <v>0</v>
      </c>
      <c r="BN23" s="1782">
        <v>0</v>
      </c>
      <c r="BO23" s="1783">
        <v>0</v>
      </c>
      <c r="BP23" s="1784">
        <v>5.1857142857142859</v>
      </c>
      <c r="BQ23" s="1785">
        <v>0.29614285714285715</v>
      </c>
      <c r="BR23" s="1786">
        <v>8.8285714285714287E-2</v>
      </c>
      <c r="BS23" s="1787">
        <v>1.4494285714285715</v>
      </c>
      <c r="BT23" s="1788">
        <v>1.4494285714285715</v>
      </c>
      <c r="BU23" s="1789">
        <v>0.33</v>
      </c>
      <c r="BV23" s="1790">
        <v>2.1428571428571429E-2</v>
      </c>
      <c r="BW23" s="1791">
        <v>1.3842857142857143</v>
      </c>
      <c r="BX23" s="1792">
        <v>0.27523231506347656</v>
      </c>
      <c r="BY23" s="1793">
        <v>1.5832407400012016E-2</v>
      </c>
      <c r="BZ23" s="1794">
        <v>1.1484264824539423</v>
      </c>
    </row>
    <row r="24" spans="1:78" hidden="1" x14ac:dyDescent="0.3">
      <c r="A24" s="1795" t="s">
        <v>116</v>
      </c>
      <c r="B24" s="1796" t="s">
        <v>113</v>
      </c>
      <c r="C24" s="1797">
        <v>6</v>
      </c>
      <c r="D24" s="1798">
        <v>107</v>
      </c>
      <c r="E24" s="1799">
        <v>2</v>
      </c>
      <c r="F24" s="1800">
        <v>9</v>
      </c>
      <c r="G24" s="1801">
        <v>1</v>
      </c>
      <c r="H24" s="1802">
        <v>2</v>
      </c>
      <c r="I24" s="1803">
        <v>27</v>
      </c>
      <c r="J24" s="1804">
        <v>3</v>
      </c>
      <c r="K24" s="1805">
        <v>0</v>
      </c>
      <c r="L24" s="1806">
        <v>0</v>
      </c>
      <c r="M24" s="1807">
        <v>4</v>
      </c>
      <c r="N24" s="1808">
        <v>3</v>
      </c>
      <c r="O24" s="1809">
        <v>2</v>
      </c>
      <c r="P24" s="1810">
        <v>0.66666666666666663</v>
      </c>
      <c r="Q24" s="1811">
        <v>0</v>
      </c>
      <c r="R24" s="1812">
        <v>0</v>
      </c>
      <c r="S24" s="1813">
        <v>0</v>
      </c>
      <c r="T24" s="1814">
        <v>0</v>
      </c>
      <c r="U24" s="1815">
        <v>2</v>
      </c>
      <c r="V24" s="1816">
        <v>0.66666666666666663</v>
      </c>
      <c r="W24" s="1817">
        <v>0.33333333333333331</v>
      </c>
      <c r="X24" s="1818">
        <v>0</v>
      </c>
      <c r="Y24" s="1819">
        <v>0</v>
      </c>
      <c r="Z24" s="1820">
        <v>0</v>
      </c>
      <c r="AA24" s="1821">
        <v>0</v>
      </c>
      <c r="AB24" s="1822">
        <v>7.7</v>
      </c>
      <c r="AC24" s="1823">
        <v>100</v>
      </c>
      <c r="AD24" s="1824">
        <v>0</v>
      </c>
      <c r="AE24" s="1825">
        <v>2</v>
      </c>
      <c r="AF24" s="1826">
        <v>1</v>
      </c>
      <c r="AG24" s="1827">
        <v>0.5</v>
      </c>
      <c r="AH24" s="1828">
        <v>1</v>
      </c>
      <c r="AI24" s="1829">
        <v>1</v>
      </c>
      <c r="AJ24" s="1830">
        <v>0</v>
      </c>
      <c r="AK24" s="1831">
        <v>0</v>
      </c>
      <c r="AL24" s="1832">
        <v>2</v>
      </c>
      <c r="AM24" s="1833">
        <v>1</v>
      </c>
      <c r="AN24" s="1834">
        <v>0.5</v>
      </c>
      <c r="AO24" s="1835">
        <v>1</v>
      </c>
      <c r="AP24" s="1836">
        <v>1</v>
      </c>
      <c r="AQ24" s="1837">
        <v>1</v>
      </c>
      <c r="AR24" s="1838">
        <v>1</v>
      </c>
      <c r="AS24" s="1839">
        <v>0.98</v>
      </c>
      <c r="AT24" s="1840">
        <v>0.04</v>
      </c>
      <c r="AU24" s="1841">
        <v>7.5700934579439245</v>
      </c>
      <c r="AV24" s="1842">
        <v>4.5</v>
      </c>
      <c r="AW24" s="1843">
        <v>0.84112149532710279</v>
      </c>
      <c r="AX24" s="1844">
        <v>1.6822429906542056</v>
      </c>
      <c r="AY24" s="1845">
        <v>22.710280373831772</v>
      </c>
      <c r="AZ24" s="1846">
        <v>2.5233644859813085</v>
      </c>
      <c r="BA24" s="1847">
        <v>3.3644859813084111</v>
      </c>
      <c r="BB24" s="1848">
        <v>2.5233644859813085</v>
      </c>
      <c r="BC24" s="1849">
        <v>1.6822429906542056</v>
      </c>
      <c r="BD24" s="1850">
        <v>0</v>
      </c>
      <c r="BE24" s="1851">
        <v>0</v>
      </c>
      <c r="BF24" s="1852">
        <v>1.6822429906542056</v>
      </c>
      <c r="BG24" s="1853">
        <v>0</v>
      </c>
      <c r="BH24" s="1854">
        <v>0</v>
      </c>
      <c r="BI24" s="1855">
        <v>0</v>
      </c>
      <c r="BJ24" s="1856">
        <v>0</v>
      </c>
      <c r="BK24" s="1857">
        <v>1.6822429906542056</v>
      </c>
      <c r="BL24" s="1858">
        <v>0.84112149532710279</v>
      </c>
      <c r="BM24" s="1859">
        <v>0.84112149532710279</v>
      </c>
      <c r="BN24" s="1860">
        <v>0.84112149532710279</v>
      </c>
      <c r="BO24" s="1861">
        <v>0.84112149532710279</v>
      </c>
      <c r="BP24" s="1862">
        <v>6.4766355140186915</v>
      </c>
      <c r="BQ24" s="1863">
        <v>0.30869158878504671</v>
      </c>
      <c r="BR24" s="1864">
        <v>0</v>
      </c>
      <c r="BS24" s="1865">
        <v>1.2347663551401868</v>
      </c>
      <c r="BT24" s="1866">
        <v>1.2347663551401868</v>
      </c>
      <c r="BU24" s="1867">
        <v>0.82429906542056075</v>
      </c>
      <c r="BV24" s="1868">
        <v>3.3644859813084113E-2</v>
      </c>
      <c r="BW24" s="1869">
        <v>3.3981308411214952</v>
      </c>
      <c r="BX24" s="1870">
        <v>0.74269753694534302</v>
      </c>
      <c r="BY24" s="1871">
        <v>0</v>
      </c>
      <c r="BZ24" s="1872">
        <v>2.9707901477813721</v>
      </c>
    </row>
    <row r="25" spans="1:78" hidden="1" x14ac:dyDescent="0.3">
      <c r="A25" s="1873" t="s">
        <v>117</v>
      </c>
      <c r="B25" s="1874" t="s">
        <v>118</v>
      </c>
      <c r="C25" s="1875">
        <v>6.4000000953674316</v>
      </c>
      <c r="D25" s="1876">
        <v>457</v>
      </c>
      <c r="E25" s="1877">
        <v>16</v>
      </c>
      <c r="F25" s="1878">
        <v>22</v>
      </c>
      <c r="G25" s="1879">
        <v>0</v>
      </c>
      <c r="H25" s="1880">
        <v>0</v>
      </c>
      <c r="I25" s="1881">
        <v>40</v>
      </c>
      <c r="J25" s="1882">
        <v>31</v>
      </c>
      <c r="K25" s="1883">
        <v>0</v>
      </c>
      <c r="L25" s="1884">
        <v>0</v>
      </c>
      <c r="M25" s="1885">
        <v>36</v>
      </c>
      <c r="N25" s="1886">
        <v>18</v>
      </c>
      <c r="O25" s="1887">
        <v>13</v>
      </c>
      <c r="P25" s="1888">
        <v>0.72222222222222221</v>
      </c>
      <c r="Q25" s="1889">
        <v>2</v>
      </c>
      <c r="R25" s="1890">
        <v>0.1111111111111111</v>
      </c>
      <c r="S25" s="1891">
        <v>4</v>
      </c>
      <c r="T25" s="1892">
        <v>0.22222222222222221</v>
      </c>
      <c r="U25" s="1893">
        <v>5</v>
      </c>
      <c r="V25" s="1894">
        <v>0.27777777777777779</v>
      </c>
      <c r="W25" s="1895">
        <v>0</v>
      </c>
      <c r="X25" s="1896">
        <v>1</v>
      </c>
      <c r="Y25" s="1897">
        <v>1</v>
      </c>
      <c r="Z25" s="1898">
        <v>5</v>
      </c>
      <c r="AA25" s="1899">
        <v>0.2</v>
      </c>
      <c r="AB25" s="1900">
        <v>34.6</v>
      </c>
      <c r="AC25" s="1901">
        <v>17</v>
      </c>
      <c r="AD25" s="1902">
        <v>3</v>
      </c>
      <c r="AE25" s="1903">
        <v>3</v>
      </c>
      <c r="AF25" s="1904">
        <v>3</v>
      </c>
      <c r="AG25" s="1905">
        <v>0</v>
      </c>
      <c r="AH25" s="1906">
        <v>0</v>
      </c>
      <c r="AI25" s="1907">
        <v>0</v>
      </c>
      <c r="AJ25" s="1908">
        <v>0</v>
      </c>
      <c r="AK25" s="1909">
        <v>0</v>
      </c>
      <c r="AL25" s="1910">
        <v>3</v>
      </c>
      <c r="AM25" s="1911">
        <v>3</v>
      </c>
      <c r="AN25" s="1912">
        <v>1</v>
      </c>
      <c r="AO25" s="1913">
        <v>0</v>
      </c>
      <c r="AP25" s="1914">
        <v>0</v>
      </c>
      <c r="AQ25" s="1915">
        <v>0</v>
      </c>
      <c r="AR25" s="1916">
        <v>0</v>
      </c>
      <c r="AS25" s="1917">
        <v>2.02</v>
      </c>
      <c r="AT25" s="1918">
        <v>0.37</v>
      </c>
      <c r="AU25" s="1919">
        <v>4.3326039387308537</v>
      </c>
      <c r="AV25" s="1920">
        <v>1.375</v>
      </c>
      <c r="AW25" s="1921">
        <v>0</v>
      </c>
      <c r="AX25" s="1922">
        <v>0</v>
      </c>
      <c r="AY25" s="1923">
        <v>7.8774617067833699</v>
      </c>
      <c r="AZ25" s="1924">
        <v>6.1050328227571118</v>
      </c>
      <c r="BA25" s="1925">
        <v>7.0897155361050332</v>
      </c>
      <c r="BB25" s="1926">
        <v>3.5448577680525166</v>
      </c>
      <c r="BC25" s="1927">
        <v>2.5601750547045952</v>
      </c>
      <c r="BD25" s="1928">
        <v>0.39387308533916848</v>
      </c>
      <c r="BE25" s="1929">
        <v>0.78774617067833697</v>
      </c>
      <c r="BF25" s="1930">
        <v>0.98468271334792123</v>
      </c>
      <c r="BG25" s="1931">
        <v>0.19693654266958424</v>
      </c>
      <c r="BH25" s="1932">
        <v>0.19693654266958424</v>
      </c>
      <c r="BI25" s="1933">
        <v>0.5908096280087527</v>
      </c>
      <c r="BJ25" s="1934">
        <v>0.98468271334792123</v>
      </c>
      <c r="BK25" s="1935">
        <v>0.5908096280087527</v>
      </c>
      <c r="BL25" s="1936">
        <v>0.5908096280087527</v>
      </c>
      <c r="BM25" s="1937">
        <v>0</v>
      </c>
      <c r="BN25" s="1938">
        <v>0</v>
      </c>
      <c r="BO25" s="1939">
        <v>0</v>
      </c>
      <c r="BP25" s="1940">
        <v>6.814004376367615</v>
      </c>
      <c r="BQ25" s="1941">
        <v>0.45708971553610495</v>
      </c>
      <c r="BR25" s="1942">
        <v>0.10142231947483588</v>
      </c>
      <c r="BS25" s="1943">
        <v>2.1326258205689275</v>
      </c>
      <c r="BT25" s="1944">
        <v>2.1326258205689275</v>
      </c>
      <c r="BU25" s="1945">
        <v>0.39781181619256012</v>
      </c>
      <c r="BV25" s="1946">
        <v>7.2866520787746178E-2</v>
      </c>
      <c r="BW25" s="1947">
        <v>1.8098468271334789</v>
      </c>
      <c r="BX25" s="1948">
        <v>0.43742138147354126</v>
      </c>
      <c r="BY25" s="1949">
        <v>0.27542853355407715</v>
      </c>
      <c r="BZ25" s="1950">
        <v>2.5759711265563965</v>
      </c>
    </row>
    <row r="26" spans="1:78" hidden="1" x14ac:dyDescent="0.3">
      <c r="A26" s="2185" t="s">
        <v>122</v>
      </c>
      <c r="B26" s="2186" t="s">
        <v>79</v>
      </c>
      <c r="C26" s="2187">
        <v>10.800000190734863</v>
      </c>
      <c r="D26" s="2188">
        <v>1945</v>
      </c>
      <c r="E26" s="2189">
        <v>22</v>
      </c>
      <c r="F26" s="2190">
        <v>127</v>
      </c>
      <c r="G26" s="2191">
        <v>14</v>
      </c>
      <c r="H26" s="2192">
        <v>24</v>
      </c>
      <c r="I26" s="2193">
        <v>484</v>
      </c>
      <c r="J26" s="2194">
        <v>121</v>
      </c>
      <c r="K26" s="2195">
        <v>0</v>
      </c>
      <c r="L26" s="2196">
        <v>4</v>
      </c>
      <c r="M26" s="2197">
        <v>102</v>
      </c>
      <c r="N26" s="2198">
        <v>55</v>
      </c>
      <c r="O26" s="2199">
        <v>41</v>
      </c>
      <c r="P26" s="2200">
        <v>0.74545454545454548</v>
      </c>
      <c r="Q26" s="2201">
        <v>5</v>
      </c>
      <c r="R26" s="2202">
        <v>9.0909090909090912E-2</v>
      </c>
      <c r="S26" s="2203">
        <v>4</v>
      </c>
      <c r="T26" s="2204">
        <v>7.2727272727272724E-2</v>
      </c>
      <c r="U26" s="2205">
        <v>22</v>
      </c>
      <c r="V26" s="2206">
        <v>0.4</v>
      </c>
      <c r="W26" s="2207">
        <v>0.25454545454545452</v>
      </c>
      <c r="X26" s="2208">
        <v>1</v>
      </c>
      <c r="Y26" s="2209">
        <v>3</v>
      </c>
      <c r="Z26" s="2210">
        <v>16</v>
      </c>
      <c r="AA26" s="2211">
        <v>6.25E-2</v>
      </c>
      <c r="AB26" s="2212">
        <v>172.9</v>
      </c>
      <c r="AC26" s="2213">
        <v>59</v>
      </c>
      <c r="AD26" s="2214">
        <v>4</v>
      </c>
      <c r="AE26" s="2215">
        <v>17</v>
      </c>
      <c r="AF26" s="2216">
        <v>6</v>
      </c>
      <c r="AG26" s="2217">
        <v>0.6470588235294118</v>
      </c>
      <c r="AH26" s="2218">
        <v>11</v>
      </c>
      <c r="AI26" s="2219">
        <v>0.7857142857142857</v>
      </c>
      <c r="AJ26" s="2220">
        <v>1</v>
      </c>
      <c r="AK26" s="2221">
        <v>0</v>
      </c>
      <c r="AL26" s="2222">
        <v>16</v>
      </c>
      <c r="AM26" s="2223">
        <v>6</v>
      </c>
      <c r="AN26" s="2224">
        <v>0.375</v>
      </c>
      <c r="AO26" s="2225">
        <v>12</v>
      </c>
      <c r="AP26" s="2226">
        <v>0.8571428571428571</v>
      </c>
      <c r="AQ26" s="2227">
        <v>9</v>
      </c>
      <c r="AR26" s="2228">
        <v>0.6428571428571429</v>
      </c>
      <c r="AS26" s="2229">
        <v>8.81</v>
      </c>
      <c r="AT26" s="2230">
        <v>2.83</v>
      </c>
      <c r="AU26" s="2231">
        <v>5.8766066838046269</v>
      </c>
      <c r="AV26" s="2232">
        <v>5.7727272727272725</v>
      </c>
      <c r="AW26" s="2233">
        <v>0.64781491002570701</v>
      </c>
      <c r="AX26" s="2234">
        <v>1.1105398457583548</v>
      </c>
      <c r="AY26" s="2235">
        <v>22.395886889460154</v>
      </c>
      <c r="AZ26" s="2236">
        <v>5.5989717223650386</v>
      </c>
      <c r="BA26" s="2237">
        <v>4.7197943444730077</v>
      </c>
      <c r="BB26" s="2238">
        <v>2.544987146529563</v>
      </c>
      <c r="BC26" s="2239">
        <v>1.8971722365038561</v>
      </c>
      <c r="BD26" s="2240">
        <v>0.23136246786632389</v>
      </c>
      <c r="BE26" s="2241">
        <v>0.18508997429305912</v>
      </c>
      <c r="BF26" s="2242">
        <v>1.0179948586118253</v>
      </c>
      <c r="BG26" s="2243">
        <v>4.6272493573264781E-2</v>
      </c>
      <c r="BH26" s="2244">
        <v>0.13881748071979436</v>
      </c>
      <c r="BI26" s="2245">
        <v>0.18508997429305912</v>
      </c>
      <c r="BJ26" s="2246">
        <v>0.74035989717223649</v>
      </c>
      <c r="BK26" s="2247">
        <v>0.7866323907455014</v>
      </c>
      <c r="BL26" s="2248">
        <v>0.27763496143958871</v>
      </c>
      <c r="BM26" s="2249">
        <v>0.50899742930591263</v>
      </c>
      <c r="BN26" s="2250">
        <v>0.55526992287917742</v>
      </c>
      <c r="BO26" s="2251">
        <v>0.41645244215938304</v>
      </c>
      <c r="BP26" s="2252">
        <v>8.000514138817481</v>
      </c>
      <c r="BQ26" s="2253">
        <v>0.36240616966580974</v>
      </c>
      <c r="BR26" s="2254">
        <v>7.6257069408740358E-2</v>
      </c>
      <c r="BS26" s="2255">
        <v>1.67839588688946</v>
      </c>
      <c r="BT26" s="2256">
        <v>1.5395784061696656</v>
      </c>
      <c r="BU26" s="2257">
        <v>0.40766066838046272</v>
      </c>
      <c r="BV26" s="2258">
        <v>0.13095115681233932</v>
      </c>
      <c r="BW26" s="2259">
        <v>2.023496143958869</v>
      </c>
      <c r="BX26" s="2260">
        <v>0.47314897179603577</v>
      </c>
      <c r="BY26" s="2261">
        <v>0.12468798458576202</v>
      </c>
      <c r="BZ26" s="2262">
        <v>2.2666598409414291</v>
      </c>
    </row>
    <row r="27" spans="1:78" hidden="1" x14ac:dyDescent="0.3">
      <c r="A27" s="2029" t="s">
        <v>120</v>
      </c>
      <c r="B27" s="2030" t="s">
        <v>109</v>
      </c>
      <c r="C27" s="2031">
        <v>5.1999998092651367</v>
      </c>
      <c r="D27" s="2032">
        <v>86</v>
      </c>
      <c r="E27" s="2033">
        <v>2</v>
      </c>
      <c r="F27" s="2034">
        <v>3</v>
      </c>
      <c r="G27" s="2035">
        <v>0</v>
      </c>
      <c r="H27" s="2036">
        <v>0</v>
      </c>
      <c r="I27" s="2037">
        <v>5</v>
      </c>
      <c r="J27" s="2038">
        <v>5</v>
      </c>
      <c r="K27" s="2039">
        <v>0</v>
      </c>
      <c r="L27" s="2040">
        <v>1</v>
      </c>
      <c r="M27" s="2041">
        <v>5</v>
      </c>
      <c r="N27" s="2042">
        <v>2</v>
      </c>
      <c r="O27" s="2043">
        <v>2</v>
      </c>
      <c r="P27" s="2044">
        <v>1</v>
      </c>
      <c r="Q27" s="2045">
        <v>1</v>
      </c>
      <c r="R27" s="2046">
        <v>0.5</v>
      </c>
      <c r="S27" s="2047">
        <v>0</v>
      </c>
      <c r="T27" s="2048">
        <v>0</v>
      </c>
      <c r="U27" s="2049">
        <v>1</v>
      </c>
      <c r="V27" s="2050">
        <v>0.5</v>
      </c>
      <c r="W27" s="2051">
        <v>0</v>
      </c>
      <c r="X27" s="2052">
        <v>0</v>
      </c>
      <c r="Y27" s="2053">
        <v>0</v>
      </c>
      <c r="Z27" s="2054">
        <v>0</v>
      </c>
      <c r="AA27" s="2055">
        <v>0</v>
      </c>
      <c r="AB27" s="2056">
        <v>3.3</v>
      </c>
      <c r="AC27" s="2057">
        <v>0</v>
      </c>
      <c r="AD27" s="2058">
        <v>0</v>
      </c>
      <c r="AE27" s="2059">
        <v>1</v>
      </c>
      <c r="AF27" s="2060">
        <v>1</v>
      </c>
      <c r="AG27" s="2061">
        <v>0</v>
      </c>
      <c r="AH27" s="2062">
        <v>0</v>
      </c>
      <c r="AI27" s="2063">
        <v>0</v>
      </c>
      <c r="AJ27" s="2064">
        <v>0</v>
      </c>
      <c r="AK27" s="2065">
        <v>0</v>
      </c>
      <c r="AL27" s="2066">
        <v>1</v>
      </c>
      <c r="AM27" s="2067">
        <v>1</v>
      </c>
      <c r="AN27" s="2068">
        <v>1</v>
      </c>
      <c r="AO27" s="2069">
        <v>0</v>
      </c>
      <c r="AP27" s="2070">
        <v>0</v>
      </c>
      <c r="AQ27" s="2071">
        <v>0</v>
      </c>
      <c r="AR27" s="2072">
        <v>0</v>
      </c>
      <c r="AS27" s="2073">
        <v>0.26</v>
      </c>
      <c r="AT27" s="2074">
        <v>0.02</v>
      </c>
      <c r="AU27" s="2075">
        <v>3.13953488372093</v>
      </c>
      <c r="AV27" s="2076">
        <v>1.5</v>
      </c>
      <c r="AW27" s="2077">
        <v>0</v>
      </c>
      <c r="AX27" s="2078">
        <v>0</v>
      </c>
      <c r="AY27" s="2079">
        <v>5.2325581395348832</v>
      </c>
      <c r="AZ27" s="2080">
        <v>5.2325581395348832</v>
      </c>
      <c r="BA27" s="2081">
        <v>5.2325581395348832</v>
      </c>
      <c r="BB27" s="2082">
        <v>2.0930232558139537</v>
      </c>
      <c r="BC27" s="2083">
        <v>2.0930232558139537</v>
      </c>
      <c r="BD27" s="2084">
        <v>1.0465116279069768</v>
      </c>
      <c r="BE27" s="2085">
        <v>0</v>
      </c>
      <c r="BF27" s="2086">
        <v>1.0465116279069768</v>
      </c>
      <c r="BG27" s="2087">
        <v>0</v>
      </c>
      <c r="BH27" s="2088">
        <v>0</v>
      </c>
      <c r="BI27" s="2089">
        <v>0</v>
      </c>
      <c r="BJ27" s="2090">
        <v>0</v>
      </c>
      <c r="BK27" s="2091">
        <v>1.0465116279069768</v>
      </c>
      <c r="BL27" s="2092">
        <v>1.0465116279069768</v>
      </c>
      <c r="BM27" s="2093">
        <v>0</v>
      </c>
      <c r="BN27" s="2094">
        <v>0</v>
      </c>
      <c r="BO27" s="2095">
        <v>0</v>
      </c>
      <c r="BP27" s="2096">
        <v>3.4534883720930227</v>
      </c>
      <c r="BQ27" s="2097">
        <v>0.33906976744186051</v>
      </c>
      <c r="BR27" s="2098">
        <v>0</v>
      </c>
      <c r="BS27" s="2099">
        <v>1.3562790697674421</v>
      </c>
      <c r="BT27" s="2100">
        <v>1.3562790697674421</v>
      </c>
      <c r="BU27" s="2101">
        <v>0.27209302325581397</v>
      </c>
      <c r="BV27" s="2102">
        <v>2.0930232558139535E-2</v>
      </c>
      <c r="BW27" s="2103">
        <v>1.1511627906976745</v>
      </c>
      <c r="BX27" s="2104">
        <v>0.42825189232826233</v>
      </c>
      <c r="BY27" s="2105">
        <v>0</v>
      </c>
      <c r="BZ27" s="2106">
        <v>1.7130075693130493</v>
      </c>
    </row>
    <row r="28" spans="1:78" x14ac:dyDescent="0.3">
      <c r="A28" s="2263" t="s">
        <v>123</v>
      </c>
      <c r="B28" s="2264" t="s">
        <v>118</v>
      </c>
      <c r="C28" s="2265">
        <v>5.9000000953674316</v>
      </c>
      <c r="D28" s="2266">
        <v>1313</v>
      </c>
      <c r="E28" s="2267">
        <v>20</v>
      </c>
      <c r="F28" s="2268">
        <v>70</v>
      </c>
      <c r="G28" s="2269">
        <v>8</v>
      </c>
      <c r="H28" s="2270">
        <v>9</v>
      </c>
      <c r="I28" s="2271">
        <v>244</v>
      </c>
      <c r="J28" s="2272">
        <v>52</v>
      </c>
      <c r="K28" s="2273">
        <v>0</v>
      </c>
      <c r="L28" s="2274">
        <v>5</v>
      </c>
      <c r="M28" s="2275">
        <v>74</v>
      </c>
      <c r="N28" s="2276">
        <v>40</v>
      </c>
      <c r="O28" s="2277">
        <v>35</v>
      </c>
      <c r="P28" s="2278">
        <v>0.875</v>
      </c>
      <c r="Q28" s="2279">
        <v>7</v>
      </c>
      <c r="R28" s="2280">
        <v>0.17499999999999999</v>
      </c>
      <c r="S28" s="2281">
        <v>13</v>
      </c>
      <c r="T28" s="2282">
        <v>0.32500000000000001</v>
      </c>
      <c r="U28" s="2283">
        <v>18</v>
      </c>
      <c r="V28" s="2284">
        <v>0.45</v>
      </c>
      <c r="W28" s="2285">
        <v>0.2</v>
      </c>
      <c r="X28" s="2286">
        <v>0</v>
      </c>
      <c r="Y28" s="2287">
        <v>0</v>
      </c>
      <c r="Z28" s="2288">
        <v>9</v>
      </c>
      <c r="AA28" s="2289">
        <v>0</v>
      </c>
      <c r="AB28" s="2290">
        <v>110.4</v>
      </c>
      <c r="AC28" s="2291">
        <v>42</v>
      </c>
      <c r="AD28" s="2292">
        <v>1</v>
      </c>
      <c r="AE28" s="2293">
        <v>13</v>
      </c>
      <c r="AF28" s="2294">
        <v>6</v>
      </c>
      <c r="AG28" s="2295">
        <v>0.53846153846153844</v>
      </c>
      <c r="AH28" s="2296">
        <v>7</v>
      </c>
      <c r="AI28" s="2297">
        <v>0.875</v>
      </c>
      <c r="AJ28" s="2298">
        <v>0</v>
      </c>
      <c r="AK28" s="2299">
        <v>0</v>
      </c>
      <c r="AL28" s="2300">
        <v>13</v>
      </c>
      <c r="AM28" s="2301">
        <v>6</v>
      </c>
      <c r="AN28" s="2302">
        <v>0.46153846153846156</v>
      </c>
      <c r="AO28" s="2303">
        <v>8</v>
      </c>
      <c r="AP28" s="2304">
        <v>1</v>
      </c>
      <c r="AQ28" s="2305">
        <v>6</v>
      </c>
      <c r="AR28" s="2306">
        <v>0.75</v>
      </c>
      <c r="AS28" s="2307">
        <v>7.8</v>
      </c>
      <c r="AT28" s="2308">
        <v>0.43</v>
      </c>
      <c r="AU28" s="2309">
        <v>4.7981721249047986</v>
      </c>
      <c r="AV28" s="2310">
        <v>3.5</v>
      </c>
      <c r="AW28" s="2311">
        <v>0.54836252856054835</v>
      </c>
      <c r="AX28" s="2312">
        <v>0.61690784463061688</v>
      </c>
      <c r="AY28" s="2313">
        <v>16.725057121096725</v>
      </c>
      <c r="AZ28" s="2314">
        <v>3.5643564356435644</v>
      </c>
      <c r="BA28" s="2315">
        <v>5.0723533891850723</v>
      </c>
      <c r="BB28" s="2316">
        <v>2.7418126428027416</v>
      </c>
      <c r="BC28" s="2317">
        <v>2.3990860624523993</v>
      </c>
      <c r="BD28" s="2318">
        <v>0.47981721249047982</v>
      </c>
      <c r="BE28" s="2319">
        <v>0.8910891089108911</v>
      </c>
      <c r="BF28" s="2320">
        <v>1.2338156892612338</v>
      </c>
      <c r="BG28" s="2321">
        <v>0</v>
      </c>
      <c r="BH28" s="2322">
        <v>0</v>
      </c>
      <c r="BI28" s="2323">
        <v>6.8545316070068543E-2</v>
      </c>
      <c r="BJ28" s="2324">
        <v>0.61690784463061688</v>
      </c>
      <c r="BK28" s="2325">
        <v>0.8910891089108911</v>
      </c>
      <c r="BL28" s="2326">
        <v>0.41127189642041129</v>
      </c>
      <c r="BM28" s="2327">
        <v>0.47981721249047982</v>
      </c>
      <c r="BN28" s="2328">
        <v>0.54836252856054835</v>
      </c>
      <c r="BO28" s="2329">
        <v>0.41127189642041129</v>
      </c>
      <c r="BP28" s="2330">
        <v>7.5674028941355678</v>
      </c>
      <c r="BQ28" s="2331">
        <v>0.40338918507235338</v>
      </c>
      <c r="BR28" s="2332">
        <v>6.3541507996953531E-2</v>
      </c>
      <c r="BS28" s="2333">
        <v>1.8041812642802741</v>
      </c>
      <c r="BT28" s="2334">
        <v>1.8041812642802741</v>
      </c>
      <c r="BU28" s="2335">
        <v>0.53465346534653468</v>
      </c>
      <c r="BV28" s="2336">
        <v>2.9474485910129473E-2</v>
      </c>
      <c r="BW28" s="2337">
        <v>2.2270373191165271</v>
      </c>
      <c r="BX28" s="2338">
        <v>0.50804394483566284</v>
      </c>
      <c r="BY28" s="2339">
        <v>6.0491140931844711E-2</v>
      </c>
      <c r="BZ28" s="2340">
        <v>2.2136492021381855</v>
      </c>
    </row>
    <row r="29" spans="1:78" x14ac:dyDescent="0.3">
      <c r="A29" s="3745" t="s">
        <v>143</v>
      </c>
      <c r="B29" s="3746" t="s">
        <v>84</v>
      </c>
      <c r="C29" s="3747">
        <v>5.4000000953674316</v>
      </c>
      <c r="D29" s="3748">
        <v>1324</v>
      </c>
      <c r="E29" s="3749">
        <v>19</v>
      </c>
      <c r="F29" s="3750">
        <v>40</v>
      </c>
      <c r="G29" s="3751">
        <v>0</v>
      </c>
      <c r="H29" s="3752">
        <v>3</v>
      </c>
      <c r="I29" s="3753">
        <v>100</v>
      </c>
      <c r="J29" s="3754">
        <v>82</v>
      </c>
      <c r="K29" s="3755">
        <v>0</v>
      </c>
      <c r="L29" s="3756">
        <v>5</v>
      </c>
      <c r="M29" s="3757">
        <v>50</v>
      </c>
      <c r="N29" s="3758">
        <v>36</v>
      </c>
      <c r="O29" s="3759">
        <v>26</v>
      </c>
      <c r="P29" s="3760">
        <v>0.72222222222222221</v>
      </c>
      <c r="Q29" s="3761">
        <v>5</v>
      </c>
      <c r="R29" s="3762">
        <v>0.1388888888888889</v>
      </c>
      <c r="S29" s="3763">
        <v>6</v>
      </c>
      <c r="T29" s="3764">
        <v>0.16666666666666666</v>
      </c>
      <c r="U29" s="3765">
        <v>17</v>
      </c>
      <c r="V29" s="3766">
        <v>0.47222222222222221</v>
      </c>
      <c r="W29" s="3767">
        <v>0</v>
      </c>
      <c r="X29" s="3768">
        <v>2</v>
      </c>
      <c r="Y29" s="3769">
        <v>2</v>
      </c>
      <c r="Z29" s="3770">
        <v>11</v>
      </c>
      <c r="AA29" s="3771">
        <v>0.18181818181818182</v>
      </c>
      <c r="AB29" s="3772">
        <v>82.3</v>
      </c>
      <c r="AC29" s="3773">
        <v>11</v>
      </c>
      <c r="AD29" s="3774">
        <v>2</v>
      </c>
      <c r="AE29" s="3775">
        <v>15</v>
      </c>
      <c r="AF29" s="3776">
        <v>15</v>
      </c>
      <c r="AG29" s="3777">
        <v>0</v>
      </c>
      <c r="AH29" s="3778">
        <v>0</v>
      </c>
      <c r="AI29" s="3779">
        <v>0</v>
      </c>
      <c r="AJ29" s="3780">
        <v>0</v>
      </c>
      <c r="AK29" s="3781">
        <v>0</v>
      </c>
      <c r="AL29" s="3782">
        <v>15</v>
      </c>
      <c r="AM29" s="3783">
        <v>15</v>
      </c>
      <c r="AN29" s="3784">
        <v>1</v>
      </c>
      <c r="AO29" s="3785">
        <v>0</v>
      </c>
      <c r="AP29" s="3786">
        <v>0</v>
      </c>
      <c r="AQ29" s="3787">
        <v>0</v>
      </c>
      <c r="AR29" s="3788">
        <v>0</v>
      </c>
      <c r="AS29" s="3789">
        <v>6.22</v>
      </c>
      <c r="AT29" s="3790">
        <v>0.88</v>
      </c>
      <c r="AU29" s="3791">
        <v>2.7190332326283988</v>
      </c>
      <c r="AV29" s="3792">
        <v>2.1052631578947367</v>
      </c>
      <c r="AW29" s="3793">
        <v>0</v>
      </c>
      <c r="AX29" s="3794">
        <v>0.20392749244712993</v>
      </c>
      <c r="AY29" s="3795">
        <v>6.7975830815709966</v>
      </c>
      <c r="AZ29" s="3796">
        <v>5.574018126888217</v>
      </c>
      <c r="BA29" s="3797">
        <v>3.3987915407854983</v>
      </c>
      <c r="BB29" s="3798">
        <v>2.4471299093655587</v>
      </c>
      <c r="BC29" s="3799">
        <v>1.7673716012084593</v>
      </c>
      <c r="BD29" s="3800">
        <v>0.33987915407854985</v>
      </c>
      <c r="BE29" s="3801">
        <v>0.40785498489425986</v>
      </c>
      <c r="BF29" s="3802">
        <v>1.1555891238670695</v>
      </c>
      <c r="BG29" s="3803">
        <v>0.13595166163141995</v>
      </c>
      <c r="BH29" s="3804">
        <v>0.13595166163141995</v>
      </c>
      <c r="BI29" s="3805">
        <v>0.13595166163141995</v>
      </c>
      <c r="BJ29" s="3806">
        <v>0.74773413897280971</v>
      </c>
      <c r="BK29" s="3807">
        <v>1.0196374622356494</v>
      </c>
      <c r="BL29" s="3808">
        <v>1.0196374622356494</v>
      </c>
      <c r="BM29" s="3809">
        <v>0</v>
      </c>
      <c r="BN29" s="3810">
        <v>0</v>
      </c>
      <c r="BO29" s="3811">
        <v>0</v>
      </c>
      <c r="BP29" s="3812">
        <v>5.5944108761329305</v>
      </c>
      <c r="BQ29" s="3813">
        <v>0.31554380664652565</v>
      </c>
      <c r="BR29" s="3814">
        <v>7.7016616314199399E-2</v>
      </c>
      <c r="BS29" s="3815">
        <v>1.4932250755287009</v>
      </c>
      <c r="BT29" s="3816">
        <v>1.4932250755287009</v>
      </c>
      <c r="BU29" s="3817">
        <v>0.42280966767371597</v>
      </c>
      <c r="BV29" s="3818">
        <v>5.9818731117824771E-2</v>
      </c>
      <c r="BW29" s="3819">
        <v>1.8706948640483383</v>
      </c>
      <c r="BX29" s="3820">
        <v>0.48332154750823975</v>
      </c>
      <c r="BY29" s="3821">
        <v>7.216055691242218E-2</v>
      </c>
      <c r="BZ29" s="3822">
        <v>2.1497678607702255</v>
      </c>
    </row>
    <row r="30" spans="1:78" hidden="1" x14ac:dyDescent="0.3">
      <c r="A30" s="2965" t="s">
        <v>133</v>
      </c>
      <c r="B30" s="2966" t="s">
        <v>115</v>
      </c>
      <c r="C30" s="2967">
        <v>6.1999998092651367</v>
      </c>
      <c r="D30" s="2968">
        <v>906</v>
      </c>
      <c r="E30" s="2969">
        <v>11</v>
      </c>
      <c r="F30" s="2970">
        <v>39</v>
      </c>
      <c r="G30" s="2971">
        <v>4</v>
      </c>
      <c r="H30" s="2972">
        <v>5</v>
      </c>
      <c r="I30" s="2973">
        <v>158</v>
      </c>
      <c r="J30" s="2974">
        <v>62</v>
      </c>
      <c r="K30" s="2975">
        <v>0</v>
      </c>
      <c r="L30" s="2976">
        <v>4</v>
      </c>
      <c r="M30" s="2977">
        <v>41</v>
      </c>
      <c r="N30" s="2978">
        <v>19</v>
      </c>
      <c r="O30" s="2979">
        <v>14</v>
      </c>
      <c r="P30" s="2980">
        <v>0.73684210526315785</v>
      </c>
      <c r="Q30" s="2981">
        <v>2</v>
      </c>
      <c r="R30" s="2982">
        <v>0.10526315789473684</v>
      </c>
      <c r="S30" s="2983">
        <v>1</v>
      </c>
      <c r="T30" s="2984">
        <v>5.2631578947368418E-2</v>
      </c>
      <c r="U30" s="2985">
        <v>9</v>
      </c>
      <c r="V30" s="2986">
        <v>0.47368421052631576</v>
      </c>
      <c r="W30" s="2987">
        <v>0.21052631578947367</v>
      </c>
      <c r="X30" s="2988">
        <v>0</v>
      </c>
      <c r="Y30" s="2989">
        <v>0</v>
      </c>
      <c r="Z30" s="2990">
        <v>13</v>
      </c>
      <c r="AA30" s="2991">
        <v>0</v>
      </c>
      <c r="AB30" s="2992">
        <v>73.099999999999994</v>
      </c>
      <c r="AC30" s="2993">
        <v>36</v>
      </c>
      <c r="AD30" s="2994">
        <v>3</v>
      </c>
      <c r="AE30" s="2995">
        <v>5</v>
      </c>
      <c r="AF30" s="2996">
        <v>2</v>
      </c>
      <c r="AG30" s="2997">
        <v>0.6</v>
      </c>
      <c r="AH30" s="2998">
        <v>3</v>
      </c>
      <c r="AI30" s="2999">
        <v>0.75</v>
      </c>
      <c r="AJ30" s="3000">
        <v>2</v>
      </c>
      <c r="AK30" s="3001">
        <v>0</v>
      </c>
      <c r="AL30" s="3002">
        <v>3</v>
      </c>
      <c r="AM30" s="3003">
        <v>2</v>
      </c>
      <c r="AN30" s="3004">
        <v>0.66666666666666663</v>
      </c>
      <c r="AO30" s="3005">
        <v>4</v>
      </c>
      <c r="AP30" s="3006">
        <v>1</v>
      </c>
      <c r="AQ30" s="3007">
        <v>2</v>
      </c>
      <c r="AR30" s="3008">
        <v>0.5</v>
      </c>
      <c r="AS30" s="3009">
        <v>3.49</v>
      </c>
      <c r="AT30" s="3010">
        <v>0.73</v>
      </c>
      <c r="AU30" s="3011">
        <v>3.8741721854304636</v>
      </c>
      <c r="AV30" s="3012">
        <v>3.5454545454545454</v>
      </c>
      <c r="AW30" s="3013">
        <v>0.39735099337748342</v>
      </c>
      <c r="AX30" s="3014">
        <v>0.49668874172185434</v>
      </c>
      <c r="AY30" s="3015">
        <v>15.695364238410596</v>
      </c>
      <c r="AZ30" s="3016">
        <v>6.1589403973509933</v>
      </c>
      <c r="BA30" s="3017">
        <v>4.0728476821192059</v>
      </c>
      <c r="BB30" s="3018">
        <v>1.8874172185430462</v>
      </c>
      <c r="BC30" s="3019">
        <v>1.3907284768211921</v>
      </c>
      <c r="BD30" s="3020">
        <v>0.19867549668874171</v>
      </c>
      <c r="BE30" s="3021">
        <v>9.9337748344370855E-2</v>
      </c>
      <c r="BF30" s="3022">
        <v>0.89403973509933776</v>
      </c>
      <c r="BG30" s="3023">
        <v>0</v>
      </c>
      <c r="BH30" s="3024">
        <v>0</v>
      </c>
      <c r="BI30" s="3025">
        <v>0.29801324503311261</v>
      </c>
      <c r="BJ30" s="3026">
        <v>1.2913907284768211</v>
      </c>
      <c r="BK30" s="3027">
        <v>0.49668874172185434</v>
      </c>
      <c r="BL30" s="3028">
        <v>0.19867549668874171</v>
      </c>
      <c r="BM30" s="3029">
        <v>0.29801324503311261</v>
      </c>
      <c r="BN30" s="3030">
        <v>0.39735099337748342</v>
      </c>
      <c r="BO30" s="3031">
        <v>0.19867549668874171</v>
      </c>
      <c r="BP30" s="3032">
        <v>7.2615894039735087</v>
      </c>
      <c r="BQ30" s="3033">
        <v>0.36347682119205293</v>
      </c>
      <c r="BR30" s="3034">
        <v>0.13301324503311257</v>
      </c>
      <c r="BS30" s="3035">
        <v>1.8529470198675495</v>
      </c>
      <c r="BT30" s="3036">
        <v>1.2569205298013242</v>
      </c>
      <c r="BU30" s="3037">
        <v>0.34668874172185432</v>
      </c>
      <c r="BV30" s="3038">
        <v>7.2516556291390727E-2</v>
      </c>
      <c r="BW30" s="3039">
        <v>1.6043046357615895</v>
      </c>
      <c r="BX30" s="3040">
        <v>0.39234134554862976</v>
      </c>
      <c r="BY30" s="3041">
        <v>0.17140783369541168</v>
      </c>
      <c r="BZ30" s="3042">
        <v>2.0835888832807541</v>
      </c>
    </row>
    <row r="31" spans="1:78" hidden="1" x14ac:dyDescent="0.3">
      <c r="A31" s="2341" t="s">
        <v>124</v>
      </c>
      <c r="B31" s="2342" t="s">
        <v>100</v>
      </c>
      <c r="C31" s="2343">
        <v>5</v>
      </c>
      <c r="D31" s="2344">
        <v>439</v>
      </c>
      <c r="E31" s="2345">
        <v>15</v>
      </c>
      <c r="F31" s="2346">
        <v>27</v>
      </c>
      <c r="G31" s="2347">
        <v>1</v>
      </c>
      <c r="H31" s="2348">
        <v>0</v>
      </c>
      <c r="I31" s="2349">
        <v>91</v>
      </c>
      <c r="J31" s="2350">
        <v>49</v>
      </c>
      <c r="K31" s="2351">
        <v>0</v>
      </c>
      <c r="L31" s="2352">
        <v>0</v>
      </c>
      <c r="M31" s="2353">
        <v>27</v>
      </c>
      <c r="N31" s="2354">
        <v>9</v>
      </c>
      <c r="O31" s="2355">
        <v>5</v>
      </c>
      <c r="P31" s="2356">
        <v>0.55555555555555558</v>
      </c>
      <c r="Q31" s="2357">
        <v>1</v>
      </c>
      <c r="R31" s="2358">
        <v>0.1111111111111111</v>
      </c>
      <c r="S31" s="2359">
        <v>1</v>
      </c>
      <c r="T31" s="2360">
        <v>0.1111111111111111</v>
      </c>
      <c r="U31" s="2361">
        <v>3</v>
      </c>
      <c r="V31" s="2362">
        <v>0.33333333333333331</v>
      </c>
      <c r="W31" s="2363">
        <v>0.1111111111111111</v>
      </c>
      <c r="X31" s="2364">
        <v>2</v>
      </c>
      <c r="Y31" s="2365">
        <v>2</v>
      </c>
      <c r="Z31" s="2366">
        <v>6</v>
      </c>
      <c r="AA31" s="2367">
        <v>0.33333333333333331</v>
      </c>
      <c r="AB31" s="2368">
        <v>34</v>
      </c>
      <c r="AC31" s="2369">
        <v>27</v>
      </c>
      <c r="AD31" s="2370">
        <v>3</v>
      </c>
      <c r="AE31" s="2371">
        <v>2</v>
      </c>
      <c r="AF31" s="2372">
        <v>2</v>
      </c>
      <c r="AG31" s="2373">
        <v>0</v>
      </c>
      <c r="AH31" s="2374">
        <v>0</v>
      </c>
      <c r="AI31" s="2375">
        <v>0</v>
      </c>
      <c r="AJ31" s="2376">
        <v>0</v>
      </c>
      <c r="AK31" s="2377">
        <v>0</v>
      </c>
      <c r="AL31" s="2378">
        <v>2</v>
      </c>
      <c r="AM31" s="2379">
        <v>2</v>
      </c>
      <c r="AN31" s="2380">
        <v>1</v>
      </c>
      <c r="AO31" s="2381">
        <v>0</v>
      </c>
      <c r="AP31" s="2382">
        <v>0</v>
      </c>
      <c r="AQ31" s="2383">
        <v>1</v>
      </c>
      <c r="AR31" s="2384">
        <v>1</v>
      </c>
      <c r="AS31" s="2385">
        <v>1.1100000000000001</v>
      </c>
      <c r="AT31" s="2386">
        <v>1</v>
      </c>
      <c r="AU31" s="2387">
        <v>5.5353075170842825</v>
      </c>
      <c r="AV31" s="2388">
        <v>1.8</v>
      </c>
      <c r="AW31" s="2389">
        <v>0.20501138952164008</v>
      </c>
      <c r="AX31" s="2390">
        <v>0</v>
      </c>
      <c r="AY31" s="2391">
        <v>18.656036446469248</v>
      </c>
      <c r="AZ31" s="2392">
        <v>10.045558086560364</v>
      </c>
      <c r="BA31" s="2393">
        <v>5.5353075170842825</v>
      </c>
      <c r="BB31" s="2394">
        <v>1.8451025056947608</v>
      </c>
      <c r="BC31" s="2395">
        <v>1.0250569476082005</v>
      </c>
      <c r="BD31" s="2396">
        <v>0.20501138952164008</v>
      </c>
      <c r="BE31" s="2397">
        <v>0.20501138952164008</v>
      </c>
      <c r="BF31" s="2398">
        <v>0.61503416856492032</v>
      </c>
      <c r="BG31" s="2399">
        <v>0.41002277904328016</v>
      </c>
      <c r="BH31" s="2400">
        <v>0.41002277904328016</v>
      </c>
      <c r="BI31" s="2401">
        <v>0.61503416856492032</v>
      </c>
      <c r="BJ31" s="2402">
        <v>1.2300683371298406</v>
      </c>
      <c r="BK31" s="2403">
        <v>0.41002277904328016</v>
      </c>
      <c r="BL31" s="2404">
        <v>0.41002277904328016</v>
      </c>
      <c r="BM31" s="2405">
        <v>0</v>
      </c>
      <c r="BN31" s="2406">
        <v>0</v>
      </c>
      <c r="BO31" s="2407">
        <v>0.20501138952164008</v>
      </c>
      <c r="BP31" s="2408">
        <v>6.9703872437357637</v>
      </c>
      <c r="BQ31" s="2409">
        <v>0.20132118451025055</v>
      </c>
      <c r="BR31" s="2410">
        <v>0.12669703872437357</v>
      </c>
      <c r="BS31" s="2411">
        <v>1.1853758542141231</v>
      </c>
      <c r="BT31" s="2412">
        <v>1.1853758542141231</v>
      </c>
      <c r="BU31" s="2413">
        <v>0.22756264236902052</v>
      </c>
      <c r="BV31" s="2414">
        <v>0.20501138952164008</v>
      </c>
      <c r="BW31" s="2415">
        <v>1.5252847380410022</v>
      </c>
      <c r="BX31" s="2416">
        <v>0.21318207681179047</v>
      </c>
      <c r="BY31" s="2417">
        <v>0.31927680969238281</v>
      </c>
      <c r="BZ31" s="2418">
        <v>1.8105587363243103</v>
      </c>
    </row>
    <row r="32" spans="1:78" x14ac:dyDescent="0.3">
      <c r="A32" s="5227" t="s">
        <v>164</v>
      </c>
      <c r="B32" s="5228" t="s">
        <v>115</v>
      </c>
      <c r="C32" s="5229">
        <v>5.5999999046325684</v>
      </c>
      <c r="D32" s="5230">
        <v>702</v>
      </c>
      <c r="E32" s="5231">
        <v>18</v>
      </c>
      <c r="F32" s="5232">
        <v>34</v>
      </c>
      <c r="G32" s="5233">
        <v>2</v>
      </c>
      <c r="H32" s="5234">
        <v>2</v>
      </c>
      <c r="I32" s="5235">
        <v>106</v>
      </c>
      <c r="J32" s="5236">
        <v>49</v>
      </c>
      <c r="K32" s="5237">
        <v>0</v>
      </c>
      <c r="L32" s="5238">
        <v>0</v>
      </c>
      <c r="M32" s="5239">
        <v>38</v>
      </c>
      <c r="N32" s="5240">
        <v>19</v>
      </c>
      <c r="O32" s="5241">
        <v>18</v>
      </c>
      <c r="P32" s="5242">
        <v>0.94736842105263153</v>
      </c>
      <c r="Q32" s="5243">
        <v>2</v>
      </c>
      <c r="R32" s="5244">
        <v>0.10526315789473684</v>
      </c>
      <c r="S32" s="5245">
        <v>2</v>
      </c>
      <c r="T32" s="5246">
        <v>0.10526315789473684</v>
      </c>
      <c r="U32" s="5247">
        <v>6</v>
      </c>
      <c r="V32" s="5248">
        <v>0.31578947368421051</v>
      </c>
      <c r="W32" s="5249">
        <v>0.10526315789473684</v>
      </c>
      <c r="X32" s="5250">
        <v>0</v>
      </c>
      <c r="Y32" s="5251">
        <v>1</v>
      </c>
      <c r="Z32" s="5252">
        <v>10</v>
      </c>
      <c r="AA32" s="5253">
        <v>0</v>
      </c>
      <c r="AB32" s="5254">
        <v>48.5</v>
      </c>
      <c r="AC32" s="5255">
        <v>50</v>
      </c>
      <c r="AD32" s="5256">
        <v>3</v>
      </c>
      <c r="AE32" s="5257">
        <v>3</v>
      </c>
      <c r="AF32" s="5258">
        <v>3</v>
      </c>
      <c r="AG32" s="5259">
        <v>0</v>
      </c>
      <c r="AH32" s="5260">
        <v>0</v>
      </c>
      <c r="AI32" s="5261">
        <v>0</v>
      </c>
      <c r="AJ32" s="5262">
        <v>0</v>
      </c>
      <c r="AK32" s="5263">
        <v>0</v>
      </c>
      <c r="AL32" s="5264">
        <v>3</v>
      </c>
      <c r="AM32" s="5265">
        <v>3</v>
      </c>
      <c r="AN32" s="5266">
        <v>1</v>
      </c>
      <c r="AO32" s="5267">
        <v>2</v>
      </c>
      <c r="AP32" s="5268">
        <v>1</v>
      </c>
      <c r="AQ32" s="5269">
        <v>2</v>
      </c>
      <c r="AR32" s="5270">
        <v>1</v>
      </c>
      <c r="AS32" s="5271">
        <v>2.42</v>
      </c>
      <c r="AT32" s="5272">
        <v>0.78</v>
      </c>
      <c r="AU32" s="5273">
        <v>4.3589743589743586</v>
      </c>
      <c r="AV32" s="5274">
        <v>1.8888888888888888</v>
      </c>
      <c r="AW32" s="5275">
        <v>0.25641025641025644</v>
      </c>
      <c r="AX32" s="5276">
        <v>0.25641025641025644</v>
      </c>
      <c r="AY32" s="5277">
        <v>13.589743589743589</v>
      </c>
      <c r="AZ32" s="5278">
        <v>6.2820512820512819</v>
      </c>
      <c r="BA32" s="5279">
        <v>4.8717948717948714</v>
      </c>
      <c r="BB32" s="5280">
        <v>2.4358974358974357</v>
      </c>
      <c r="BC32" s="5281">
        <v>2.3076923076923075</v>
      </c>
      <c r="BD32" s="5282">
        <v>0.25641025641025644</v>
      </c>
      <c r="BE32" s="5283">
        <v>0.25641025641025644</v>
      </c>
      <c r="BF32" s="5284">
        <v>0.76923076923076927</v>
      </c>
      <c r="BG32" s="5285">
        <v>0</v>
      </c>
      <c r="BH32" s="5286">
        <v>0.12820512820512822</v>
      </c>
      <c r="BI32" s="5287">
        <v>0.38461538461538464</v>
      </c>
      <c r="BJ32" s="5288">
        <v>1.2820512820512822</v>
      </c>
      <c r="BK32" s="5289">
        <v>0.38461538461538464</v>
      </c>
      <c r="BL32" s="5290">
        <v>0.38461538461538464</v>
      </c>
      <c r="BM32" s="5291">
        <v>0</v>
      </c>
      <c r="BN32" s="5292">
        <v>0.25641025641025644</v>
      </c>
      <c r="BO32" s="5293">
        <v>0.25641025641025644</v>
      </c>
      <c r="BP32" s="5294">
        <v>6.2179487179487172</v>
      </c>
      <c r="BQ32" s="5295">
        <v>0.37935897435897437</v>
      </c>
      <c r="BR32" s="5296">
        <v>0.13205128205128205</v>
      </c>
      <c r="BS32" s="5297">
        <v>1.9135897435897435</v>
      </c>
      <c r="BT32" s="5298">
        <v>1.9135897435897435</v>
      </c>
      <c r="BU32" s="5299">
        <v>0.31025641025641026</v>
      </c>
      <c r="BV32" s="5300">
        <v>0.1</v>
      </c>
      <c r="BW32" s="5301">
        <v>1.5410256410256411</v>
      </c>
      <c r="BX32" s="5302">
        <v>0.33774837851524353</v>
      </c>
      <c r="BY32" s="5303">
        <v>0.24338799715042114</v>
      </c>
      <c r="BZ32" s="5304">
        <v>2.0811575055122375</v>
      </c>
    </row>
    <row r="33" spans="1:78" x14ac:dyDescent="0.3">
      <c r="A33" s="1951" t="s">
        <v>119</v>
      </c>
      <c r="B33" s="1952" t="s">
        <v>109</v>
      </c>
      <c r="C33" s="1953">
        <v>5.9000000953674316</v>
      </c>
      <c r="D33" s="1954">
        <v>1631</v>
      </c>
      <c r="E33" s="1955">
        <v>22</v>
      </c>
      <c r="F33" s="1956">
        <v>81</v>
      </c>
      <c r="G33" s="1957">
        <v>7</v>
      </c>
      <c r="H33" s="1958">
        <v>12</v>
      </c>
      <c r="I33" s="1959">
        <v>229</v>
      </c>
      <c r="J33" s="1960">
        <v>52</v>
      </c>
      <c r="K33" s="1961">
        <v>0</v>
      </c>
      <c r="L33" s="1962">
        <v>5</v>
      </c>
      <c r="M33" s="1963">
        <v>110</v>
      </c>
      <c r="N33" s="1964">
        <v>59</v>
      </c>
      <c r="O33" s="1965">
        <v>45</v>
      </c>
      <c r="P33" s="1966">
        <v>0.76271186440677963</v>
      </c>
      <c r="Q33" s="1967">
        <v>7</v>
      </c>
      <c r="R33" s="1968">
        <v>0.11864406779661017</v>
      </c>
      <c r="S33" s="1969">
        <v>9</v>
      </c>
      <c r="T33" s="1970">
        <v>0.15254237288135594</v>
      </c>
      <c r="U33" s="1971">
        <v>22</v>
      </c>
      <c r="V33" s="1972">
        <v>0.3728813559322034</v>
      </c>
      <c r="W33" s="1973">
        <v>0.11864406779661017</v>
      </c>
      <c r="X33" s="1974">
        <v>1</v>
      </c>
      <c r="Y33" s="1975">
        <v>1</v>
      </c>
      <c r="Z33" s="1976">
        <v>12</v>
      </c>
      <c r="AA33" s="1977">
        <v>8.3333333333333329E-2</v>
      </c>
      <c r="AB33" s="1978">
        <v>138.6</v>
      </c>
      <c r="AC33" s="1979">
        <v>36</v>
      </c>
      <c r="AD33" s="1980">
        <v>1</v>
      </c>
      <c r="AE33" s="1981">
        <v>10</v>
      </c>
      <c r="AF33" s="1982">
        <v>6</v>
      </c>
      <c r="AG33" s="1983">
        <v>0.4</v>
      </c>
      <c r="AH33" s="1984">
        <v>4</v>
      </c>
      <c r="AI33" s="1985">
        <v>0.5714285714285714</v>
      </c>
      <c r="AJ33" s="1986">
        <v>1</v>
      </c>
      <c r="AK33" s="1987">
        <v>0</v>
      </c>
      <c r="AL33" s="1988">
        <v>9</v>
      </c>
      <c r="AM33" s="1989">
        <v>6</v>
      </c>
      <c r="AN33" s="1990">
        <v>0.66666666666666663</v>
      </c>
      <c r="AO33" s="1991">
        <v>7</v>
      </c>
      <c r="AP33" s="1992">
        <v>1</v>
      </c>
      <c r="AQ33" s="1993">
        <v>6</v>
      </c>
      <c r="AR33" s="1994">
        <v>0.8571428571428571</v>
      </c>
      <c r="AS33" s="1995">
        <v>8.68</v>
      </c>
      <c r="AT33" s="1996">
        <v>1.19</v>
      </c>
      <c r="AU33" s="1997">
        <v>4.4696505211526674</v>
      </c>
      <c r="AV33" s="1998">
        <v>3.6818181818181817</v>
      </c>
      <c r="AW33" s="1999">
        <v>0.38626609442060084</v>
      </c>
      <c r="AX33" s="2000">
        <v>0.66217044757817289</v>
      </c>
      <c r="AY33" s="2001">
        <v>12.636419374616798</v>
      </c>
      <c r="AZ33" s="2002">
        <v>2.8694052728387494</v>
      </c>
      <c r="BA33" s="2003">
        <v>6.0698957694665845</v>
      </c>
      <c r="BB33" s="2004">
        <v>3.25567136725935</v>
      </c>
      <c r="BC33" s="2005">
        <v>2.4831391784181482</v>
      </c>
      <c r="BD33" s="2006">
        <v>0.38626609442060084</v>
      </c>
      <c r="BE33" s="2007">
        <v>0.49662783568362973</v>
      </c>
      <c r="BF33" s="2008">
        <v>1.2139791538933169</v>
      </c>
      <c r="BG33" s="2009">
        <v>5.5180870631514403E-2</v>
      </c>
      <c r="BH33" s="2010">
        <v>5.5180870631514403E-2</v>
      </c>
      <c r="BI33" s="2011">
        <v>5.5180870631514403E-2</v>
      </c>
      <c r="BJ33" s="2012">
        <v>0.66217044757817289</v>
      </c>
      <c r="BK33" s="2013">
        <v>0.55180870631514412</v>
      </c>
      <c r="BL33" s="2014">
        <v>0.33108522378908645</v>
      </c>
      <c r="BM33" s="2015">
        <v>0.22072348252605761</v>
      </c>
      <c r="BN33" s="2016">
        <v>0.38626609442060084</v>
      </c>
      <c r="BO33" s="2017">
        <v>0.33108522378908645</v>
      </c>
      <c r="BP33" s="2018">
        <v>7.6480686695278965</v>
      </c>
      <c r="BQ33" s="2019">
        <v>0.46793378295524218</v>
      </c>
      <c r="BR33" s="2020">
        <v>6.8203556100551802E-2</v>
      </c>
      <c r="BS33" s="2021">
        <v>2.076345800122624</v>
      </c>
      <c r="BT33" s="2022">
        <v>1.9108031882280807</v>
      </c>
      <c r="BU33" s="2023">
        <v>0.47896995708154505</v>
      </c>
      <c r="BV33" s="2024">
        <v>6.5665236051502138E-2</v>
      </c>
      <c r="BW33" s="2025">
        <v>2.1128755364806864</v>
      </c>
      <c r="BX33" s="2026">
        <v>0.45867240428924561</v>
      </c>
      <c r="BY33" s="2027">
        <v>6.151164323091507E-2</v>
      </c>
      <c r="BZ33" s="2028">
        <v>2.0192245468497276</v>
      </c>
    </row>
    <row r="34" spans="1:78" hidden="1" x14ac:dyDescent="0.3">
      <c r="A34" s="2575" t="s">
        <v>127</v>
      </c>
      <c r="B34" s="2576" t="s">
        <v>113</v>
      </c>
      <c r="C34" s="2577">
        <v>5.6999998092651367</v>
      </c>
      <c r="D34" s="2578">
        <v>122</v>
      </c>
      <c r="E34" s="2579">
        <v>7</v>
      </c>
      <c r="F34" s="2580">
        <v>7</v>
      </c>
      <c r="G34" s="2581">
        <v>0</v>
      </c>
      <c r="H34" s="2582">
        <v>0</v>
      </c>
      <c r="I34" s="2583">
        <v>11</v>
      </c>
      <c r="J34" s="2584">
        <v>11</v>
      </c>
      <c r="K34" s="2585">
        <v>0</v>
      </c>
      <c r="L34" s="2586">
        <v>0</v>
      </c>
      <c r="M34" s="2587">
        <v>5</v>
      </c>
      <c r="N34" s="2588">
        <v>1</v>
      </c>
      <c r="O34" s="2589">
        <v>1</v>
      </c>
      <c r="P34" s="2590">
        <v>1</v>
      </c>
      <c r="Q34" s="2591">
        <v>0</v>
      </c>
      <c r="R34" s="2592">
        <v>0</v>
      </c>
      <c r="S34" s="2593">
        <v>0</v>
      </c>
      <c r="T34" s="2594">
        <v>0</v>
      </c>
      <c r="U34" s="2595">
        <v>0</v>
      </c>
      <c r="V34" s="2596">
        <v>0</v>
      </c>
      <c r="W34" s="2597">
        <v>0</v>
      </c>
      <c r="X34" s="2598">
        <v>0</v>
      </c>
      <c r="Y34" s="2599">
        <v>0</v>
      </c>
      <c r="Z34" s="2600">
        <v>2</v>
      </c>
      <c r="AA34" s="2601">
        <v>0</v>
      </c>
      <c r="AB34" s="2602">
        <v>4.8</v>
      </c>
      <c r="AC34" s="2603">
        <v>0</v>
      </c>
      <c r="AD34" s="2604">
        <v>0</v>
      </c>
      <c r="AE34" s="2605">
        <v>0</v>
      </c>
      <c r="AF34" s="2606">
        <v>0</v>
      </c>
      <c r="AG34" s="2607">
        <v>0</v>
      </c>
      <c r="AH34" s="2608">
        <v>0</v>
      </c>
      <c r="AI34" s="2609">
        <v>0</v>
      </c>
      <c r="AJ34" s="2610">
        <v>0</v>
      </c>
      <c r="AK34" s="2611">
        <v>0</v>
      </c>
      <c r="AL34" s="2612">
        <v>0</v>
      </c>
      <c r="AM34" s="2613">
        <v>0</v>
      </c>
      <c r="AN34" s="2614">
        <v>0</v>
      </c>
      <c r="AO34" s="2615">
        <v>0</v>
      </c>
      <c r="AP34" s="2616">
        <v>0</v>
      </c>
      <c r="AQ34" s="2617">
        <v>0</v>
      </c>
      <c r="AR34" s="2618">
        <v>0</v>
      </c>
      <c r="AS34" s="2619">
        <v>7.0000000000000007E-2</v>
      </c>
      <c r="AT34" s="2620">
        <v>0.03</v>
      </c>
      <c r="AU34" s="2621">
        <v>5.1639344262295079</v>
      </c>
      <c r="AV34" s="2622">
        <v>1</v>
      </c>
      <c r="AW34" s="2623">
        <v>0</v>
      </c>
      <c r="AX34" s="2624">
        <v>0</v>
      </c>
      <c r="AY34" s="2625">
        <v>8.1147540983606561</v>
      </c>
      <c r="AZ34" s="2626">
        <v>8.1147540983606561</v>
      </c>
      <c r="BA34" s="2627">
        <v>3.6885245901639343</v>
      </c>
      <c r="BB34" s="2628">
        <v>0.73770491803278693</v>
      </c>
      <c r="BC34" s="2629">
        <v>0.73770491803278693</v>
      </c>
      <c r="BD34" s="2630">
        <v>0</v>
      </c>
      <c r="BE34" s="2631">
        <v>0</v>
      </c>
      <c r="BF34" s="2632">
        <v>0</v>
      </c>
      <c r="BG34" s="2633">
        <v>0</v>
      </c>
      <c r="BH34" s="2634">
        <v>0</v>
      </c>
      <c r="BI34" s="2635">
        <v>0</v>
      </c>
      <c r="BJ34" s="2636">
        <v>1.4754098360655739</v>
      </c>
      <c r="BK34" s="2637">
        <v>0</v>
      </c>
      <c r="BL34" s="2638">
        <v>0</v>
      </c>
      <c r="BM34" s="2639">
        <v>0</v>
      </c>
      <c r="BN34" s="2640">
        <v>0</v>
      </c>
      <c r="BO34" s="2641">
        <v>0</v>
      </c>
      <c r="BP34" s="2642">
        <v>3.5409836065573765</v>
      </c>
      <c r="BQ34" s="2643">
        <v>0.11950819672131148</v>
      </c>
      <c r="BR34" s="2644">
        <v>0.15196721311475409</v>
      </c>
      <c r="BS34" s="2645">
        <v>0.93393442622950817</v>
      </c>
      <c r="BT34" s="2646">
        <v>0.93393442622950817</v>
      </c>
      <c r="BU34" s="2647">
        <v>5.1639344262295092E-2</v>
      </c>
      <c r="BV34" s="2648">
        <v>2.2131147540983605E-2</v>
      </c>
      <c r="BW34" s="2649">
        <v>0.2729508196721312</v>
      </c>
      <c r="BX34" s="2650">
        <v>6.6383205354213715E-2</v>
      </c>
      <c r="BY34" s="2651">
        <v>3.258826956152916E-2</v>
      </c>
      <c r="BZ34" s="2652">
        <v>0.36329763010144234</v>
      </c>
    </row>
    <row r="35" spans="1:78" x14ac:dyDescent="0.3">
      <c r="A35" s="1171" t="s">
        <v>103</v>
      </c>
      <c r="B35" s="1172" t="s">
        <v>98</v>
      </c>
      <c r="C35" s="1173">
        <v>5.3000001907348633</v>
      </c>
      <c r="D35" s="1174">
        <v>645</v>
      </c>
      <c r="E35" s="1175">
        <v>16</v>
      </c>
      <c r="F35" s="1176">
        <v>30</v>
      </c>
      <c r="G35" s="1177">
        <v>0</v>
      </c>
      <c r="H35" s="1178">
        <v>0</v>
      </c>
      <c r="I35" s="1179">
        <v>68</v>
      </c>
      <c r="J35" s="1180">
        <v>50</v>
      </c>
      <c r="K35" s="1181">
        <v>0</v>
      </c>
      <c r="L35" s="1182">
        <v>3</v>
      </c>
      <c r="M35" s="1183">
        <v>29</v>
      </c>
      <c r="N35" s="1184">
        <v>14</v>
      </c>
      <c r="O35" s="1185">
        <v>11</v>
      </c>
      <c r="P35" s="1186">
        <v>0.7857142857142857</v>
      </c>
      <c r="Q35" s="1187">
        <v>2</v>
      </c>
      <c r="R35" s="1188">
        <v>0.14285714285714285</v>
      </c>
      <c r="S35" s="1189">
        <v>3</v>
      </c>
      <c r="T35" s="1190">
        <v>0.21428571428571427</v>
      </c>
      <c r="U35" s="1191">
        <v>2</v>
      </c>
      <c r="V35" s="1192">
        <v>0.14285714285714285</v>
      </c>
      <c r="W35" s="1193">
        <v>0</v>
      </c>
      <c r="X35" s="1194">
        <v>1</v>
      </c>
      <c r="Y35" s="1195">
        <v>2</v>
      </c>
      <c r="Z35" s="1196">
        <v>8</v>
      </c>
      <c r="AA35" s="1197">
        <v>0.125</v>
      </c>
      <c r="AB35" s="1198">
        <v>32.4</v>
      </c>
      <c r="AC35" s="1199">
        <v>29</v>
      </c>
      <c r="AD35" s="1200">
        <v>3</v>
      </c>
      <c r="AE35" s="1201">
        <v>5</v>
      </c>
      <c r="AF35" s="1202">
        <v>5</v>
      </c>
      <c r="AG35" s="1203">
        <v>0</v>
      </c>
      <c r="AH35" s="1204">
        <v>0</v>
      </c>
      <c r="AI35" s="1205">
        <v>0</v>
      </c>
      <c r="AJ35" s="1206">
        <v>0</v>
      </c>
      <c r="AK35" s="1207">
        <v>0</v>
      </c>
      <c r="AL35" s="1208">
        <v>5</v>
      </c>
      <c r="AM35" s="1209">
        <v>5</v>
      </c>
      <c r="AN35" s="1210">
        <v>1</v>
      </c>
      <c r="AO35" s="1211">
        <v>0</v>
      </c>
      <c r="AP35" s="1212">
        <v>0</v>
      </c>
      <c r="AQ35" s="1213">
        <v>0</v>
      </c>
      <c r="AR35" s="1214">
        <v>0</v>
      </c>
      <c r="AS35" s="1215">
        <v>2.11</v>
      </c>
      <c r="AT35" s="1216">
        <v>0.31</v>
      </c>
      <c r="AU35" s="1217">
        <v>4.1860465116279073</v>
      </c>
      <c r="AV35" s="1218">
        <v>1.875</v>
      </c>
      <c r="AW35" s="1219">
        <v>0</v>
      </c>
      <c r="AX35" s="1220">
        <v>0</v>
      </c>
      <c r="AY35" s="1221">
        <v>9.4883720930232549</v>
      </c>
      <c r="AZ35" s="1222">
        <v>6.9767441860465116</v>
      </c>
      <c r="BA35" s="1223">
        <v>4.0465116279069768</v>
      </c>
      <c r="BB35" s="1224">
        <v>1.9534883720930232</v>
      </c>
      <c r="BC35" s="1225">
        <v>1.5348837209302326</v>
      </c>
      <c r="BD35" s="1226">
        <v>0.27906976744186046</v>
      </c>
      <c r="BE35" s="1227">
        <v>0.41860465116279066</v>
      </c>
      <c r="BF35" s="1228">
        <v>0.27906976744186046</v>
      </c>
      <c r="BG35" s="1229">
        <v>0.13953488372093023</v>
      </c>
      <c r="BH35" s="1230">
        <v>0.27906976744186046</v>
      </c>
      <c r="BI35" s="1231">
        <v>0.41860465116279066</v>
      </c>
      <c r="BJ35" s="1232">
        <v>1.1162790697674418</v>
      </c>
      <c r="BK35" s="1233">
        <v>0.69767441860465118</v>
      </c>
      <c r="BL35" s="1234">
        <v>0.69767441860465118</v>
      </c>
      <c r="BM35" s="1235">
        <v>0</v>
      </c>
      <c r="BN35" s="1236">
        <v>0</v>
      </c>
      <c r="BO35" s="1237">
        <v>0</v>
      </c>
      <c r="BP35" s="1238">
        <v>4.5209302325581389</v>
      </c>
      <c r="BQ35" s="1239">
        <v>0.26665116279069767</v>
      </c>
      <c r="BR35" s="1240">
        <v>0.1149767441860465</v>
      </c>
      <c r="BS35" s="1241">
        <v>1.4115348837209303</v>
      </c>
      <c r="BT35" s="1242">
        <v>1.4115348837209303</v>
      </c>
      <c r="BU35" s="1243">
        <v>0.29441860465116276</v>
      </c>
      <c r="BV35" s="1244">
        <v>4.3255813953488369E-2</v>
      </c>
      <c r="BW35" s="1245">
        <v>1.3074418604651161</v>
      </c>
      <c r="BX35" s="1246">
        <v>0.3681471049785614</v>
      </c>
      <c r="BY35" s="1247">
        <v>0.16236694157123566</v>
      </c>
      <c r="BZ35" s="1248">
        <v>1.9596892446279526</v>
      </c>
    </row>
    <row r="36" spans="1:78" hidden="1" x14ac:dyDescent="0.3">
      <c r="A36" s="4135" t="s">
        <v>149</v>
      </c>
      <c r="B36" s="4136" t="s">
        <v>79</v>
      </c>
      <c r="C36" s="4137">
        <v>9.3000001907348633</v>
      </c>
      <c r="D36" s="4138">
        <v>1028</v>
      </c>
      <c r="E36" s="4139">
        <v>15</v>
      </c>
      <c r="F36" s="4140">
        <v>56</v>
      </c>
      <c r="G36" s="4141">
        <v>5</v>
      </c>
      <c r="H36" s="4142">
        <v>6</v>
      </c>
      <c r="I36" s="4143">
        <v>183</v>
      </c>
      <c r="J36" s="4144">
        <v>36</v>
      </c>
      <c r="K36" s="4145">
        <v>0</v>
      </c>
      <c r="L36" s="4146">
        <v>1</v>
      </c>
      <c r="M36" s="4147">
        <v>80</v>
      </c>
      <c r="N36" s="4148">
        <v>35</v>
      </c>
      <c r="O36" s="4149">
        <v>29</v>
      </c>
      <c r="P36" s="4150">
        <v>0.82857142857142863</v>
      </c>
      <c r="Q36" s="4151">
        <v>7</v>
      </c>
      <c r="R36" s="4152">
        <v>0.2</v>
      </c>
      <c r="S36" s="4153">
        <v>10</v>
      </c>
      <c r="T36" s="4154">
        <v>0.2857142857142857</v>
      </c>
      <c r="U36" s="4155">
        <v>16</v>
      </c>
      <c r="V36" s="4156">
        <v>0.45714285714285713</v>
      </c>
      <c r="W36" s="4157">
        <v>0.14285714285714285</v>
      </c>
      <c r="X36" s="4158">
        <v>2</v>
      </c>
      <c r="Y36" s="4159">
        <v>3</v>
      </c>
      <c r="Z36" s="4160">
        <v>17</v>
      </c>
      <c r="AA36" s="4161">
        <v>0.11764705882352941</v>
      </c>
      <c r="AB36" s="4162">
        <v>110.5</v>
      </c>
      <c r="AC36" s="4163">
        <v>47</v>
      </c>
      <c r="AD36" s="4164">
        <v>2</v>
      </c>
      <c r="AE36" s="4165">
        <v>5</v>
      </c>
      <c r="AF36" s="4166">
        <v>3</v>
      </c>
      <c r="AG36" s="4167">
        <v>0.4</v>
      </c>
      <c r="AH36" s="4168">
        <v>2</v>
      </c>
      <c r="AI36" s="4169">
        <v>0.4</v>
      </c>
      <c r="AJ36" s="4170">
        <v>0</v>
      </c>
      <c r="AK36" s="4171">
        <v>0</v>
      </c>
      <c r="AL36" s="4172">
        <v>5</v>
      </c>
      <c r="AM36" s="4173">
        <v>3</v>
      </c>
      <c r="AN36" s="4174">
        <v>0.6</v>
      </c>
      <c r="AO36" s="4175">
        <v>5</v>
      </c>
      <c r="AP36" s="4176">
        <v>1</v>
      </c>
      <c r="AQ36" s="4177">
        <v>3</v>
      </c>
      <c r="AR36" s="4178">
        <v>0.6</v>
      </c>
      <c r="AS36" s="4179">
        <v>5.26</v>
      </c>
      <c r="AT36" s="4180">
        <v>0.87</v>
      </c>
      <c r="AU36" s="4181">
        <v>4.9027237354085607</v>
      </c>
      <c r="AV36" s="4182">
        <v>3.7333333333333334</v>
      </c>
      <c r="AW36" s="4183">
        <v>0.4377431906614786</v>
      </c>
      <c r="AX36" s="4184">
        <v>0.52529182879377434</v>
      </c>
      <c r="AY36" s="4185">
        <v>16.021400778210118</v>
      </c>
      <c r="AZ36" s="4186">
        <v>3.1517509727626458</v>
      </c>
      <c r="BA36" s="4187">
        <v>7.0038910505836576</v>
      </c>
      <c r="BB36" s="4188">
        <v>3.06420233463035</v>
      </c>
      <c r="BC36" s="4189">
        <v>2.5389105058365757</v>
      </c>
      <c r="BD36" s="4190">
        <v>0.61284046692607008</v>
      </c>
      <c r="BE36" s="4191">
        <v>0.8754863813229572</v>
      </c>
      <c r="BF36" s="4192">
        <v>1.4007782101167314</v>
      </c>
      <c r="BG36" s="4193">
        <v>0.17509727626459143</v>
      </c>
      <c r="BH36" s="4194">
        <v>0.26264591439688717</v>
      </c>
      <c r="BI36" s="4195">
        <v>0.17509727626459143</v>
      </c>
      <c r="BJ36" s="4196">
        <v>1.4883268482490273</v>
      </c>
      <c r="BK36" s="4197">
        <v>0.4377431906614786</v>
      </c>
      <c r="BL36" s="4198">
        <v>0.26264591439688717</v>
      </c>
      <c r="BM36" s="4199">
        <v>0.17509727626459143</v>
      </c>
      <c r="BN36" s="4200">
        <v>0.4377431906614786</v>
      </c>
      <c r="BO36" s="4201">
        <v>0.26264591439688717</v>
      </c>
      <c r="BP36" s="4202">
        <v>9.6741245136186773</v>
      </c>
      <c r="BQ36" s="4203">
        <v>0.43389105058365762</v>
      </c>
      <c r="BR36" s="4204">
        <v>0.15329766536964981</v>
      </c>
      <c r="BS36" s="4205">
        <v>2.19545719844358</v>
      </c>
      <c r="BT36" s="4206">
        <v>2.19545719844358</v>
      </c>
      <c r="BU36" s="4207">
        <v>0.46050583657587546</v>
      </c>
      <c r="BV36" s="4208">
        <v>7.6167315175097269E-2</v>
      </c>
      <c r="BW36" s="4209">
        <v>2.0705252918287935</v>
      </c>
      <c r="BX36" s="4210">
        <v>0.36094102263450623</v>
      </c>
      <c r="BY36" s="4211">
        <v>0.17063063383102417</v>
      </c>
      <c r="BZ36" s="4212">
        <v>1.9556559920310974</v>
      </c>
    </row>
    <row r="37" spans="1:78" hidden="1" x14ac:dyDescent="0.3">
      <c r="A37" s="2809" t="s">
        <v>130</v>
      </c>
      <c r="B37" s="2810" t="s">
        <v>84</v>
      </c>
      <c r="C37" s="2811">
        <v>4.5</v>
      </c>
      <c r="D37" s="2812">
        <v>13</v>
      </c>
      <c r="E37" s="2813">
        <v>1</v>
      </c>
      <c r="F37" s="2814">
        <v>1</v>
      </c>
      <c r="G37" s="2815">
        <v>0</v>
      </c>
      <c r="H37" s="2816">
        <v>0</v>
      </c>
      <c r="I37" s="2817">
        <v>-1</v>
      </c>
      <c r="J37" s="2818">
        <v>-1</v>
      </c>
      <c r="K37" s="2819">
        <v>0</v>
      </c>
      <c r="L37" s="2820">
        <v>0</v>
      </c>
      <c r="M37" s="2821">
        <v>1</v>
      </c>
      <c r="N37" s="2822">
        <v>1</v>
      </c>
      <c r="O37" s="2823">
        <v>1</v>
      </c>
      <c r="P37" s="2824">
        <v>1</v>
      </c>
      <c r="Q37" s="2825">
        <v>0</v>
      </c>
      <c r="R37" s="2826">
        <v>0</v>
      </c>
      <c r="S37" s="2827">
        <v>0</v>
      </c>
      <c r="T37" s="2828">
        <v>0</v>
      </c>
      <c r="U37" s="2829">
        <v>0</v>
      </c>
      <c r="V37" s="2830">
        <v>0</v>
      </c>
      <c r="W37" s="2831">
        <v>0</v>
      </c>
      <c r="X37" s="2832">
        <v>0</v>
      </c>
      <c r="Y37" s="2833">
        <v>0</v>
      </c>
      <c r="Z37" s="2834">
        <v>0</v>
      </c>
      <c r="AA37" s="2835">
        <v>0</v>
      </c>
      <c r="AB37" s="2836">
        <v>0.3</v>
      </c>
      <c r="AC37" s="2837">
        <v>0</v>
      </c>
      <c r="AD37" s="2838">
        <v>0</v>
      </c>
      <c r="AE37" s="2839">
        <v>1</v>
      </c>
      <c r="AF37" s="2840">
        <v>1</v>
      </c>
      <c r="AG37" s="2841">
        <v>0</v>
      </c>
      <c r="AH37" s="2842">
        <v>0</v>
      </c>
      <c r="AI37" s="2843">
        <v>0</v>
      </c>
      <c r="AJ37" s="2844">
        <v>0</v>
      </c>
      <c r="AK37" s="2845">
        <v>0</v>
      </c>
      <c r="AL37" s="2846">
        <v>1</v>
      </c>
      <c r="AM37" s="2847">
        <v>1</v>
      </c>
      <c r="AN37" s="2848">
        <v>1</v>
      </c>
      <c r="AO37" s="2849">
        <v>0</v>
      </c>
      <c r="AP37" s="2850">
        <v>0</v>
      </c>
      <c r="AQ37" s="2851">
        <v>0</v>
      </c>
      <c r="AR37" s="2852">
        <v>0</v>
      </c>
      <c r="AS37" s="2853">
        <v>0.46</v>
      </c>
      <c r="AT37" s="2854">
        <v>0</v>
      </c>
      <c r="AU37" s="2855">
        <v>6.9230769230769234</v>
      </c>
      <c r="AV37" s="2856">
        <v>1</v>
      </c>
      <c r="AW37" s="2857">
        <v>0</v>
      </c>
      <c r="AX37" s="2858">
        <v>0</v>
      </c>
      <c r="AY37" s="2859">
        <v>-6.9230769230769234</v>
      </c>
      <c r="AZ37" s="2860">
        <v>-6.9230769230769234</v>
      </c>
      <c r="BA37" s="2861">
        <v>6.9230769230769234</v>
      </c>
      <c r="BB37" s="2862">
        <v>6.9230769230769234</v>
      </c>
      <c r="BC37" s="2863">
        <v>6.9230769230769234</v>
      </c>
      <c r="BD37" s="2864">
        <v>0</v>
      </c>
      <c r="BE37" s="2865">
        <v>0</v>
      </c>
      <c r="BF37" s="2866">
        <v>0</v>
      </c>
      <c r="BG37" s="2867">
        <v>0</v>
      </c>
      <c r="BH37" s="2868">
        <v>0</v>
      </c>
      <c r="BI37" s="2869">
        <v>0</v>
      </c>
      <c r="BJ37" s="2870">
        <v>0</v>
      </c>
      <c r="BK37" s="2871">
        <v>6.9230769230769234</v>
      </c>
      <c r="BL37" s="2872">
        <v>6.9230769230769234</v>
      </c>
      <c r="BM37" s="2873">
        <v>0</v>
      </c>
      <c r="BN37" s="2874">
        <v>0</v>
      </c>
      <c r="BO37" s="2875">
        <v>0</v>
      </c>
      <c r="BP37" s="2876">
        <v>2.0769230769230766</v>
      </c>
      <c r="BQ37" s="2877">
        <v>1.1215384615384616</v>
      </c>
      <c r="BR37" s="2878">
        <v>0</v>
      </c>
      <c r="BS37" s="2879">
        <v>4.4861538461538464</v>
      </c>
      <c r="BT37" s="2880">
        <v>4.4861538461538464</v>
      </c>
      <c r="BU37" s="2881">
        <v>3.1846153846153848</v>
      </c>
      <c r="BV37" s="2882">
        <v>0</v>
      </c>
      <c r="BW37" s="2883">
        <v>12.738461538461539</v>
      </c>
      <c r="BX37" s="2884">
        <v>3.2109787464141846</v>
      </c>
      <c r="BY37" s="2885">
        <v>0</v>
      </c>
      <c r="BZ37" s="2886">
        <v>12.843914985656738</v>
      </c>
    </row>
    <row r="38" spans="1:78" hidden="1" x14ac:dyDescent="0.3">
      <c r="A38" s="781" t="s">
        <v>94</v>
      </c>
      <c r="B38" s="782" t="s">
        <v>89</v>
      </c>
      <c r="C38" s="783">
        <v>10.899999618530273</v>
      </c>
      <c r="D38" s="784">
        <v>1780</v>
      </c>
      <c r="E38" s="785">
        <v>20</v>
      </c>
      <c r="F38" s="786">
        <v>104</v>
      </c>
      <c r="G38" s="787">
        <v>11</v>
      </c>
      <c r="H38" s="788">
        <v>16</v>
      </c>
      <c r="I38" s="789">
        <v>374</v>
      </c>
      <c r="J38" s="790">
        <v>92</v>
      </c>
      <c r="K38" s="791">
        <v>0</v>
      </c>
      <c r="L38" s="792">
        <v>2</v>
      </c>
      <c r="M38" s="793">
        <v>96</v>
      </c>
      <c r="N38" s="794">
        <v>56</v>
      </c>
      <c r="O38" s="795">
        <v>36</v>
      </c>
      <c r="P38" s="796">
        <v>0.6428571428571429</v>
      </c>
      <c r="Q38" s="797">
        <v>2</v>
      </c>
      <c r="R38" s="798">
        <v>3.5714285714285712E-2</v>
      </c>
      <c r="S38" s="799">
        <v>7</v>
      </c>
      <c r="T38" s="800">
        <v>0.125</v>
      </c>
      <c r="U38" s="801">
        <v>24</v>
      </c>
      <c r="V38" s="802">
        <v>0.42857142857142855</v>
      </c>
      <c r="W38" s="803">
        <v>0.19642857142857142</v>
      </c>
      <c r="X38" s="804">
        <v>2</v>
      </c>
      <c r="Y38" s="805">
        <v>2</v>
      </c>
      <c r="Z38" s="806">
        <v>20</v>
      </c>
      <c r="AA38" s="807">
        <v>0.1</v>
      </c>
      <c r="AB38" s="808">
        <v>151.6</v>
      </c>
      <c r="AC38" s="809">
        <v>37</v>
      </c>
      <c r="AD38" s="810">
        <v>2</v>
      </c>
      <c r="AE38" s="811">
        <v>11</v>
      </c>
      <c r="AF38" s="812">
        <v>4</v>
      </c>
      <c r="AG38" s="813">
        <v>0.63636363636363635</v>
      </c>
      <c r="AH38" s="814">
        <v>7</v>
      </c>
      <c r="AI38" s="815">
        <v>0.63636363636363635</v>
      </c>
      <c r="AJ38" s="816">
        <v>2</v>
      </c>
      <c r="AK38" s="817">
        <v>0</v>
      </c>
      <c r="AL38" s="818">
        <v>9</v>
      </c>
      <c r="AM38" s="819">
        <v>4</v>
      </c>
      <c r="AN38" s="820">
        <v>0.44444444444444442</v>
      </c>
      <c r="AO38" s="821">
        <v>9</v>
      </c>
      <c r="AP38" s="822">
        <v>0.81818181818181823</v>
      </c>
      <c r="AQ38" s="823">
        <v>7</v>
      </c>
      <c r="AR38" s="824">
        <v>0.63636363636363635</v>
      </c>
      <c r="AS38" s="825">
        <v>7.19</v>
      </c>
      <c r="AT38" s="826">
        <v>1.83</v>
      </c>
      <c r="AU38" s="827">
        <v>5.2584269662921352</v>
      </c>
      <c r="AV38" s="828">
        <v>5.2</v>
      </c>
      <c r="AW38" s="829">
        <v>0.5561797752808989</v>
      </c>
      <c r="AX38" s="830">
        <v>0.80898876404494391</v>
      </c>
      <c r="AY38" s="831">
        <v>18.91011235955056</v>
      </c>
      <c r="AZ38" s="832">
        <v>4.6516853932584263</v>
      </c>
      <c r="BA38" s="833">
        <v>4.8539325842696632</v>
      </c>
      <c r="BB38" s="834">
        <v>2.8314606741573036</v>
      </c>
      <c r="BC38" s="835">
        <v>1.8202247191011234</v>
      </c>
      <c r="BD38" s="836">
        <v>0.10112359550561799</v>
      </c>
      <c r="BE38" s="837">
        <v>0.35393258426966295</v>
      </c>
      <c r="BF38" s="838">
        <v>1.2134831460674158</v>
      </c>
      <c r="BG38" s="839">
        <v>0.10112359550561799</v>
      </c>
      <c r="BH38" s="840">
        <v>0.10112359550561799</v>
      </c>
      <c r="BI38" s="841">
        <v>0.10112359550561799</v>
      </c>
      <c r="BJ38" s="842">
        <v>1.0112359550561798</v>
      </c>
      <c r="BK38" s="843">
        <v>0.5561797752808989</v>
      </c>
      <c r="BL38" s="844">
        <v>0.20224719101123598</v>
      </c>
      <c r="BM38" s="845">
        <v>0.35393258426966295</v>
      </c>
      <c r="BN38" s="846">
        <v>0.45505617977528084</v>
      </c>
      <c r="BO38" s="847">
        <v>0.35393258426966295</v>
      </c>
      <c r="BP38" s="848">
        <v>7.6651685393258422</v>
      </c>
      <c r="BQ38" s="849">
        <v>0.39782022471910111</v>
      </c>
      <c r="BR38" s="850">
        <v>0.10415730337078652</v>
      </c>
      <c r="BS38" s="851">
        <v>1.9037528089887639</v>
      </c>
      <c r="BT38" s="852">
        <v>1.6003820224719099</v>
      </c>
      <c r="BU38" s="853">
        <v>0.36353932584269666</v>
      </c>
      <c r="BV38" s="854">
        <v>9.2528089887640455E-2</v>
      </c>
      <c r="BW38" s="855">
        <v>1.731741573033708</v>
      </c>
      <c r="BX38" s="856">
        <v>0.39819422364234924</v>
      </c>
      <c r="BY38" s="857">
        <v>9.8747380077838898E-2</v>
      </c>
      <c r="BZ38" s="858">
        <v>1.8890190348029137</v>
      </c>
    </row>
    <row r="39" spans="1:78" hidden="1" x14ac:dyDescent="0.3">
      <c r="A39" s="1483" t="s">
        <v>110</v>
      </c>
      <c r="B39" s="1484" t="s">
        <v>91</v>
      </c>
      <c r="C39" s="1485">
        <v>6.5</v>
      </c>
      <c r="D39" s="1486">
        <v>1869</v>
      </c>
      <c r="E39" s="1487">
        <v>21</v>
      </c>
      <c r="F39" s="1488">
        <v>100</v>
      </c>
      <c r="G39" s="1489">
        <v>9</v>
      </c>
      <c r="H39" s="1490">
        <v>16</v>
      </c>
      <c r="I39" s="1491">
        <v>337</v>
      </c>
      <c r="J39" s="1492">
        <v>94</v>
      </c>
      <c r="K39" s="1493">
        <v>0</v>
      </c>
      <c r="L39" s="1494">
        <v>3</v>
      </c>
      <c r="M39" s="1495">
        <v>117</v>
      </c>
      <c r="N39" s="1496">
        <v>54</v>
      </c>
      <c r="O39" s="1497">
        <v>43</v>
      </c>
      <c r="P39" s="1498">
        <v>0.79629629629629628</v>
      </c>
      <c r="Q39" s="1499">
        <v>4</v>
      </c>
      <c r="R39" s="1500">
        <v>7.407407407407407E-2</v>
      </c>
      <c r="S39" s="1501">
        <v>3</v>
      </c>
      <c r="T39" s="1502">
        <v>5.5555555555555552E-2</v>
      </c>
      <c r="U39" s="1503">
        <v>27</v>
      </c>
      <c r="V39" s="1504">
        <v>0.5</v>
      </c>
      <c r="W39" s="1505">
        <v>0.16666666666666666</v>
      </c>
      <c r="X39" s="1506">
        <v>3</v>
      </c>
      <c r="Y39" s="1507">
        <v>3</v>
      </c>
      <c r="Z39" s="1508">
        <v>21</v>
      </c>
      <c r="AA39" s="1509">
        <v>0.14285714285714285</v>
      </c>
      <c r="AB39" s="1510">
        <v>156.80000000000001</v>
      </c>
      <c r="AC39" s="1511">
        <v>60</v>
      </c>
      <c r="AD39" s="1512">
        <v>4</v>
      </c>
      <c r="AE39" s="1513">
        <v>11</v>
      </c>
      <c r="AF39" s="1514">
        <v>7</v>
      </c>
      <c r="AG39" s="1515">
        <v>0.36363636363636365</v>
      </c>
      <c r="AH39" s="1516">
        <v>4</v>
      </c>
      <c r="AI39" s="1517">
        <v>0.44444444444444442</v>
      </c>
      <c r="AJ39" s="1518">
        <v>0</v>
      </c>
      <c r="AK39" s="1519">
        <v>0</v>
      </c>
      <c r="AL39" s="1520">
        <v>11</v>
      </c>
      <c r="AM39" s="1521">
        <v>7</v>
      </c>
      <c r="AN39" s="1522">
        <v>0.63636363636363635</v>
      </c>
      <c r="AO39" s="1523">
        <v>8</v>
      </c>
      <c r="AP39" s="1524">
        <v>0.88888888888888884</v>
      </c>
      <c r="AQ39" s="1525">
        <v>8</v>
      </c>
      <c r="AR39" s="1526">
        <v>0.88888888888888884</v>
      </c>
      <c r="AS39" s="1527">
        <v>7.08</v>
      </c>
      <c r="AT39" s="1528">
        <v>2.31</v>
      </c>
      <c r="AU39" s="1529">
        <v>4.815409309791332</v>
      </c>
      <c r="AV39" s="1530">
        <v>4.7619047619047619</v>
      </c>
      <c r="AW39" s="1531">
        <v>0.4333868378812199</v>
      </c>
      <c r="AX39" s="1532">
        <v>0.77046548956661309</v>
      </c>
      <c r="AY39" s="1533">
        <v>16.22792937399679</v>
      </c>
      <c r="AZ39" s="1534">
        <v>4.5264847512038529</v>
      </c>
      <c r="BA39" s="1535">
        <v>5.6340288924558592</v>
      </c>
      <c r="BB39" s="1536">
        <v>2.6003210272873196</v>
      </c>
      <c r="BC39" s="1537">
        <v>2.0706260032102728</v>
      </c>
      <c r="BD39" s="1538">
        <v>0.19261637239165327</v>
      </c>
      <c r="BE39" s="1539">
        <v>0.14446227929373998</v>
      </c>
      <c r="BF39" s="1540">
        <v>1.3001605136436598</v>
      </c>
      <c r="BG39" s="1541">
        <v>0.14446227929373998</v>
      </c>
      <c r="BH39" s="1542">
        <v>0.14446227929373998</v>
      </c>
      <c r="BI39" s="1543">
        <v>0.19261637239165327</v>
      </c>
      <c r="BJ39" s="1544">
        <v>1.0112359550561798</v>
      </c>
      <c r="BK39" s="1545">
        <v>0.52969502407704649</v>
      </c>
      <c r="BL39" s="1546">
        <v>0.33707865168539325</v>
      </c>
      <c r="BM39" s="1547">
        <v>0.19261637239165327</v>
      </c>
      <c r="BN39" s="1548">
        <v>0.38523274478330655</v>
      </c>
      <c r="BO39" s="1549">
        <v>0.38523274478330655</v>
      </c>
      <c r="BP39" s="1550">
        <v>7.5505617977528097</v>
      </c>
      <c r="BQ39" s="1551">
        <v>0.35821829855537718</v>
      </c>
      <c r="BR39" s="1552">
        <v>0.10415730337078652</v>
      </c>
      <c r="BS39" s="1553">
        <v>1.7453451043338681</v>
      </c>
      <c r="BT39" s="1554">
        <v>1.7453451043338681</v>
      </c>
      <c r="BU39" s="1555">
        <v>0.34093097913322634</v>
      </c>
      <c r="BV39" s="1556">
        <v>0.11123595505617978</v>
      </c>
      <c r="BW39" s="1557">
        <v>1.6974317817014448</v>
      </c>
      <c r="BX39" s="1558">
        <v>0.33665704727172852</v>
      </c>
      <c r="BY39" s="1559">
        <v>0.15350019931793213</v>
      </c>
      <c r="BZ39" s="1560">
        <v>1.8071287870407104</v>
      </c>
    </row>
    <row r="40" spans="1:78" hidden="1" x14ac:dyDescent="0.3">
      <c r="A40" s="3043" t="s">
        <v>134</v>
      </c>
      <c r="B40" s="3044" t="s">
        <v>118</v>
      </c>
      <c r="C40" s="3045">
        <v>4.5</v>
      </c>
      <c r="D40" s="3046">
        <v>1</v>
      </c>
      <c r="E40" s="3047">
        <v>1</v>
      </c>
      <c r="F40" s="3048">
        <v>1</v>
      </c>
      <c r="G40" s="3049">
        <v>0</v>
      </c>
      <c r="H40" s="3050">
        <v>0</v>
      </c>
      <c r="I40" s="3051">
        <v>2</v>
      </c>
      <c r="J40" s="3052">
        <v>2</v>
      </c>
      <c r="K40" s="3053">
        <v>0</v>
      </c>
      <c r="L40" s="3054">
        <v>0</v>
      </c>
      <c r="M40" s="3055">
        <v>0</v>
      </c>
      <c r="N40" s="3056">
        <v>0</v>
      </c>
      <c r="O40" s="3057">
        <v>0</v>
      </c>
      <c r="P40" s="3058">
        <v>0</v>
      </c>
      <c r="Q40" s="3059">
        <v>0</v>
      </c>
      <c r="R40" s="3060">
        <v>0</v>
      </c>
      <c r="S40" s="3061">
        <v>0</v>
      </c>
      <c r="T40" s="3062">
        <v>0</v>
      </c>
      <c r="U40" s="3063">
        <v>0</v>
      </c>
      <c r="V40" s="3064">
        <v>0</v>
      </c>
      <c r="W40" s="3065">
        <v>0</v>
      </c>
      <c r="X40" s="3066">
        <v>0</v>
      </c>
      <c r="Y40" s="3067">
        <v>0</v>
      </c>
      <c r="Z40" s="3068">
        <v>0</v>
      </c>
      <c r="AA40" s="3069">
        <v>0</v>
      </c>
      <c r="AB40" s="3070">
        <v>0.3</v>
      </c>
      <c r="AC40" s="3071">
        <v>0</v>
      </c>
      <c r="AD40" s="3072">
        <v>0</v>
      </c>
      <c r="AE40" s="3073">
        <v>0</v>
      </c>
      <c r="AF40" s="3074">
        <v>0</v>
      </c>
      <c r="AG40" s="3075">
        <v>0</v>
      </c>
      <c r="AH40" s="3076">
        <v>0</v>
      </c>
      <c r="AI40" s="3077">
        <v>0</v>
      </c>
      <c r="AJ40" s="3078">
        <v>0</v>
      </c>
      <c r="AK40" s="3079">
        <v>0</v>
      </c>
      <c r="AL40" s="3080">
        <v>0</v>
      </c>
      <c r="AM40" s="3081">
        <v>0</v>
      </c>
      <c r="AN40" s="3082">
        <v>0</v>
      </c>
      <c r="AO40" s="3083">
        <v>0</v>
      </c>
      <c r="AP40" s="3084">
        <v>0</v>
      </c>
      <c r="AQ40" s="3085">
        <v>0</v>
      </c>
      <c r="AR40" s="3086">
        <v>0</v>
      </c>
      <c r="AS40" s="3087">
        <v>0</v>
      </c>
      <c r="AT40" s="3088">
        <v>0</v>
      </c>
      <c r="AU40" s="3089">
        <v>90</v>
      </c>
      <c r="AV40" s="3090">
        <v>1</v>
      </c>
      <c r="AW40" s="3091">
        <v>0</v>
      </c>
      <c r="AX40" s="3092">
        <v>0</v>
      </c>
      <c r="AY40" s="3093">
        <v>180</v>
      </c>
      <c r="AZ40" s="3094">
        <v>180</v>
      </c>
      <c r="BA40" s="3095">
        <v>0</v>
      </c>
      <c r="BB40" s="3096">
        <v>0</v>
      </c>
      <c r="BC40" s="3097">
        <v>0</v>
      </c>
      <c r="BD40" s="3098">
        <v>0</v>
      </c>
      <c r="BE40" s="3099">
        <v>0</v>
      </c>
      <c r="BF40" s="3100">
        <v>0</v>
      </c>
      <c r="BG40" s="3101">
        <v>0</v>
      </c>
      <c r="BH40" s="3102">
        <v>0</v>
      </c>
      <c r="BI40" s="3103">
        <v>0</v>
      </c>
      <c r="BJ40" s="3104">
        <v>0</v>
      </c>
      <c r="BK40" s="3105">
        <v>0</v>
      </c>
      <c r="BL40" s="3106">
        <v>0</v>
      </c>
      <c r="BM40" s="3107">
        <v>0</v>
      </c>
      <c r="BN40" s="3108">
        <v>0</v>
      </c>
      <c r="BO40" s="3109">
        <v>0</v>
      </c>
      <c r="BP40" s="3110">
        <v>27</v>
      </c>
      <c r="BQ40" s="3111">
        <v>0</v>
      </c>
      <c r="BR40" s="3112">
        <v>0</v>
      </c>
      <c r="BS40" s="3113">
        <v>0</v>
      </c>
      <c r="BT40" s="3114">
        <v>0</v>
      </c>
      <c r="BU40" s="3115">
        <v>0</v>
      </c>
      <c r="BV40" s="3116">
        <v>0</v>
      </c>
      <c r="BW40" s="3117">
        <v>0</v>
      </c>
      <c r="BX40" s="3118">
        <v>0</v>
      </c>
      <c r="BY40" s="3119">
        <v>0</v>
      </c>
      <c r="BZ40" s="3120">
        <v>0</v>
      </c>
    </row>
    <row r="41" spans="1:78" x14ac:dyDescent="0.3">
      <c r="A41" s="2497" t="s">
        <v>126</v>
      </c>
      <c r="B41" s="2498" t="s">
        <v>109</v>
      </c>
      <c r="C41" s="2499">
        <v>4.4000000953674316</v>
      </c>
      <c r="D41" s="2500">
        <v>721</v>
      </c>
      <c r="E41" s="2501">
        <v>14</v>
      </c>
      <c r="F41" s="2502">
        <v>37</v>
      </c>
      <c r="G41" s="2503">
        <v>2</v>
      </c>
      <c r="H41" s="2504">
        <v>3</v>
      </c>
      <c r="I41" s="2505">
        <v>82</v>
      </c>
      <c r="J41" s="2506">
        <v>16</v>
      </c>
      <c r="K41" s="2507">
        <v>0</v>
      </c>
      <c r="L41" s="2508">
        <v>2</v>
      </c>
      <c r="M41" s="2509">
        <v>36</v>
      </c>
      <c r="N41" s="2510">
        <v>24</v>
      </c>
      <c r="O41" s="2511">
        <v>17</v>
      </c>
      <c r="P41" s="2512">
        <v>0.70833333333333337</v>
      </c>
      <c r="Q41" s="2513">
        <v>2</v>
      </c>
      <c r="R41" s="2514">
        <v>8.3333333333333329E-2</v>
      </c>
      <c r="S41" s="2515">
        <v>4</v>
      </c>
      <c r="T41" s="2516">
        <v>0.16666666666666666</v>
      </c>
      <c r="U41" s="2517">
        <v>9</v>
      </c>
      <c r="V41" s="2518">
        <v>0.375</v>
      </c>
      <c r="W41" s="2519">
        <v>8.3333333333333329E-2</v>
      </c>
      <c r="X41" s="2520">
        <v>0</v>
      </c>
      <c r="Y41" s="2521">
        <v>2</v>
      </c>
      <c r="Z41" s="2522">
        <v>3</v>
      </c>
      <c r="AA41" s="2523">
        <v>0</v>
      </c>
      <c r="AB41" s="2524">
        <v>44.7</v>
      </c>
      <c r="AC41" s="2525">
        <v>40</v>
      </c>
      <c r="AD41" s="2526">
        <v>0</v>
      </c>
      <c r="AE41" s="2527">
        <v>5</v>
      </c>
      <c r="AF41" s="2528">
        <v>4</v>
      </c>
      <c r="AG41" s="2529">
        <v>0.2</v>
      </c>
      <c r="AH41" s="2530">
        <v>1</v>
      </c>
      <c r="AI41" s="2531">
        <v>0.5</v>
      </c>
      <c r="AJ41" s="2532">
        <v>0</v>
      </c>
      <c r="AK41" s="2533">
        <v>0</v>
      </c>
      <c r="AL41" s="2534">
        <v>5</v>
      </c>
      <c r="AM41" s="2535">
        <v>4</v>
      </c>
      <c r="AN41" s="2536">
        <v>0.8</v>
      </c>
      <c r="AO41" s="2537">
        <v>2</v>
      </c>
      <c r="AP41" s="2538">
        <v>1</v>
      </c>
      <c r="AQ41" s="2539">
        <v>2</v>
      </c>
      <c r="AR41" s="2540">
        <v>1</v>
      </c>
      <c r="AS41" s="2541">
        <v>3.07</v>
      </c>
      <c r="AT41" s="2542">
        <v>0.25</v>
      </c>
      <c r="AU41" s="2543">
        <v>4.6185852981969484</v>
      </c>
      <c r="AV41" s="2544">
        <v>2.6428571428571428</v>
      </c>
      <c r="AW41" s="2545">
        <v>0.24965325936199723</v>
      </c>
      <c r="AX41" s="2546">
        <v>0.37447988904299584</v>
      </c>
      <c r="AY41" s="2547">
        <v>10.235783633841887</v>
      </c>
      <c r="AZ41" s="2548">
        <v>1.9972260748959778</v>
      </c>
      <c r="BA41" s="2549">
        <v>4.4937586685159499</v>
      </c>
      <c r="BB41" s="2550">
        <v>2.9958391123439667</v>
      </c>
      <c r="BC41" s="2551">
        <v>2.1220527045769764</v>
      </c>
      <c r="BD41" s="2552">
        <v>0.24965325936199723</v>
      </c>
      <c r="BE41" s="2553">
        <v>0.49930651872399445</v>
      </c>
      <c r="BF41" s="2554">
        <v>1.1234396671289875</v>
      </c>
      <c r="BG41" s="2555">
        <v>0</v>
      </c>
      <c r="BH41" s="2556">
        <v>0.24965325936199723</v>
      </c>
      <c r="BI41" s="2557">
        <v>0</v>
      </c>
      <c r="BJ41" s="2558">
        <v>0.37447988904299584</v>
      </c>
      <c r="BK41" s="2559">
        <v>0.62413314840499312</v>
      </c>
      <c r="BL41" s="2560">
        <v>0.49930651872399445</v>
      </c>
      <c r="BM41" s="2561">
        <v>0.12482662968099861</v>
      </c>
      <c r="BN41" s="2562">
        <v>0.24965325936199723</v>
      </c>
      <c r="BO41" s="2563">
        <v>0.24965325936199723</v>
      </c>
      <c r="BP41" s="2564">
        <v>5.5797503467406386</v>
      </c>
      <c r="BQ41" s="2565">
        <v>0.3813453536754508</v>
      </c>
      <c r="BR41" s="2566">
        <v>3.8571428571428569E-2</v>
      </c>
      <c r="BS41" s="2567">
        <v>1.6410957004160889</v>
      </c>
      <c r="BT41" s="2568">
        <v>1.6410957004160889</v>
      </c>
      <c r="BU41" s="2569">
        <v>0.38321775312066575</v>
      </c>
      <c r="BV41" s="2570">
        <v>3.1206657420249653E-2</v>
      </c>
      <c r="BW41" s="2571">
        <v>1.6264909847434119</v>
      </c>
      <c r="BX41" s="2572">
        <v>0.4340742826461792</v>
      </c>
      <c r="BY41" s="2573">
        <v>2.053508348762989E-2</v>
      </c>
      <c r="BZ41" s="2574">
        <v>1.7979023810476065</v>
      </c>
    </row>
    <row r="42" spans="1:78" hidden="1" x14ac:dyDescent="0.3">
      <c r="A42" s="3199" t="s">
        <v>136</v>
      </c>
      <c r="B42" s="3200" t="s">
        <v>86</v>
      </c>
      <c r="C42" s="3201">
        <v>5.4000000953674316</v>
      </c>
      <c r="D42" s="3202">
        <v>112</v>
      </c>
      <c r="E42" s="3203">
        <v>6</v>
      </c>
      <c r="F42" s="3204">
        <v>5</v>
      </c>
      <c r="G42" s="3205">
        <v>0</v>
      </c>
      <c r="H42" s="3206">
        <v>0</v>
      </c>
      <c r="I42" s="3207">
        <v>14</v>
      </c>
      <c r="J42" s="3208">
        <v>14</v>
      </c>
      <c r="K42" s="3209">
        <v>0</v>
      </c>
      <c r="L42" s="3210">
        <v>0</v>
      </c>
      <c r="M42" s="3211">
        <v>7</v>
      </c>
      <c r="N42" s="3212">
        <v>2</v>
      </c>
      <c r="O42" s="3213">
        <v>1</v>
      </c>
      <c r="P42" s="3214">
        <v>0.5</v>
      </c>
      <c r="Q42" s="3215">
        <v>0</v>
      </c>
      <c r="R42" s="3216">
        <v>0</v>
      </c>
      <c r="S42" s="3217">
        <v>0</v>
      </c>
      <c r="T42" s="3218">
        <v>0</v>
      </c>
      <c r="U42" s="3219">
        <v>0</v>
      </c>
      <c r="V42" s="3220">
        <v>0</v>
      </c>
      <c r="W42" s="3221">
        <v>0</v>
      </c>
      <c r="X42" s="3222">
        <v>0</v>
      </c>
      <c r="Y42" s="3223">
        <v>0</v>
      </c>
      <c r="Z42" s="3224">
        <v>1</v>
      </c>
      <c r="AA42" s="3225">
        <v>0</v>
      </c>
      <c r="AB42" s="3226">
        <v>3.8</v>
      </c>
      <c r="AC42" s="3227">
        <v>0</v>
      </c>
      <c r="AD42" s="3228">
        <v>0</v>
      </c>
      <c r="AE42" s="3229">
        <v>0</v>
      </c>
      <c r="AF42" s="3230">
        <v>0</v>
      </c>
      <c r="AG42" s="3231">
        <v>0</v>
      </c>
      <c r="AH42" s="3232">
        <v>0</v>
      </c>
      <c r="AI42" s="3233">
        <v>0</v>
      </c>
      <c r="AJ42" s="3234">
        <v>0</v>
      </c>
      <c r="AK42" s="3235">
        <v>0</v>
      </c>
      <c r="AL42" s="3236">
        <v>0</v>
      </c>
      <c r="AM42" s="3237">
        <v>0</v>
      </c>
      <c r="AN42" s="3238">
        <v>0</v>
      </c>
      <c r="AO42" s="3239">
        <v>0</v>
      </c>
      <c r="AP42" s="3240">
        <v>0</v>
      </c>
      <c r="AQ42" s="3241">
        <v>0</v>
      </c>
      <c r="AR42" s="3242">
        <v>0</v>
      </c>
      <c r="AS42" s="3243">
        <v>0.12</v>
      </c>
      <c r="AT42" s="3244">
        <v>0.05</v>
      </c>
      <c r="AU42" s="3245">
        <v>4.0178571428571432</v>
      </c>
      <c r="AV42" s="3246">
        <v>0.83333333333333337</v>
      </c>
      <c r="AW42" s="3247">
        <v>0</v>
      </c>
      <c r="AX42" s="3248">
        <v>0</v>
      </c>
      <c r="AY42" s="3249">
        <v>11.25</v>
      </c>
      <c r="AZ42" s="3250">
        <v>11.25</v>
      </c>
      <c r="BA42" s="3251">
        <v>5.625</v>
      </c>
      <c r="BB42" s="3252">
        <v>1.607142857142857</v>
      </c>
      <c r="BC42" s="3253">
        <v>0.80357142857142849</v>
      </c>
      <c r="BD42" s="3254">
        <v>0</v>
      </c>
      <c r="BE42" s="3255">
        <v>0</v>
      </c>
      <c r="BF42" s="3256">
        <v>0</v>
      </c>
      <c r="BG42" s="3257">
        <v>0</v>
      </c>
      <c r="BH42" s="3258">
        <v>0</v>
      </c>
      <c r="BI42" s="3259">
        <v>0</v>
      </c>
      <c r="BJ42" s="3260">
        <v>0.80357142857142849</v>
      </c>
      <c r="BK42" s="3261">
        <v>0</v>
      </c>
      <c r="BL42" s="3262">
        <v>0</v>
      </c>
      <c r="BM42" s="3263">
        <v>0</v>
      </c>
      <c r="BN42" s="3264">
        <v>0</v>
      </c>
      <c r="BO42" s="3265">
        <v>0</v>
      </c>
      <c r="BP42" s="3266">
        <v>3.0535714285714284</v>
      </c>
      <c r="BQ42" s="3267">
        <v>0.16473214285714285</v>
      </c>
      <c r="BR42" s="3268">
        <v>8.2767857142857129E-2</v>
      </c>
      <c r="BS42" s="3269">
        <v>0.90723214285714282</v>
      </c>
      <c r="BT42" s="3270">
        <v>0.90723214285714282</v>
      </c>
      <c r="BU42" s="3271">
        <v>9.6428571428571433E-2</v>
      </c>
      <c r="BV42" s="3272">
        <v>4.0178571428571432E-2</v>
      </c>
      <c r="BW42" s="3273">
        <v>0.50625000000000009</v>
      </c>
      <c r="BX42" s="3274">
        <v>0.14873774349689484</v>
      </c>
      <c r="BY42" s="3275">
        <v>7.7225238084793091E-2</v>
      </c>
      <c r="BZ42" s="3276">
        <v>0.82662668824195862</v>
      </c>
    </row>
    <row r="43" spans="1:78" hidden="1" x14ac:dyDescent="0.3">
      <c r="A43" s="2653" t="s">
        <v>128</v>
      </c>
      <c r="B43" s="2654" t="s">
        <v>100</v>
      </c>
      <c r="C43" s="2655">
        <v>6.0999999046325684</v>
      </c>
      <c r="D43" s="2656">
        <v>1394</v>
      </c>
      <c r="E43" s="2657">
        <v>19</v>
      </c>
      <c r="F43" s="2658">
        <v>53</v>
      </c>
      <c r="G43" s="2659">
        <v>3</v>
      </c>
      <c r="H43" s="2660">
        <v>6</v>
      </c>
      <c r="I43" s="2661">
        <v>166</v>
      </c>
      <c r="J43" s="2662">
        <v>85</v>
      </c>
      <c r="K43" s="2663">
        <v>0</v>
      </c>
      <c r="L43" s="2664">
        <v>3</v>
      </c>
      <c r="M43" s="2665">
        <v>93</v>
      </c>
      <c r="N43" s="2666">
        <v>44</v>
      </c>
      <c r="O43" s="2667">
        <v>36</v>
      </c>
      <c r="P43" s="2668">
        <v>0.81818181818181823</v>
      </c>
      <c r="Q43" s="2669">
        <v>4</v>
      </c>
      <c r="R43" s="2670">
        <v>9.0909090909090912E-2</v>
      </c>
      <c r="S43" s="2671">
        <v>4</v>
      </c>
      <c r="T43" s="2672">
        <v>9.0909090909090912E-2</v>
      </c>
      <c r="U43" s="2673">
        <v>15</v>
      </c>
      <c r="V43" s="2674">
        <v>0.34090909090909088</v>
      </c>
      <c r="W43" s="2675">
        <v>6.8181818181818177E-2</v>
      </c>
      <c r="X43" s="2676">
        <v>0</v>
      </c>
      <c r="Y43" s="2677">
        <v>1</v>
      </c>
      <c r="Z43" s="2678">
        <v>17</v>
      </c>
      <c r="AA43" s="2679">
        <v>0</v>
      </c>
      <c r="AB43" s="2680">
        <v>122.1</v>
      </c>
      <c r="AC43" s="2681">
        <v>24</v>
      </c>
      <c r="AD43" s="2682">
        <v>0</v>
      </c>
      <c r="AE43" s="2683">
        <v>9</v>
      </c>
      <c r="AF43" s="2684">
        <v>7</v>
      </c>
      <c r="AG43" s="2685">
        <v>0.22222222222222221</v>
      </c>
      <c r="AH43" s="2686">
        <v>2</v>
      </c>
      <c r="AI43" s="2687">
        <v>0.66666666666666663</v>
      </c>
      <c r="AJ43" s="2688">
        <v>0</v>
      </c>
      <c r="AK43" s="2689">
        <v>0</v>
      </c>
      <c r="AL43" s="2690">
        <v>9</v>
      </c>
      <c r="AM43" s="2691">
        <v>7</v>
      </c>
      <c r="AN43" s="2692">
        <v>0.77777777777777779</v>
      </c>
      <c r="AO43" s="2693">
        <v>3</v>
      </c>
      <c r="AP43" s="2694">
        <v>1</v>
      </c>
      <c r="AQ43" s="2695">
        <v>3</v>
      </c>
      <c r="AR43" s="2696">
        <v>1</v>
      </c>
      <c r="AS43" s="2697">
        <v>6.51</v>
      </c>
      <c r="AT43" s="2698">
        <v>1.1599999999999999</v>
      </c>
      <c r="AU43" s="2699">
        <v>3.4218077474892392</v>
      </c>
      <c r="AV43" s="2700">
        <v>2.7894736842105261</v>
      </c>
      <c r="AW43" s="2701">
        <v>0.19368723098995694</v>
      </c>
      <c r="AX43" s="2702">
        <v>0.38737446197991388</v>
      </c>
      <c r="AY43" s="2703">
        <v>10.717360114777618</v>
      </c>
      <c r="AZ43" s="2704">
        <v>5.48780487804878</v>
      </c>
      <c r="BA43" s="2705">
        <v>6.0043041606886653</v>
      </c>
      <c r="BB43" s="2706">
        <v>2.8407460545193688</v>
      </c>
      <c r="BC43" s="2707">
        <v>2.3242467718794835</v>
      </c>
      <c r="BD43" s="2708">
        <v>0.2582496413199426</v>
      </c>
      <c r="BE43" s="2709">
        <v>0.2582496413199426</v>
      </c>
      <c r="BF43" s="2710">
        <v>0.96843615494978486</v>
      </c>
      <c r="BG43" s="2711">
        <v>0</v>
      </c>
      <c r="BH43" s="2712">
        <v>6.4562410329985651E-2</v>
      </c>
      <c r="BI43" s="2713">
        <v>0</v>
      </c>
      <c r="BJ43" s="2714">
        <v>1.0975609756097562</v>
      </c>
      <c r="BK43" s="2715">
        <v>0.58106169296987087</v>
      </c>
      <c r="BL43" s="2716">
        <v>0.45193687230989954</v>
      </c>
      <c r="BM43" s="2717">
        <v>0.1291248206599713</v>
      </c>
      <c r="BN43" s="2718">
        <v>0.19368723098995694</v>
      </c>
      <c r="BO43" s="2719">
        <v>0.19368723098995694</v>
      </c>
      <c r="BP43" s="2720">
        <v>7.883070301291248</v>
      </c>
      <c r="BQ43" s="2721">
        <v>0.3987374461979914</v>
      </c>
      <c r="BR43" s="2722">
        <v>0.11304878048780488</v>
      </c>
      <c r="BS43" s="2723">
        <v>1.9340961262553802</v>
      </c>
      <c r="BT43" s="2724">
        <v>1.9340961262553802</v>
      </c>
      <c r="BU43" s="2725">
        <v>0.42030129124820659</v>
      </c>
      <c r="BV43" s="2726">
        <v>7.4892395982783355E-2</v>
      </c>
      <c r="BW43" s="2727">
        <v>1.9058823529411764</v>
      </c>
      <c r="BX43" s="2728">
        <v>0.40027779340744019</v>
      </c>
      <c r="BY43" s="2729">
        <v>6.3534177839756012E-2</v>
      </c>
      <c r="BZ43" s="2730">
        <v>1.7917137071490288</v>
      </c>
    </row>
    <row r="44" spans="1:78" hidden="1" x14ac:dyDescent="0.3">
      <c r="A44" s="3511" t="s">
        <v>140</v>
      </c>
      <c r="B44" s="3512" t="s">
        <v>96</v>
      </c>
      <c r="C44" s="3513">
        <v>6.1999998092651367</v>
      </c>
      <c r="D44" s="3514">
        <v>1361</v>
      </c>
      <c r="E44" s="3515">
        <v>19</v>
      </c>
      <c r="F44" s="3516">
        <v>61</v>
      </c>
      <c r="G44" s="3517">
        <v>6</v>
      </c>
      <c r="H44" s="3518">
        <v>6</v>
      </c>
      <c r="I44" s="3519">
        <v>161</v>
      </c>
      <c r="J44" s="3520">
        <v>17</v>
      </c>
      <c r="K44" s="3521">
        <v>0</v>
      </c>
      <c r="L44" s="3522">
        <v>8</v>
      </c>
      <c r="M44" s="3523">
        <v>55</v>
      </c>
      <c r="N44" s="3524">
        <v>40</v>
      </c>
      <c r="O44" s="3525">
        <v>28</v>
      </c>
      <c r="P44" s="3526">
        <v>0.7</v>
      </c>
      <c r="Q44" s="3527">
        <v>6</v>
      </c>
      <c r="R44" s="3528">
        <v>0.15</v>
      </c>
      <c r="S44" s="3529">
        <v>8</v>
      </c>
      <c r="T44" s="3530">
        <v>0.2</v>
      </c>
      <c r="U44" s="3531">
        <v>12</v>
      </c>
      <c r="V44" s="3532">
        <v>0.3</v>
      </c>
      <c r="W44" s="3533">
        <v>0.15</v>
      </c>
      <c r="X44" s="3534">
        <v>0</v>
      </c>
      <c r="Y44" s="3535">
        <v>0</v>
      </c>
      <c r="Z44" s="3536">
        <v>5</v>
      </c>
      <c r="AA44" s="3537">
        <v>0</v>
      </c>
      <c r="AB44" s="3538">
        <v>75.8</v>
      </c>
      <c r="AC44" s="3539">
        <v>32</v>
      </c>
      <c r="AD44" s="3540">
        <v>0</v>
      </c>
      <c r="AE44" s="3541">
        <v>11</v>
      </c>
      <c r="AF44" s="3542">
        <v>7</v>
      </c>
      <c r="AG44" s="3543">
        <v>0.36363636363636365</v>
      </c>
      <c r="AH44" s="3544">
        <v>4</v>
      </c>
      <c r="AI44" s="3545">
        <v>0.66666666666666663</v>
      </c>
      <c r="AJ44" s="3546">
        <v>1</v>
      </c>
      <c r="AK44" s="3547">
        <v>0</v>
      </c>
      <c r="AL44" s="3548">
        <v>10</v>
      </c>
      <c r="AM44" s="3549">
        <v>7</v>
      </c>
      <c r="AN44" s="3550">
        <v>0.7</v>
      </c>
      <c r="AO44" s="3551">
        <v>5</v>
      </c>
      <c r="AP44" s="3552">
        <v>0.83333333333333337</v>
      </c>
      <c r="AQ44" s="3553">
        <v>4</v>
      </c>
      <c r="AR44" s="3554">
        <v>0.66666666666666663</v>
      </c>
      <c r="AS44" s="3555">
        <v>6.2</v>
      </c>
      <c r="AT44" s="3556">
        <v>0.35</v>
      </c>
      <c r="AU44" s="3557">
        <v>4.0337986774430563</v>
      </c>
      <c r="AV44" s="3558">
        <v>3.2105263157894739</v>
      </c>
      <c r="AW44" s="3559">
        <v>0.39676708302718589</v>
      </c>
      <c r="AX44" s="3560">
        <v>0.39676708302718589</v>
      </c>
      <c r="AY44" s="3561">
        <v>10.646583394562821</v>
      </c>
      <c r="AZ44" s="3562">
        <v>1.12417340191036</v>
      </c>
      <c r="BA44" s="3563">
        <v>3.6370315944158707</v>
      </c>
      <c r="BB44" s="3564">
        <v>2.645113886847906</v>
      </c>
      <c r="BC44" s="3565">
        <v>1.8515797207935343</v>
      </c>
      <c r="BD44" s="3566">
        <v>0.39676708302718589</v>
      </c>
      <c r="BE44" s="3567">
        <v>0.52902277736958114</v>
      </c>
      <c r="BF44" s="3568">
        <v>0.79353416605437177</v>
      </c>
      <c r="BG44" s="3569">
        <v>0</v>
      </c>
      <c r="BH44" s="3570">
        <v>0</v>
      </c>
      <c r="BI44" s="3571">
        <v>0</v>
      </c>
      <c r="BJ44" s="3572">
        <v>0.33063923585598826</v>
      </c>
      <c r="BK44" s="3573">
        <v>0.7274063188831742</v>
      </c>
      <c r="BL44" s="3574">
        <v>0.46289493019838357</v>
      </c>
      <c r="BM44" s="3575">
        <v>0.26451138868479057</v>
      </c>
      <c r="BN44" s="3576">
        <v>0.33063923585598826</v>
      </c>
      <c r="BO44" s="3577">
        <v>0.26451138868479057</v>
      </c>
      <c r="BP44" s="3578">
        <v>5.0124908155767818</v>
      </c>
      <c r="BQ44" s="3579">
        <v>0.37296105804555479</v>
      </c>
      <c r="BR44" s="3580">
        <v>3.4055841293166786E-2</v>
      </c>
      <c r="BS44" s="3581">
        <v>1.5940117560617195</v>
      </c>
      <c r="BT44" s="3582">
        <v>1.3956282145481267</v>
      </c>
      <c r="BU44" s="3583">
        <v>0.40999265246142541</v>
      </c>
      <c r="BV44" s="3584">
        <v>2.3144746509919174E-2</v>
      </c>
      <c r="BW44" s="3585">
        <v>1.7094048493754592</v>
      </c>
      <c r="BX44" s="3586">
        <v>0.4231770932674408</v>
      </c>
      <c r="BY44" s="3587">
        <v>2.0053280517458916E-2</v>
      </c>
      <c r="BZ44" s="3588">
        <v>1.7528682146221399</v>
      </c>
    </row>
    <row r="45" spans="1:78" hidden="1" x14ac:dyDescent="0.3">
      <c r="A45" s="3433" t="s">
        <v>139</v>
      </c>
      <c r="B45" s="3434" t="s">
        <v>102</v>
      </c>
      <c r="C45" s="3435">
        <v>5.0999999046325684</v>
      </c>
      <c r="D45" s="3436">
        <v>202</v>
      </c>
      <c r="E45" s="3437">
        <v>7</v>
      </c>
      <c r="F45" s="3438">
        <v>8</v>
      </c>
      <c r="G45" s="3439">
        <v>0</v>
      </c>
      <c r="H45" s="3440">
        <v>0</v>
      </c>
      <c r="I45" s="3441">
        <v>22</v>
      </c>
      <c r="J45" s="3442">
        <v>22</v>
      </c>
      <c r="K45" s="3443">
        <v>0</v>
      </c>
      <c r="L45" s="3444">
        <v>0</v>
      </c>
      <c r="M45" s="3445">
        <v>5</v>
      </c>
      <c r="N45" s="3446">
        <v>1</v>
      </c>
      <c r="O45" s="3447">
        <v>1</v>
      </c>
      <c r="P45" s="3448">
        <v>1</v>
      </c>
      <c r="Q45" s="3449">
        <v>0</v>
      </c>
      <c r="R45" s="3450">
        <v>0</v>
      </c>
      <c r="S45" s="3451">
        <v>0</v>
      </c>
      <c r="T45" s="3452">
        <v>0</v>
      </c>
      <c r="U45" s="3453">
        <v>0</v>
      </c>
      <c r="V45" s="3454">
        <v>0</v>
      </c>
      <c r="W45" s="3455">
        <v>0</v>
      </c>
      <c r="X45" s="3456">
        <v>0</v>
      </c>
      <c r="Y45" s="3457">
        <v>0</v>
      </c>
      <c r="Z45" s="3458">
        <v>1</v>
      </c>
      <c r="AA45" s="3459">
        <v>0</v>
      </c>
      <c r="AB45" s="3460">
        <v>3.6</v>
      </c>
      <c r="AC45" s="3461">
        <v>0</v>
      </c>
      <c r="AD45" s="3462">
        <v>0</v>
      </c>
      <c r="AE45" s="3463">
        <v>0</v>
      </c>
      <c r="AF45" s="3464">
        <v>0</v>
      </c>
      <c r="AG45" s="3465">
        <v>0</v>
      </c>
      <c r="AH45" s="3466">
        <v>0</v>
      </c>
      <c r="AI45" s="3467">
        <v>0</v>
      </c>
      <c r="AJ45" s="3468">
        <v>0</v>
      </c>
      <c r="AK45" s="3469">
        <v>0</v>
      </c>
      <c r="AL45" s="3470">
        <v>0</v>
      </c>
      <c r="AM45" s="3471">
        <v>0</v>
      </c>
      <c r="AN45" s="3472">
        <v>0</v>
      </c>
      <c r="AO45" s="3473">
        <v>0</v>
      </c>
      <c r="AP45" s="3474">
        <v>0</v>
      </c>
      <c r="AQ45" s="3475">
        <v>0</v>
      </c>
      <c r="AR45" s="3476">
        <v>0</v>
      </c>
      <c r="AS45" s="3477">
        <v>0.08</v>
      </c>
      <c r="AT45" s="3478">
        <v>0.02</v>
      </c>
      <c r="AU45" s="3479">
        <v>3.5643564356435644</v>
      </c>
      <c r="AV45" s="3480">
        <v>1.1428571428571428</v>
      </c>
      <c r="AW45" s="3481">
        <v>0</v>
      </c>
      <c r="AX45" s="3482">
        <v>0</v>
      </c>
      <c r="AY45" s="3483">
        <v>9.8019801980198018</v>
      </c>
      <c r="AZ45" s="3484">
        <v>9.8019801980198018</v>
      </c>
      <c r="BA45" s="3485">
        <v>2.2277227722772279</v>
      </c>
      <c r="BB45" s="3486">
        <v>0.44554455445544555</v>
      </c>
      <c r="BC45" s="3487">
        <v>0.44554455445544555</v>
      </c>
      <c r="BD45" s="3488">
        <v>0</v>
      </c>
      <c r="BE45" s="3489">
        <v>0</v>
      </c>
      <c r="BF45" s="3490">
        <v>0</v>
      </c>
      <c r="BG45" s="3491">
        <v>0</v>
      </c>
      <c r="BH45" s="3492">
        <v>0</v>
      </c>
      <c r="BI45" s="3493">
        <v>0</v>
      </c>
      <c r="BJ45" s="3494">
        <v>0.44554455445544555</v>
      </c>
      <c r="BK45" s="3495">
        <v>0</v>
      </c>
      <c r="BL45" s="3496">
        <v>0</v>
      </c>
      <c r="BM45" s="3497">
        <v>0</v>
      </c>
      <c r="BN45" s="3498">
        <v>0</v>
      </c>
      <c r="BO45" s="3499">
        <v>0</v>
      </c>
      <c r="BP45" s="3500">
        <v>1.6039603960396041</v>
      </c>
      <c r="BQ45" s="3501">
        <v>7.2178217821782187E-2</v>
      </c>
      <c r="BR45" s="3502">
        <v>4.589108910891089E-2</v>
      </c>
      <c r="BS45" s="3503">
        <v>0.42638613861386143</v>
      </c>
      <c r="BT45" s="3504">
        <v>0.42638613861386143</v>
      </c>
      <c r="BU45" s="3505">
        <v>3.5643564356435647E-2</v>
      </c>
      <c r="BV45" s="3506">
        <v>8.9108910891089119E-3</v>
      </c>
      <c r="BW45" s="3507">
        <v>0.16930693069306932</v>
      </c>
      <c r="BX45" s="3508">
        <v>3.9843734353780746E-2</v>
      </c>
      <c r="BY45" s="3509">
        <v>6.7527242936193943E-3</v>
      </c>
      <c r="BZ45" s="3510">
        <v>0.17963311029598117</v>
      </c>
    </row>
    <row r="46" spans="1:78" hidden="1" x14ac:dyDescent="0.3">
      <c r="A46" s="2107" t="s">
        <v>121</v>
      </c>
      <c r="B46" s="2108" t="s">
        <v>115</v>
      </c>
      <c r="C46" s="2109">
        <v>6.0999999046325684</v>
      </c>
      <c r="D46" s="2110">
        <v>1631</v>
      </c>
      <c r="E46" s="2111">
        <v>22</v>
      </c>
      <c r="F46" s="2112">
        <v>71</v>
      </c>
      <c r="G46" s="2113">
        <v>4</v>
      </c>
      <c r="H46" s="2114">
        <v>9</v>
      </c>
      <c r="I46" s="2115">
        <v>278</v>
      </c>
      <c r="J46" s="2116">
        <v>155</v>
      </c>
      <c r="K46" s="2117">
        <v>0</v>
      </c>
      <c r="L46" s="2118">
        <v>7</v>
      </c>
      <c r="M46" s="2119">
        <v>131</v>
      </c>
      <c r="N46" s="2120">
        <v>49</v>
      </c>
      <c r="O46" s="2121">
        <v>30</v>
      </c>
      <c r="P46" s="2122">
        <v>0.61224489795918369</v>
      </c>
      <c r="Q46" s="2123">
        <v>0</v>
      </c>
      <c r="R46" s="2124">
        <v>0</v>
      </c>
      <c r="S46" s="2125">
        <v>0</v>
      </c>
      <c r="T46" s="2126">
        <v>0</v>
      </c>
      <c r="U46" s="2127">
        <v>20</v>
      </c>
      <c r="V46" s="2128">
        <v>0.40816326530612246</v>
      </c>
      <c r="W46" s="2129">
        <v>8.1632653061224483E-2</v>
      </c>
      <c r="X46" s="2130">
        <v>3</v>
      </c>
      <c r="Y46" s="2131">
        <v>3</v>
      </c>
      <c r="Z46" s="2132">
        <v>38</v>
      </c>
      <c r="AA46" s="2133">
        <v>7.8947368421052627E-2</v>
      </c>
      <c r="AB46" s="2134">
        <v>161.4</v>
      </c>
      <c r="AC46" s="2135">
        <v>39</v>
      </c>
      <c r="AD46" s="2136">
        <v>4</v>
      </c>
      <c r="AE46" s="2137">
        <v>8</v>
      </c>
      <c r="AF46" s="2138">
        <v>4</v>
      </c>
      <c r="AG46" s="2139">
        <v>0.5</v>
      </c>
      <c r="AH46" s="2140">
        <v>4</v>
      </c>
      <c r="AI46" s="2141">
        <v>1</v>
      </c>
      <c r="AJ46" s="2142">
        <v>1</v>
      </c>
      <c r="AK46" s="2143">
        <v>0</v>
      </c>
      <c r="AL46" s="2144">
        <v>7</v>
      </c>
      <c r="AM46" s="2145">
        <v>4</v>
      </c>
      <c r="AN46" s="2146">
        <v>0.5714285714285714</v>
      </c>
      <c r="AO46" s="2147">
        <v>4</v>
      </c>
      <c r="AP46" s="2148">
        <v>1</v>
      </c>
      <c r="AQ46" s="2149">
        <v>3</v>
      </c>
      <c r="AR46" s="2150">
        <v>0.75</v>
      </c>
      <c r="AS46" s="2151">
        <v>5.2</v>
      </c>
      <c r="AT46" s="2152">
        <v>3.42</v>
      </c>
      <c r="AU46" s="2153">
        <v>3.9178418148375229</v>
      </c>
      <c r="AV46" s="2154">
        <v>3.2272727272727271</v>
      </c>
      <c r="AW46" s="2155">
        <v>0.22072348252605761</v>
      </c>
      <c r="AX46" s="2156">
        <v>0.49662783568362973</v>
      </c>
      <c r="AY46" s="2157">
        <v>15.340282035561007</v>
      </c>
      <c r="AZ46" s="2158">
        <v>8.5530349478847327</v>
      </c>
      <c r="BA46" s="2159">
        <v>7.2286940527283869</v>
      </c>
      <c r="BB46" s="2160">
        <v>2.703862660944206</v>
      </c>
      <c r="BC46" s="2161">
        <v>1.6554261189454322</v>
      </c>
      <c r="BD46" s="2162">
        <v>0</v>
      </c>
      <c r="BE46" s="2163">
        <v>0</v>
      </c>
      <c r="BF46" s="2164">
        <v>1.1036174126302882</v>
      </c>
      <c r="BG46" s="2165">
        <v>0.16554261189454322</v>
      </c>
      <c r="BH46" s="2166">
        <v>0.16554261189454322</v>
      </c>
      <c r="BI46" s="2167">
        <v>0.22072348252605761</v>
      </c>
      <c r="BJ46" s="2168">
        <v>2.0968730839975476</v>
      </c>
      <c r="BK46" s="2169">
        <v>0.44144696505211523</v>
      </c>
      <c r="BL46" s="2170">
        <v>0.22072348252605761</v>
      </c>
      <c r="BM46" s="2171">
        <v>0.22072348252605761</v>
      </c>
      <c r="BN46" s="2172">
        <v>0.22072348252605761</v>
      </c>
      <c r="BO46" s="2173">
        <v>0.16554261189454322</v>
      </c>
      <c r="BP46" s="2174">
        <v>8.9061925199264262</v>
      </c>
      <c r="BQ46" s="2175">
        <v>0.34570815450643777</v>
      </c>
      <c r="BR46" s="2176">
        <v>0.21597792765174739</v>
      </c>
      <c r="BS46" s="2177">
        <v>2.0307664009809931</v>
      </c>
      <c r="BT46" s="2178">
        <v>1.8652237890864498</v>
      </c>
      <c r="BU46" s="2179">
        <v>0.28694052728387492</v>
      </c>
      <c r="BV46" s="2180">
        <v>0.18871857755977928</v>
      </c>
      <c r="BW46" s="2181">
        <v>1.7139178418148375</v>
      </c>
      <c r="BX46" s="2182">
        <v>0.27961930632591248</v>
      </c>
      <c r="BY46" s="2183">
        <v>0.21008592844009399</v>
      </c>
      <c r="BZ46" s="2184">
        <v>1.7487350106239319</v>
      </c>
    </row>
    <row r="47" spans="1:78" hidden="1" x14ac:dyDescent="0.3">
      <c r="A47" s="3589" t="s">
        <v>141</v>
      </c>
      <c r="B47" s="3590" t="s">
        <v>107</v>
      </c>
      <c r="C47" s="3591">
        <v>5.6999998092651367</v>
      </c>
      <c r="D47" s="3592">
        <v>487</v>
      </c>
      <c r="E47" s="3593">
        <v>15</v>
      </c>
      <c r="F47" s="3594">
        <v>17</v>
      </c>
      <c r="G47" s="3595">
        <v>0</v>
      </c>
      <c r="H47" s="3596">
        <v>0</v>
      </c>
      <c r="I47" s="3597">
        <v>53</v>
      </c>
      <c r="J47" s="3598">
        <v>53</v>
      </c>
      <c r="K47" s="3599">
        <v>0</v>
      </c>
      <c r="L47" s="3600">
        <v>1</v>
      </c>
      <c r="M47" s="3601">
        <v>34</v>
      </c>
      <c r="N47" s="3602">
        <v>15</v>
      </c>
      <c r="O47" s="3603">
        <v>14</v>
      </c>
      <c r="P47" s="3604">
        <v>0.93333333333333335</v>
      </c>
      <c r="Q47" s="3605">
        <v>0</v>
      </c>
      <c r="R47" s="3606">
        <v>0</v>
      </c>
      <c r="S47" s="3607">
        <v>5</v>
      </c>
      <c r="T47" s="3608">
        <v>0.33333333333333331</v>
      </c>
      <c r="U47" s="3609">
        <v>9</v>
      </c>
      <c r="V47" s="3610">
        <v>0.6</v>
      </c>
      <c r="W47" s="3611">
        <v>0</v>
      </c>
      <c r="X47" s="3612">
        <v>0</v>
      </c>
      <c r="Y47" s="3613">
        <v>0</v>
      </c>
      <c r="Z47" s="3614">
        <v>8</v>
      </c>
      <c r="AA47" s="3615">
        <v>0</v>
      </c>
      <c r="AB47" s="3616">
        <v>42.9</v>
      </c>
      <c r="AC47" s="3617">
        <v>0</v>
      </c>
      <c r="AD47" s="3618">
        <v>2</v>
      </c>
      <c r="AE47" s="3619">
        <v>0</v>
      </c>
      <c r="AF47" s="3620">
        <v>0</v>
      </c>
      <c r="AG47" s="3621">
        <v>0</v>
      </c>
      <c r="AH47" s="3622">
        <v>0</v>
      </c>
      <c r="AI47" s="3623">
        <v>0</v>
      </c>
      <c r="AJ47" s="3624">
        <v>0</v>
      </c>
      <c r="AK47" s="3625">
        <v>0</v>
      </c>
      <c r="AL47" s="3626">
        <v>0</v>
      </c>
      <c r="AM47" s="3627">
        <v>0</v>
      </c>
      <c r="AN47" s="3628">
        <v>0</v>
      </c>
      <c r="AO47" s="3629">
        <v>0</v>
      </c>
      <c r="AP47" s="3630">
        <v>0</v>
      </c>
      <c r="AQ47" s="3631">
        <v>0</v>
      </c>
      <c r="AR47" s="3632">
        <v>0</v>
      </c>
      <c r="AS47" s="3633">
        <v>0.89</v>
      </c>
      <c r="AT47" s="3634">
        <v>0.53</v>
      </c>
      <c r="AU47" s="3635">
        <v>3.1416837782340861</v>
      </c>
      <c r="AV47" s="3636">
        <v>1.1333333333333333</v>
      </c>
      <c r="AW47" s="3637">
        <v>0</v>
      </c>
      <c r="AX47" s="3638">
        <v>0</v>
      </c>
      <c r="AY47" s="3639">
        <v>9.7946611909650922</v>
      </c>
      <c r="AZ47" s="3640">
        <v>9.7946611909650922</v>
      </c>
      <c r="BA47" s="3641">
        <v>6.2833675564681721</v>
      </c>
      <c r="BB47" s="3642">
        <v>2.7720739219712525</v>
      </c>
      <c r="BC47" s="3643">
        <v>2.5872689938398357</v>
      </c>
      <c r="BD47" s="3644">
        <v>0</v>
      </c>
      <c r="BE47" s="3645">
        <v>0.92402464065708412</v>
      </c>
      <c r="BF47" s="3646">
        <v>1.6632443531827514</v>
      </c>
      <c r="BG47" s="3647">
        <v>0</v>
      </c>
      <c r="BH47" s="3648">
        <v>0</v>
      </c>
      <c r="BI47" s="3649">
        <v>0.36960985626283371</v>
      </c>
      <c r="BJ47" s="3650">
        <v>1.4784394250513349</v>
      </c>
      <c r="BK47" s="3651">
        <v>0</v>
      </c>
      <c r="BL47" s="3652">
        <v>0</v>
      </c>
      <c r="BM47" s="3653">
        <v>0</v>
      </c>
      <c r="BN47" s="3654">
        <v>0</v>
      </c>
      <c r="BO47" s="3655">
        <v>0</v>
      </c>
      <c r="BP47" s="3656">
        <v>7.9281314168377826</v>
      </c>
      <c r="BQ47" s="3657">
        <v>0.42708418891170435</v>
      </c>
      <c r="BR47" s="3658">
        <v>0.15227926078028747</v>
      </c>
      <c r="BS47" s="3659">
        <v>2.1651745379876797</v>
      </c>
      <c r="BT47" s="3660">
        <v>2.1651745379876797</v>
      </c>
      <c r="BU47" s="3661">
        <v>0.16447638603696099</v>
      </c>
      <c r="BV47" s="3662">
        <v>9.7946611909650941E-2</v>
      </c>
      <c r="BW47" s="3663">
        <v>0.95174537987679675</v>
      </c>
      <c r="BX47" s="3664">
        <v>0.18702678382396698</v>
      </c>
      <c r="BY47" s="3665">
        <v>0.25001588463783264</v>
      </c>
      <c r="BZ47" s="3666">
        <v>1.4981547892093658</v>
      </c>
    </row>
    <row r="48" spans="1:78" hidden="1" x14ac:dyDescent="0.3">
      <c r="A48" s="3667" t="s">
        <v>142</v>
      </c>
      <c r="B48" s="3668" t="s">
        <v>91</v>
      </c>
      <c r="C48" s="3669">
        <v>5.1999998092651367</v>
      </c>
      <c r="D48" s="3670">
        <v>41</v>
      </c>
      <c r="E48" s="3671">
        <v>8</v>
      </c>
      <c r="F48" s="3672">
        <v>13</v>
      </c>
      <c r="G48" s="3673">
        <v>1</v>
      </c>
      <c r="H48" s="3674">
        <v>1</v>
      </c>
      <c r="I48" s="3675">
        <v>50</v>
      </c>
      <c r="J48" s="3676">
        <v>26</v>
      </c>
      <c r="K48" s="3677">
        <v>0</v>
      </c>
      <c r="L48" s="3678">
        <v>0</v>
      </c>
      <c r="M48" s="3679">
        <v>3</v>
      </c>
      <c r="N48" s="3680">
        <v>2</v>
      </c>
      <c r="O48" s="3681">
        <v>2</v>
      </c>
      <c r="P48" s="3682">
        <v>1</v>
      </c>
      <c r="Q48" s="3683">
        <v>0</v>
      </c>
      <c r="R48" s="3684">
        <v>0</v>
      </c>
      <c r="S48" s="3685">
        <v>0</v>
      </c>
      <c r="T48" s="3686">
        <v>0</v>
      </c>
      <c r="U48" s="3687">
        <v>1</v>
      </c>
      <c r="V48" s="3688">
        <v>0.5</v>
      </c>
      <c r="W48" s="3689">
        <v>0.5</v>
      </c>
      <c r="X48" s="3690">
        <v>0</v>
      </c>
      <c r="Y48" s="3691">
        <v>0</v>
      </c>
      <c r="Z48" s="3692">
        <v>0</v>
      </c>
      <c r="AA48" s="3693">
        <v>0</v>
      </c>
      <c r="AB48" s="3694">
        <v>7.3</v>
      </c>
      <c r="AC48" s="3695">
        <v>50</v>
      </c>
      <c r="AD48" s="3696">
        <v>0</v>
      </c>
      <c r="AE48" s="3697">
        <v>1</v>
      </c>
      <c r="AF48" s="3698">
        <v>0</v>
      </c>
      <c r="AG48" s="3699">
        <v>1</v>
      </c>
      <c r="AH48" s="3700">
        <v>1</v>
      </c>
      <c r="AI48" s="3701">
        <v>1</v>
      </c>
      <c r="AJ48" s="3702">
        <v>0</v>
      </c>
      <c r="AK48" s="3703">
        <v>0</v>
      </c>
      <c r="AL48" s="3704">
        <v>1</v>
      </c>
      <c r="AM48" s="3705">
        <v>0</v>
      </c>
      <c r="AN48" s="3706">
        <v>0</v>
      </c>
      <c r="AO48" s="3707">
        <v>1</v>
      </c>
      <c r="AP48" s="3708">
        <v>1</v>
      </c>
      <c r="AQ48" s="3709">
        <v>1</v>
      </c>
      <c r="AR48" s="3710">
        <v>1</v>
      </c>
      <c r="AS48" s="3711">
        <v>0.51</v>
      </c>
      <c r="AT48" s="3712">
        <v>0.01</v>
      </c>
      <c r="AU48" s="3713">
        <v>28.536585365853657</v>
      </c>
      <c r="AV48" s="3714">
        <v>1.625</v>
      </c>
      <c r="AW48" s="3715">
        <v>2.1951219512195124</v>
      </c>
      <c r="AX48" s="3716">
        <v>2.1951219512195124</v>
      </c>
      <c r="AY48" s="3717">
        <v>109.7560975609756</v>
      </c>
      <c r="AZ48" s="3718">
        <v>57.073170731707314</v>
      </c>
      <c r="BA48" s="3719">
        <v>6.5853658536585362</v>
      </c>
      <c r="BB48" s="3720">
        <v>4.3902439024390247</v>
      </c>
      <c r="BC48" s="3721">
        <v>4.3902439024390247</v>
      </c>
      <c r="BD48" s="3722">
        <v>0</v>
      </c>
      <c r="BE48" s="3723">
        <v>0</v>
      </c>
      <c r="BF48" s="3724">
        <v>2.1951219512195124</v>
      </c>
      <c r="BG48" s="3725">
        <v>0</v>
      </c>
      <c r="BH48" s="3726">
        <v>0</v>
      </c>
      <c r="BI48" s="3727">
        <v>0</v>
      </c>
      <c r="BJ48" s="3728">
        <v>0</v>
      </c>
      <c r="BK48" s="3729">
        <v>2.1951219512195124</v>
      </c>
      <c r="BL48" s="3730">
        <v>0</v>
      </c>
      <c r="BM48" s="3731">
        <v>2.1951219512195124</v>
      </c>
      <c r="BN48" s="3732">
        <v>2.1951219512195124</v>
      </c>
      <c r="BO48" s="3733">
        <v>2.1951219512195124</v>
      </c>
      <c r="BP48" s="3734">
        <v>16.024390243902438</v>
      </c>
      <c r="BQ48" s="3735">
        <v>0.71121951219512192</v>
      </c>
      <c r="BR48" s="3736">
        <v>0</v>
      </c>
      <c r="BS48" s="3737">
        <v>2.8448780487804877</v>
      </c>
      <c r="BT48" s="3738">
        <v>2.8448780487804877</v>
      </c>
      <c r="BU48" s="3739">
        <v>1.1195121951219513</v>
      </c>
      <c r="BV48" s="3740">
        <v>2.1951219512195121E-2</v>
      </c>
      <c r="BW48" s="3741">
        <v>4.5439024390243903</v>
      </c>
      <c r="BX48" s="3742">
        <v>1.4963176250457764</v>
      </c>
      <c r="BY48" s="3743">
        <v>0</v>
      </c>
      <c r="BZ48" s="3744">
        <v>5.9852705001831055</v>
      </c>
    </row>
    <row r="49" spans="1:78" x14ac:dyDescent="0.3">
      <c r="A49" s="469" t="s">
        <v>87</v>
      </c>
      <c r="B49" s="470" t="s">
        <v>84</v>
      </c>
      <c r="C49" s="471">
        <v>5.6999998092651367</v>
      </c>
      <c r="D49" s="472">
        <v>895</v>
      </c>
      <c r="E49" s="473">
        <v>20</v>
      </c>
      <c r="F49" s="474">
        <v>47</v>
      </c>
      <c r="G49" s="475">
        <v>4</v>
      </c>
      <c r="H49" s="476">
        <v>4</v>
      </c>
      <c r="I49" s="477">
        <v>168</v>
      </c>
      <c r="J49" s="478">
        <v>72</v>
      </c>
      <c r="K49" s="479">
        <v>0</v>
      </c>
      <c r="L49" s="480">
        <v>5</v>
      </c>
      <c r="M49" s="481">
        <v>44</v>
      </c>
      <c r="N49" s="482">
        <v>23</v>
      </c>
      <c r="O49" s="483">
        <v>23</v>
      </c>
      <c r="P49" s="484">
        <v>1</v>
      </c>
      <c r="Q49" s="485">
        <v>4</v>
      </c>
      <c r="R49" s="486">
        <v>0.17391304347826086</v>
      </c>
      <c r="S49" s="487">
        <v>14</v>
      </c>
      <c r="T49" s="488">
        <v>0.60869565217391308</v>
      </c>
      <c r="U49" s="489">
        <v>10</v>
      </c>
      <c r="V49" s="490">
        <v>0.43478260869565216</v>
      </c>
      <c r="W49" s="491">
        <v>0.17391304347826086</v>
      </c>
      <c r="X49" s="492">
        <v>0</v>
      </c>
      <c r="Y49" s="493">
        <v>0</v>
      </c>
      <c r="Z49" s="494">
        <v>4</v>
      </c>
      <c r="AA49" s="495">
        <v>0</v>
      </c>
      <c r="AB49" s="496">
        <v>60.2</v>
      </c>
      <c r="AC49" s="497">
        <v>40</v>
      </c>
      <c r="AD49" s="498">
        <v>1</v>
      </c>
      <c r="AE49" s="499">
        <v>7</v>
      </c>
      <c r="AF49" s="500">
        <v>5</v>
      </c>
      <c r="AG49" s="501">
        <v>0.2857142857142857</v>
      </c>
      <c r="AH49" s="502">
        <v>2</v>
      </c>
      <c r="AI49" s="503">
        <v>0.5</v>
      </c>
      <c r="AJ49" s="504">
        <v>0</v>
      </c>
      <c r="AK49" s="505">
        <v>0</v>
      </c>
      <c r="AL49" s="506">
        <v>7</v>
      </c>
      <c r="AM49" s="507">
        <v>5</v>
      </c>
      <c r="AN49" s="508">
        <v>0.7142857142857143</v>
      </c>
      <c r="AO49" s="509">
        <v>4</v>
      </c>
      <c r="AP49" s="510">
        <v>1</v>
      </c>
      <c r="AQ49" s="511">
        <v>4</v>
      </c>
      <c r="AR49" s="512">
        <v>1</v>
      </c>
      <c r="AS49" s="513">
        <v>3.84</v>
      </c>
      <c r="AT49" s="514">
        <v>0.34</v>
      </c>
      <c r="AU49" s="515">
        <v>4.7262569832402237</v>
      </c>
      <c r="AV49" s="516">
        <v>2.35</v>
      </c>
      <c r="AW49" s="517">
        <v>0.40223463687150834</v>
      </c>
      <c r="AX49" s="518">
        <v>0.40223463687150834</v>
      </c>
      <c r="AY49" s="519">
        <v>16.893854748603353</v>
      </c>
      <c r="AZ49" s="520">
        <v>7.2402234636871503</v>
      </c>
      <c r="BA49" s="521">
        <v>4.4245810055865915</v>
      </c>
      <c r="BB49" s="522">
        <v>2.3128491620111733</v>
      </c>
      <c r="BC49" s="523">
        <v>2.3128491620111733</v>
      </c>
      <c r="BD49" s="524">
        <v>0.40223463687150834</v>
      </c>
      <c r="BE49" s="525">
        <v>1.4078212290502794</v>
      </c>
      <c r="BF49" s="526">
        <v>1.005586592178771</v>
      </c>
      <c r="BG49" s="527">
        <v>0</v>
      </c>
      <c r="BH49" s="528">
        <v>0</v>
      </c>
      <c r="BI49" s="529">
        <v>0.10055865921787709</v>
      </c>
      <c r="BJ49" s="530">
        <v>0.40223463687150834</v>
      </c>
      <c r="BK49" s="531">
        <v>0.7039106145251397</v>
      </c>
      <c r="BL49" s="532">
        <v>0.5027932960893855</v>
      </c>
      <c r="BM49" s="533">
        <v>0.20111731843575417</v>
      </c>
      <c r="BN49" s="534">
        <v>0.40223463687150834</v>
      </c>
      <c r="BO49" s="535">
        <v>0.40223463687150834</v>
      </c>
      <c r="BP49" s="536">
        <v>6.0536312849162011</v>
      </c>
      <c r="BQ49" s="537">
        <v>0.37468156424581012</v>
      </c>
      <c r="BR49" s="538">
        <v>4.1430167597765355E-2</v>
      </c>
      <c r="BS49" s="539">
        <v>1.6230167597765366</v>
      </c>
      <c r="BT49" s="540">
        <v>1.6230167597765366</v>
      </c>
      <c r="BU49" s="541">
        <v>0.38614525139664801</v>
      </c>
      <c r="BV49" s="542">
        <v>3.4189944134078214E-2</v>
      </c>
      <c r="BW49" s="543">
        <v>1.6471508379888267</v>
      </c>
      <c r="BX49" s="544">
        <v>0.38880741596221924</v>
      </c>
      <c r="BY49" s="545">
        <v>4.3894633650779724E-2</v>
      </c>
      <c r="BZ49" s="546">
        <v>1.6869135648012161</v>
      </c>
    </row>
    <row r="50" spans="1:78" hidden="1" x14ac:dyDescent="0.3">
      <c r="A50" s="3823" t="s">
        <v>144</v>
      </c>
      <c r="B50" s="3824" t="s">
        <v>102</v>
      </c>
      <c r="C50" s="3825">
        <v>5</v>
      </c>
      <c r="D50" s="3826">
        <v>180</v>
      </c>
      <c r="E50" s="3827">
        <v>9</v>
      </c>
      <c r="F50" s="3828">
        <v>12</v>
      </c>
      <c r="G50" s="3829">
        <v>0</v>
      </c>
      <c r="H50" s="3830">
        <v>0</v>
      </c>
      <c r="I50" s="3831">
        <v>32</v>
      </c>
      <c r="J50" s="3832">
        <v>23</v>
      </c>
      <c r="K50" s="3833">
        <v>0</v>
      </c>
      <c r="L50" s="3834">
        <v>0</v>
      </c>
      <c r="M50" s="3835">
        <v>4</v>
      </c>
      <c r="N50" s="3836">
        <v>2</v>
      </c>
      <c r="O50" s="3837">
        <v>2</v>
      </c>
      <c r="P50" s="3838">
        <v>1</v>
      </c>
      <c r="Q50" s="3839">
        <v>1</v>
      </c>
      <c r="R50" s="3840">
        <v>0.5</v>
      </c>
      <c r="S50" s="3841">
        <v>0</v>
      </c>
      <c r="T50" s="3842">
        <v>0</v>
      </c>
      <c r="U50" s="3843">
        <v>0</v>
      </c>
      <c r="V50" s="3844">
        <v>0</v>
      </c>
      <c r="W50" s="3845">
        <v>0</v>
      </c>
      <c r="X50" s="3846">
        <v>1</v>
      </c>
      <c r="Y50" s="3847">
        <v>1</v>
      </c>
      <c r="Z50" s="3848">
        <v>2</v>
      </c>
      <c r="AA50" s="3849">
        <v>0.5</v>
      </c>
      <c r="AB50" s="3850">
        <v>7.2</v>
      </c>
      <c r="AC50" s="3851">
        <v>25</v>
      </c>
      <c r="AD50" s="3852">
        <v>0</v>
      </c>
      <c r="AE50" s="3853">
        <v>2</v>
      </c>
      <c r="AF50" s="3854">
        <v>2</v>
      </c>
      <c r="AG50" s="3855">
        <v>0</v>
      </c>
      <c r="AH50" s="3856">
        <v>0</v>
      </c>
      <c r="AI50" s="3857">
        <v>0</v>
      </c>
      <c r="AJ50" s="3858">
        <v>0</v>
      </c>
      <c r="AK50" s="3859">
        <v>0</v>
      </c>
      <c r="AL50" s="3860">
        <v>2</v>
      </c>
      <c r="AM50" s="3861">
        <v>2</v>
      </c>
      <c r="AN50" s="3862">
        <v>1</v>
      </c>
      <c r="AO50" s="3863">
        <v>0</v>
      </c>
      <c r="AP50" s="3864">
        <v>0</v>
      </c>
      <c r="AQ50" s="3865">
        <v>0</v>
      </c>
      <c r="AR50" s="3866">
        <v>0</v>
      </c>
      <c r="AS50" s="3867">
        <v>0.83</v>
      </c>
      <c r="AT50" s="3868">
        <v>0.06</v>
      </c>
      <c r="AU50" s="3869">
        <v>6</v>
      </c>
      <c r="AV50" s="3870">
        <v>1.3333333333333333</v>
      </c>
      <c r="AW50" s="3871">
        <v>0</v>
      </c>
      <c r="AX50" s="3872">
        <v>0</v>
      </c>
      <c r="AY50" s="3873">
        <v>16</v>
      </c>
      <c r="AZ50" s="3874">
        <v>11.5</v>
      </c>
      <c r="BA50" s="3875">
        <v>2</v>
      </c>
      <c r="BB50" s="3876">
        <v>1</v>
      </c>
      <c r="BC50" s="3877">
        <v>1</v>
      </c>
      <c r="BD50" s="3878">
        <v>0.5</v>
      </c>
      <c r="BE50" s="3879">
        <v>0</v>
      </c>
      <c r="BF50" s="3880">
        <v>0</v>
      </c>
      <c r="BG50" s="3881">
        <v>0.5</v>
      </c>
      <c r="BH50" s="3882">
        <v>0.5</v>
      </c>
      <c r="BI50" s="3883">
        <v>0</v>
      </c>
      <c r="BJ50" s="3884">
        <v>1</v>
      </c>
      <c r="BK50" s="3885">
        <v>1</v>
      </c>
      <c r="BL50" s="3886">
        <v>1</v>
      </c>
      <c r="BM50" s="3887">
        <v>0</v>
      </c>
      <c r="BN50" s="3888">
        <v>0</v>
      </c>
      <c r="BO50" s="3889">
        <v>0</v>
      </c>
      <c r="BP50" s="3890">
        <v>3.6</v>
      </c>
      <c r="BQ50" s="3891">
        <v>0.16200000000000001</v>
      </c>
      <c r="BR50" s="3892">
        <v>0.10299999999999999</v>
      </c>
      <c r="BS50" s="3893">
        <v>0.95700000000000007</v>
      </c>
      <c r="BT50" s="3894">
        <v>0.95700000000000007</v>
      </c>
      <c r="BU50" s="3895">
        <v>0.41499999999999998</v>
      </c>
      <c r="BV50" s="3896">
        <v>0.03</v>
      </c>
      <c r="BW50" s="3897">
        <v>1.75</v>
      </c>
      <c r="BX50" s="3898">
        <v>0.47186583280563354</v>
      </c>
      <c r="BY50" s="3899">
        <v>6.0786101967096329E-2</v>
      </c>
      <c r="BZ50" s="3900">
        <v>2.0698216371238232</v>
      </c>
    </row>
    <row r="51" spans="1:78" x14ac:dyDescent="0.3">
      <c r="A51" s="4057" t="s">
        <v>148</v>
      </c>
      <c r="B51" s="4058" t="s">
        <v>96</v>
      </c>
      <c r="C51" s="4059">
        <v>5.6999998092651367</v>
      </c>
      <c r="D51" s="4060">
        <v>771</v>
      </c>
      <c r="E51" s="4061">
        <v>21</v>
      </c>
      <c r="F51" s="4062">
        <v>40</v>
      </c>
      <c r="G51" s="4063">
        <v>3</v>
      </c>
      <c r="H51" s="4064">
        <v>3</v>
      </c>
      <c r="I51" s="4065">
        <v>114</v>
      </c>
      <c r="J51" s="4066">
        <v>42</v>
      </c>
      <c r="K51" s="4067">
        <v>0</v>
      </c>
      <c r="L51" s="4068">
        <v>0</v>
      </c>
      <c r="M51" s="4069">
        <v>30</v>
      </c>
      <c r="N51" s="4070">
        <v>24</v>
      </c>
      <c r="O51" s="4071">
        <v>15</v>
      </c>
      <c r="P51" s="4072">
        <v>0.625</v>
      </c>
      <c r="Q51" s="4073">
        <v>3</v>
      </c>
      <c r="R51" s="4074">
        <v>0.125</v>
      </c>
      <c r="S51" s="4075">
        <v>8</v>
      </c>
      <c r="T51" s="4076">
        <v>0.33333333333333331</v>
      </c>
      <c r="U51" s="4077">
        <v>7</v>
      </c>
      <c r="V51" s="4078">
        <v>0.29166666666666669</v>
      </c>
      <c r="W51" s="4079">
        <v>0.125</v>
      </c>
      <c r="X51" s="4080">
        <v>0</v>
      </c>
      <c r="Y51" s="4081">
        <v>0</v>
      </c>
      <c r="Z51" s="4082">
        <v>2</v>
      </c>
      <c r="AA51" s="4083">
        <v>0</v>
      </c>
      <c r="AB51" s="4084">
        <v>40.299999999999997</v>
      </c>
      <c r="AC51" s="4085">
        <v>27</v>
      </c>
      <c r="AD51" s="4086">
        <v>0</v>
      </c>
      <c r="AE51" s="4087">
        <v>5</v>
      </c>
      <c r="AF51" s="4088">
        <v>4</v>
      </c>
      <c r="AG51" s="4089">
        <v>0.2</v>
      </c>
      <c r="AH51" s="4090">
        <v>1</v>
      </c>
      <c r="AI51" s="4091">
        <v>0.33333333333333331</v>
      </c>
      <c r="AJ51" s="4092">
        <v>0</v>
      </c>
      <c r="AK51" s="4093">
        <v>0</v>
      </c>
      <c r="AL51" s="4094">
        <v>5</v>
      </c>
      <c r="AM51" s="4095">
        <v>4</v>
      </c>
      <c r="AN51" s="4096">
        <v>0.8</v>
      </c>
      <c r="AO51" s="4097">
        <v>2</v>
      </c>
      <c r="AP51" s="4098">
        <v>0.66666666666666663</v>
      </c>
      <c r="AQ51" s="4099">
        <v>2</v>
      </c>
      <c r="AR51" s="4100">
        <v>0.66666666666666663</v>
      </c>
      <c r="AS51" s="4101">
        <v>3.27</v>
      </c>
      <c r="AT51" s="4102">
        <v>0.08</v>
      </c>
      <c r="AU51" s="4103">
        <v>4.6692607003891053</v>
      </c>
      <c r="AV51" s="4104">
        <v>1.9047619047619047</v>
      </c>
      <c r="AW51" s="4105">
        <v>0.35019455252918286</v>
      </c>
      <c r="AX51" s="4106">
        <v>0.35019455252918286</v>
      </c>
      <c r="AY51" s="4107">
        <v>13.30739299610895</v>
      </c>
      <c r="AZ51" s="4108">
        <v>4.9027237354085607</v>
      </c>
      <c r="BA51" s="4109">
        <v>3.5019455252918288</v>
      </c>
      <c r="BB51" s="4110">
        <v>2.8015564202334629</v>
      </c>
      <c r="BC51" s="4111">
        <v>1.7509727626459144</v>
      </c>
      <c r="BD51" s="4112">
        <v>0.35019455252918286</v>
      </c>
      <c r="BE51" s="4113">
        <v>0.93385214007782102</v>
      </c>
      <c r="BF51" s="4114">
        <v>0.81712062256809348</v>
      </c>
      <c r="BG51" s="4115">
        <v>0</v>
      </c>
      <c r="BH51" s="4116">
        <v>0</v>
      </c>
      <c r="BI51" s="4117">
        <v>0</v>
      </c>
      <c r="BJ51" s="4118">
        <v>0.23346303501945526</v>
      </c>
      <c r="BK51" s="4119">
        <v>0.58365758754863817</v>
      </c>
      <c r="BL51" s="4120">
        <v>0.46692607003891051</v>
      </c>
      <c r="BM51" s="4121">
        <v>0.11673151750972763</v>
      </c>
      <c r="BN51" s="4122">
        <v>0.23346303501945526</v>
      </c>
      <c r="BO51" s="4123">
        <v>0.23346303501945526</v>
      </c>
      <c r="BP51" s="4124">
        <v>4.7042801556420226</v>
      </c>
      <c r="BQ51" s="4125">
        <v>0.32883268482490274</v>
      </c>
      <c r="BR51" s="4126">
        <v>2.404669260700389E-2</v>
      </c>
      <c r="BS51" s="4127">
        <v>1.3874708171206227</v>
      </c>
      <c r="BT51" s="4128">
        <v>1.3874708171206227</v>
      </c>
      <c r="BU51" s="4129">
        <v>0.38171206225680931</v>
      </c>
      <c r="BV51" s="4130">
        <v>9.3385214007782099E-3</v>
      </c>
      <c r="BW51" s="4131">
        <v>1.5548638132295718</v>
      </c>
      <c r="BX51" s="4132">
        <v>0.39264148473739624</v>
      </c>
      <c r="BY51" s="4133">
        <v>1.3755541294813156E-2</v>
      </c>
      <c r="BZ51" s="4134">
        <v>1.6118325628340244</v>
      </c>
    </row>
    <row r="52" spans="1:78" hidden="1" x14ac:dyDescent="0.3">
      <c r="A52" s="3979" t="s">
        <v>146</v>
      </c>
      <c r="B52" s="3980" t="s">
        <v>147</v>
      </c>
      <c r="C52" s="3981">
        <v>6.5999999046325684</v>
      </c>
      <c r="D52" s="3982">
        <v>191</v>
      </c>
      <c r="E52" s="3983">
        <v>5</v>
      </c>
      <c r="F52" s="3984">
        <v>7</v>
      </c>
      <c r="G52" s="3985">
        <v>0</v>
      </c>
      <c r="H52" s="3986">
        <v>0</v>
      </c>
      <c r="I52" s="3987">
        <v>16</v>
      </c>
      <c r="J52" s="3988">
        <v>16</v>
      </c>
      <c r="K52" s="3989">
        <v>0</v>
      </c>
      <c r="L52" s="3990">
        <v>1</v>
      </c>
      <c r="M52" s="3991">
        <v>8</v>
      </c>
      <c r="N52" s="3992">
        <v>3</v>
      </c>
      <c r="O52" s="3993">
        <v>3</v>
      </c>
      <c r="P52" s="3994">
        <v>1</v>
      </c>
      <c r="Q52" s="3995">
        <v>1</v>
      </c>
      <c r="R52" s="3996">
        <v>0.33333333333333331</v>
      </c>
      <c r="S52" s="3997">
        <v>2</v>
      </c>
      <c r="T52" s="3998">
        <v>0.66666666666666663</v>
      </c>
      <c r="U52" s="3999">
        <v>2</v>
      </c>
      <c r="V52" s="4000">
        <v>0.66666666666666663</v>
      </c>
      <c r="W52" s="4001">
        <v>0</v>
      </c>
      <c r="X52" s="4002">
        <v>0</v>
      </c>
      <c r="Y52" s="4003">
        <v>0</v>
      </c>
      <c r="Z52" s="4004">
        <v>4</v>
      </c>
      <c r="AA52" s="4005">
        <v>0</v>
      </c>
      <c r="AB52" s="4006">
        <v>13.2</v>
      </c>
      <c r="AC52" s="4007">
        <v>0</v>
      </c>
      <c r="AD52" s="4008">
        <v>1</v>
      </c>
      <c r="AE52" s="4009">
        <v>1</v>
      </c>
      <c r="AF52" s="4010">
        <v>1</v>
      </c>
      <c r="AG52" s="4011">
        <v>0</v>
      </c>
      <c r="AH52" s="4012">
        <v>0</v>
      </c>
      <c r="AI52" s="4013">
        <v>0</v>
      </c>
      <c r="AJ52" s="4014">
        <v>0</v>
      </c>
      <c r="AK52" s="4015">
        <v>0</v>
      </c>
      <c r="AL52" s="4016">
        <v>1</v>
      </c>
      <c r="AM52" s="4017">
        <v>1</v>
      </c>
      <c r="AN52" s="4018">
        <v>1</v>
      </c>
      <c r="AO52" s="4019">
        <v>0</v>
      </c>
      <c r="AP52" s="4020">
        <v>0</v>
      </c>
      <c r="AQ52" s="4021">
        <v>0</v>
      </c>
      <c r="AR52" s="4022">
        <v>0</v>
      </c>
      <c r="AS52" s="4023">
        <v>0.67</v>
      </c>
      <c r="AT52" s="4024">
        <v>0.34</v>
      </c>
      <c r="AU52" s="4025">
        <v>3.2984293193717273</v>
      </c>
      <c r="AV52" s="4026">
        <v>1.4</v>
      </c>
      <c r="AW52" s="4027">
        <v>0</v>
      </c>
      <c r="AX52" s="4028">
        <v>0</v>
      </c>
      <c r="AY52" s="4029">
        <v>7.5392670157068071</v>
      </c>
      <c r="AZ52" s="4030">
        <v>7.5392670157068071</v>
      </c>
      <c r="BA52" s="4031">
        <v>3.7696335078534036</v>
      </c>
      <c r="BB52" s="4032">
        <v>1.413612565445026</v>
      </c>
      <c r="BC52" s="4033">
        <v>1.413612565445026</v>
      </c>
      <c r="BD52" s="4034">
        <v>0.47120418848167545</v>
      </c>
      <c r="BE52" s="4035">
        <v>0.94240837696335089</v>
      </c>
      <c r="BF52" s="4036">
        <v>0.94240837696335089</v>
      </c>
      <c r="BG52" s="4037">
        <v>0</v>
      </c>
      <c r="BH52" s="4038">
        <v>0</v>
      </c>
      <c r="BI52" s="4039">
        <v>0.47120418848167545</v>
      </c>
      <c r="BJ52" s="4040">
        <v>1.8848167539267018</v>
      </c>
      <c r="BK52" s="4041">
        <v>0.47120418848167545</v>
      </c>
      <c r="BL52" s="4042">
        <v>0.47120418848167545</v>
      </c>
      <c r="BM52" s="4043">
        <v>0</v>
      </c>
      <c r="BN52" s="4044">
        <v>0</v>
      </c>
      <c r="BO52" s="4045">
        <v>0</v>
      </c>
      <c r="BP52" s="4046">
        <v>6.2198952879581153</v>
      </c>
      <c r="BQ52" s="4047">
        <v>0.22900523560209424</v>
      </c>
      <c r="BR52" s="4048">
        <v>0.19413612565445026</v>
      </c>
      <c r="BS52" s="4049">
        <v>1.4984293193717277</v>
      </c>
      <c r="BT52" s="4050">
        <v>1.4984293193717277</v>
      </c>
      <c r="BU52" s="4051">
        <v>0.31570680628272252</v>
      </c>
      <c r="BV52" s="4052">
        <v>0.16020942408376965</v>
      </c>
      <c r="BW52" s="4053">
        <v>1.743455497382199</v>
      </c>
      <c r="BX52" s="4054">
        <v>0.29684558510780334</v>
      </c>
      <c r="BY52" s="4055">
        <v>0.35356071591377258</v>
      </c>
      <c r="BZ52" s="4056">
        <v>2.2480644881725311</v>
      </c>
    </row>
    <row r="53" spans="1:78" x14ac:dyDescent="0.3">
      <c r="A53" s="391" t="s">
        <v>85</v>
      </c>
      <c r="B53" s="392" t="s">
        <v>86</v>
      </c>
      <c r="C53" s="393">
        <v>5.5</v>
      </c>
      <c r="D53" s="394">
        <v>1790</v>
      </c>
      <c r="E53" s="395">
        <v>21</v>
      </c>
      <c r="F53" s="396">
        <v>67</v>
      </c>
      <c r="G53" s="397">
        <v>5</v>
      </c>
      <c r="H53" s="398">
        <v>7</v>
      </c>
      <c r="I53" s="399">
        <v>180</v>
      </c>
      <c r="J53" s="400">
        <v>57</v>
      </c>
      <c r="K53" s="401">
        <v>0</v>
      </c>
      <c r="L53" s="402">
        <v>6</v>
      </c>
      <c r="M53" s="403">
        <v>85</v>
      </c>
      <c r="N53" s="404">
        <v>35</v>
      </c>
      <c r="O53" s="405">
        <v>31</v>
      </c>
      <c r="P53" s="406">
        <v>0.88571428571428568</v>
      </c>
      <c r="Q53" s="407">
        <v>5</v>
      </c>
      <c r="R53" s="408">
        <v>0.14285714285714285</v>
      </c>
      <c r="S53" s="409">
        <v>10</v>
      </c>
      <c r="T53" s="410">
        <v>0.2857142857142857</v>
      </c>
      <c r="U53" s="411">
        <v>18</v>
      </c>
      <c r="V53" s="412">
        <v>0.51428571428571423</v>
      </c>
      <c r="W53" s="413">
        <v>0.14285714285714285</v>
      </c>
      <c r="X53" s="414">
        <v>1</v>
      </c>
      <c r="Y53" s="415">
        <v>1</v>
      </c>
      <c r="Z53" s="416">
        <v>11</v>
      </c>
      <c r="AA53" s="417">
        <v>9.0909090909090912E-2</v>
      </c>
      <c r="AB53" s="418">
        <v>108.1</v>
      </c>
      <c r="AC53" s="419">
        <v>23</v>
      </c>
      <c r="AD53" s="420">
        <v>1</v>
      </c>
      <c r="AE53" s="421">
        <v>12</v>
      </c>
      <c r="AF53" s="422">
        <v>7</v>
      </c>
      <c r="AG53" s="423">
        <v>0.41666666666666669</v>
      </c>
      <c r="AH53" s="424">
        <v>5</v>
      </c>
      <c r="AI53" s="425">
        <v>1</v>
      </c>
      <c r="AJ53" s="426">
        <v>0</v>
      </c>
      <c r="AK53" s="427">
        <v>1</v>
      </c>
      <c r="AL53" s="428">
        <v>11</v>
      </c>
      <c r="AM53" s="429">
        <v>6</v>
      </c>
      <c r="AN53" s="430">
        <v>0.54545454545454541</v>
      </c>
      <c r="AO53" s="431">
        <v>5</v>
      </c>
      <c r="AP53" s="432">
        <v>1</v>
      </c>
      <c r="AQ53" s="433">
        <v>5</v>
      </c>
      <c r="AR53" s="434">
        <v>1</v>
      </c>
      <c r="AS53" s="435">
        <v>6.77</v>
      </c>
      <c r="AT53" s="436">
        <v>0.69</v>
      </c>
      <c r="AU53" s="437">
        <v>3.3687150837988828</v>
      </c>
      <c r="AV53" s="438">
        <v>3.1904761904761907</v>
      </c>
      <c r="AW53" s="439">
        <v>0.25139664804469275</v>
      </c>
      <c r="AX53" s="440">
        <v>0.35195530726256985</v>
      </c>
      <c r="AY53" s="441">
        <v>9.050279329608939</v>
      </c>
      <c r="AZ53" s="442">
        <v>2.8659217877094973</v>
      </c>
      <c r="BA53" s="443">
        <v>4.2737430167597763</v>
      </c>
      <c r="BB53" s="444">
        <v>1.7597765363128492</v>
      </c>
      <c r="BC53" s="445">
        <v>1.5586592178770948</v>
      </c>
      <c r="BD53" s="446">
        <v>0.25139664804469275</v>
      </c>
      <c r="BE53" s="447">
        <v>0.5027932960893855</v>
      </c>
      <c r="BF53" s="448">
        <v>0.90502793296089379</v>
      </c>
      <c r="BG53" s="449">
        <v>5.0279329608938543E-2</v>
      </c>
      <c r="BH53" s="450">
        <v>5.0279329608938543E-2</v>
      </c>
      <c r="BI53" s="451">
        <v>5.0279329608938543E-2</v>
      </c>
      <c r="BJ53" s="452">
        <v>0.55307262569832394</v>
      </c>
      <c r="BK53" s="453">
        <v>0.6033519553072626</v>
      </c>
      <c r="BL53" s="454">
        <v>0.35195530726256985</v>
      </c>
      <c r="BM53" s="455">
        <v>0.25139664804469275</v>
      </c>
      <c r="BN53" s="456">
        <v>0.25139664804469275</v>
      </c>
      <c r="BO53" s="457">
        <v>0.25139664804469275</v>
      </c>
      <c r="BP53" s="458">
        <v>5.4351955307262569</v>
      </c>
      <c r="BQ53" s="459">
        <v>0.29071508379888267</v>
      </c>
      <c r="BR53" s="460">
        <v>5.6966480446927363E-2</v>
      </c>
      <c r="BS53" s="461">
        <v>1.3337597765363127</v>
      </c>
      <c r="BT53" s="462">
        <v>1.1829217877094971</v>
      </c>
      <c r="BU53" s="463">
        <v>0.34039106145251391</v>
      </c>
      <c r="BV53" s="464">
        <v>3.4692737430167597E-2</v>
      </c>
      <c r="BW53" s="465">
        <v>1.4656424581005585</v>
      </c>
      <c r="BX53" s="466">
        <v>0.35386359691619873</v>
      </c>
      <c r="BY53" s="467">
        <v>4.4034019112586975E-2</v>
      </c>
      <c r="BZ53" s="468">
        <v>1.5475564450025558</v>
      </c>
    </row>
    <row r="54" spans="1:78" hidden="1" x14ac:dyDescent="0.3">
      <c r="A54" s="1639" t="s">
        <v>112</v>
      </c>
      <c r="B54" s="1640" t="s">
        <v>113</v>
      </c>
      <c r="C54" s="1641">
        <v>7</v>
      </c>
      <c r="D54" s="1642">
        <v>1583</v>
      </c>
      <c r="E54" s="1643">
        <v>20</v>
      </c>
      <c r="F54" s="1644">
        <v>74</v>
      </c>
      <c r="G54" s="1645">
        <v>6</v>
      </c>
      <c r="H54" s="1646">
        <v>8</v>
      </c>
      <c r="I54" s="1647">
        <v>251</v>
      </c>
      <c r="J54" s="1648">
        <v>89</v>
      </c>
      <c r="K54" s="1649">
        <v>0</v>
      </c>
      <c r="L54" s="1650">
        <v>5</v>
      </c>
      <c r="M54" s="1651">
        <v>79</v>
      </c>
      <c r="N54" s="1652">
        <v>42</v>
      </c>
      <c r="O54" s="1653">
        <v>38</v>
      </c>
      <c r="P54" s="1654">
        <v>0.90476190476190477</v>
      </c>
      <c r="Q54" s="1655">
        <v>10</v>
      </c>
      <c r="R54" s="1656">
        <v>0.23809523809523808</v>
      </c>
      <c r="S54" s="1657">
        <v>15</v>
      </c>
      <c r="T54" s="1658">
        <v>0.35714285714285715</v>
      </c>
      <c r="U54" s="1659">
        <v>18</v>
      </c>
      <c r="V54" s="1660">
        <v>0.42857142857142855</v>
      </c>
      <c r="W54" s="1661">
        <v>0.14285714285714285</v>
      </c>
      <c r="X54" s="1662">
        <v>1</v>
      </c>
      <c r="Y54" s="1663">
        <v>2</v>
      </c>
      <c r="Z54" s="1664">
        <v>13</v>
      </c>
      <c r="AA54" s="1665">
        <v>7.6923076923076927E-2</v>
      </c>
      <c r="AB54" s="1666">
        <v>122.8</v>
      </c>
      <c r="AC54" s="1667">
        <v>36</v>
      </c>
      <c r="AD54" s="1668">
        <v>0</v>
      </c>
      <c r="AE54" s="1669">
        <v>6</v>
      </c>
      <c r="AF54" s="1670">
        <v>3</v>
      </c>
      <c r="AG54" s="1671">
        <v>0.5</v>
      </c>
      <c r="AH54" s="1672">
        <v>3</v>
      </c>
      <c r="AI54" s="1673">
        <v>0.5</v>
      </c>
      <c r="AJ54" s="1674">
        <v>0</v>
      </c>
      <c r="AK54" s="1675">
        <v>0</v>
      </c>
      <c r="AL54" s="1676">
        <v>6</v>
      </c>
      <c r="AM54" s="1677">
        <v>3</v>
      </c>
      <c r="AN54" s="1678">
        <v>0.5</v>
      </c>
      <c r="AO54" s="1679">
        <v>6</v>
      </c>
      <c r="AP54" s="1680">
        <v>1</v>
      </c>
      <c r="AQ54" s="1681">
        <v>5</v>
      </c>
      <c r="AR54" s="1682">
        <v>0.83333333333333337</v>
      </c>
      <c r="AS54" s="1683">
        <v>6.28</v>
      </c>
      <c r="AT54" s="1684">
        <v>1.46</v>
      </c>
      <c r="AU54" s="1685">
        <v>4.207201516108654</v>
      </c>
      <c r="AV54" s="1686">
        <v>3.7</v>
      </c>
      <c r="AW54" s="1687">
        <v>0.34112444725205304</v>
      </c>
      <c r="AX54" s="1688">
        <v>0.4548325963360707</v>
      </c>
      <c r="AY54" s="1689">
        <v>14.270372710044221</v>
      </c>
      <c r="AZ54" s="1690">
        <v>5.0600126342387872</v>
      </c>
      <c r="BA54" s="1691">
        <v>4.4914718888186984</v>
      </c>
      <c r="BB54" s="1692">
        <v>2.3878711307643714</v>
      </c>
      <c r="BC54" s="1693">
        <v>2.160454832596336</v>
      </c>
      <c r="BD54" s="1694">
        <v>0.56854074542008848</v>
      </c>
      <c r="BE54" s="1695">
        <v>0.85281111813013277</v>
      </c>
      <c r="BF54" s="1696">
        <v>1.0233733417561592</v>
      </c>
      <c r="BG54" s="1697">
        <v>5.6854074542008838E-2</v>
      </c>
      <c r="BH54" s="1698">
        <v>0.11370814908401768</v>
      </c>
      <c r="BI54" s="1699">
        <v>0</v>
      </c>
      <c r="BJ54" s="1700">
        <v>0.73910296904611494</v>
      </c>
      <c r="BK54" s="1701">
        <v>0.34112444725205304</v>
      </c>
      <c r="BL54" s="1702">
        <v>0.17056222362602652</v>
      </c>
      <c r="BM54" s="1703">
        <v>0.17056222362602652</v>
      </c>
      <c r="BN54" s="1704">
        <v>0.34112444725205304</v>
      </c>
      <c r="BO54" s="1705">
        <v>0.28427037271004424</v>
      </c>
      <c r="BP54" s="1706">
        <v>6.9816803537586862</v>
      </c>
      <c r="BQ54" s="1707">
        <v>0.35977258370183196</v>
      </c>
      <c r="BR54" s="1708">
        <v>7.6127605811749835E-2</v>
      </c>
      <c r="BS54" s="1709">
        <v>1.6674731522425774</v>
      </c>
      <c r="BT54" s="1710">
        <v>1.6674731522425774</v>
      </c>
      <c r="BU54" s="1711">
        <v>0.35704358812381559</v>
      </c>
      <c r="BV54" s="1712">
        <v>8.3006948831332902E-2</v>
      </c>
      <c r="BW54" s="1713">
        <v>1.6771951989892611</v>
      </c>
      <c r="BX54" s="1714">
        <v>0.34892529249191284</v>
      </c>
      <c r="BY54" s="1715">
        <v>4.8029869794845581E-2</v>
      </c>
      <c r="BZ54" s="1716">
        <v>1.5397907793521881</v>
      </c>
    </row>
    <row r="55" spans="1:78" hidden="1" x14ac:dyDescent="0.3">
      <c r="A55" s="4213" t="s">
        <v>150</v>
      </c>
      <c r="B55" s="4214" t="s">
        <v>151</v>
      </c>
      <c r="C55" s="4215">
        <v>4.3000001907348633</v>
      </c>
      <c r="D55" s="4216">
        <v>416</v>
      </c>
      <c r="E55" s="4217">
        <v>17</v>
      </c>
      <c r="F55" s="4218">
        <v>40</v>
      </c>
      <c r="G55" s="4219">
        <v>4</v>
      </c>
      <c r="H55" s="4220">
        <v>5</v>
      </c>
      <c r="I55" s="4221">
        <v>161</v>
      </c>
      <c r="J55" s="4222">
        <v>65</v>
      </c>
      <c r="K55" s="4223">
        <v>0</v>
      </c>
      <c r="L55" s="4224">
        <v>0</v>
      </c>
      <c r="M55" s="4225">
        <v>25</v>
      </c>
      <c r="N55" s="4226">
        <v>15</v>
      </c>
      <c r="O55" s="4227">
        <v>10</v>
      </c>
      <c r="P55" s="4228">
        <v>0.66666666666666663</v>
      </c>
      <c r="Q55" s="4229">
        <v>2</v>
      </c>
      <c r="R55" s="4230">
        <v>0.13333333333333333</v>
      </c>
      <c r="S55" s="4231">
        <v>2</v>
      </c>
      <c r="T55" s="4232">
        <v>0.13333333333333333</v>
      </c>
      <c r="U55" s="4233">
        <v>8</v>
      </c>
      <c r="V55" s="4234">
        <v>0.53333333333333333</v>
      </c>
      <c r="W55" s="4235">
        <v>0.26666666666666666</v>
      </c>
      <c r="X55" s="4236">
        <v>0</v>
      </c>
      <c r="Y55" s="4237">
        <v>0</v>
      </c>
      <c r="Z55" s="4238">
        <v>3</v>
      </c>
      <c r="AA55" s="4239">
        <v>0</v>
      </c>
      <c r="AB55" s="4240">
        <v>43.6</v>
      </c>
      <c r="AC55" s="4241">
        <v>36</v>
      </c>
      <c r="AD55" s="4242">
        <v>0</v>
      </c>
      <c r="AE55" s="4243">
        <v>3</v>
      </c>
      <c r="AF55" s="4244">
        <v>2</v>
      </c>
      <c r="AG55" s="4245">
        <v>0.33333333333333331</v>
      </c>
      <c r="AH55" s="4246">
        <v>1</v>
      </c>
      <c r="AI55" s="4247">
        <v>0.25</v>
      </c>
      <c r="AJ55" s="4248">
        <v>0</v>
      </c>
      <c r="AK55" s="4249">
        <v>0</v>
      </c>
      <c r="AL55" s="4250">
        <v>3</v>
      </c>
      <c r="AM55" s="4251">
        <v>2</v>
      </c>
      <c r="AN55" s="4252">
        <v>0.66666666666666663</v>
      </c>
      <c r="AO55" s="4253">
        <v>1</v>
      </c>
      <c r="AP55" s="4254">
        <v>0.25</v>
      </c>
      <c r="AQ55" s="4255">
        <v>4</v>
      </c>
      <c r="AR55" s="4256">
        <v>1</v>
      </c>
      <c r="AS55" s="4257">
        <v>1.56</v>
      </c>
      <c r="AT55" s="4258">
        <v>0.23</v>
      </c>
      <c r="AU55" s="4259">
        <v>8.6538461538461551</v>
      </c>
      <c r="AV55" s="4260">
        <v>2.3529411764705883</v>
      </c>
      <c r="AW55" s="4261">
        <v>0.86538461538461542</v>
      </c>
      <c r="AX55" s="4262">
        <v>1.0817307692307694</v>
      </c>
      <c r="AY55" s="4263">
        <v>34.831730769230774</v>
      </c>
      <c r="AZ55" s="4264">
        <v>14.0625</v>
      </c>
      <c r="BA55" s="4265">
        <v>5.4086538461538467</v>
      </c>
      <c r="BB55" s="4266">
        <v>3.2451923076923075</v>
      </c>
      <c r="BC55" s="4267">
        <v>2.1634615384615388</v>
      </c>
      <c r="BD55" s="4268">
        <v>0.43269230769230771</v>
      </c>
      <c r="BE55" s="4269">
        <v>0.43269230769230771</v>
      </c>
      <c r="BF55" s="4270">
        <v>1.7307692307692308</v>
      </c>
      <c r="BG55" s="4271">
        <v>0</v>
      </c>
      <c r="BH55" s="4272">
        <v>0</v>
      </c>
      <c r="BI55" s="4273">
        <v>0</v>
      </c>
      <c r="BJ55" s="4274">
        <v>0.64903846153846156</v>
      </c>
      <c r="BK55" s="4275">
        <v>0.64903846153846156</v>
      </c>
      <c r="BL55" s="4276">
        <v>0.43269230769230771</v>
      </c>
      <c r="BM55" s="4277">
        <v>0.21634615384615385</v>
      </c>
      <c r="BN55" s="4278">
        <v>0.21634615384615385</v>
      </c>
      <c r="BO55" s="4279">
        <v>0.86538461538461542</v>
      </c>
      <c r="BP55" s="4280">
        <v>9.4326923076923084</v>
      </c>
      <c r="BQ55" s="4281">
        <v>0.39699519230769231</v>
      </c>
      <c r="BR55" s="4282">
        <v>6.685096153846154E-2</v>
      </c>
      <c r="BS55" s="4283">
        <v>1.7885336538461538</v>
      </c>
      <c r="BT55" s="4284">
        <v>1.7885336538461538</v>
      </c>
      <c r="BU55" s="4285">
        <v>0.33750000000000002</v>
      </c>
      <c r="BV55" s="4286">
        <v>4.9759615384615388E-2</v>
      </c>
      <c r="BW55" s="4287">
        <v>1.4992788461538462</v>
      </c>
      <c r="BX55" s="4288">
        <v>0.38142630457878113</v>
      </c>
      <c r="BY55" s="4289">
        <v>3.2769888639450073E-2</v>
      </c>
      <c r="BZ55" s="4290">
        <v>1.6240148842334747</v>
      </c>
    </row>
    <row r="56" spans="1:78" hidden="1" x14ac:dyDescent="0.3">
      <c r="A56" s="3121" t="s">
        <v>135</v>
      </c>
      <c r="B56" s="3122" t="s">
        <v>93</v>
      </c>
      <c r="C56" s="3123">
        <v>6.0999999046325684</v>
      </c>
      <c r="D56" s="3124">
        <v>1310</v>
      </c>
      <c r="E56" s="3125">
        <v>16</v>
      </c>
      <c r="F56" s="3126">
        <v>58</v>
      </c>
      <c r="G56" s="3127">
        <v>3</v>
      </c>
      <c r="H56" s="3128">
        <v>6</v>
      </c>
      <c r="I56" s="3129">
        <v>176</v>
      </c>
      <c r="J56" s="3130">
        <v>77</v>
      </c>
      <c r="K56" s="3131">
        <v>0</v>
      </c>
      <c r="L56" s="3132">
        <v>3</v>
      </c>
      <c r="M56" s="3133">
        <v>57</v>
      </c>
      <c r="N56" s="3134">
        <v>17</v>
      </c>
      <c r="O56" s="3135">
        <v>14</v>
      </c>
      <c r="P56" s="3136">
        <v>0.82352941176470584</v>
      </c>
      <c r="Q56" s="3137">
        <v>4</v>
      </c>
      <c r="R56" s="3138">
        <v>0.23529411764705882</v>
      </c>
      <c r="S56" s="3139">
        <v>3</v>
      </c>
      <c r="T56" s="3140">
        <v>0.17647058823529413</v>
      </c>
      <c r="U56" s="3141">
        <v>9</v>
      </c>
      <c r="V56" s="3142">
        <v>0.52941176470588236</v>
      </c>
      <c r="W56" s="3143">
        <v>0.17647058823529413</v>
      </c>
      <c r="X56" s="3144">
        <v>2</v>
      </c>
      <c r="Y56" s="3145">
        <v>3</v>
      </c>
      <c r="Z56" s="3146">
        <v>18</v>
      </c>
      <c r="AA56" s="3147">
        <v>0.1111111111111111</v>
      </c>
      <c r="AB56" s="3148">
        <v>85.9</v>
      </c>
      <c r="AC56" s="3149">
        <v>40</v>
      </c>
      <c r="AD56" s="3150">
        <v>3</v>
      </c>
      <c r="AE56" s="3151">
        <v>5</v>
      </c>
      <c r="AF56" s="3152">
        <v>2</v>
      </c>
      <c r="AG56" s="3153">
        <v>0.6</v>
      </c>
      <c r="AH56" s="3154">
        <v>3</v>
      </c>
      <c r="AI56" s="3155">
        <v>1</v>
      </c>
      <c r="AJ56" s="3156">
        <v>1</v>
      </c>
      <c r="AK56" s="3157">
        <v>0</v>
      </c>
      <c r="AL56" s="3158">
        <v>4</v>
      </c>
      <c r="AM56" s="3159">
        <v>2</v>
      </c>
      <c r="AN56" s="3160">
        <v>0.5</v>
      </c>
      <c r="AO56" s="3161">
        <v>3</v>
      </c>
      <c r="AP56" s="3162">
        <v>1</v>
      </c>
      <c r="AQ56" s="3163">
        <v>1</v>
      </c>
      <c r="AR56" s="3164">
        <v>0.33333333333333331</v>
      </c>
      <c r="AS56" s="3165">
        <v>3.35</v>
      </c>
      <c r="AT56" s="3166">
        <v>0.69</v>
      </c>
      <c r="AU56" s="3167">
        <v>3.9847328244274811</v>
      </c>
      <c r="AV56" s="3168">
        <v>3.625</v>
      </c>
      <c r="AW56" s="3169">
        <v>0.20610687022900764</v>
      </c>
      <c r="AX56" s="3170">
        <v>0.41221374045801529</v>
      </c>
      <c r="AY56" s="3171">
        <v>12.091603053435115</v>
      </c>
      <c r="AZ56" s="3172">
        <v>5.2900763358778624</v>
      </c>
      <c r="BA56" s="3173">
        <v>3.9160305343511452</v>
      </c>
      <c r="BB56" s="3174">
        <v>1.16793893129771</v>
      </c>
      <c r="BC56" s="3175">
        <v>0.96183206106870234</v>
      </c>
      <c r="BD56" s="3176">
        <v>0.27480916030534353</v>
      </c>
      <c r="BE56" s="3177">
        <v>0.20610687022900764</v>
      </c>
      <c r="BF56" s="3178">
        <v>0.61832061068702293</v>
      </c>
      <c r="BG56" s="3179">
        <v>0.13740458015267176</v>
      </c>
      <c r="BH56" s="3180">
        <v>0.20610687022900764</v>
      </c>
      <c r="BI56" s="3181">
        <v>0.20610687022900764</v>
      </c>
      <c r="BJ56" s="3182">
        <v>1.2366412213740459</v>
      </c>
      <c r="BK56" s="3183">
        <v>0.34351145038167935</v>
      </c>
      <c r="BL56" s="3184">
        <v>0.13740458015267176</v>
      </c>
      <c r="BM56" s="3185">
        <v>0.20610687022900764</v>
      </c>
      <c r="BN56" s="3186">
        <v>0.20610687022900764</v>
      </c>
      <c r="BO56" s="3187">
        <v>6.8702290076335881E-2</v>
      </c>
      <c r="BP56" s="3188">
        <v>5.9015267175572523</v>
      </c>
      <c r="BQ56" s="3189">
        <v>0.20507633587786259</v>
      </c>
      <c r="BR56" s="3190">
        <v>0.12737404580152673</v>
      </c>
      <c r="BS56" s="3191">
        <v>1.2024274809160305</v>
      </c>
      <c r="BT56" s="3192">
        <v>0.99632061068702282</v>
      </c>
      <c r="BU56" s="3193">
        <v>0.23015267175572521</v>
      </c>
      <c r="BV56" s="3194">
        <v>4.7404580152671752E-2</v>
      </c>
      <c r="BW56" s="3195">
        <v>1.062824427480916</v>
      </c>
      <c r="BX56" s="3196">
        <v>0.26666271686553955</v>
      </c>
      <c r="BY56" s="3197">
        <v>0.12822014093399048</v>
      </c>
      <c r="BZ56" s="3198">
        <v>1.4513112902641296</v>
      </c>
    </row>
    <row r="57" spans="1:78" hidden="1" x14ac:dyDescent="0.3">
      <c r="A57" s="4369" t="s">
        <v>153</v>
      </c>
      <c r="B57" s="4370" t="s">
        <v>109</v>
      </c>
      <c r="C57" s="4371">
        <v>4.8000001907348633</v>
      </c>
      <c r="D57" s="4372">
        <v>72</v>
      </c>
      <c r="E57" s="4373">
        <v>3</v>
      </c>
      <c r="F57" s="4374">
        <v>5</v>
      </c>
      <c r="G57" s="4375">
        <v>1</v>
      </c>
      <c r="H57" s="4376">
        <v>1</v>
      </c>
      <c r="I57" s="4377">
        <v>20</v>
      </c>
      <c r="J57" s="4378">
        <v>-4</v>
      </c>
      <c r="K57" s="4379">
        <v>0</v>
      </c>
      <c r="L57" s="4380">
        <v>0</v>
      </c>
      <c r="M57" s="4381">
        <v>3</v>
      </c>
      <c r="N57" s="4382">
        <v>1</v>
      </c>
      <c r="O57" s="4383">
        <v>1</v>
      </c>
      <c r="P57" s="4384">
        <v>1</v>
      </c>
      <c r="Q57" s="4385">
        <v>0</v>
      </c>
      <c r="R57" s="4386">
        <v>0</v>
      </c>
      <c r="S57" s="4387">
        <v>0</v>
      </c>
      <c r="T57" s="4388">
        <v>0</v>
      </c>
      <c r="U57" s="4389">
        <v>1</v>
      </c>
      <c r="V57" s="4390">
        <v>1</v>
      </c>
      <c r="W57" s="4391">
        <v>1</v>
      </c>
      <c r="X57" s="4392">
        <v>0</v>
      </c>
      <c r="Y57" s="4393">
        <v>0</v>
      </c>
      <c r="Z57" s="4394">
        <v>1</v>
      </c>
      <c r="AA57" s="4395">
        <v>0</v>
      </c>
      <c r="AB57" s="4396">
        <v>7.1</v>
      </c>
      <c r="AC57" s="4397">
        <v>50</v>
      </c>
      <c r="AD57" s="4398">
        <v>0</v>
      </c>
      <c r="AE57" s="4399">
        <v>1</v>
      </c>
      <c r="AF57" s="4400">
        <v>0</v>
      </c>
      <c r="AG57" s="4401">
        <v>1</v>
      </c>
      <c r="AH57" s="4402">
        <v>1</v>
      </c>
      <c r="AI57" s="4403">
        <v>1</v>
      </c>
      <c r="AJ57" s="4404">
        <v>0</v>
      </c>
      <c r="AK57" s="4405">
        <v>0</v>
      </c>
      <c r="AL57" s="4406">
        <v>1</v>
      </c>
      <c r="AM57" s="4407">
        <v>0</v>
      </c>
      <c r="AN57" s="4408">
        <v>0</v>
      </c>
      <c r="AO57" s="4409">
        <v>1</v>
      </c>
      <c r="AP57" s="4410">
        <v>1</v>
      </c>
      <c r="AQ57" s="4411">
        <v>1</v>
      </c>
      <c r="AR57" s="4412">
        <v>1</v>
      </c>
      <c r="AS57" s="4413">
        <v>0.36</v>
      </c>
      <c r="AT57" s="4414">
        <v>0</v>
      </c>
      <c r="AU57" s="4415">
        <v>6.25</v>
      </c>
      <c r="AV57" s="4416">
        <v>1.6666666666666667</v>
      </c>
      <c r="AW57" s="4417">
        <v>1.25</v>
      </c>
      <c r="AX57" s="4418">
        <v>1.25</v>
      </c>
      <c r="AY57" s="4419">
        <v>25</v>
      </c>
      <c r="AZ57" s="4420">
        <v>-5</v>
      </c>
      <c r="BA57" s="4421">
        <v>3.75</v>
      </c>
      <c r="BB57" s="4422">
        <v>1.25</v>
      </c>
      <c r="BC57" s="4423">
        <v>1.25</v>
      </c>
      <c r="BD57" s="4424">
        <v>0</v>
      </c>
      <c r="BE57" s="4425">
        <v>0</v>
      </c>
      <c r="BF57" s="4426">
        <v>1.25</v>
      </c>
      <c r="BG57" s="4427">
        <v>0</v>
      </c>
      <c r="BH57" s="4428">
        <v>0</v>
      </c>
      <c r="BI57" s="4429">
        <v>0</v>
      </c>
      <c r="BJ57" s="4430">
        <v>1.25</v>
      </c>
      <c r="BK57" s="4431">
        <v>1.25</v>
      </c>
      <c r="BL57" s="4432">
        <v>0</v>
      </c>
      <c r="BM57" s="4433">
        <v>1.25</v>
      </c>
      <c r="BN57" s="4434">
        <v>1.25</v>
      </c>
      <c r="BO57" s="4435">
        <v>1.25</v>
      </c>
      <c r="BP57" s="4436">
        <v>8.875</v>
      </c>
      <c r="BQ57" s="4437">
        <v>0.20250000000000001</v>
      </c>
      <c r="BR57" s="4438">
        <v>0.12875</v>
      </c>
      <c r="BS57" s="4439">
        <v>1.19625</v>
      </c>
      <c r="BT57" s="4440">
        <v>1.19625</v>
      </c>
      <c r="BU57" s="4441">
        <v>0.45</v>
      </c>
      <c r="BV57" s="4442">
        <v>0</v>
      </c>
      <c r="BW57" s="4443">
        <v>1.8</v>
      </c>
      <c r="BX57" s="4444">
        <v>0.47556030750274658</v>
      </c>
      <c r="BY57" s="4445">
        <v>7.5908198952674866E-2</v>
      </c>
      <c r="BZ57" s="4446">
        <v>2.1299658268690109</v>
      </c>
    </row>
    <row r="58" spans="1:78" hidden="1" x14ac:dyDescent="0.3">
      <c r="A58" s="703" t="s">
        <v>92</v>
      </c>
      <c r="B58" s="704" t="s">
        <v>93</v>
      </c>
      <c r="C58" s="705">
        <v>7.4000000953674316</v>
      </c>
      <c r="D58" s="706">
        <v>1719</v>
      </c>
      <c r="E58" s="707">
        <v>21</v>
      </c>
      <c r="F58" s="708">
        <v>69</v>
      </c>
      <c r="G58" s="709">
        <v>5</v>
      </c>
      <c r="H58" s="710">
        <v>4</v>
      </c>
      <c r="I58" s="711">
        <v>210</v>
      </c>
      <c r="J58" s="712">
        <v>63</v>
      </c>
      <c r="K58" s="713">
        <v>0</v>
      </c>
      <c r="L58" s="714">
        <v>3</v>
      </c>
      <c r="M58" s="715">
        <v>80</v>
      </c>
      <c r="N58" s="716">
        <v>28</v>
      </c>
      <c r="O58" s="717">
        <v>23</v>
      </c>
      <c r="P58" s="718">
        <v>0.8214285714285714</v>
      </c>
      <c r="Q58" s="719">
        <v>2</v>
      </c>
      <c r="R58" s="720">
        <v>7.1428571428571425E-2</v>
      </c>
      <c r="S58" s="721">
        <v>9</v>
      </c>
      <c r="T58" s="722">
        <v>0.32142857142857145</v>
      </c>
      <c r="U58" s="723">
        <v>11</v>
      </c>
      <c r="V58" s="724">
        <v>0.39285714285714285</v>
      </c>
      <c r="W58" s="725">
        <v>0.17857142857142858</v>
      </c>
      <c r="X58" s="726">
        <v>0</v>
      </c>
      <c r="Y58" s="727">
        <v>3</v>
      </c>
      <c r="Z58" s="728">
        <v>20</v>
      </c>
      <c r="AA58" s="729">
        <v>0</v>
      </c>
      <c r="AB58" s="730">
        <v>92.2</v>
      </c>
      <c r="AC58" s="731">
        <v>42</v>
      </c>
      <c r="AD58" s="732">
        <v>2</v>
      </c>
      <c r="AE58" s="733">
        <v>11</v>
      </c>
      <c r="AF58" s="734">
        <v>6</v>
      </c>
      <c r="AG58" s="735">
        <v>0.45454545454545453</v>
      </c>
      <c r="AH58" s="736">
        <v>5</v>
      </c>
      <c r="AI58" s="737">
        <v>1</v>
      </c>
      <c r="AJ58" s="738">
        <v>0</v>
      </c>
      <c r="AK58" s="739">
        <v>0</v>
      </c>
      <c r="AL58" s="740">
        <v>11</v>
      </c>
      <c r="AM58" s="741">
        <v>6</v>
      </c>
      <c r="AN58" s="742">
        <v>0.54545454545454541</v>
      </c>
      <c r="AO58" s="743">
        <v>5</v>
      </c>
      <c r="AP58" s="744">
        <v>1</v>
      </c>
      <c r="AQ58" s="745">
        <v>4</v>
      </c>
      <c r="AR58" s="746">
        <v>0.8</v>
      </c>
      <c r="AS58" s="747">
        <v>5.35</v>
      </c>
      <c r="AT58" s="748">
        <v>1.08</v>
      </c>
      <c r="AU58" s="749">
        <v>3.6125654450261777</v>
      </c>
      <c r="AV58" s="750">
        <v>3.2857142857142856</v>
      </c>
      <c r="AW58" s="751">
        <v>0.26178010471204188</v>
      </c>
      <c r="AX58" s="752">
        <v>0.20942408376963351</v>
      </c>
      <c r="AY58" s="753">
        <v>10.99476439790576</v>
      </c>
      <c r="AZ58" s="754">
        <v>3.2984293193717273</v>
      </c>
      <c r="BA58" s="755">
        <v>4.1884816753926701</v>
      </c>
      <c r="BB58" s="756">
        <v>1.4659685863874345</v>
      </c>
      <c r="BC58" s="757">
        <v>1.2041884816753927</v>
      </c>
      <c r="BD58" s="758">
        <v>0.10471204188481675</v>
      </c>
      <c r="BE58" s="759">
        <v>0.47120418848167545</v>
      </c>
      <c r="BF58" s="760">
        <v>0.57591623036649209</v>
      </c>
      <c r="BG58" s="761">
        <v>0</v>
      </c>
      <c r="BH58" s="762">
        <v>0.15706806282722513</v>
      </c>
      <c r="BI58" s="763">
        <v>0.10471204188481675</v>
      </c>
      <c r="BJ58" s="764">
        <v>1.0471204188481675</v>
      </c>
      <c r="BK58" s="765">
        <v>0.57591623036649209</v>
      </c>
      <c r="BL58" s="766">
        <v>0.31413612565445026</v>
      </c>
      <c r="BM58" s="767">
        <v>0.26178010471204188</v>
      </c>
      <c r="BN58" s="768">
        <v>0.26178010471204188</v>
      </c>
      <c r="BO58" s="769">
        <v>0.20942408376963351</v>
      </c>
      <c r="BP58" s="770">
        <v>4.8272251308900529</v>
      </c>
      <c r="BQ58" s="771">
        <v>0.20633507853403138</v>
      </c>
      <c r="BR58" s="772">
        <v>0.10785340314136126</v>
      </c>
      <c r="BS58" s="773">
        <v>1.1489005235602092</v>
      </c>
      <c r="BT58" s="774">
        <v>1.1489005235602092</v>
      </c>
      <c r="BU58" s="775">
        <v>0.28010471204188481</v>
      </c>
      <c r="BV58" s="776">
        <v>5.654450261780105E-2</v>
      </c>
      <c r="BW58" s="777">
        <v>1.2900523560209423</v>
      </c>
      <c r="BX58" s="778">
        <v>0.26803869009017944</v>
      </c>
      <c r="BY58" s="779">
        <v>0.10410585999488831</v>
      </c>
      <c r="BZ58" s="780">
        <v>1.3844723403453827</v>
      </c>
    </row>
    <row r="59" spans="1:78" x14ac:dyDescent="0.3">
      <c r="A59" s="3901" t="s">
        <v>145</v>
      </c>
      <c r="B59" s="3902" t="s">
        <v>107</v>
      </c>
      <c r="C59" s="3903">
        <v>5</v>
      </c>
      <c r="D59" s="3904">
        <v>1761</v>
      </c>
      <c r="E59" s="3905">
        <v>21</v>
      </c>
      <c r="F59" s="3906">
        <v>83</v>
      </c>
      <c r="G59" s="3907">
        <v>6</v>
      </c>
      <c r="H59" s="3908">
        <v>17</v>
      </c>
      <c r="I59" s="3909">
        <v>264</v>
      </c>
      <c r="J59" s="3910">
        <v>111</v>
      </c>
      <c r="K59" s="3911">
        <v>0</v>
      </c>
      <c r="L59" s="3912">
        <v>8</v>
      </c>
      <c r="M59" s="3913">
        <v>80</v>
      </c>
      <c r="N59" s="3914">
        <v>34</v>
      </c>
      <c r="O59" s="3915">
        <v>26</v>
      </c>
      <c r="P59" s="3916">
        <v>0.76470588235294112</v>
      </c>
      <c r="Q59" s="3917">
        <v>4</v>
      </c>
      <c r="R59" s="3918">
        <v>0.11764705882352941</v>
      </c>
      <c r="S59" s="3919">
        <v>6</v>
      </c>
      <c r="T59" s="3920">
        <v>0.17647058823529413</v>
      </c>
      <c r="U59" s="3921">
        <v>13</v>
      </c>
      <c r="V59" s="3922">
        <v>0.38235294117647056</v>
      </c>
      <c r="W59" s="3923">
        <v>0.17647058823529413</v>
      </c>
      <c r="X59" s="3924">
        <v>1</v>
      </c>
      <c r="Y59" s="3925">
        <v>1</v>
      </c>
      <c r="Z59" s="3926">
        <v>17</v>
      </c>
      <c r="AA59" s="3927">
        <v>5.8823529411764705E-2</v>
      </c>
      <c r="AB59" s="3928">
        <v>113.1</v>
      </c>
      <c r="AC59" s="3929">
        <v>41</v>
      </c>
      <c r="AD59" s="3930">
        <v>2</v>
      </c>
      <c r="AE59" s="3931">
        <v>8</v>
      </c>
      <c r="AF59" s="3932">
        <v>4</v>
      </c>
      <c r="AG59" s="3933">
        <v>0.5</v>
      </c>
      <c r="AH59" s="3934">
        <v>4</v>
      </c>
      <c r="AI59" s="3935">
        <v>0.66666666666666663</v>
      </c>
      <c r="AJ59" s="3936">
        <v>0</v>
      </c>
      <c r="AK59" s="3937">
        <v>0</v>
      </c>
      <c r="AL59" s="3938">
        <v>8</v>
      </c>
      <c r="AM59" s="3939">
        <v>4</v>
      </c>
      <c r="AN59" s="3940">
        <v>0.5</v>
      </c>
      <c r="AO59" s="3941">
        <v>6</v>
      </c>
      <c r="AP59" s="3942">
        <v>1</v>
      </c>
      <c r="AQ59" s="3943">
        <v>3</v>
      </c>
      <c r="AR59" s="3944">
        <v>0.5</v>
      </c>
      <c r="AS59" s="3945">
        <v>5.45</v>
      </c>
      <c r="AT59" s="3946">
        <v>1.34</v>
      </c>
      <c r="AU59" s="3947">
        <v>4.2419080068143105</v>
      </c>
      <c r="AV59" s="3948">
        <v>3.9523809523809526</v>
      </c>
      <c r="AW59" s="3949">
        <v>0.30664395229982966</v>
      </c>
      <c r="AX59" s="3950">
        <v>0.868824531516184</v>
      </c>
      <c r="AY59" s="3951">
        <v>13.492333901192504</v>
      </c>
      <c r="AZ59" s="3952">
        <v>5.6729131175468481</v>
      </c>
      <c r="BA59" s="3953">
        <v>4.0885860306643949</v>
      </c>
      <c r="BB59" s="3954">
        <v>1.737649063032368</v>
      </c>
      <c r="BC59" s="3955">
        <v>1.3287904599659284</v>
      </c>
      <c r="BD59" s="3956">
        <v>0.20442930153321975</v>
      </c>
      <c r="BE59" s="3957">
        <v>0.30664395229982966</v>
      </c>
      <c r="BF59" s="3958">
        <v>0.66439522998296419</v>
      </c>
      <c r="BG59" s="3959">
        <v>5.1107325383304938E-2</v>
      </c>
      <c r="BH59" s="3960">
        <v>5.1107325383304938E-2</v>
      </c>
      <c r="BI59" s="3961">
        <v>0.10221465076660988</v>
      </c>
      <c r="BJ59" s="3962">
        <v>0.868824531516184</v>
      </c>
      <c r="BK59" s="3963">
        <v>0.40885860306643951</v>
      </c>
      <c r="BL59" s="3964">
        <v>0.20442930153321975</v>
      </c>
      <c r="BM59" s="3965">
        <v>0.20442930153321975</v>
      </c>
      <c r="BN59" s="3966">
        <v>0.30664395229982966</v>
      </c>
      <c r="BO59" s="3967">
        <v>0.15332197614991483</v>
      </c>
      <c r="BP59" s="3968">
        <v>5.7802385008517883</v>
      </c>
      <c r="BQ59" s="3969">
        <v>0.23284497444633731</v>
      </c>
      <c r="BR59" s="3970">
        <v>8.9488926746166944E-2</v>
      </c>
      <c r="BS59" s="3971">
        <v>1.1998466780238501</v>
      </c>
      <c r="BT59" s="3972">
        <v>1.1998466780238501</v>
      </c>
      <c r="BU59" s="3973">
        <v>0.27853492333901192</v>
      </c>
      <c r="BV59" s="3974">
        <v>6.8483816013628615E-2</v>
      </c>
      <c r="BW59" s="3975">
        <v>1.3195911413969335</v>
      </c>
      <c r="BX59" s="3976">
        <v>0.26463529467582703</v>
      </c>
      <c r="BY59" s="3977">
        <v>7.6106980443000793E-2</v>
      </c>
      <c r="BZ59" s="3978">
        <v>1.2868621200323105</v>
      </c>
    </row>
    <row r="60" spans="1:78" hidden="1" x14ac:dyDescent="0.3">
      <c r="A60" s="4603" t="s">
        <v>156</v>
      </c>
      <c r="B60" s="4604" t="s">
        <v>115</v>
      </c>
      <c r="C60" s="4605">
        <v>4.8000001907348633</v>
      </c>
      <c r="D60" s="4606">
        <v>50</v>
      </c>
      <c r="E60" s="4607">
        <v>4</v>
      </c>
      <c r="F60" s="4608">
        <v>4</v>
      </c>
      <c r="G60" s="4609">
        <v>0</v>
      </c>
      <c r="H60" s="4610">
        <v>0</v>
      </c>
      <c r="I60" s="4611">
        <v>11</v>
      </c>
      <c r="J60" s="4612">
        <v>11</v>
      </c>
      <c r="K60" s="4613">
        <v>0</v>
      </c>
      <c r="L60" s="4614">
        <v>0</v>
      </c>
      <c r="M60" s="4615">
        <v>1</v>
      </c>
      <c r="N60" s="4616">
        <v>1</v>
      </c>
      <c r="O60" s="4617">
        <v>1</v>
      </c>
      <c r="P60" s="4618">
        <v>1</v>
      </c>
      <c r="Q60" s="4619">
        <v>0</v>
      </c>
      <c r="R60" s="4620">
        <v>0</v>
      </c>
      <c r="S60" s="4621">
        <v>1</v>
      </c>
      <c r="T60" s="4622">
        <v>1</v>
      </c>
      <c r="U60" s="4623">
        <v>1</v>
      </c>
      <c r="V60" s="4624">
        <v>1</v>
      </c>
      <c r="W60" s="4625">
        <v>0</v>
      </c>
      <c r="X60" s="4626">
        <v>0</v>
      </c>
      <c r="Y60" s="4627">
        <v>0</v>
      </c>
      <c r="Z60" s="4628">
        <v>1</v>
      </c>
      <c r="AA60" s="4629">
        <v>0</v>
      </c>
      <c r="AB60" s="4630">
        <v>3.8</v>
      </c>
      <c r="AC60" s="4631">
        <v>0</v>
      </c>
      <c r="AD60" s="4632">
        <v>0</v>
      </c>
      <c r="AE60" s="4633">
        <v>0</v>
      </c>
      <c r="AF60" s="4634">
        <v>0</v>
      </c>
      <c r="AG60" s="4635">
        <v>0</v>
      </c>
      <c r="AH60" s="4636">
        <v>0</v>
      </c>
      <c r="AI60" s="4637">
        <v>0</v>
      </c>
      <c r="AJ60" s="4638">
        <v>0</v>
      </c>
      <c r="AK60" s="4639">
        <v>0</v>
      </c>
      <c r="AL60" s="4640">
        <v>0</v>
      </c>
      <c r="AM60" s="4641">
        <v>0</v>
      </c>
      <c r="AN60" s="4642">
        <v>0</v>
      </c>
      <c r="AO60" s="4643">
        <v>0</v>
      </c>
      <c r="AP60" s="4644">
        <v>0</v>
      </c>
      <c r="AQ60" s="4645">
        <v>0</v>
      </c>
      <c r="AR60" s="4646">
        <v>0</v>
      </c>
      <c r="AS60" s="4647">
        <v>0.05</v>
      </c>
      <c r="AT60" s="4648">
        <v>0.04</v>
      </c>
      <c r="AU60" s="4649">
        <v>7.2</v>
      </c>
      <c r="AV60" s="4650">
        <v>1</v>
      </c>
      <c r="AW60" s="4651">
        <v>0</v>
      </c>
      <c r="AX60" s="4652">
        <v>0</v>
      </c>
      <c r="AY60" s="4653">
        <v>19.8</v>
      </c>
      <c r="AZ60" s="4654">
        <v>19.8</v>
      </c>
      <c r="BA60" s="4655">
        <v>1.8</v>
      </c>
      <c r="BB60" s="4656">
        <v>1.8</v>
      </c>
      <c r="BC60" s="4657">
        <v>1.8</v>
      </c>
      <c r="BD60" s="4658">
        <v>0</v>
      </c>
      <c r="BE60" s="4659">
        <v>1.8</v>
      </c>
      <c r="BF60" s="4660">
        <v>1.8</v>
      </c>
      <c r="BG60" s="4661">
        <v>0</v>
      </c>
      <c r="BH60" s="4662">
        <v>0</v>
      </c>
      <c r="BI60" s="4663">
        <v>0</v>
      </c>
      <c r="BJ60" s="4664">
        <v>1.8</v>
      </c>
      <c r="BK60" s="4665">
        <v>0</v>
      </c>
      <c r="BL60" s="4666">
        <v>0</v>
      </c>
      <c r="BM60" s="4667">
        <v>0</v>
      </c>
      <c r="BN60" s="4668">
        <v>0</v>
      </c>
      <c r="BO60" s="4669">
        <v>0</v>
      </c>
      <c r="BP60" s="4670">
        <v>6.84</v>
      </c>
      <c r="BQ60" s="4671">
        <v>0.29160000000000003</v>
      </c>
      <c r="BR60" s="4672">
        <v>0.18539999999999998</v>
      </c>
      <c r="BS60" s="4673">
        <v>1.7225999999999999</v>
      </c>
      <c r="BT60" s="4674">
        <v>1.7225999999999999</v>
      </c>
      <c r="BU60" s="4675">
        <v>0.09</v>
      </c>
      <c r="BV60" s="4676">
        <v>7.2000000000000008E-2</v>
      </c>
      <c r="BW60" s="4677">
        <v>0.57600000000000007</v>
      </c>
      <c r="BX60" s="4678">
        <v>0.19841462373733521</v>
      </c>
      <c r="BY60" s="4679">
        <v>0.11444167792797089</v>
      </c>
      <c r="BZ60" s="4680">
        <v>1.1369835287332535</v>
      </c>
    </row>
    <row r="61" spans="1:78" x14ac:dyDescent="0.3">
      <c r="A61" s="1093" t="s">
        <v>101</v>
      </c>
      <c r="B61" s="1094" t="s">
        <v>102</v>
      </c>
      <c r="C61" s="1095">
        <v>5.5</v>
      </c>
      <c r="D61" s="1096">
        <v>1692</v>
      </c>
      <c r="E61" s="1097">
        <v>22</v>
      </c>
      <c r="F61" s="1098">
        <v>50</v>
      </c>
      <c r="G61" s="1099">
        <v>1</v>
      </c>
      <c r="H61" s="1100">
        <v>3</v>
      </c>
      <c r="I61" s="1101">
        <v>161</v>
      </c>
      <c r="J61" s="1102">
        <v>119</v>
      </c>
      <c r="K61" s="1103">
        <v>0</v>
      </c>
      <c r="L61" s="1104">
        <v>3</v>
      </c>
      <c r="M61" s="1105">
        <v>66</v>
      </c>
      <c r="N61" s="1106">
        <v>32</v>
      </c>
      <c r="O61" s="1107">
        <v>23</v>
      </c>
      <c r="P61" s="1108">
        <v>0.71875</v>
      </c>
      <c r="Q61" s="1109">
        <v>1</v>
      </c>
      <c r="R61" s="1110">
        <v>3.125E-2</v>
      </c>
      <c r="S61" s="1111">
        <v>8</v>
      </c>
      <c r="T61" s="1112">
        <v>0.25</v>
      </c>
      <c r="U61" s="1113">
        <v>10</v>
      </c>
      <c r="V61" s="1114">
        <v>0.3125</v>
      </c>
      <c r="W61" s="1115">
        <v>3.125E-2</v>
      </c>
      <c r="X61" s="1116">
        <v>2</v>
      </c>
      <c r="Y61" s="1117">
        <v>2</v>
      </c>
      <c r="Z61" s="1118">
        <v>22</v>
      </c>
      <c r="AA61" s="1119">
        <v>9.0909090909090912E-2</v>
      </c>
      <c r="AB61" s="1120">
        <v>88</v>
      </c>
      <c r="AC61" s="1121">
        <v>23</v>
      </c>
      <c r="AD61" s="1122">
        <v>3</v>
      </c>
      <c r="AE61" s="1123">
        <v>6</v>
      </c>
      <c r="AF61" s="1124">
        <v>5</v>
      </c>
      <c r="AG61" s="1125">
        <v>0.16666666666666666</v>
      </c>
      <c r="AH61" s="1126">
        <v>1</v>
      </c>
      <c r="AI61" s="1127">
        <v>1</v>
      </c>
      <c r="AJ61" s="1128">
        <v>0</v>
      </c>
      <c r="AK61" s="1129">
        <v>0</v>
      </c>
      <c r="AL61" s="1130">
        <v>6</v>
      </c>
      <c r="AM61" s="1131">
        <v>5</v>
      </c>
      <c r="AN61" s="1132">
        <v>0.83333333333333337</v>
      </c>
      <c r="AO61" s="1133">
        <v>1</v>
      </c>
      <c r="AP61" s="1134">
        <v>1</v>
      </c>
      <c r="AQ61" s="1135">
        <v>1</v>
      </c>
      <c r="AR61" s="1136">
        <v>1</v>
      </c>
      <c r="AS61" s="1137">
        <v>3.12</v>
      </c>
      <c r="AT61" s="1138">
        <v>1.44</v>
      </c>
      <c r="AU61" s="1139">
        <v>2.6595744680851063</v>
      </c>
      <c r="AV61" s="1140">
        <v>2.2727272727272729</v>
      </c>
      <c r="AW61" s="1141">
        <v>5.3191489361702128E-2</v>
      </c>
      <c r="AX61" s="1142">
        <v>0.15957446808510639</v>
      </c>
      <c r="AY61" s="1143">
        <v>8.5638297872340416</v>
      </c>
      <c r="AZ61" s="1144">
        <v>6.3297872340425538</v>
      </c>
      <c r="BA61" s="1145">
        <v>3.5106382978723403</v>
      </c>
      <c r="BB61" s="1146">
        <v>1.7021276595744681</v>
      </c>
      <c r="BC61" s="1147">
        <v>1.2234042553191491</v>
      </c>
      <c r="BD61" s="1148">
        <v>5.3191489361702128E-2</v>
      </c>
      <c r="BE61" s="1149">
        <v>0.42553191489361702</v>
      </c>
      <c r="BF61" s="1150">
        <v>0.53191489361702127</v>
      </c>
      <c r="BG61" s="1151">
        <v>0.10638297872340426</v>
      </c>
      <c r="BH61" s="1152">
        <v>0.10638297872340426</v>
      </c>
      <c r="BI61" s="1153">
        <v>0.15957446808510639</v>
      </c>
      <c r="BJ61" s="1154">
        <v>1.1702127659574468</v>
      </c>
      <c r="BK61" s="1155">
        <v>0.31914893617021278</v>
      </c>
      <c r="BL61" s="1156">
        <v>0.26595744680851063</v>
      </c>
      <c r="BM61" s="1157">
        <v>5.3191489361702128E-2</v>
      </c>
      <c r="BN61" s="1158">
        <v>5.3191489361702128E-2</v>
      </c>
      <c r="BO61" s="1159">
        <v>5.3191489361702128E-2</v>
      </c>
      <c r="BP61" s="1160">
        <v>4.6808510638297873</v>
      </c>
      <c r="BQ61" s="1161">
        <v>0.21877659574468081</v>
      </c>
      <c r="BR61" s="1162">
        <v>0.12053191489361702</v>
      </c>
      <c r="BS61" s="1163">
        <v>1.2367021276595742</v>
      </c>
      <c r="BT61" s="1164">
        <v>1.2367021276595742</v>
      </c>
      <c r="BU61" s="1165">
        <v>0.16595744680851066</v>
      </c>
      <c r="BV61" s="1166">
        <v>7.6595744680851063E-2</v>
      </c>
      <c r="BW61" s="1167">
        <v>0.89361702127659581</v>
      </c>
      <c r="BX61" s="1168">
        <v>0.1697542816400528</v>
      </c>
      <c r="BY61" s="1169">
        <v>0.15029162168502808</v>
      </c>
      <c r="BZ61" s="1170">
        <v>1.1298919916152954</v>
      </c>
    </row>
    <row r="62" spans="1:78" hidden="1" x14ac:dyDescent="0.3">
      <c r="A62" s="4759" t="s">
        <v>158</v>
      </c>
      <c r="B62" s="4760" t="s">
        <v>93</v>
      </c>
      <c r="C62" s="4761">
        <v>4.3000001907348633</v>
      </c>
      <c r="D62" s="4762">
        <v>15</v>
      </c>
      <c r="E62" s="4763">
        <v>1</v>
      </c>
      <c r="F62" s="4764">
        <v>1</v>
      </c>
      <c r="G62" s="4765">
        <v>0</v>
      </c>
      <c r="H62" s="4766">
        <v>0</v>
      </c>
      <c r="I62" s="4767">
        <v>3</v>
      </c>
      <c r="J62" s="4768">
        <v>3</v>
      </c>
      <c r="K62" s="4769">
        <v>0</v>
      </c>
      <c r="L62" s="4770">
        <v>0</v>
      </c>
      <c r="M62" s="4771">
        <v>1</v>
      </c>
      <c r="N62" s="4772">
        <v>0</v>
      </c>
      <c r="O62" s="4773">
        <v>0</v>
      </c>
      <c r="P62" s="4774">
        <v>0</v>
      </c>
      <c r="Q62" s="4775">
        <v>0</v>
      </c>
      <c r="R62" s="4776">
        <v>0</v>
      </c>
      <c r="S62" s="4777">
        <v>0</v>
      </c>
      <c r="T62" s="4778">
        <v>0</v>
      </c>
      <c r="U62" s="4779">
        <v>0</v>
      </c>
      <c r="V62" s="4780">
        <v>0</v>
      </c>
      <c r="W62" s="4781">
        <v>0</v>
      </c>
      <c r="X62" s="4782">
        <v>0</v>
      </c>
      <c r="Y62" s="4783">
        <v>0</v>
      </c>
      <c r="Z62" s="4784">
        <v>0</v>
      </c>
      <c r="AA62" s="4785">
        <v>0</v>
      </c>
      <c r="AB62" s="4786">
        <v>0.4</v>
      </c>
      <c r="AC62" s="4787">
        <v>0</v>
      </c>
      <c r="AD62" s="4788">
        <v>0</v>
      </c>
      <c r="AE62" s="4789">
        <v>0</v>
      </c>
      <c r="AF62" s="4790">
        <v>0</v>
      </c>
      <c r="AG62" s="4791">
        <v>0</v>
      </c>
      <c r="AH62" s="4792">
        <v>0</v>
      </c>
      <c r="AI62" s="4793">
        <v>0</v>
      </c>
      <c r="AJ62" s="4794">
        <v>0</v>
      </c>
      <c r="AK62" s="4795">
        <v>0</v>
      </c>
      <c r="AL62" s="4796">
        <v>0</v>
      </c>
      <c r="AM62" s="4797">
        <v>0</v>
      </c>
      <c r="AN62" s="4798">
        <v>0</v>
      </c>
      <c r="AO62" s="4799">
        <v>0</v>
      </c>
      <c r="AP62" s="4800">
        <v>0</v>
      </c>
      <c r="AQ62" s="4801">
        <v>0</v>
      </c>
      <c r="AR62" s="4802">
        <v>0</v>
      </c>
      <c r="AS62" s="4803">
        <v>0</v>
      </c>
      <c r="AT62" s="4804">
        <v>0</v>
      </c>
      <c r="AU62" s="4805">
        <v>6</v>
      </c>
      <c r="AV62" s="4806">
        <v>1</v>
      </c>
      <c r="AW62" s="4807">
        <v>0</v>
      </c>
      <c r="AX62" s="4808">
        <v>0</v>
      </c>
      <c r="AY62" s="4809">
        <v>18</v>
      </c>
      <c r="AZ62" s="4810">
        <v>18</v>
      </c>
      <c r="BA62" s="4811">
        <v>6</v>
      </c>
      <c r="BB62" s="4812">
        <v>0</v>
      </c>
      <c r="BC62" s="4813">
        <v>0</v>
      </c>
      <c r="BD62" s="4814">
        <v>0</v>
      </c>
      <c r="BE62" s="4815">
        <v>0</v>
      </c>
      <c r="BF62" s="4816">
        <v>0</v>
      </c>
      <c r="BG62" s="4817">
        <v>0</v>
      </c>
      <c r="BH62" s="4818">
        <v>0</v>
      </c>
      <c r="BI62" s="4819">
        <v>0</v>
      </c>
      <c r="BJ62" s="4820">
        <v>0</v>
      </c>
      <c r="BK62" s="4821">
        <v>0</v>
      </c>
      <c r="BL62" s="4822">
        <v>0</v>
      </c>
      <c r="BM62" s="4823">
        <v>0</v>
      </c>
      <c r="BN62" s="4824">
        <v>0</v>
      </c>
      <c r="BO62" s="4825">
        <v>0</v>
      </c>
      <c r="BP62" s="4826">
        <v>2.4000000000000004</v>
      </c>
      <c r="BQ62" s="4827">
        <v>0</v>
      </c>
      <c r="BR62" s="4828">
        <v>0</v>
      </c>
      <c r="BS62" s="4829">
        <v>0</v>
      </c>
      <c r="BT62" s="4830">
        <v>0</v>
      </c>
      <c r="BU62" s="4831">
        <v>0</v>
      </c>
      <c r="BV62" s="4832">
        <v>0</v>
      </c>
      <c r="BW62" s="4833">
        <v>0</v>
      </c>
      <c r="BX62" s="4834">
        <v>0</v>
      </c>
      <c r="BY62" s="4835">
        <v>0</v>
      </c>
      <c r="BZ62" s="4836">
        <v>0</v>
      </c>
    </row>
    <row r="63" spans="1:78" hidden="1" x14ac:dyDescent="0.3">
      <c r="A63" s="4837" t="s">
        <v>159</v>
      </c>
      <c r="B63" s="4838" t="s">
        <v>132</v>
      </c>
      <c r="C63" s="4839">
        <v>5.1999998092651367</v>
      </c>
      <c r="D63" s="4840">
        <v>411</v>
      </c>
      <c r="E63" s="4841">
        <v>17</v>
      </c>
      <c r="F63" s="4842">
        <v>43</v>
      </c>
      <c r="G63" s="4843">
        <v>3</v>
      </c>
      <c r="H63" s="4844">
        <v>6</v>
      </c>
      <c r="I63" s="4845">
        <v>159</v>
      </c>
      <c r="J63" s="4846">
        <v>69</v>
      </c>
      <c r="K63" s="4847">
        <v>0</v>
      </c>
      <c r="L63" s="4848">
        <v>0</v>
      </c>
      <c r="M63" s="4849">
        <v>28</v>
      </c>
      <c r="N63" s="4850">
        <v>10</v>
      </c>
      <c r="O63" s="4851">
        <v>9</v>
      </c>
      <c r="P63" s="4852">
        <v>0.9</v>
      </c>
      <c r="Q63" s="4853">
        <v>0</v>
      </c>
      <c r="R63" s="4854">
        <v>0</v>
      </c>
      <c r="S63" s="4855">
        <v>2</v>
      </c>
      <c r="T63" s="4856">
        <v>0.2</v>
      </c>
      <c r="U63" s="4857">
        <v>4</v>
      </c>
      <c r="V63" s="4858">
        <v>0.4</v>
      </c>
      <c r="W63" s="4859">
        <v>0.3</v>
      </c>
      <c r="X63" s="4860">
        <v>1</v>
      </c>
      <c r="Y63" s="4861">
        <v>2</v>
      </c>
      <c r="Z63" s="4862">
        <v>5</v>
      </c>
      <c r="AA63" s="4863">
        <v>0.2</v>
      </c>
      <c r="AB63" s="4864">
        <v>38.1</v>
      </c>
      <c r="AC63" s="4865">
        <v>28</v>
      </c>
      <c r="AD63" s="4866">
        <v>1</v>
      </c>
      <c r="AE63" s="4867">
        <v>3</v>
      </c>
      <c r="AF63" s="4868">
        <v>0</v>
      </c>
      <c r="AG63" s="4869">
        <v>1</v>
      </c>
      <c r="AH63" s="4870">
        <v>3</v>
      </c>
      <c r="AI63" s="4871">
        <v>1</v>
      </c>
      <c r="AJ63" s="4872">
        <v>0</v>
      </c>
      <c r="AK63" s="4873">
        <v>0</v>
      </c>
      <c r="AL63" s="4874">
        <v>3</v>
      </c>
      <c r="AM63" s="4875">
        <v>0</v>
      </c>
      <c r="AN63" s="4876">
        <v>0</v>
      </c>
      <c r="AO63" s="4877">
        <v>3</v>
      </c>
      <c r="AP63" s="4878">
        <v>1</v>
      </c>
      <c r="AQ63" s="4879">
        <v>2</v>
      </c>
      <c r="AR63" s="4880">
        <v>0.66666666666666663</v>
      </c>
      <c r="AS63" s="4881">
        <v>1.57</v>
      </c>
      <c r="AT63" s="4882">
        <v>0.16</v>
      </c>
      <c r="AU63" s="4883">
        <v>9.4160583941605829</v>
      </c>
      <c r="AV63" s="4884">
        <v>2.5294117647058822</v>
      </c>
      <c r="AW63" s="4885">
        <v>0.65693430656934304</v>
      </c>
      <c r="AX63" s="4886">
        <v>1.3138686131386861</v>
      </c>
      <c r="AY63" s="4887">
        <v>34.817518248175183</v>
      </c>
      <c r="AZ63" s="4888">
        <v>15.10948905109489</v>
      </c>
      <c r="BA63" s="4889">
        <v>6.1313868613138682</v>
      </c>
      <c r="BB63" s="4890">
        <v>2.1897810218978102</v>
      </c>
      <c r="BC63" s="4891">
        <v>1.9708029197080292</v>
      </c>
      <c r="BD63" s="4892">
        <v>0</v>
      </c>
      <c r="BE63" s="4893">
        <v>0.43795620437956206</v>
      </c>
      <c r="BF63" s="4894">
        <v>0.87591240875912413</v>
      </c>
      <c r="BG63" s="4895">
        <v>0.21897810218978103</v>
      </c>
      <c r="BH63" s="4896">
        <v>0.43795620437956206</v>
      </c>
      <c r="BI63" s="4897">
        <v>0.21897810218978103</v>
      </c>
      <c r="BJ63" s="4898">
        <v>1.0948905109489051</v>
      </c>
      <c r="BK63" s="4899">
        <v>0.65693430656934304</v>
      </c>
      <c r="BL63" s="4900">
        <v>0</v>
      </c>
      <c r="BM63" s="4901">
        <v>0.65693430656934304</v>
      </c>
      <c r="BN63" s="4902">
        <v>0.65693430656934304</v>
      </c>
      <c r="BO63" s="4903">
        <v>0.43795620437956206</v>
      </c>
      <c r="BP63" s="4904">
        <v>8.3430656934306562</v>
      </c>
      <c r="BQ63" s="4905">
        <v>0.32868613138686131</v>
      </c>
      <c r="BR63" s="4906">
        <v>0.11277372262773722</v>
      </c>
      <c r="BS63" s="4907">
        <v>1.6530656934306569</v>
      </c>
      <c r="BT63" s="4908">
        <v>1.6530656934306569</v>
      </c>
      <c r="BU63" s="4909">
        <v>0.3437956204379562</v>
      </c>
      <c r="BV63" s="4910">
        <v>3.5036496350364967E-2</v>
      </c>
      <c r="BW63" s="4911">
        <v>1.4802919708029196</v>
      </c>
      <c r="BX63" s="4912">
        <v>0.42908331751823425</v>
      </c>
      <c r="BY63" s="4913">
        <v>0.15699252486228943</v>
      </c>
      <c r="BZ63" s="4914">
        <v>2.1873108446598053</v>
      </c>
    </row>
    <row r="64" spans="1:78" hidden="1" x14ac:dyDescent="0.3">
      <c r="A64" s="4915" t="s">
        <v>160</v>
      </c>
      <c r="B64" s="4916" t="s">
        <v>147</v>
      </c>
      <c r="C64" s="4917">
        <v>6.5999999046325684</v>
      </c>
      <c r="D64" s="4918">
        <v>119</v>
      </c>
      <c r="E64" s="4919">
        <v>12</v>
      </c>
      <c r="F64" s="4920">
        <v>23</v>
      </c>
      <c r="G64" s="4921">
        <v>1</v>
      </c>
      <c r="H64" s="4922">
        <v>1</v>
      </c>
      <c r="I64" s="4923">
        <v>57</v>
      </c>
      <c r="J64" s="4924">
        <v>15</v>
      </c>
      <c r="K64" s="4925">
        <v>0</v>
      </c>
      <c r="L64" s="4926">
        <v>0</v>
      </c>
      <c r="M64" s="4927">
        <v>22</v>
      </c>
      <c r="N64" s="4928">
        <v>12</v>
      </c>
      <c r="O64" s="4929">
        <v>11</v>
      </c>
      <c r="P64" s="4930">
        <v>0.91666666666666663</v>
      </c>
      <c r="Q64" s="4931">
        <v>1</v>
      </c>
      <c r="R64" s="4932">
        <v>8.3333333333333329E-2</v>
      </c>
      <c r="S64" s="4933">
        <v>2</v>
      </c>
      <c r="T64" s="4934">
        <v>0.16666666666666666</v>
      </c>
      <c r="U64" s="4935">
        <v>2</v>
      </c>
      <c r="V64" s="4936">
        <v>0.16666666666666666</v>
      </c>
      <c r="W64" s="4937">
        <v>8.3333333333333329E-2</v>
      </c>
      <c r="X64" s="4938">
        <v>1</v>
      </c>
      <c r="Y64" s="4939">
        <v>2</v>
      </c>
      <c r="Z64" s="4940">
        <v>3</v>
      </c>
      <c r="AA64" s="4941">
        <v>0.33333333333333331</v>
      </c>
      <c r="AB64" s="4942">
        <v>25.2</v>
      </c>
      <c r="AC64" s="4943">
        <v>100</v>
      </c>
      <c r="AD64" s="4944">
        <v>0</v>
      </c>
      <c r="AE64" s="4945">
        <v>4</v>
      </c>
      <c r="AF64" s="4946">
        <v>3</v>
      </c>
      <c r="AG64" s="4947">
        <v>0.25</v>
      </c>
      <c r="AH64" s="4948">
        <v>1</v>
      </c>
      <c r="AI64" s="4949">
        <v>1</v>
      </c>
      <c r="AJ64" s="4950">
        <v>0</v>
      </c>
      <c r="AK64" s="4951">
        <v>0</v>
      </c>
      <c r="AL64" s="4952">
        <v>4</v>
      </c>
      <c r="AM64" s="4953">
        <v>3</v>
      </c>
      <c r="AN64" s="4954">
        <v>0.75</v>
      </c>
      <c r="AO64" s="4955">
        <v>1</v>
      </c>
      <c r="AP64" s="4956">
        <v>1</v>
      </c>
      <c r="AQ64" s="4957">
        <v>1</v>
      </c>
      <c r="AR64" s="4958">
        <v>1</v>
      </c>
      <c r="AS64" s="4959">
        <v>1.76</v>
      </c>
      <c r="AT64" s="4960">
        <v>0.13</v>
      </c>
      <c r="AU64" s="4961">
        <v>17.394957983193279</v>
      </c>
      <c r="AV64" s="4962">
        <v>1.9166666666666667</v>
      </c>
      <c r="AW64" s="4963">
        <v>0.75630252100840334</v>
      </c>
      <c r="AX64" s="4964">
        <v>0.75630252100840334</v>
      </c>
      <c r="AY64" s="4965">
        <v>43.109243697478995</v>
      </c>
      <c r="AZ64" s="4966">
        <v>11.344537815126049</v>
      </c>
      <c r="BA64" s="4967">
        <v>16.638655462184875</v>
      </c>
      <c r="BB64" s="4968">
        <v>9.0756302521008401</v>
      </c>
      <c r="BC64" s="4969">
        <v>8.3193277310924376</v>
      </c>
      <c r="BD64" s="4970">
        <v>0.75630252100840334</v>
      </c>
      <c r="BE64" s="4971">
        <v>1.5126050420168067</v>
      </c>
      <c r="BF64" s="4972">
        <v>1.5126050420168067</v>
      </c>
      <c r="BG64" s="4973">
        <v>0.75630252100840334</v>
      </c>
      <c r="BH64" s="4974">
        <v>1.5126050420168067</v>
      </c>
      <c r="BI64" s="4975">
        <v>0</v>
      </c>
      <c r="BJ64" s="4976">
        <v>2.26890756302521</v>
      </c>
      <c r="BK64" s="4977">
        <v>3.0252100840336134</v>
      </c>
      <c r="BL64" s="4978">
        <v>2.26890756302521</v>
      </c>
      <c r="BM64" s="4979">
        <v>0.75630252100840334</v>
      </c>
      <c r="BN64" s="4980">
        <v>0.75630252100840334</v>
      </c>
      <c r="BO64" s="4981">
        <v>0.75630252100840334</v>
      </c>
      <c r="BP64" s="4982">
        <v>19.058823529411764</v>
      </c>
      <c r="BQ64" s="4983">
        <v>1.3802521008403361</v>
      </c>
      <c r="BR64" s="4984">
        <v>0.23369747899159662</v>
      </c>
      <c r="BS64" s="4985">
        <v>6.2221008403361342</v>
      </c>
      <c r="BT64" s="4986">
        <v>6.2221008403361342</v>
      </c>
      <c r="BU64" s="4987">
        <v>1.3310924369747898</v>
      </c>
      <c r="BV64" s="4988">
        <v>9.8319327731092435E-2</v>
      </c>
      <c r="BW64" s="4989">
        <v>5.6193277310924366</v>
      </c>
      <c r="BX64" s="4990">
        <v>2.2389824390411377</v>
      </c>
      <c r="BY64" s="4991">
        <v>0.19810137152671814</v>
      </c>
      <c r="BZ64" s="4992">
        <v>9.5502338707447052</v>
      </c>
    </row>
    <row r="65" spans="1:78" hidden="1" x14ac:dyDescent="0.3">
      <c r="A65" s="4993" t="s">
        <v>161</v>
      </c>
      <c r="B65" s="4994" t="s">
        <v>107</v>
      </c>
      <c r="C65" s="4995">
        <v>4.4000000953674316</v>
      </c>
      <c r="D65" s="4996">
        <v>60</v>
      </c>
      <c r="E65" s="4997">
        <v>4</v>
      </c>
      <c r="F65" s="4998">
        <v>13</v>
      </c>
      <c r="G65" s="4999">
        <v>1</v>
      </c>
      <c r="H65" s="5000">
        <v>2</v>
      </c>
      <c r="I65" s="5001">
        <v>41</v>
      </c>
      <c r="J65" s="5002">
        <v>8</v>
      </c>
      <c r="K65" s="5003">
        <v>0</v>
      </c>
      <c r="L65" s="5004">
        <v>0</v>
      </c>
      <c r="M65" s="5005">
        <v>5</v>
      </c>
      <c r="N65" s="5006">
        <v>2</v>
      </c>
      <c r="O65" s="5007">
        <v>2</v>
      </c>
      <c r="P65" s="5008">
        <v>1</v>
      </c>
      <c r="Q65" s="5009">
        <v>1</v>
      </c>
      <c r="R65" s="5010">
        <v>0.5</v>
      </c>
      <c r="S65" s="5011">
        <v>0</v>
      </c>
      <c r="T65" s="5012">
        <v>0</v>
      </c>
      <c r="U65" s="5013">
        <v>2</v>
      </c>
      <c r="V65" s="5014">
        <v>1</v>
      </c>
      <c r="W65" s="5015">
        <v>0.5</v>
      </c>
      <c r="X65" s="5016">
        <v>1</v>
      </c>
      <c r="Y65" s="5017">
        <v>1</v>
      </c>
      <c r="Z65" s="5018">
        <v>2</v>
      </c>
      <c r="AA65" s="5019">
        <v>0.5</v>
      </c>
      <c r="AB65" s="5020">
        <v>13.4</v>
      </c>
      <c r="AC65" s="5021">
        <v>100</v>
      </c>
      <c r="AD65" s="5022">
        <v>1</v>
      </c>
      <c r="AE65" s="5023">
        <v>2</v>
      </c>
      <c r="AF65" s="5024">
        <v>1</v>
      </c>
      <c r="AG65" s="5025">
        <v>0.5</v>
      </c>
      <c r="AH65" s="5026">
        <v>1</v>
      </c>
      <c r="AI65" s="5027">
        <v>1</v>
      </c>
      <c r="AJ65" s="5028">
        <v>0</v>
      </c>
      <c r="AK65" s="5029">
        <v>0</v>
      </c>
      <c r="AL65" s="5030">
        <v>2</v>
      </c>
      <c r="AM65" s="5031">
        <v>1</v>
      </c>
      <c r="AN65" s="5032">
        <v>0.5</v>
      </c>
      <c r="AO65" s="5033">
        <v>1</v>
      </c>
      <c r="AP65" s="5034">
        <v>1</v>
      </c>
      <c r="AQ65" s="5035">
        <v>1</v>
      </c>
      <c r="AR65" s="5036">
        <v>1</v>
      </c>
      <c r="AS65" s="5037">
        <v>1.32</v>
      </c>
      <c r="AT65" s="5038">
        <v>0.01</v>
      </c>
      <c r="AU65" s="5039">
        <v>19.5</v>
      </c>
      <c r="AV65" s="5040">
        <v>3.25</v>
      </c>
      <c r="AW65" s="5041">
        <v>1.5</v>
      </c>
      <c r="AX65" s="5042">
        <v>3</v>
      </c>
      <c r="AY65" s="5043">
        <v>61.5</v>
      </c>
      <c r="AZ65" s="5044">
        <v>12</v>
      </c>
      <c r="BA65" s="5045">
        <v>7.5</v>
      </c>
      <c r="BB65" s="5046">
        <v>3</v>
      </c>
      <c r="BC65" s="5047">
        <v>3</v>
      </c>
      <c r="BD65" s="5048">
        <v>1.5</v>
      </c>
      <c r="BE65" s="5049">
        <v>0</v>
      </c>
      <c r="BF65" s="5050">
        <v>3</v>
      </c>
      <c r="BG65" s="5051">
        <v>1.5</v>
      </c>
      <c r="BH65" s="5052">
        <v>1.5</v>
      </c>
      <c r="BI65" s="5053">
        <v>1.5</v>
      </c>
      <c r="BJ65" s="5054">
        <v>3</v>
      </c>
      <c r="BK65" s="5055">
        <v>3</v>
      </c>
      <c r="BL65" s="5056">
        <v>1.5</v>
      </c>
      <c r="BM65" s="5057">
        <v>1.5</v>
      </c>
      <c r="BN65" s="5058">
        <v>1.5</v>
      </c>
      <c r="BO65" s="5059">
        <v>1.5</v>
      </c>
      <c r="BP65" s="5060">
        <v>20.099999999999998</v>
      </c>
      <c r="BQ65" s="5061">
        <v>0.48600000000000004</v>
      </c>
      <c r="BR65" s="5062">
        <v>0.309</v>
      </c>
      <c r="BS65" s="5063">
        <v>2.8710000000000004</v>
      </c>
      <c r="BT65" s="5064">
        <v>2.8710000000000004</v>
      </c>
      <c r="BU65" s="5065">
        <v>1.9800000000000002</v>
      </c>
      <c r="BV65" s="5066">
        <v>1.4999999999999999E-2</v>
      </c>
      <c r="BW65" s="5067">
        <v>7.9650000000000007</v>
      </c>
      <c r="BX65" s="5068">
        <v>1.5815856456756592</v>
      </c>
      <c r="BY65" s="5069">
        <v>0.57339572906494141</v>
      </c>
      <c r="BZ65" s="5070">
        <v>8.0465297698974609</v>
      </c>
    </row>
    <row r="66" spans="1:78" x14ac:dyDescent="0.3">
      <c r="A66" s="4681" t="s">
        <v>157</v>
      </c>
      <c r="B66" s="4682" t="s">
        <v>93</v>
      </c>
      <c r="C66" s="4683">
        <v>5.1999998092651367</v>
      </c>
      <c r="D66" s="4684">
        <v>1043</v>
      </c>
      <c r="E66" s="4685">
        <v>19</v>
      </c>
      <c r="F66" s="4686">
        <v>29</v>
      </c>
      <c r="G66" s="4687">
        <v>0</v>
      </c>
      <c r="H66" s="4688">
        <v>0</v>
      </c>
      <c r="I66" s="4689">
        <v>43</v>
      </c>
      <c r="J66" s="4690">
        <v>43</v>
      </c>
      <c r="K66" s="4691">
        <v>0</v>
      </c>
      <c r="L66" s="4692">
        <v>1</v>
      </c>
      <c r="M66" s="4693">
        <v>45</v>
      </c>
      <c r="N66" s="4694">
        <v>21</v>
      </c>
      <c r="O66" s="4695">
        <v>15</v>
      </c>
      <c r="P66" s="4696">
        <v>0.7142857142857143</v>
      </c>
      <c r="Q66" s="4697">
        <v>7</v>
      </c>
      <c r="R66" s="4698">
        <v>0.33333333333333331</v>
      </c>
      <c r="S66" s="4699">
        <v>6</v>
      </c>
      <c r="T66" s="4700">
        <v>0.2857142857142857</v>
      </c>
      <c r="U66" s="4701">
        <v>5</v>
      </c>
      <c r="V66" s="4702">
        <v>0.23809523809523808</v>
      </c>
      <c r="W66" s="4703">
        <v>0</v>
      </c>
      <c r="X66" s="4704">
        <v>0</v>
      </c>
      <c r="Y66" s="4705">
        <v>0</v>
      </c>
      <c r="Z66" s="4706">
        <v>10</v>
      </c>
      <c r="AA66" s="4707">
        <v>0</v>
      </c>
      <c r="AB66" s="4708">
        <v>56</v>
      </c>
      <c r="AC66" s="4709">
        <v>0</v>
      </c>
      <c r="AD66" s="4710">
        <v>1</v>
      </c>
      <c r="AE66" s="4711">
        <v>4</v>
      </c>
      <c r="AF66" s="4712">
        <v>4</v>
      </c>
      <c r="AG66" s="4713">
        <v>0</v>
      </c>
      <c r="AH66" s="4714">
        <v>0</v>
      </c>
      <c r="AI66" s="4715">
        <v>0</v>
      </c>
      <c r="AJ66" s="4716">
        <v>0</v>
      </c>
      <c r="AK66" s="4717">
        <v>0</v>
      </c>
      <c r="AL66" s="4718">
        <v>4</v>
      </c>
      <c r="AM66" s="4719">
        <v>4</v>
      </c>
      <c r="AN66" s="4720">
        <v>1</v>
      </c>
      <c r="AO66" s="4721">
        <v>0</v>
      </c>
      <c r="AP66" s="4722">
        <v>0</v>
      </c>
      <c r="AQ66" s="4723">
        <v>0</v>
      </c>
      <c r="AR66" s="4724">
        <v>0</v>
      </c>
      <c r="AS66" s="4725">
        <v>2.5299999999999998</v>
      </c>
      <c r="AT66" s="4726">
        <v>0.66</v>
      </c>
      <c r="AU66" s="4727">
        <v>2.5023969319271333</v>
      </c>
      <c r="AV66" s="4728">
        <v>1.5263157894736843</v>
      </c>
      <c r="AW66" s="4729">
        <v>0</v>
      </c>
      <c r="AX66" s="4730">
        <v>0</v>
      </c>
      <c r="AY66" s="4731">
        <v>3.7104506232023007</v>
      </c>
      <c r="AZ66" s="4732">
        <v>3.7104506232023007</v>
      </c>
      <c r="BA66" s="4733">
        <v>3.8830297219558965</v>
      </c>
      <c r="BB66" s="4734">
        <v>1.8120805369127515</v>
      </c>
      <c r="BC66" s="4735">
        <v>1.2943432406519655</v>
      </c>
      <c r="BD66" s="4736">
        <v>0.60402684563758391</v>
      </c>
      <c r="BE66" s="4737">
        <v>0.51773729626078624</v>
      </c>
      <c r="BF66" s="4738">
        <v>0.43144774688398851</v>
      </c>
      <c r="BG66" s="4739">
        <v>0</v>
      </c>
      <c r="BH66" s="4740">
        <v>0</v>
      </c>
      <c r="BI66" s="4741">
        <v>8.6289549376797697E-2</v>
      </c>
      <c r="BJ66" s="4742">
        <v>0.86289549376797703</v>
      </c>
      <c r="BK66" s="4743">
        <v>0.34515819750719079</v>
      </c>
      <c r="BL66" s="4744">
        <v>0.34515819750719079</v>
      </c>
      <c r="BM66" s="4745">
        <v>0</v>
      </c>
      <c r="BN66" s="4746">
        <v>0</v>
      </c>
      <c r="BO66" s="4747">
        <v>0</v>
      </c>
      <c r="BP66" s="4748">
        <v>4.8322147651006713</v>
      </c>
      <c r="BQ66" s="4749">
        <v>0.23194630872483224</v>
      </c>
      <c r="BR66" s="4750">
        <v>8.8878235858101631E-2</v>
      </c>
      <c r="BS66" s="4751">
        <v>1.1944199424736339</v>
      </c>
      <c r="BT66" s="4752">
        <v>1.1944199424736339</v>
      </c>
      <c r="BU66" s="4753">
        <v>0.21831255992329815</v>
      </c>
      <c r="BV66" s="4754">
        <v>5.6951102588686485E-2</v>
      </c>
      <c r="BW66" s="4755">
        <v>1.0441035474592519</v>
      </c>
      <c r="BX66" s="4756">
        <v>0.22711805999279022</v>
      </c>
      <c r="BY66" s="4757">
        <v>6.8696260452270508E-2</v>
      </c>
      <c r="BZ66" s="4758">
        <v>1.1145610213279724</v>
      </c>
    </row>
    <row r="67" spans="1:78" hidden="1" x14ac:dyDescent="0.3">
      <c r="A67" s="5149" t="s">
        <v>163</v>
      </c>
      <c r="B67" s="5150" t="s">
        <v>84</v>
      </c>
      <c r="C67" s="5151">
        <v>5.5999999046325684</v>
      </c>
      <c r="D67" s="5152">
        <v>290</v>
      </c>
      <c r="E67" s="5153">
        <v>12</v>
      </c>
      <c r="F67" s="5154">
        <v>16</v>
      </c>
      <c r="G67" s="5155">
        <v>1</v>
      </c>
      <c r="H67" s="5156">
        <v>3</v>
      </c>
      <c r="I67" s="5157">
        <v>49</v>
      </c>
      <c r="J67" s="5158">
        <v>25</v>
      </c>
      <c r="K67" s="5159">
        <v>0</v>
      </c>
      <c r="L67" s="5160">
        <v>0</v>
      </c>
      <c r="M67" s="5161">
        <v>17</v>
      </c>
      <c r="N67" s="5162">
        <v>4</v>
      </c>
      <c r="O67" s="5163">
        <v>4</v>
      </c>
      <c r="P67" s="5164">
        <v>1</v>
      </c>
      <c r="Q67" s="5165">
        <v>1</v>
      </c>
      <c r="R67" s="5166">
        <v>0.25</v>
      </c>
      <c r="S67" s="5167">
        <v>1</v>
      </c>
      <c r="T67" s="5168">
        <v>0.25</v>
      </c>
      <c r="U67" s="5169">
        <v>2</v>
      </c>
      <c r="V67" s="5170">
        <v>0.5</v>
      </c>
      <c r="W67" s="5171">
        <v>0.25</v>
      </c>
      <c r="X67" s="5172">
        <v>0</v>
      </c>
      <c r="Y67" s="5173">
        <v>0</v>
      </c>
      <c r="Z67" s="5174">
        <v>8</v>
      </c>
      <c r="AA67" s="5175">
        <v>0</v>
      </c>
      <c r="AB67" s="5176">
        <v>23</v>
      </c>
      <c r="AC67" s="5177">
        <v>25</v>
      </c>
      <c r="AD67" s="5178">
        <v>2</v>
      </c>
      <c r="AE67" s="5179">
        <v>3</v>
      </c>
      <c r="AF67" s="5180">
        <v>2</v>
      </c>
      <c r="AG67" s="5181">
        <v>0.33333333333333331</v>
      </c>
      <c r="AH67" s="5182">
        <v>1</v>
      </c>
      <c r="AI67" s="5183">
        <v>1</v>
      </c>
      <c r="AJ67" s="5184">
        <v>0</v>
      </c>
      <c r="AK67" s="5185">
        <v>0</v>
      </c>
      <c r="AL67" s="5186">
        <v>3</v>
      </c>
      <c r="AM67" s="5187">
        <v>2</v>
      </c>
      <c r="AN67" s="5188">
        <v>0.66666666666666663</v>
      </c>
      <c r="AO67" s="5189">
        <v>1</v>
      </c>
      <c r="AP67" s="5190">
        <v>1</v>
      </c>
      <c r="AQ67" s="5191">
        <v>0</v>
      </c>
      <c r="AR67" s="5192">
        <v>0</v>
      </c>
      <c r="AS67" s="5193">
        <v>1.51</v>
      </c>
      <c r="AT67" s="5194">
        <v>0.56000000000000005</v>
      </c>
      <c r="AU67" s="5195">
        <v>4.9655172413793105</v>
      </c>
      <c r="AV67" s="5196">
        <v>1.3333333333333333</v>
      </c>
      <c r="AW67" s="5197">
        <v>0.31034482758620691</v>
      </c>
      <c r="AX67" s="5198">
        <v>0.93103448275862066</v>
      </c>
      <c r="AY67" s="5199">
        <v>15.206896551724139</v>
      </c>
      <c r="AZ67" s="5200">
        <v>7.7586206896551726</v>
      </c>
      <c r="BA67" s="5201">
        <v>5.2758620689655169</v>
      </c>
      <c r="BB67" s="5202">
        <v>1.2413793103448276</v>
      </c>
      <c r="BC67" s="5203">
        <v>1.2413793103448276</v>
      </c>
      <c r="BD67" s="5204">
        <v>0.31034482758620691</v>
      </c>
      <c r="BE67" s="5205">
        <v>0.31034482758620691</v>
      </c>
      <c r="BF67" s="5206">
        <v>0.62068965517241381</v>
      </c>
      <c r="BG67" s="5207">
        <v>0</v>
      </c>
      <c r="BH67" s="5208">
        <v>0</v>
      </c>
      <c r="BI67" s="5209">
        <v>0.62068965517241381</v>
      </c>
      <c r="BJ67" s="5210">
        <v>2.4827586206896552</v>
      </c>
      <c r="BK67" s="5211">
        <v>0.93103448275862066</v>
      </c>
      <c r="BL67" s="5212">
        <v>0.62068965517241381</v>
      </c>
      <c r="BM67" s="5213">
        <v>0.31034482758620691</v>
      </c>
      <c r="BN67" s="5214">
        <v>0.31034482758620691</v>
      </c>
      <c r="BO67" s="5215">
        <v>0</v>
      </c>
      <c r="BP67" s="5216">
        <v>7.1379310344827589</v>
      </c>
      <c r="BQ67" s="5217">
        <v>0.20110344827586207</v>
      </c>
      <c r="BR67" s="5218">
        <v>0.25572413793103449</v>
      </c>
      <c r="BS67" s="5219">
        <v>1.5715862068965518</v>
      </c>
      <c r="BT67" s="5220">
        <v>1.5715862068965518</v>
      </c>
      <c r="BU67" s="5221">
        <v>0.4686206896551724</v>
      </c>
      <c r="BV67" s="5222">
        <v>0.17379310344827589</v>
      </c>
      <c r="BW67" s="5223">
        <v>2.395862068965517</v>
      </c>
      <c r="BX67" s="5224">
        <v>0.48368856310844421</v>
      </c>
      <c r="BY67" s="5225">
        <v>0.48223239183425903</v>
      </c>
      <c r="BZ67" s="5226">
        <v>3.381451427936554</v>
      </c>
    </row>
    <row r="68" spans="1:78" x14ac:dyDescent="0.3">
      <c r="A68" s="4291" t="s">
        <v>152</v>
      </c>
      <c r="B68" s="4292" t="s">
        <v>102</v>
      </c>
      <c r="C68" s="4293">
        <v>5.4000000953674316</v>
      </c>
      <c r="D68" s="4294">
        <v>508</v>
      </c>
      <c r="E68" s="4295">
        <v>13</v>
      </c>
      <c r="F68" s="4296">
        <v>25</v>
      </c>
      <c r="G68" s="4297">
        <v>0</v>
      </c>
      <c r="H68" s="4298">
        <v>0</v>
      </c>
      <c r="I68" s="4299">
        <v>75</v>
      </c>
      <c r="J68" s="4300">
        <v>48</v>
      </c>
      <c r="K68" s="4301">
        <v>0</v>
      </c>
      <c r="L68" s="4302">
        <v>2</v>
      </c>
      <c r="M68" s="4303">
        <v>27</v>
      </c>
      <c r="N68" s="4304">
        <v>11</v>
      </c>
      <c r="O68" s="4305">
        <v>10</v>
      </c>
      <c r="P68" s="4306">
        <v>0.90909090909090906</v>
      </c>
      <c r="Q68" s="4307">
        <v>0</v>
      </c>
      <c r="R68" s="4308">
        <v>0</v>
      </c>
      <c r="S68" s="4309">
        <v>6</v>
      </c>
      <c r="T68" s="4310">
        <v>0.54545454545454541</v>
      </c>
      <c r="U68" s="4311">
        <v>2</v>
      </c>
      <c r="V68" s="4312">
        <v>0.18181818181818182</v>
      </c>
      <c r="W68" s="4313">
        <v>0</v>
      </c>
      <c r="X68" s="4314">
        <v>3</v>
      </c>
      <c r="Y68" s="4315">
        <v>3</v>
      </c>
      <c r="Z68" s="4316">
        <v>9</v>
      </c>
      <c r="AA68" s="4317">
        <v>0.33333333333333331</v>
      </c>
      <c r="AB68" s="4318">
        <v>40</v>
      </c>
      <c r="AC68" s="4319">
        <v>43</v>
      </c>
      <c r="AD68" s="4320">
        <v>1</v>
      </c>
      <c r="AE68" s="4321">
        <v>1</v>
      </c>
      <c r="AF68" s="4322">
        <v>1</v>
      </c>
      <c r="AG68" s="4323">
        <v>0</v>
      </c>
      <c r="AH68" s="4324">
        <v>0</v>
      </c>
      <c r="AI68" s="4325">
        <v>0</v>
      </c>
      <c r="AJ68" s="4326">
        <v>0</v>
      </c>
      <c r="AK68" s="4327">
        <v>0</v>
      </c>
      <c r="AL68" s="4328">
        <v>1</v>
      </c>
      <c r="AM68" s="4329">
        <v>1</v>
      </c>
      <c r="AN68" s="4330">
        <v>1</v>
      </c>
      <c r="AO68" s="4331">
        <v>0</v>
      </c>
      <c r="AP68" s="4332">
        <v>0</v>
      </c>
      <c r="AQ68" s="4333">
        <v>0</v>
      </c>
      <c r="AR68" s="4334">
        <v>0</v>
      </c>
      <c r="AS68" s="4335">
        <v>0.7</v>
      </c>
      <c r="AT68" s="4336">
        <v>0.4</v>
      </c>
      <c r="AU68" s="4337">
        <v>4.4291338582677167</v>
      </c>
      <c r="AV68" s="4338">
        <v>1.9230769230769231</v>
      </c>
      <c r="AW68" s="4339">
        <v>0</v>
      </c>
      <c r="AX68" s="4340">
        <v>0</v>
      </c>
      <c r="AY68" s="4341">
        <v>13.287401574803148</v>
      </c>
      <c r="AZ68" s="4342">
        <v>8.5039370078740149</v>
      </c>
      <c r="BA68" s="4343">
        <v>4.7834645669291342</v>
      </c>
      <c r="BB68" s="4344">
        <v>1.9488188976377951</v>
      </c>
      <c r="BC68" s="4345">
        <v>1.7716535433070866</v>
      </c>
      <c r="BD68" s="4346">
        <v>0</v>
      </c>
      <c r="BE68" s="4347">
        <v>1.0629921259842519</v>
      </c>
      <c r="BF68" s="4348">
        <v>0.3543307086614173</v>
      </c>
      <c r="BG68" s="4349">
        <v>0.53149606299212593</v>
      </c>
      <c r="BH68" s="4350">
        <v>0.53149606299212593</v>
      </c>
      <c r="BI68" s="4351">
        <v>0.17716535433070865</v>
      </c>
      <c r="BJ68" s="4352">
        <v>1.594488188976378</v>
      </c>
      <c r="BK68" s="4353">
        <v>0.17716535433070865</v>
      </c>
      <c r="BL68" s="4354">
        <v>0.17716535433070865</v>
      </c>
      <c r="BM68" s="4355">
        <v>0</v>
      </c>
      <c r="BN68" s="4356">
        <v>0</v>
      </c>
      <c r="BO68" s="4357">
        <v>0</v>
      </c>
      <c r="BP68" s="4358">
        <v>7.0866141732283463</v>
      </c>
      <c r="BQ68" s="4359">
        <v>0.29462598425196851</v>
      </c>
      <c r="BR68" s="4360">
        <v>0.16423228346456692</v>
      </c>
      <c r="BS68" s="4361">
        <v>1.6712007874015748</v>
      </c>
      <c r="BT68" s="4362">
        <v>1.6712007874015748</v>
      </c>
      <c r="BU68" s="4363">
        <v>0.12401574803149606</v>
      </c>
      <c r="BV68" s="4364">
        <v>7.0866141732283477E-2</v>
      </c>
      <c r="BW68" s="4365">
        <v>0.70866141732283472</v>
      </c>
      <c r="BX68" s="4366">
        <v>0.1353386789560318</v>
      </c>
      <c r="BY68" s="4367">
        <v>0.14185634255409241</v>
      </c>
      <c r="BZ68" s="4368">
        <v>0.96692374348640442</v>
      </c>
    </row>
  </sheetData>
  <autoFilter ref="A1:BZ68" xr:uid="{00000000-0009-0000-0000-000000000000}">
    <filterColumn colId="2">
      <customFilters>
        <customFilter operator="lessThan" val="6"/>
      </customFilters>
    </filterColumn>
    <filterColumn colId="3">
      <customFilters>
        <customFilter operator="greaterThanOrEqual" val="500"/>
      </customFilters>
    </filterColumn>
  </autoFilter>
  <sortState ref="A4:BZ68">
    <sortCondition descending="1" ref="BZ2:BZ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Z165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AZ110" sqref="AZ110"/>
    </sheetView>
  </sheetViews>
  <sheetFormatPr defaultRowHeight="14.4" outlineLevelCol="1" x14ac:dyDescent="0.3"/>
  <cols>
    <col min="1" max="1" width="13.88671875" customWidth="1"/>
    <col min="4" max="46" width="0" hidden="1" customWidth="1" outlineLevel="1" collapsed="1"/>
    <col min="47" max="47" width="8.88671875" collapsed="1"/>
  </cols>
  <sheetData>
    <row r="1" spans="1:78" x14ac:dyDescent="0.3">
      <c r="A1" s="5305" t="s">
        <v>0</v>
      </c>
      <c r="B1" s="5306" t="s">
        <v>1</v>
      </c>
      <c r="C1" s="5307" t="s">
        <v>2</v>
      </c>
      <c r="D1" s="5308" t="s">
        <v>3</v>
      </c>
      <c r="E1" s="5309" t="s">
        <v>4</v>
      </c>
      <c r="F1" s="5310" t="s">
        <v>5</v>
      </c>
      <c r="G1" s="5311" t="s">
        <v>6</v>
      </c>
      <c r="H1" s="5312" t="s">
        <v>7</v>
      </c>
      <c r="I1" s="5313" t="s">
        <v>8</v>
      </c>
      <c r="J1" s="5314" t="s">
        <v>9</v>
      </c>
      <c r="K1" s="5315" t="s">
        <v>10</v>
      </c>
      <c r="L1" s="5316" t="s">
        <v>11</v>
      </c>
      <c r="M1" s="5317" t="s">
        <v>12</v>
      </c>
      <c r="N1" s="5318" t="s">
        <v>13</v>
      </c>
      <c r="O1" s="5319" t="s">
        <v>14</v>
      </c>
      <c r="P1" s="5320" t="s">
        <v>15</v>
      </c>
      <c r="Q1" s="5321" t="s">
        <v>16</v>
      </c>
      <c r="R1" s="5322" t="s">
        <v>17</v>
      </c>
      <c r="S1" s="5323" t="s">
        <v>18</v>
      </c>
      <c r="T1" s="5324" t="s">
        <v>19</v>
      </c>
      <c r="U1" s="5325" t="s">
        <v>20</v>
      </c>
      <c r="V1" s="5326" t="s">
        <v>21</v>
      </c>
      <c r="W1" s="5327" t="s">
        <v>22</v>
      </c>
      <c r="X1" s="5328" t="s">
        <v>23</v>
      </c>
      <c r="Y1" s="5329" t="s">
        <v>24</v>
      </c>
      <c r="Z1" s="5330" t="s">
        <v>25</v>
      </c>
      <c r="AA1" s="5331" t="s">
        <v>26</v>
      </c>
      <c r="AB1" s="5332" t="s">
        <v>27</v>
      </c>
      <c r="AC1" s="5333" t="s">
        <v>28</v>
      </c>
      <c r="AD1" s="5334" t="s">
        <v>29</v>
      </c>
      <c r="AE1" s="5335" t="s">
        <v>30</v>
      </c>
      <c r="AF1" s="5336" t="s">
        <v>31</v>
      </c>
      <c r="AG1" s="5337" t="s">
        <v>32</v>
      </c>
      <c r="AH1" s="5338" t="s">
        <v>33</v>
      </c>
      <c r="AI1" s="5339" t="s">
        <v>34</v>
      </c>
      <c r="AJ1" s="5340" t="s">
        <v>35</v>
      </c>
      <c r="AK1" s="5341" t="s">
        <v>36</v>
      </c>
      <c r="AL1" s="5342" t="s">
        <v>37</v>
      </c>
      <c r="AM1" s="5343" t="s">
        <v>38</v>
      </c>
      <c r="AN1" s="5344" t="s">
        <v>39</v>
      </c>
      <c r="AO1" s="5345" t="s">
        <v>40</v>
      </c>
      <c r="AP1" s="5346" t="s">
        <v>41</v>
      </c>
      <c r="AQ1" s="5347" t="s">
        <v>42</v>
      </c>
      <c r="AR1" s="5348" t="s">
        <v>43</v>
      </c>
      <c r="AS1" s="5349" t="s">
        <v>44</v>
      </c>
      <c r="AT1" s="5350" t="s">
        <v>45</v>
      </c>
      <c r="AU1" s="5351" t="s">
        <v>46</v>
      </c>
      <c r="AV1" s="5352" t="s">
        <v>47</v>
      </c>
      <c r="AW1" s="5353" t="s">
        <v>48</v>
      </c>
      <c r="AX1" s="5354" t="s">
        <v>49</v>
      </c>
      <c r="AY1" s="5355" t="s">
        <v>50</v>
      </c>
      <c r="AZ1" s="5356" t="s">
        <v>51</v>
      </c>
      <c r="BA1" s="5357" t="s">
        <v>52</v>
      </c>
      <c r="BB1" s="5358" t="s">
        <v>53</v>
      </c>
      <c r="BC1" s="5359" t="s">
        <v>54</v>
      </c>
      <c r="BD1" s="5360" t="s">
        <v>55</v>
      </c>
      <c r="BE1" s="5361" t="s">
        <v>56</v>
      </c>
      <c r="BF1" s="5362" t="s">
        <v>57</v>
      </c>
      <c r="BG1" s="5363" t="s">
        <v>58</v>
      </c>
      <c r="BH1" s="5364" t="s">
        <v>59</v>
      </c>
      <c r="BI1" s="5365" t="s">
        <v>60</v>
      </c>
      <c r="BJ1" s="5366" t="s">
        <v>61</v>
      </c>
      <c r="BK1" s="5367" t="s">
        <v>62</v>
      </c>
      <c r="BL1" s="5368" t="s">
        <v>63</v>
      </c>
      <c r="BM1" s="5369" t="s">
        <v>64</v>
      </c>
      <c r="BN1" s="5370" t="s">
        <v>65</v>
      </c>
      <c r="BO1" s="5371" t="s">
        <v>66</v>
      </c>
      <c r="BP1" s="5372" t="s">
        <v>67</v>
      </c>
      <c r="BQ1" s="5373" t="s">
        <v>68</v>
      </c>
      <c r="BR1" s="5374" t="s">
        <v>69</v>
      </c>
      <c r="BS1" s="5375" t="s">
        <v>70</v>
      </c>
      <c r="BT1" s="5376" t="s">
        <v>71</v>
      </c>
      <c r="BU1" s="5377" t="s">
        <v>72</v>
      </c>
      <c r="BV1" s="5378" t="s">
        <v>73</v>
      </c>
      <c r="BW1" s="5379" t="s">
        <v>74</v>
      </c>
      <c r="BX1" s="5380" t="s">
        <v>75</v>
      </c>
      <c r="BY1" s="5381" t="s">
        <v>76</v>
      </c>
      <c r="BZ1" s="5382" t="s">
        <v>77</v>
      </c>
    </row>
    <row r="2" spans="1:78" hidden="1" x14ac:dyDescent="0.3">
      <c r="A2" s="5383" t="s">
        <v>165</v>
      </c>
      <c r="B2" s="5384" t="s">
        <v>151</v>
      </c>
      <c r="C2" s="5385">
        <v>5.1999998092651367</v>
      </c>
      <c r="D2" s="5386">
        <v>1980</v>
      </c>
      <c r="E2" s="5387">
        <v>22</v>
      </c>
      <c r="F2" s="5388">
        <v>54</v>
      </c>
      <c r="G2" s="5389">
        <v>0</v>
      </c>
      <c r="H2" s="5390">
        <v>2</v>
      </c>
      <c r="I2" s="5391">
        <v>339</v>
      </c>
      <c r="J2" s="5392">
        <f>HLOOKUP("BPS",A1:CV300,2,FALSE)-((-6*HLOOKUP("OG",A1:CV300,2,FALSE))+(-6*HLOOKUP("PK Miss",A1:CV300,2,FALSE))+(9*HLOOKUP("FPL As",A1:CV300,2,FALSE))+(12*HLOOKUP("CS",A1:CV300,2,FALSE))+(12*HLOOKUP("Gs",A1:CV300,2,FALSE)))</f>
        <v>291</v>
      </c>
      <c r="K2" s="5393">
        <v>0</v>
      </c>
      <c r="L2" s="5394">
        <v>4</v>
      </c>
      <c r="M2" s="5395">
        <v>38</v>
      </c>
      <c r="N2" s="5396">
        <v>20</v>
      </c>
      <c r="O2" s="5397">
        <v>17</v>
      </c>
      <c r="P2" s="5398">
        <f>IF(HLOOKUP("Shots",A1:CV300,2,FALSE)=0,0,HLOOKUP("SIB",A1:CV300,2,FALSE)/HLOOKUP("Shots",A1:CV300,2,FALSE))</f>
        <v>0.85</v>
      </c>
      <c r="Q2" s="5399">
        <v>2</v>
      </c>
      <c r="R2" s="5400">
        <f>IF(HLOOKUP("Shots",A1:CV300,2,FALSE)=0,0,HLOOKUP("S6YD",A1:CV300,2,FALSE)/HLOOKUP("Shots",A1:CV300,2,FALSE))</f>
        <v>0.1</v>
      </c>
      <c r="S2" s="5401">
        <v>13</v>
      </c>
      <c r="T2" s="5402">
        <f>IF(HLOOKUP("Shots",A1:CV300,2,FALSE)=0,0,HLOOKUP("Headers",A1:CV300,2,FALSE)/HLOOKUP("Shots",A1:CV300,2,FALSE))</f>
        <v>0.65</v>
      </c>
      <c r="U2" s="5403">
        <v>7</v>
      </c>
      <c r="V2" s="5404">
        <f>IF(HLOOKUP("Shots",A1:CV300,2,FALSE)=0,0,HLOOKUP("SOT",A1:CV300,2,FALSE)/HLOOKUP("Shots",A1:CV300,2,FALSE))</f>
        <v>0.35</v>
      </c>
      <c r="W2" s="5405">
        <f>IF(HLOOKUP("Shots",A1:CV300,2,FALSE)=0,0,HLOOKUP("Gs",A1:CV300,2,FALSE)/HLOOKUP("Shots",A1:CV300,2,FALSE))</f>
        <v>0</v>
      </c>
      <c r="X2" s="5406">
        <v>1</v>
      </c>
      <c r="Y2" s="5407">
        <v>0</v>
      </c>
      <c r="Z2" s="5408">
        <v>12</v>
      </c>
      <c r="AA2" s="5409">
        <f>IF(HLOOKUP("KP",A1:CV300,2,FALSE)=0,0,HLOOKUP("As",A1:CV300,2,FALSE)/HLOOKUP("KP",A1:CV300,2,FALSE))</f>
        <v>8.3333333333333329E-2</v>
      </c>
      <c r="AB2" s="5410">
        <v>90.9</v>
      </c>
      <c r="AC2" s="5411">
        <v>3</v>
      </c>
      <c r="AD2" s="5412">
        <v>2</v>
      </c>
      <c r="AE2" s="5413">
        <v>3</v>
      </c>
      <c r="AF2" s="5414">
        <v>3</v>
      </c>
      <c r="AG2" s="5415">
        <f>IF(HLOOKUP("BC",A1:CV300,2,FALSE)=0,0,HLOOKUP("Gs - BC",A1:CV300,2,FALSE)/HLOOKUP("BC",A1:CV300,2,FALSE))</f>
        <v>0</v>
      </c>
      <c r="AH2" s="5416">
        <f>HLOOKUP("BC",A1:CV300,2,FALSE) - HLOOKUP("BC Miss",A1:CV300,2,FALSE)</f>
        <v>0</v>
      </c>
      <c r="AI2" s="5417">
        <f>IF(HLOOKUP("Gs",A1:CV300,2,FALSE)=0,0,HLOOKUP("Gs - BC",A1:CV300,2,FALSE)/HLOOKUP("Gs",A1:CV300,2,FALSE))</f>
        <v>0</v>
      </c>
      <c r="AJ2" s="5418">
        <v>0</v>
      </c>
      <c r="AK2" s="5419">
        <v>0</v>
      </c>
      <c r="AL2" s="5420">
        <f>HLOOKUP("BC",A1:CV300,2,FALSE) - (HLOOKUP("PK Gs",A1:CV300,2,FALSE) + HLOOKUP("PK Miss",A1:CV300,2,FALSE))</f>
        <v>3</v>
      </c>
      <c r="AM2" s="5421">
        <f>HLOOKUP("BC Miss",A1:CV300,2,FALSE) - HLOOKUP("PK Miss",A1:CV300,2,FALSE)</f>
        <v>3</v>
      </c>
      <c r="AN2" s="5422">
        <f>IF(HLOOKUP("BC - Open",A1:CV300,2,FALSE)=0,0,HLOOKUP("BC - Open Miss",A1:CV300,2,FALSE)/HLOOKUP("BC - Open",A1:CV300,2,FALSE))</f>
        <v>1</v>
      </c>
      <c r="AO2" s="5423">
        <v>0</v>
      </c>
      <c r="AP2" s="5424">
        <f>IF(HLOOKUP("Gs",A1:CV300,2,FALSE)=0,0,HLOOKUP("GIB",A1:CV300,2,FALSE)/HLOOKUP("Gs",A1:CV300,2,FALSE))</f>
        <v>0</v>
      </c>
      <c r="AQ2" s="5425">
        <v>0</v>
      </c>
      <c r="AR2" s="5426">
        <f>IF(HLOOKUP("Gs",A1:CV300,2,FALSE)=0,0,HLOOKUP("Gs - Open",A1:CV300,2,FALSE)/HLOOKUP("Gs",A1:CV300,2,FALSE))</f>
        <v>0</v>
      </c>
      <c r="AS2" s="5427">
        <v>1.31</v>
      </c>
      <c r="AT2" s="5428">
        <v>0.64</v>
      </c>
      <c r="AU2" s="5429">
        <f>IF(HLOOKUP("Mins",A1:CV300,2,FALSE)=0,0,HLOOKUP("Pts",A1:CV300,2,FALSE)/HLOOKUP("Mins",A1:CV300,2,FALSE)* 90)</f>
        <v>2.4545454545454546</v>
      </c>
      <c r="AV2" s="5430">
        <f>IF(HLOOKUP("Apps",A1:CV300,2,FALSE)=0,0,HLOOKUP("Pts",A1:CV300,2,FALSE)/HLOOKUP("Apps",A1:CV300,2,FALSE)* 1)</f>
        <v>2.4545454545454546</v>
      </c>
      <c r="AW2" s="5431">
        <f>IF(HLOOKUP("Mins",A1:CV300,2,FALSE)=0,0,HLOOKUP("Gs",A1:CV300,2,FALSE)/HLOOKUP("Mins",A1:CV300,2,FALSE)* 90)</f>
        <v>0</v>
      </c>
      <c r="AX2" s="5432">
        <f>IF(HLOOKUP("Mins",A1:CV300,2,FALSE)=0,0,HLOOKUP("Bonus",A1:CV300,2,FALSE)/HLOOKUP("Mins",A1:CV300,2,FALSE)* 90)</f>
        <v>9.0909090909090912E-2</v>
      </c>
      <c r="AY2" s="5433">
        <f>IF(HLOOKUP("Mins",A1:CV300,2,FALSE)=0,0,HLOOKUP("BPS",A1:CV300,2,FALSE)/HLOOKUP("Mins",A1:CV300,2,FALSE)* 90)</f>
        <v>15.409090909090908</v>
      </c>
      <c r="AZ2" s="5434">
        <f>IF(HLOOKUP("Mins",A1:CV300,2,FALSE)=0,0,HLOOKUP("Base BPS",A1:CV300,2,FALSE)/HLOOKUP("Mins",A1:CV300,2,FALSE)* 90)</f>
        <v>13.227272727272727</v>
      </c>
      <c r="BA2" s="5435">
        <f>IF(HLOOKUP("Mins",A1:CV300,2,FALSE)=0,0,HLOOKUP("PenTchs",A1:CV300,2,FALSE)/HLOOKUP("Mins",A1:CV300,2,FALSE)* 90)</f>
        <v>1.7272727272727271</v>
      </c>
      <c r="BB2" s="5436">
        <f>IF(HLOOKUP("Mins",A1:CV300,2,FALSE)=0,0,HLOOKUP("Shots",A1:CV300,2,FALSE)/HLOOKUP("Mins",A1:CV300,2,FALSE)* 90)</f>
        <v>0.90909090909090917</v>
      </c>
      <c r="BC2" s="5437">
        <f>IF(HLOOKUP("Mins",A1:CV300,2,FALSE)=0,0,HLOOKUP("SIB",A1:CV300,2,FALSE)/HLOOKUP("Mins",A1:CV300,2,FALSE)* 90)</f>
        <v>0.77272727272727271</v>
      </c>
      <c r="BD2" s="5438">
        <f>IF(HLOOKUP("Mins",A1:CV300,2,FALSE)=0,0,HLOOKUP("S6YD",A1:CV300,2,FALSE)/HLOOKUP("Mins",A1:CV300,2,FALSE)* 90)</f>
        <v>9.0909090909090912E-2</v>
      </c>
      <c r="BE2" s="5439">
        <f>IF(HLOOKUP("Mins",A1:CV300,2,FALSE)=0,0,HLOOKUP("Headers",A1:CV300,2,FALSE)/HLOOKUP("Mins",A1:CV300,2,FALSE)* 90)</f>
        <v>0.59090909090909094</v>
      </c>
      <c r="BF2" s="5440">
        <f>IF(HLOOKUP("Mins",A1:CV300,2,FALSE)=0,0,HLOOKUP("SOT",A1:CV300,2,FALSE)/HLOOKUP("Mins",A1:CV300,2,FALSE)* 90)</f>
        <v>0.31818181818181818</v>
      </c>
      <c r="BG2" s="5441">
        <f>IF(HLOOKUP("Mins",A1:CV300,2,FALSE)=0,0,HLOOKUP("As",A1:CV300,2,FALSE)/HLOOKUP("Mins",A1:CV300,2,FALSE)* 90)</f>
        <v>4.5454545454545456E-2</v>
      </c>
      <c r="BH2" s="5442">
        <f>IF(HLOOKUP("Mins",A1:CV300,2,FALSE)=0,0,HLOOKUP("FPL As",A1:CV300,2,FALSE)/HLOOKUP("Mins",A1:CV300,2,FALSE)* 90)</f>
        <v>0</v>
      </c>
      <c r="BI2" s="5443">
        <f>IF(HLOOKUP("Mins",A1:CV300,2,FALSE)=0,0,HLOOKUP("BC Created",A1:CV300,2,FALSE)/HLOOKUP("Mins",A1:CV300,2,FALSE)* 90)</f>
        <v>9.0909090909090912E-2</v>
      </c>
      <c r="BJ2" s="5444">
        <f>IF(HLOOKUP("Mins",A1:CV300,2,FALSE)=0,0,HLOOKUP("KP",A1:CV300,2,FALSE)/HLOOKUP("Mins",A1:CV300,2,FALSE)* 90)</f>
        <v>0.54545454545454541</v>
      </c>
      <c r="BK2" s="5445">
        <f>IF(HLOOKUP("Mins",A1:CV300,2,FALSE)=0,0,HLOOKUP("BC",A1:CV300,2,FALSE)/HLOOKUP("Mins",A1:CV300,2,FALSE)* 90)</f>
        <v>0.13636363636363635</v>
      </c>
      <c r="BL2" s="5446">
        <f>IF(HLOOKUP("Mins",A1:CV300,2,FALSE)=0,0,HLOOKUP("BC Miss",A1:CV300,2,FALSE)/HLOOKUP("Mins",A1:CV300,2,FALSE)* 90)</f>
        <v>0.13636363636363635</v>
      </c>
      <c r="BM2" s="5447">
        <f>IF(HLOOKUP("Mins",A1:CV300,2,FALSE)=0,0,HLOOKUP("Gs - BC",A1:CV300,2,FALSE)/HLOOKUP("Mins",A1:CV300,2,FALSE)* 90)</f>
        <v>0</v>
      </c>
      <c r="BN2" s="5448">
        <f>IF(HLOOKUP("Mins",A1:CV300,2,FALSE)=0,0,HLOOKUP("GIB",A1:CV300,2,FALSE)/HLOOKUP("Mins",A1:CV300,2,FALSE)* 90)</f>
        <v>0</v>
      </c>
      <c r="BO2" s="5449">
        <f>IF(HLOOKUP("Mins",A1:CV300,2,FALSE)=0,0,HLOOKUP("Gs - Open",A1:CV300,2,FALSE)/HLOOKUP("Mins",A1:CV300,2,FALSE)* 90)</f>
        <v>0</v>
      </c>
      <c r="BP2" s="5450">
        <f>IF(HLOOKUP("Mins",A1:CV300,2,FALSE)=0,0,HLOOKUP("ICT Index",A1:CV300,2,FALSE)/HLOOKUP("Mins",A1:CV300,2,FALSE)* 90)</f>
        <v>4.1318181818181818</v>
      </c>
      <c r="BQ2" s="5451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  <v>7.4590909090909097E-2</v>
      </c>
      <c r="BR2" s="5452">
        <f>0.0825*HLOOKUP("KP/90",A1:CV300,2,FALSE)</f>
        <v>4.4999999999999998E-2</v>
      </c>
      <c r="BS2" s="5453">
        <f>6*HLOOKUP("xG/90",A1:CV300,2,FALSE)+3*HLOOKUP("xA/90",A1:CV300,2,FALSE)</f>
        <v>0.58254545454545459</v>
      </c>
      <c r="BT2" s="5454">
        <f>HLOOKUP("xPts/90",A1:CV300,2,FALSE)-(6*0.75*(HLOOKUP("PK Gs",A1:CV300,2,FALSE)+HLOOKUP("PK Miss",A1:CV300,2,FALSE))*90/HLOOKUP("Mins",A1:CV300,2,FALSE))</f>
        <v>0.58254545454545459</v>
      </c>
      <c r="BU2" s="5455">
        <f>IF(HLOOKUP("Mins",A1:CV300,2,FALSE)=0,0,HLOOKUP("fsXG",A1:CV300,2,FALSE)/HLOOKUP("Mins",A1:CV300,2,FALSE)* 90)</f>
        <v>5.9545454545454547E-2</v>
      </c>
      <c r="BV2" s="5456">
        <f>IF(HLOOKUP("Mins",A1:CV300,2,FALSE)=0,0,HLOOKUP("fsXA",A1:CV300,2,FALSE)/HLOOKUP("Mins",A1:CV300,2,FALSE)* 90)</f>
        <v>2.9090909090909091E-2</v>
      </c>
      <c r="BW2" s="5457">
        <f>6*HLOOKUP("fsXG/90",A1:CV300,2,FALSE)+3*HLOOKUP("fsXA/90",A1:CV300,2,FALSE)</f>
        <v>0.44454545454545458</v>
      </c>
      <c r="BX2" s="5458">
        <v>8.5936032235622406E-2</v>
      </c>
      <c r="BY2" s="5459">
        <v>1.6780821606516838E-2</v>
      </c>
      <c r="BZ2" s="5460">
        <f>6*HLOOKUP("uXG/90",A1:CV300,2,FALSE)+3*HLOOKUP("uXA/90",A1:CV300,2,FALSE)</f>
        <v>0.56595865823328495</v>
      </c>
    </row>
    <row r="3" spans="1:78" hidden="1" x14ac:dyDescent="0.3">
      <c r="A3" s="5461" t="s">
        <v>166</v>
      </c>
      <c r="B3" s="5462" t="s">
        <v>81</v>
      </c>
      <c r="C3" s="5463">
        <v>5.3000001907348633</v>
      </c>
      <c r="D3" s="5464">
        <v>1946</v>
      </c>
      <c r="E3" s="5465">
        <v>22</v>
      </c>
      <c r="F3" s="5466">
        <v>87</v>
      </c>
      <c r="G3" s="5467">
        <v>1</v>
      </c>
      <c r="H3" s="5468">
        <v>7</v>
      </c>
      <c r="I3" s="5469">
        <v>450</v>
      </c>
      <c r="J3" s="5470">
        <f>HLOOKUP("BPS",A1:CV300,3,FALSE)-((-6*HLOOKUP("OG",A1:CV300,3,FALSE))+(-6*HLOOKUP("PK Miss",A1:CV300,3,FALSE))+(9*HLOOKUP("FPL As",A1:CV300,3,FALSE))+(12*HLOOKUP("CS",A1:CV300,3,FALSE))+(12*HLOOKUP("Gs",A1:CV300,3,FALSE)))</f>
        <v>324</v>
      </c>
      <c r="K3" s="5471">
        <v>0</v>
      </c>
      <c r="L3" s="5472">
        <v>8</v>
      </c>
      <c r="M3" s="5473">
        <v>27</v>
      </c>
      <c r="N3" s="5474">
        <v>14</v>
      </c>
      <c r="O3" s="5475">
        <v>14</v>
      </c>
      <c r="P3" s="5476">
        <f>IF(HLOOKUP("Shots",A1:CV300,3,FALSE)=0,0,HLOOKUP("SIB",A1:CV300,3,FALSE)/HLOOKUP("Shots",A1:CV300,3,FALSE))</f>
        <v>1</v>
      </c>
      <c r="Q3" s="5477">
        <v>7</v>
      </c>
      <c r="R3" s="5478">
        <f>IF(HLOOKUP("Shots",A1:CV300,3,FALSE)=0,0,HLOOKUP("S6YD",A1:CV300,3,FALSE)/HLOOKUP("Shots",A1:CV300,3,FALSE))</f>
        <v>0.5</v>
      </c>
      <c r="S3" s="5479">
        <v>11</v>
      </c>
      <c r="T3" s="5480">
        <f>IF(HLOOKUP("Shots",A1:CV300,3,FALSE)=0,0,HLOOKUP("Headers",A1:CV300,3,FALSE)/HLOOKUP("Shots",A1:CV300,3,FALSE))</f>
        <v>0.7857142857142857</v>
      </c>
      <c r="U3" s="5481">
        <v>5</v>
      </c>
      <c r="V3" s="5482">
        <f>IF(HLOOKUP("Shots",A1:CV300,3,FALSE)=0,0,HLOOKUP("SOT",A1:CV300,3,FALSE)/HLOOKUP("Shots",A1:CV300,3,FALSE))</f>
        <v>0.35714285714285715</v>
      </c>
      <c r="W3" s="5483">
        <f>IF(HLOOKUP("Shots",A1:CV300,3,FALSE)=0,0,HLOOKUP("Gs",A1:CV300,3,FALSE)/HLOOKUP("Shots",A1:CV300,3,FALSE))</f>
        <v>7.1428571428571425E-2</v>
      </c>
      <c r="X3" s="5484">
        <v>1</v>
      </c>
      <c r="Y3" s="5485">
        <v>2</v>
      </c>
      <c r="Z3" s="5486">
        <v>2</v>
      </c>
      <c r="AA3" s="5487">
        <f>IF(HLOOKUP("KP",A1:CV300,3,FALSE)=0,0,HLOOKUP("As",A1:CV300,3,FALSE)/HLOOKUP("KP",A1:CV300,3,FALSE))</f>
        <v>0.5</v>
      </c>
      <c r="AB3" s="5488">
        <v>75.7</v>
      </c>
      <c r="AC3" s="5489">
        <v>7</v>
      </c>
      <c r="AD3" s="5490">
        <v>0</v>
      </c>
      <c r="AE3" s="5491">
        <v>2</v>
      </c>
      <c r="AF3" s="5492">
        <v>2</v>
      </c>
      <c r="AG3" s="5493">
        <f>IF(HLOOKUP("BC",A1:CV300,3,FALSE)=0,0,HLOOKUP("Gs - BC",A1:CV300,3,FALSE)/HLOOKUP("BC",A1:CV300,3,FALSE))</f>
        <v>0</v>
      </c>
      <c r="AH3" s="5494">
        <f>HLOOKUP("BC",A1:CV300,3,FALSE) - HLOOKUP("BC Miss",A1:CV300,3,FALSE)</f>
        <v>0</v>
      </c>
      <c r="AI3" s="5495">
        <f>IF(HLOOKUP("Gs",A1:CV300,3,FALSE)=0,0,HLOOKUP("Gs - BC",A1:CV300,3,FALSE)/HLOOKUP("Gs",A1:CV300,3,FALSE))</f>
        <v>0</v>
      </c>
      <c r="AJ3" s="5496">
        <v>0</v>
      </c>
      <c r="AK3" s="5497">
        <v>0</v>
      </c>
      <c r="AL3" s="5498">
        <f>HLOOKUP("BC",A1:CV300,3,FALSE) - (HLOOKUP("PK Gs",A1:CV300,3,FALSE) + HLOOKUP("PK Miss",A1:CV300,3,FALSE))</f>
        <v>2</v>
      </c>
      <c r="AM3" s="5499">
        <f>HLOOKUP("BC Miss",A1:CV300,3,FALSE) - HLOOKUP("PK Miss",A1:CV300,3,FALSE)</f>
        <v>2</v>
      </c>
      <c r="AN3" s="5500">
        <f>IF(HLOOKUP("BC - Open",A1:CV300,3,FALSE)=0,0,HLOOKUP("BC - Open Miss",A1:CV300,3,FALSE)/HLOOKUP("BC - Open",A1:CV300,3,FALSE))</f>
        <v>1</v>
      </c>
      <c r="AO3" s="5501">
        <v>1</v>
      </c>
      <c r="AP3" s="5502">
        <f>IF(HLOOKUP("Gs",A1:CV300,3,FALSE)=0,0,HLOOKUP("GIB",A1:CV300,3,FALSE)/HLOOKUP("Gs",A1:CV300,3,FALSE))</f>
        <v>1</v>
      </c>
      <c r="AQ3" s="5503">
        <v>0</v>
      </c>
      <c r="AR3" s="5504">
        <f>IF(HLOOKUP("Gs",A1:CV300,3,FALSE)=0,0,HLOOKUP("Gs - Open",A1:CV300,3,FALSE)/HLOOKUP("Gs",A1:CV300,3,FALSE))</f>
        <v>0</v>
      </c>
      <c r="AS3" s="5505">
        <v>2.97</v>
      </c>
      <c r="AT3" s="5506">
        <v>0.26</v>
      </c>
      <c r="AU3" s="5507">
        <f>IF(HLOOKUP("Mins",A1:CV300,3,FALSE)=0,0,HLOOKUP("Pts",A1:CV300,3,FALSE)/HLOOKUP("Mins",A1:CV300,3,FALSE)* 90)</f>
        <v>4.0236382322713258</v>
      </c>
      <c r="AV3" s="5508">
        <f>IF(HLOOKUP("Apps",A1:CV300,3,FALSE)=0,0,HLOOKUP("Pts",A1:CV300,3,FALSE)/HLOOKUP("Apps",A1:CV300,3,FALSE)* 1)</f>
        <v>3.9545454545454546</v>
      </c>
      <c r="AW3" s="5509">
        <f>IF(HLOOKUP("Mins",A1:CV300,3,FALSE)=0,0,HLOOKUP("Gs",A1:CV300,3,FALSE)/HLOOKUP("Mins",A1:CV300,3,FALSE)* 90)</f>
        <v>4.6248715313463515E-2</v>
      </c>
      <c r="AX3" s="5510">
        <f>IF(HLOOKUP("Mins",A1:CV300,3,FALSE)=0,0,HLOOKUP("Bonus",A1:CV300,3,FALSE)/HLOOKUP("Mins",A1:CV300,3,FALSE)* 90)</f>
        <v>0.32374100719424465</v>
      </c>
      <c r="AY3" s="5511">
        <f>IF(HLOOKUP("Mins",A1:CV300,3,FALSE)=0,0,HLOOKUP("BPS",A1:CV300,3,FALSE)/HLOOKUP("Mins",A1:CV300,3,FALSE)* 90)</f>
        <v>20.811921891058581</v>
      </c>
      <c r="AZ3" s="5512">
        <f>IF(HLOOKUP("Mins",A1:CV300,3,FALSE)=0,0,HLOOKUP("Base BPS",A1:CV300,3,FALSE)/HLOOKUP("Mins",A1:CV300,3,FALSE)* 90)</f>
        <v>14.984583761562179</v>
      </c>
      <c r="BA3" s="5513">
        <f>IF(HLOOKUP("Mins",A1:CV300,3,FALSE)=0,0,HLOOKUP("PenTchs",A1:CV300,3,FALSE)/HLOOKUP("Mins",A1:CV300,3,FALSE)* 90)</f>
        <v>1.2487153134635149</v>
      </c>
      <c r="BB3" s="5514">
        <f>IF(HLOOKUP("Mins",A1:CV300,3,FALSE)=0,0,HLOOKUP("Shots",A1:CV300,3,FALSE)/HLOOKUP("Mins",A1:CV300,3,FALSE)* 90)</f>
        <v>0.64748201438848929</v>
      </c>
      <c r="BC3" s="5515">
        <f>IF(HLOOKUP("Mins",A1:CV300,3,FALSE)=0,0,HLOOKUP("SIB",A1:CV300,3,FALSE)/HLOOKUP("Mins",A1:CV300,3,FALSE)* 90)</f>
        <v>0.64748201438848929</v>
      </c>
      <c r="BD3" s="5516">
        <f>IF(HLOOKUP("Mins",A1:CV300,3,FALSE)=0,0,HLOOKUP("S6YD",A1:CV300,3,FALSE)/HLOOKUP("Mins",A1:CV300,3,FALSE)* 90)</f>
        <v>0.32374100719424465</v>
      </c>
      <c r="BE3" s="5517">
        <f>IF(HLOOKUP("Mins",A1:CV300,3,FALSE)=0,0,HLOOKUP("Headers",A1:CV300,3,FALSE)/HLOOKUP("Mins",A1:CV300,3,FALSE)* 90)</f>
        <v>0.50873586844809859</v>
      </c>
      <c r="BF3" s="5518">
        <f>IF(HLOOKUP("Mins",A1:CV300,3,FALSE)=0,0,HLOOKUP("SOT",A1:CV300,3,FALSE)/HLOOKUP("Mins",A1:CV300,3,FALSE)* 90)</f>
        <v>0.23124357656731756</v>
      </c>
      <c r="BG3" s="5519">
        <f>IF(HLOOKUP("Mins",A1:CV300,3,FALSE)=0,0,HLOOKUP("As",A1:CV300,3,FALSE)/HLOOKUP("Mins",A1:CV300,3,FALSE)* 90)</f>
        <v>4.6248715313463515E-2</v>
      </c>
      <c r="BH3" s="5520">
        <f>IF(HLOOKUP("Mins",A1:CV300,3,FALSE)=0,0,HLOOKUP("FPL As",A1:CV300,3,FALSE)/HLOOKUP("Mins",A1:CV300,3,FALSE)* 90)</f>
        <v>9.249743062692703E-2</v>
      </c>
      <c r="BI3" s="5521">
        <f>IF(HLOOKUP("Mins",A1:CV300,3,FALSE)=0,0,HLOOKUP("BC Created",A1:CV300,3,FALSE)/HLOOKUP("Mins",A1:CV300,3,FALSE)* 90)</f>
        <v>0</v>
      </c>
      <c r="BJ3" s="5522">
        <f>IF(HLOOKUP("Mins",A1:CV300,3,FALSE)=0,0,HLOOKUP("KP",A1:CV300,3,FALSE)/HLOOKUP("Mins",A1:CV300,3,FALSE)* 90)</f>
        <v>9.249743062692703E-2</v>
      </c>
      <c r="BK3" s="5523">
        <f>IF(HLOOKUP("Mins",A1:CV300,3,FALSE)=0,0,HLOOKUP("BC",A1:CV300,3,FALSE)/HLOOKUP("Mins",A1:CV300,3,FALSE)* 90)</f>
        <v>9.249743062692703E-2</v>
      </c>
      <c r="BL3" s="5524">
        <f>IF(HLOOKUP("Mins",A1:CV300,3,FALSE)=0,0,HLOOKUP("BC Miss",A1:CV300,3,FALSE)/HLOOKUP("Mins",A1:CV300,3,FALSE)* 90)</f>
        <v>9.249743062692703E-2</v>
      </c>
      <c r="BM3" s="5525">
        <f>IF(HLOOKUP("Mins",A1:CV300,3,FALSE)=0,0,HLOOKUP("Gs - BC",A1:CV300,3,FALSE)/HLOOKUP("Mins",A1:CV300,3,FALSE)* 90)</f>
        <v>0</v>
      </c>
      <c r="BN3" s="5526">
        <f>IF(HLOOKUP("Mins",A1:CV300,3,FALSE)=0,0,HLOOKUP("GIB",A1:CV300,3,FALSE)/HLOOKUP("Mins",A1:CV300,3,FALSE)* 90)</f>
        <v>4.6248715313463515E-2</v>
      </c>
      <c r="BO3" s="5527">
        <f>IF(HLOOKUP("Mins",A1:CV300,3,FALSE)=0,0,HLOOKUP("Gs - Open",A1:CV300,3,FALSE)/HLOOKUP("Mins",A1:CV300,3,FALSE)* 90)</f>
        <v>0</v>
      </c>
      <c r="BP3" s="5528">
        <f>IF(HLOOKUP("Mins",A1:CV300,3,FALSE)=0,0,HLOOKUP("ICT Index",A1:CV300,3,FALSE)/HLOOKUP("Mins",A1:CV300,3,FALSE)* 90)</f>
        <v>3.5010277492291881</v>
      </c>
      <c r="BQ3" s="5529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  <v>6.0215827338129496E-2</v>
      </c>
      <c r="BR3" s="5530">
        <f>0.0825*HLOOKUP("KP/90",A1:CV300,3,FALSE)</f>
        <v>7.6310380267214806E-3</v>
      </c>
      <c r="BS3" s="5531">
        <f>6*HLOOKUP("xG/90",A1:CV300,3,FALSE)+3*HLOOKUP("xA/90",A1:CV300,3,FALSE)</f>
        <v>0.3841880781089414</v>
      </c>
      <c r="BT3" s="5532">
        <f>HLOOKUP("xPts/90",A1:CV300,3,FALSE)-(6*0.75*(HLOOKUP("PK Gs",A1:CV300,3,FALSE)+HLOOKUP("PK Miss",A1:CV300,3,FALSE))*90/HLOOKUP("Mins",A1:CV300,3,FALSE))</f>
        <v>0.3841880781089414</v>
      </c>
      <c r="BU3" s="5533">
        <f>IF(HLOOKUP("Mins",A1:CV300,3,FALSE)=0,0,HLOOKUP("fsXG",A1:CV300,3,FALSE)/HLOOKUP("Mins",A1:CV300,3,FALSE)* 90)</f>
        <v>0.13735868448098665</v>
      </c>
      <c r="BV3" s="5534">
        <f>IF(HLOOKUP("Mins",A1:CV300,3,FALSE)=0,0,HLOOKUP("fsXA",A1:CV300,3,FALSE)/HLOOKUP("Mins",A1:CV300,3,FALSE)* 90)</f>
        <v>1.2024665981500513E-2</v>
      </c>
      <c r="BW3" s="5535">
        <f>6*HLOOKUP("fsXG/90",A1:CV300,3,FALSE)+3*HLOOKUP("fsXA/90",A1:CV300,3,FALSE)</f>
        <v>0.86022610483042139</v>
      </c>
      <c r="BX3" s="5536">
        <v>6.4404509961605072E-2</v>
      </c>
      <c r="BY3" s="5537">
        <v>6.9226706400513649E-3</v>
      </c>
      <c r="BZ3" s="5538">
        <f>6*HLOOKUP("uXG/90",A1:CV300,3,FALSE)+3*HLOOKUP("uXA/90",A1:CV300,3,FALSE)</f>
        <v>0.40719507168978453</v>
      </c>
    </row>
    <row r="4" spans="1:78" hidden="1" x14ac:dyDescent="0.3">
      <c r="A4" s="5539" t="s">
        <v>167</v>
      </c>
      <c r="B4" s="5540" t="s">
        <v>102</v>
      </c>
      <c r="C4" s="5541">
        <v>4.3000001907348633</v>
      </c>
      <c r="D4" s="5542">
        <v>462</v>
      </c>
      <c r="E4" s="5543">
        <v>9</v>
      </c>
      <c r="F4" s="5544">
        <v>14</v>
      </c>
      <c r="G4" s="5545">
        <v>0</v>
      </c>
      <c r="H4" s="5546">
        <v>0</v>
      </c>
      <c r="I4" s="5547">
        <v>80</v>
      </c>
      <c r="J4" s="5548">
        <f>HLOOKUP("BPS",A1:CV300,4,FALSE)-((-6*HLOOKUP("OG",A1:CV300,4,FALSE))+(-6*HLOOKUP("PK Miss",A1:CV300,4,FALSE))+(9*HLOOKUP("FPL As",A1:CV300,4,FALSE))+(12*HLOOKUP("CS",A1:CV300,4,FALSE))+(12*HLOOKUP("Gs",A1:CV300,4,FALSE)))</f>
        <v>68</v>
      </c>
      <c r="K4" s="5549">
        <v>0</v>
      </c>
      <c r="L4" s="5550">
        <v>1</v>
      </c>
      <c r="M4" s="5551">
        <v>5</v>
      </c>
      <c r="N4" s="5552">
        <v>3</v>
      </c>
      <c r="O4" s="5553">
        <v>3</v>
      </c>
      <c r="P4" s="5554">
        <f>IF(HLOOKUP("Shots",A1:CV300,4,FALSE)=0,0,HLOOKUP("SIB",A1:CV300,4,FALSE)/HLOOKUP("Shots",A1:CV300,4,FALSE))</f>
        <v>1</v>
      </c>
      <c r="Q4" s="5555">
        <v>0</v>
      </c>
      <c r="R4" s="5556">
        <f>IF(HLOOKUP("Shots",A1:CV300,4,FALSE)=0,0,HLOOKUP("S6YD",A1:CV300,4,FALSE)/HLOOKUP("Shots",A1:CV300,4,FALSE))</f>
        <v>0</v>
      </c>
      <c r="S4" s="5557">
        <v>0</v>
      </c>
      <c r="T4" s="5558">
        <f>IF(HLOOKUP("Shots",A1:CV300,4,FALSE)=0,0,HLOOKUP("Headers",A1:CV300,4,FALSE)/HLOOKUP("Shots",A1:CV300,4,FALSE))</f>
        <v>0</v>
      </c>
      <c r="U4" s="5559">
        <v>0</v>
      </c>
      <c r="V4" s="5560">
        <f>IF(HLOOKUP("Shots",A1:CV300,4,FALSE)=0,0,HLOOKUP("SOT",A1:CV300,4,FALSE)/HLOOKUP("Shots",A1:CV300,4,FALSE))</f>
        <v>0</v>
      </c>
      <c r="W4" s="5561">
        <f>IF(HLOOKUP("Shots",A1:CV300,4,FALSE)=0,0,HLOOKUP("Gs",A1:CV300,4,FALSE)/HLOOKUP("Shots",A1:CV300,4,FALSE))</f>
        <v>0</v>
      </c>
      <c r="X4" s="5562">
        <v>0</v>
      </c>
      <c r="Y4" s="5563">
        <v>0</v>
      </c>
      <c r="Z4" s="5564">
        <v>0</v>
      </c>
      <c r="AA4" s="5565">
        <f>IF(HLOOKUP("KP",A1:CV300,4,FALSE)=0,0,HLOOKUP("As",A1:CV300,4,FALSE)/HLOOKUP("KP",A1:CV300,4,FALSE))</f>
        <v>0</v>
      </c>
      <c r="AB4" s="5566">
        <v>10.9</v>
      </c>
      <c r="AC4" s="5567">
        <v>0</v>
      </c>
      <c r="AD4" s="5568">
        <v>0</v>
      </c>
      <c r="AE4" s="5569">
        <v>1</v>
      </c>
      <c r="AF4" s="5570">
        <v>1</v>
      </c>
      <c r="AG4" s="5571">
        <f>IF(HLOOKUP("BC",A1:CV300,4,FALSE)=0,0,HLOOKUP("Gs - BC",A1:CV300,4,FALSE)/HLOOKUP("BC",A1:CV300,4,FALSE))</f>
        <v>0</v>
      </c>
      <c r="AH4" s="5572">
        <f>HLOOKUP("BC",A1:CV300,4,FALSE) - HLOOKUP("BC Miss",A1:CV300,4,FALSE)</f>
        <v>0</v>
      </c>
      <c r="AI4" s="5573">
        <f>IF(HLOOKUP("Gs",A1:CV300,4,FALSE)=0,0,HLOOKUP("Gs - BC",A1:CV300,4,FALSE)/HLOOKUP("Gs",A1:CV300,4,FALSE))</f>
        <v>0</v>
      </c>
      <c r="AJ4" s="5574">
        <v>0</v>
      </c>
      <c r="AK4" s="5575">
        <v>0</v>
      </c>
      <c r="AL4" s="5576">
        <f>HLOOKUP("BC",A1:CV300,4,FALSE) - (HLOOKUP("PK Gs",A1:CV300,4,FALSE) + HLOOKUP("PK Miss",A1:CV300,4,FALSE))</f>
        <v>1</v>
      </c>
      <c r="AM4" s="5577">
        <f>HLOOKUP("BC Miss",A1:CV300,4,FALSE) - HLOOKUP("PK Miss",A1:CV300,4,FALSE)</f>
        <v>1</v>
      </c>
      <c r="AN4" s="5578">
        <f>IF(HLOOKUP("BC - Open",A1:CV300,4,FALSE)=0,0,HLOOKUP("BC - Open Miss",A1:CV300,4,FALSE)/HLOOKUP("BC - Open",A1:CV300,4,FALSE))</f>
        <v>1</v>
      </c>
      <c r="AO4" s="5579">
        <v>0</v>
      </c>
      <c r="AP4" s="5580">
        <f>IF(HLOOKUP("Gs",A1:CV300,4,FALSE)=0,0,HLOOKUP("GIB",A1:CV300,4,FALSE)/HLOOKUP("Gs",A1:CV300,4,FALSE))</f>
        <v>0</v>
      </c>
      <c r="AQ4" s="5581">
        <v>0</v>
      </c>
      <c r="AR4" s="5582">
        <f>IF(HLOOKUP("Gs",A1:CV300,4,FALSE)=0,0,HLOOKUP("Gs - Open",A1:CV300,4,FALSE)/HLOOKUP("Gs",A1:CV300,4,FALSE))</f>
        <v>0</v>
      </c>
      <c r="AS4" s="5583">
        <v>0.28999999999999998</v>
      </c>
      <c r="AT4" s="5584">
        <v>0.05</v>
      </c>
      <c r="AU4" s="5585">
        <f>IF(HLOOKUP("Mins",A1:CV300,4,FALSE)=0,0,HLOOKUP("Pts",A1:CV300,4,FALSE)/HLOOKUP("Mins",A1:CV300,4,FALSE)* 90)</f>
        <v>2.7272727272727275</v>
      </c>
      <c r="AV4" s="5586">
        <f>IF(HLOOKUP("Apps",A1:CV300,4,FALSE)=0,0,HLOOKUP("Pts",A1:CV300,4,FALSE)/HLOOKUP("Apps",A1:CV300,4,FALSE)* 1)</f>
        <v>1.5555555555555556</v>
      </c>
      <c r="AW4" s="5587">
        <f>IF(HLOOKUP("Mins",A1:CV300,4,FALSE)=0,0,HLOOKUP("Gs",A1:CV300,4,FALSE)/HLOOKUP("Mins",A1:CV300,4,FALSE)* 90)</f>
        <v>0</v>
      </c>
      <c r="AX4" s="5588">
        <f>IF(HLOOKUP("Mins",A1:CV300,4,FALSE)=0,0,HLOOKUP("Bonus",A1:CV300,4,FALSE)/HLOOKUP("Mins",A1:CV300,4,FALSE)* 90)</f>
        <v>0</v>
      </c>
      <c r="AY4" s="5589">
        <f>IF(HLOOKUP("Mins",A1:CV300,4,FALSE)=0,0,HLOOKUP("BPS",A1:CV300,4,FALSE)/HLOOKUP("Mins",A1:CV300,4,FALSE)* 90)</f>
        <v>15.584415584415584</v>
      </c>
      <c r="AZ4" s="5590">
        <f>IF(HLOOKUP("Mins",A1:CV300,4,FALSE)=0,0,HLOOKUP("Base BPS",A1:CV300,4,FALSE)/HLOOKUP("Mins",A1:CV300,4,FALSE)* 90)</f>
        <v>13.246753246753247</v>
      </c>
      <c r="BA4" s="5591">
        <f>IF(HLOOKUP("Mins",A1:CV300,4,FALSE)=0,0,HLOOKUP("PenTchs",A1:CV300,4,FALSE)/HLOOKUP("Mins",A1:CV300,4,FALSE)* 90)</f>
        <v>0.97402597402597402</v>
      </c>
      <c r="BB4" s="5592">
        <f>IF(HLOOKUP("Mins",A1:CV300,4,FALSE)=0,0,HLOOKUP("Shots",A1:CV300,4,FALSE)/HLOOKUP("Mins",A1:CV300,4,FALSE)* 90)</f>
        <v>0.5844155844155845</v>
      </c>
      <c r="BC4" s="5593">
        <f>IF(HLOOKUP("Mins",A1:CV300,4,FALSE)=0,0,HLOOKUP("SIB",A1:CV300,4,FALSE)/HLOOKUP("Mins",A1:CV300,4,FALSE)* 90)</f>
        <v>0.5844155844155845</v>
      </c>
      <c r="BD4" s="5594">
        <f>IF(HLOOKUP("Mins",A1:CV300,4,FALSE)=0,0,HLOOKUP("S6YD",A1:CV300,4,FALSE)/HLOOKUP("Mins",A1:CV300,4,FALSE)* 90)</f>
        <v>0</v>
      </c>
      <c r="BE4" s="5595">
        <f>IF(HLOOKUP("Mins",A1:CV300,4,FALSE)=0,0,HLOOKUP("Headers",A1:CV300,4,FALSE)/HLOOKUP("Mins",A1:CV300,4,FALSE)* 90)</f>
        <v>0</v>
      </c>
      <c r="BF4" s="5596">
        <f>IF(HLOOKUP("Mins",A1:CV300,4,FALSE)=0,0,HLOOKUP("SOT",A1:CV300,4,FALSE)/HLOOKUP("Mins",A1:CV300,4,FALSE)* 90)</f>
        <v>0</v>
      </c>
      <c r="BG4" s="5597">
        <f>IF(HLOOKUP("Mins",A1:CV300,4,FALSE)=0,0,HLOOKUP("As",A1:CV300,4,FALSE)/HLOOKUP("Mins",A1:CV300,4,FALSE)* 90)</f>
        <v>0</v>
      </c>
      <c r="BH4" s="5598">
        <f>IF(HLOOKUP("Mins",A1:CV300,4,FALSE)=0,0,HLOOKUP("FPL As",A1:CV300,4,FALSE)/HLOOKUP("Mins",A1:CV300,4,FALSE)* 90)</f>
        <v>0</v>
      </c>
      <c r="BI4" s="5599">
        <f>IF(HLOOKUP("Mins",A1:CV300,4,FALSE)=0,0,HLOOKUP("BC Created",A1:CV300,4,FALSE)/HLOOKUP("Mins",A1:CV300,4,FALSE)* 90)</f>
        <v>0</v>
      </c>
      <c r="BJ4" s="5600">
        <f>IF(HLOOKUP("Mins",A1:CV300,4,FALSE)=0,0,HLOOKUP("KP",A1:CV300,4,FALSE)/HLOOKUP("Mins",A1:CV300,4,FALSE)* 90)</f>
        <v>0</v>
      </c>
      <c r="BK4" s="5601">
        <f>IF(HLOOKUP("Mins",A1:CV300,4,FALSE)=0,0,HLOOKUP("BC",A1:CV300,4,FALSE)/HLOOKUP("Mins",A1:CV300,4,FALSE)* 90)</f>
        <v>0.19480519480519481</v>
      </c>
      <c r="BL4" s="5602">
        <f>IF(HLOOKUP("Mins",A1:CV300,4,FALSE)=0,0,HLOOKUP("BC Miss",A1:CV300,4,FALSE)/HLOOKUP("Mins",A1:CV300,4,FALSE)* 90)</f>
        <v>0.19480519480519481</v>
      </c>
      <c r="BM4" s="5603">
        <f>IF(HLOOKUP("Mins",A1:CV300,4,FALSE)=0,0,HLOOKUP("Gs - BC",A1:CV300,4,FALSE)/HLOOKUP("Mins",A1:CV300,4,FALSE)* 90)</f>
        <v>0</v>
      </c>
      <c r="BN4" s="5604">
        <f>IF(HLOOKUP("Mins",A1:CV300,4,FALSE)=0,0,HLOOKUP("GIB",A1:CV300,4,FALSE)/HLOOKUP("Mins",A1:CV300,4,FALSE)* 90)</f>
        <v>0</v>
      </c>
      <c r="BO4" s="5605">
        <f>IF(HLOOKUP("Mins",A1:CV300,4,FALSE)=0,0,HLOOKUP("Gs - Open",A1:CV300,4,FALSE)/HLOOKUP("Mins",A1:CV300,4,FALSE)* 90)</f>
        <v>0</v>
      </c>
      <c r="BP4" s="5606">
        <f>IF(HLOOKUP("Mins",A1:CV300,4,FALSE)=0,0,HLOOKUP("ICT Index",A1:CV300,4,FALSE)/HLOOKUP("Mins",A1:CV300,4,FALSE)* 90)</f>
        <v>2.1233766233766231</v>
      </c>
      <c r="BQ4" s="5607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  <v>5.4350649350649358E-2</v>
      </c>
      <c r="BR4" s="5608">
        <f>0.0825*HLOOKUP("KP/90",A1:CV300,4,FALSE)</f>
        <v>0</v>
      </c>
      <c r="BS4" s="5609">
        <f>6*HLOOKUP("xG/90",A1:CV300,4,FALSE)+3*HLOOKUP("xA/90",A1:CV300,4,FALSE)</f>
        <v>0.32610389610389612</v>
      </c>
      <c r="BT4" s="5610">
        <f>HLOOKUP("xPts/90",A1:CV300,4,FALSE)-(6*0.75*(HLOOKUP("PK Gs",A1:CV300,4,FALSE)+HLOOKUP("PK Miss",A1:CV300,4,FALSE))*90/HLOOKUP("Mins",A1:CV300,4,FALSE))</f>
        <v>0.32610389610389612</v>
      </c>
      <c r="BU4" s="5611">
        <f>IF(HLOOKUP("Mins",A1:CV300,4,FALSE)=0,0,HLOOKUP("fsXG",A1:CV300,4,FALSE)/HLOOKUP("Mins",A1:CV300,4,FALSE)* 90)</f>
        <v>5.6493506493506492E-2</v>
      </c>
      <c r="BV4" s="5612">
        <f>IF(HLOOKUP("Mins",A1:CV300,4,FALSE)=0,0,HLOOKUP("fsXA",A1:CV300,4,FALSE)/HLOOKUP("Mins",A1:CV300,4,FALSE)* 90)</f>
        <v>9.74025974025974E-3</v>
      </c>
      <c r="BW4" s="5613">
        <f>6*HLOOKUP("fsXG/90",A1:CV300,4,FALSE)+3*HLOOKUP("fsXA/90",A1:CV300,4,FALSE)</f>
        <v>0.36818181818181817</v>
      </c>
      <c r="BX4" s="5614">
        <v>6.5184198319911957E-2</v>
      </c>
      <c r="BY4" s="5615">
        <v>0</v>
      </c>
      <c r="BZ4" s="5616">
        <f>6*HLOOKUP("uXG/90",A1:CV300,4,FALSE)+3*HLOOKUP("uXA/90",A1:CV300,4,FALSE)</f>
        <v>0.39110518991947174</v>
      </c>
    </row>
    <row r="5" spans="1:78" hidden="1" x14ac:dyDescent="0.3">
      <c r="A5" s="5617" t="s">
        <v>168</v>
      </c>
      <c r="B5" s="5618" t="s">
        <v>107</v>
      </c>
      <c r="C5" s="5619">
        <v>4.3000001907348633</v>
      </c>
      <c r="D5" s="5620">
        <v>1104</v>
      </c>
      <c r="E5" s="5621">
        <v>13</v>
      </c>
      <c r="F5" s="5622">
        <v>38</v>
      </c>
      <c r="G5" s="5623">
        <v>0</v>
      </c>
      <c r="H5" s="5624">
        <v>5</v>
      </c>
      <c r="I5" s="5625">
        <v>197</v>
      </c>
      <c r="J5" s="5626">
        <f>HLOOKUP("BPS",A1:CV300,5,FALSE)-((-6*HLOOKUP("OG",A1:CV300,5,FALSE))+(-6*HLOOKUP("PK Miss",A1:CV300,5,FALSE))+(9*HLOOKUP("FPL As",A1:CV300,5,FALSE))+(12*HLOOKUP("CS",A1:CV300,5,FALSE))+(12*HLOOKUP("Gs",A1:CV300,5,FALSE)))</f>
        <v>152</v>
      </c>
      <c r="K5" s="5627">
        <v>0</v>
      </c>
      <c r="L5" s="5628">
        <v>3</v>
      </c>
      <c r="M5" s="5629">
        <v>4</v>
      </c>
      <c r="N5" s="5630">
        <v>3</v>
      </c>
      <c r="O5" s="5631">
        <v>1</v>
      </c>
      <c r="P5" s="5632">
        <f>IF(HLOOKUP("Shots",A1:CV300,5,FALSE)=0,0,HLOOKUP("SIB",A1:CV300,5,FALSE)/HLOOKUP("Shots",A1:CV300,5,FALSE))</f>
        <v>0.33333333333333331</v>
      </c>
      <c r="Q5" s="5633">
        <v>0</v>
      </c>
      <c r="R5" s="5634">
        <f>IF(HLOOKUP("Shots",A1:CV300,5,FALSE)=0,0,HLOOKUP("S6YD",A1:CV300,5,FALSE)/HLOOKUP("Shots",A1:CV300,5,FALSE))</f>
        <v>0</v>
      </c>
      <c r="S5" s="5635">
        <v>0</v>
      </c>
      <c r="T5" s="5636">
        <f>IF(HLOOKUP("Shots",A1:CV300,5,FALSE)=0,0,HLOOKUP("Headers",A1:CV300,5,FALSE)/HLOOKUP("Shots",A1:CV300,5,FALSE))</f>
        <v>0</v>
      </c>
      <c r="U5" s="5637">
        <v>1</v>
      </c>
      <c r="V5" s="5638">
        <f>IF(HLOOKUP("Shots",A1:CV300,5,FALSE)=0,0,HLOOKUP("SOT",A1:CV300,5,FALSE)/HLOOKUP("Shots",A1:CV300,5,FALSE))</f>
        <v>0.33333333333333331</v>
      </c>
      <c r="W5" s="5639">
        <f>IF(HLOOKUP("Shots",A1:CV300,5,FALSE)=0,0,HLOOKUP("Gs",A1:CV300,5,FALSE)/HLOOKUP("Shots",A1:CV300,5,FALSE))</f>
        <v>0</v>
      </c>
      <c r="X5" s="5640">
        <v>0</v>
      </c>
      <c r="Y5" s="5641">
        <v>1</v>
      </c>
      <c r="Z5" s="5642">
        <v>2</v>
      </c>
      <c r="AA5" s="5643">
        <f>IF(HLOOKUP("KP",A1:CV300,5,FALSE)=0,0,HLOOKUP("As",A1:CV300,5,FALSE)/HLOOKUP("KP",A1:CV300,5,FALSE))</f>
        <v>0</v>
      </c>
      <c r="AB5" s="5644">
        <v>30.9</v>
      </c>
      <c r="AC5" s="5645">
        <v>10</v>
      </c>
      <c r="AD5" s="5646">
        <v>0</v>
      </c>
      <c r="AE5" s="5647">
        <v>0</v>
      </c>
      <c r="AF5" s="5648">
        <v>0</v>
      </c>
      <c r="AG5" s="5649">
        <f>IF(HLOOKUP("BC",A1:CV300,5,FALSE)=0,0,HLOOKUP("Gs - BC",A1:CV300,5,FALSE)/HLOOKUP("BC",A1:CV300,5,FALSE))</f>
        <v>0</v>
      </c>
      <c r="AH5" s="5650">
        <f>HLOOKUP("BC",A1:CV300,5,FALSE) - HLOOKUP("BC Miss",A1:CV300,5,FALSE)</f>
        <v>0</v>
      </c>
      <c r="AI5" s="5651">
        <f>IF(HLOOKUP("Gs",A1:CV300,5,FALSE)=0,0,HLOOKUP("Gs - BC",A1:CV300,5,FALSE)/HLOOKUP("Gs",A1:CV300,5,FALSE))</f>
        <v>0</v>
      </c>
      <c r="AJ5" s="5652">
        <v>0</v>
      </c>
      <c r="AK5" s="5653">
        <v>0</v>
      </c>
      <c r="AL5" s="5654">
        <f>HLOOKUP("BC",A1:CV300,5,FALSE) - (HLOOKUP("PK Gs",A1:CV300,5,FALSE) + HLOOKUP("PK Miss",A1:CV300,5,FALSE))</f>
        <v>0</v>
      </c>
      <c r="AM5" s="5655">
        <f>HLOOKUP("BC Miss",A1:CV300,5,FALSE) - HLOOKUP("PK Miss",A1:CV300,5,FALSE)</f>
        <v>0</v>
      </c>
      <c r="AN5" s="5656">
        <f>IF(HLOOKUP("BC - Open",A1:CV300,5,FALSE)=0,0,HLOOKUP("BC - Open Miss",A1:CV300,5,FALSE)/HLOOKUP("BC - Open",A1:CV300,5,FALSE))</f>
        <v>0</v>
      </c>
      <c r="AO5" s="5657">
        <v>0</v>
      </c>
      <c r="AP5" s="5658">
        <f>IF(HLOOKUP("Gs",A1:CV300,5,FALSE)=0,0,HLOOKUP("GIB",A1:CV300,5,FALSE)/HLOOKUP("Gs",A1:CV300,5,FALSE))</f>
        <v>0</v>
      </c>
      <c r="AQ5" s="5659">
        <v>0</v>
      </c>
      <c r="AR5" s="5660">
        <f>IF(HLOOKUP("Gs",A1:CV300,5,FALSE)=0,0,HLOOKUP("Gs - Open",A1:CV300,5,FALSE)/HLOOKUP("Gs",A1:CV300,5,FALSE))</f>
        <v>0</v>
      </c>
      <c r="AS5" s="5661">
        <v>0.17</v>
      </c>
      <c r="AT5" s="5662">
        <v>0.39</v>
      </c>
      <c r="AU5" s="5663">
        <f>IF(HLOOKUP("Mins",A1:CV300,5,FALSE)=0,0,HLOOKUP("Pts",A1:CV300,5,FALSE)/HLOOKUP("Mins",A1:CV300,5,FALSE)* 90)</f>
        <v>3.097826086956522</v>
      </c>
      <c r="AV5" s="5664">
        <f>IF(HLOOKUP("Apps",A1:CV300,5,FALSE)=0,0,HLOOKUP("Pts",A1:CV300,5,FALSE)/HLOOKUP("Apps",A1:CV300,5,FALSE)* 1)</f>
        <v>2.9230769230769229</v>
      </c>
      <c r="AW5" s="5665">
        <f>IF(HLOOKUP("Mins",A1:CV300,5,FALSE)=0,0,HLOOKUP("Gs",A1:CV300,5,FALSE)/HLOOKUP("Mins",A1:CV300,5,FALSE)* 90)</f>
        <v>0</v>
      </c>
      <c r="AX5" s="5666">
        <f>IF(HLOOKUP("Mins",A1:CV300,5,FALSE)=0,0,HLOOKUP("Bonus",A1:CV300,5,FALSE)/HLOOKUP("Mins",A1:CV300,5,FALSE)* 90)</f>
        <v>0.40760869565217395</v>
      </c>
      <c r="AY5" s="5667">
        <f>IF(HLOOKUP("Mins",A1:CV300,5,FALSE)=0,0,HLOOKUP("BPS",A1:CV300,5,FALSE)/HLOOKUP("Mins",A1:CV300,5,FALSE)* 90)</f>
        <v>16.059782608695652</v>
      </c>
      <c r="AZ5" s="5668">
        <f>IF(HLOOKUP("Mins",A1:CV300,5,FALSE)=0,0,HLOOKUP("Base BPS",A1:CV300,5,FALSE)/HLOOKUP("Mins",A1:CV300,5,FALSE)* 90)</f>
        <v>12.391304347826088</v>
      </c>
      <c r="BA5" s="5669">
        <f>IF(HLOOKUP("Mins",A1:CV300,5,FALSE)=0,0,HLOOKUP("PenTchs",A1:CV300,5,FALSE)/HLOOKUP("Mins",A1:CV300,5,FALSE)* 90)</f>
        <v>0.32608695652173914</v>
      </c>
      <c r="BB5" s="5670">
        <f>IF(HLOOKUP("Mins",A1:CV300,5,FALSE)=0,0,HLOOKUP("Shots",A1:CV300,5,FALSE)/HLOOKUP("Mins",A1:CV300,5,FALSE)* 90)</f>
        <v>0.24456521739130435</v>
      </c>
      <c r="BC5" s="5671">
        <f>IF(HLOOKUP("Mins",A1:CV300,5,FALSE)=0,0,HLOOKUP("SIB",A1:CV300,5,FALSE)/HLOOKUP("Mins",A1:CV300,5,FALSE)* 90)</f>
        <v>8.1521739130434784E-2</v>
      </c>
      <c r="BD5" s="5672">
        <f>IF(HLOOKUP("Mins",A1:CV300,5,FALSE)=0,0,HLOOKUP("S6YD",A1:CV300,5,FALSE)/HLOOKUP("Mins",A1:CV300,5,FALSE)* 90)</f>
        <v>0</v>
      </c>
      <c r="BE5" s="5673">
        <f>IF(HLOOKUP("Mins",A1:CV300,5,FALSE)=0,0,HLOOKUP("Headers",A1:CV300,5,FALSE)/HLOOKUP("Mins",A1:CV300,5,FALSE)* 90)</f>
        <v>0</v>
      </c>
      <c r="BF5" s="5674">
        <f>IF(HLOOKUP("Mins",A1:CV300,5,FALSE)=0,0,HLOOKUP("SOT",A1:CV300,5,FALSE)/HLOOKUP("Mins",A1:CV300,5,FALSE)* 90)</f>
        <v>8.1521739130434784E-2</v>
      </c>
      <c r="BG5" s="5675">
        <f>IF(HLOOKUP("Mins",A1:CV300,5,FALSE)=0,0,HLOOKUP("As",A1:CV300,5,FALSE)/HLOOKUP("Mins",A1:CV300,5,FALSE)* 90)</f>
        <v>0</v>
      </c>
      <c r="BH5" s="5676">
        <f>IF(HLOOKUP("Mins",A1:CV300,5,FALSE)=0,0,HLOOKUP("FPL As",A1:CV300,5,FALSE)/HLOOKUP("Mins",A1:CV300,5,FALSE)* 90)</f>
        <v>8.1521739130434784E-2</v>
      </c>
      <c r="BI5" s="5677">
        <f>IF(HLOOKUP("Mins",A1:CV300,5,FALSE)=0,0,HLOOKUP("BC Created",A1:CV300,5,FALSE)/HLOOKUP("Mins",A1:CV300,5,FALSE)* 90)</f>
        <v>0</v>
      </c>
      <c r="BJ5" s="5678">
        <f>IF(HLOOKUP("Mins",A1:CV300,5,FALSE)=0,0,HLOOKUP("KP",A1:CV300,5,FALSE)/HLOOKUP("Mins",A1:CV300,5,FALSE)* 90)</f>
        <v>0.16304347826086957</v>
      </c>
      <c r="BK5" s="5679">
        <f>IF(HLOOKUP("Mins",A1:CV300,5,FALSE)=0,0,HLOOKUP("BC",A1:CV300,5,FALSE)/HLOOKUP("Mins",A1:CV300,5,FALSE)* 90)</f>
        <v>0</v>
      </c>
      <c r="BL5" s="5680">
        <f>IF(HLOOKUP("Mins",A1:CV300,5,FALSE)=0,0,HLOOKUP("BC Miss",A1:CV300,5,FALSE)/HLOOKUP("Mins",A1:CV300,5,FALSE)* 90)</f>
        <v>0</v>
      </c>
      <c r="BM5" s="5681">
        <f>IF(HLOOKUP("Mins",A1:CV300,5,FALSE)=0,0,HLOOKUP("Gs - BC",A1:CV300,5,FALSE)/HLOOKUP("Mins",A1:CV300,5,FALSE)* 90)</f>
        <v>0</v>
      </c>
      <c r="BN5" s="5682">
        <f>IF(HLOOKUP("Mins",A1:CV300,5,FALSE)=0,0,HLOOKUP("GIB",A1:CV300,5,FALSE)/HLOOKUP("Mins",A1:CV300,5,FALSE)* 90)</f>
        <v>0</v>
      </c>
      <c r="BO5" s="5683">
        <f>IF(HLOOKUP("Mins",A1:CV300,5,FALSE)=0,0,HLOOKUP("Gs - Open",A1:CV300,5,FALSE)/HLOOKUP("Mins",A1:CV300,5,FALSE)* 90)</f>
        <v>0</v>
      </c>
      <c r="BP5" s="5684">
        <f>IF(HLOOKUP("Mins",A1:CV300,5,FALSE)=0,0,HLOOKUP("ICT Index",A1:CV300,5,FALSE)/HLOOKUP("Mins",A1:CV300,5,FALSE)* 90)</f>
        <v>2.5190217391304346</v>
      </c>
      <c r="BQ5" s="5685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  <v>1.0842391304347826E-2</v>
      </c>
      <c r="BR5" s="5686">
        <f>0.0825*HLOOKUP("KP/90",A1:CV300,5,FALSE)</f>
        <v>1.345108695652174E-2</v>
      </c>
      <c r="BS5" s="5687">
        <f>6*HLOOKUP("xG/90",A1:CV300,5,FALSE)+3*HLOOKUP("xA/90",A1:CV300,5,FALSE)</f>
        <v>0.10540760869565219</v>
      </c>
      <c r="BT5" s="5688">
        <f>HLOOKUP("xPts/90",A1:CV300,5,FALSE)-(6*0.75*(HLOOKUP("PK Gs",A1:CV300,5,FALSE)+HLOOKUP("PK Miss",A1:CV300,5,FALSE))*90/HLOOKUP("Mins",A1:CV300,5,FALSE))</f>
        <v>0.10540760869565219</v>
      </c>
      <c r="BU5" s="5689">
        <f>IF(HLOOKUP("Mins",A1:CV300,5,FALSE)=0,0,HLOOKUP("fsXG",A1:CV300,5,FALSE)/HLOOKUP("Mins",A1:CV300,5,FALSE)* 90)</f>
        <v>1.3858695652173915E-2</v>
      </c>
      <c r="BV5" s="5690">
        <f>IF(HLOOKUP("Mins",A1:CV300,5,FALSE)=0,0,HLOOKUP("fsXA",A1:CV300,5,FALSE)/HLOOKUP("Mins",A1:CV300,5,FALSE)* 90)</f>
        <v>3.1793478260869569E-2</v>
      </c>
      <c r="BW5" s="5691">
        <f>6*HLOOKUP("fsXG/90",A1:CV300,5,FALSE)+3*HLOOKUP("fsXA/90",A1:CV300,5,FALSE)</f>
        <v>0.17853260869565218</v>
      </c>
      <c r="BX5" s="5692">
        <v>1.1934605427086353E-2</v>
      </c>
      <c r="BY5" s="5693">
        <v>6.4706755802035332E-3</v>
      </c>
      <c r="BZ5" s="5694">
        <f>6*HLOOKUP("uXG/90",A1:CV300,5,FALSE)+3*HLOOKUP("uXA/90",A1:CV300,5,FALSE)</f>
        <v>9.1019659303128719E-2</v>
      </c>
    </row>
    <row r="6" spans="1:78" hidden="1" x14ac:dyDescent="0.3">
      <c r="A6" s="5695" t="s">
        <v>169</v>
      </c>
      <c r="B6" s="5696" t="s">
        <v>100</v>
      </c>
      <c r="C6" s="5697">
        <v>4</v>
      </c>
      <c r="D6" s="5698">
        <v>180</v>
      </c>
      <c r="E6" s="5699">
        <v>2</v>
      </c>
      <c r="F6" s="5700">
        <v>4</v>
      </c>
      <c r="G6" s="5701">
        <v>0</v>
      </c>
      <c r="H6" s="5702">
        <v>0</v>
      </c>
      <c r="I6" s="5703">
        <v>21</v>
      </c>
      <c r="J6" s="5704">
        <f>HLOOKUP("BPS",A1:CV300,6,FALSE)-((-6*HLOOKUP("OG",A1:CV300,6,FALSE))+(-6*HLOOKUP("PK Miss",A1:CV300,6,FALSE))+(9*HLOOKUP("FPL As",A1:CV300,6,FALSE))+(12*HLOOKUP("CS",A1:CV300,6,FALSE))+(12*HLOOKUP("Gs",A1:CV300,6,FALSE)))</f>
        <v>21</v>
      </c>
      <c r="K6" s="5705">
        <v>0</v>
      </c>
      <c r="L6" s="5706">
        <v>0</v>
      </c>
      <c r="M6" s="5707">
        <v>0</v>
      </c>
      <c r="N6" s="5708">
        <v>0</v>
      </c>
      <c r="O6" s="5709">
        <v>0</v>
      </c>
      <c r="P6" s="5710">
        <f>IF(HLOOKUP("Shots",A1:CV300,6,FALSE)=0,0,HLOOKUP("SIB",A1:CV300,6,FALSE)/HLOOKUP("Shots",A1:CV300,6,FALSE))</f>
        <v>0</v>
      </c>
      <c r="Q6" s="5711">
        <v>0</v>
      </c>
      <c r="R6" s="5712">
        <f>IF(HLOOKUP("Shots",A1:CV300,6,FALSE)=0,0,HLOOKUP("S6YD",A1:CV300,6,FALSE)/HLOOKUP("Shots",A1:CV300,6,FALSE))</f>
        <v>0</v>
      </c>
      <c r="S6" s="5713">
        <v>0</v>
      </c>
      <c r="T6" s="5714">
        <f>IF(HLOOKUP("Shots",A1:CV300,6,FALSE)=0,0,HLOOKUP("Headers",A1:CV300,6,FALSE)/HLOOKUP("Shots",A1:CV300,6,FALSE))</f>
        <v>0</v>
      </c>
      <c r="U6" s="5715">
        <v>0</v>
      </c>
      <c r="V6" s="5716">
        <f>IF(HLOOKUP("Shots",A1:CV300,6,FALSE)=0,0,HLOOKUP("SOT",A1:CV300,6,FALSE)/HLOOKUP("Shots",A1:CV300,6,FALSE))</f>
        <v>0</v>
      </c>
      <c r="W6" s="5717">
        <f>IF(HLOOKUP("Shots",A1:CV300,6,FALSE)=0,0,HLOOKUP("Gs",A1:CV300,6,FALSE)/HLOOKUP("Shots",A1:CV300,6,FALSE))</f>
        <v>0</v>
      </c>
      <c r="X6" s="5718">
        <v>0</v>
      </c>
      <c r="Y6" s="5719">
        <v>0</v>
      </c>
      <c r="Z6" s="5720">
        <v>0</v>
      </c>
      <c r="AA6" s="5721">
        <f>IF(HLOOKUP("KP",A1:CV300,6,FALSE)=0,0,HLOOKUP("As",A1:CV300,6,FALSE)/HLOOKUP("KP",A1:CV300,6,FALSE))</f>
        <v>0</v>
      </c>
      <c r="AB6" s="5722">
        <v>3.5</v>
      </c>
      <c r="AC6" s="5723">
        <v>0</v>
      </c>
      <c r="AD6" s="5724">
        <v>0</v>
      </c>
      <c r="AE6" s="5725">
        <v>0</v>
      </c>
      <c r="AF6" s="5726">
        <v>0</v>
      </c>
      <c r="AG6" s="5727">
        <f>IF(HLOOKUP("BC",A1:CV300,6,FALSE)=0,0,HLOOKUP("Gs - BC",A1:CV300,6,FALSE)/HLOOKUP("BC",A1:CV300,6,FALSE))</f>
        <v>0</v>
      </c>
      <c r="AH6" s="5728">
        <f>HLOOKUP("BC",A1:CV300,6,FALSE) - HLOOKUP("BC Miss",A1:CV300,6,FALSE)</f>
        <v>0</v>
      </c>
      <c r="AI6" s="5729">
        <f>IF(HLOOKUP("Gs",A1:CV300,6,FALSE)=0,0,HLOOKUP("Gs - BC",A1:CV300,6,FALSE)/HLOOKUP("Gs",A1:CV300,6,FALSE))</f>
        <v>0</v>
      </c>
      <c r="AJ6" s="5730">
        <v>0</v>
      </c>
      <c r="AK6" s="5731">
        <v>0</v>
      </c>
      <c r="AL6" s="5732">
        <f>HLOOKUP("BC",A1:CV300,6,FALSE) - (HLOOKUP("PK Gs",A1:CV300,6,FALSE) + HLOOKUP("PK Miss",A1:CV300,6,FALSE))</f>
        <v>0</v>
      </c>
      <c r="AM6" s="5733">
        <f>HLOOKUP("BC Miss",A1:CV300,6,FALSE) - HLOOKUP("PK Miss",A1:CV300,6,FALSE)</f>
        <v>0</v>
      </c>
      <c r="AN6" s="5734">
        <f>IF(HLOOKUP("BC - Open",A1:CV300,6,FALSE)=0,0,HLOOKUP("BC - Open Miss",A1:CV300,6,FALSE)/HLOOKUP("BC - Open",A1:CV300,6,FALSE))</f>
        <v>0</v>
      </c>
      <c r="AO6" s="5735">
        <v>0</v>
      </c>
      <c r="AP6" s="5736">
        <f>IF(HLOOKUP("Gs",A1:CV300,6,FALSE)=0,0,HLOOKUP("GIB",A1:CV300,6,FALSE)/HLOOKUP("Gs",A1:CV300,6,FALSE))</f>
        <v>0</v>
      </c>
      <c r="AQ6" s="5737">
        <v>0</v>
      </c>
      <c r="AR6" s="5738">
        <f>IF(HLOOKUP("Gs",A1:CV300,6,FALSE)=0,0,HLOOKUP("Gs - Open",A1:CV300,6,FALSE)/HLOOKUP("Gs",A1:CV300,6,FALSE))</f>
        <v>0</v>
      </c>
      <c r="AS6" s="5739">
        <v>0</v>
      </c>
      <c r="AT6" s="5740">
        <v>0.01</v>
      </c>
      <c r="AU6" s="5741">
        <f>IF(HLOOKUP("Mins",A1:CV300,6,FALSE)=0,0,HLOOKUP("Pts",A1:CV300,6,FALSE)/HLOOKUP("Mins",A1:CV300,6,FALSE)* 90)</f>
        <v>2</v>
      </c>
      <c r="AV6" s="5742">
        <f>IF(HLOOKUP("Apps",A1:CV300,6,FALSE)=0,0,HLOOKUP("Pts",A1:CV300,6,FALSE)/HLOOKUP("Apps",A1:CV300,6,FALSE)* 1)</f>
        <v>2</v>
      </c>
      <c r="AW6" s="5743">
        <f>IF(HLOOKUP("Mins",A1:CV300,6,FALSE)=0,0,HLOOKUP("Gs",A1:CV300,6,FALSE)/HLOOKUP("Mins",A1:CV300,6,FALSE)* 90)</f>
        <v>0</v>
      </c>
      <c r="AX6" s="5744">
        <f>IF(HLOOKUP("Mins",A1:CV300,6,FALSE)=0,0,HLOOKUP("Bonus",A1:CV300,6,FALSE)/HLOOKUP("Mins",A1:CV300,6,FALSE)* 90)</f>
        <v>0</v>
      </c>
      <c r="AY6" s="5745">
        <f>IF(HLOOKUP("Mins",A1:CV300,6,FALSE)=0,0,HLOOKUP("BPS",A1:CV300,6,FALSE)/HLOOKUP("Mins",A1:CV300,6,FALSE)* 90)</f>
        <v>10.5</v>
      </c>
      <c r="AZ6" s="5746">
        <f>IF(HLOOKUP("Mins",A1:CV300,6,FALSE)=0,0,HLOOKUP("Base BPS",A1:CV300,6,FALSE)/HLOOKUP("Mins",A1:CV300,6,FALSE)* 90)</f>
        <v>10.5</v>
      </c>
      <c r="BA6" s="5747">
        <f>IF(HLOOKUP("Mins",A1:CV300,6,FALSE)=0,0,HLOOKUP("PenTchs",A1:CV300,6,FALSE)/HLOOKUP("Mins",A1:CV300,6,FALSE)* 90)</f>
        <v>0</v>
      </c>
      <c r="BB6" s="5748">
        <f>IF(HLOOKUP("Mins",A1:CV300,6,FALSE)=0,0,HLOOKUP("Shots",A1:CV300,6,FALSE)/HLOOKUP("Mins",A1:CV300,6,FALSE)* 90)</f>
        <v>0</v>
      </c>
      <c r="BC6" s="5749">
        <f>IF(HLOOKUP("Mins",A1:CV300,6,FALSE)=0,0,HLOOKUP("SIB",A1:CV300,6,FALSE)/HLOOKUP("Mins",A1:CV300,6,FALSE)* 90)</f>
        <v>0</v>
      </c>
      <c r="BD6" s="5750">
        <f>IF(HLOOKUP("Mins",A1:CV300,6,FALSE)=0,0,HLOOKUP("S6YD",A1:CV300,6,FALSE)/HLOOKUP("Mins",A1:CV300,6,FALSE)* 90)</f>
        <v>0</v>
      </c>
      <c r="BE6" s="5751">
        <f>IF(HLOOKUP("Mins",A1:CV300,6,FALSE)=0,0,HLOOKUP("Headers",A1:CV300,6,FALSE)/HLOOKUP("Mins",A1:CV300,6,FALSE)* 90)</f>
        <v>0</v>
      </c>
      <c r="BF6" s="5752">
        <f>IF(HLOOKUP("Mins",A1:CV300,6,FALSE)=0,0,HLOOKUP("SOT",A1:CV300,6,FALSE)/HLOOKUP("Mins",A1:CV300,6,FALSE)* 90)</f>
        <v>0</v>
      </c>
      <c r="BG6" s="5753">
        <f>IF(HLOOKUP("Mins",A1:CV300,6,FALSE)=0,0,HLOOKUP("As",A1:CV300,6,FALSE)/HLOOKUP("Mins",A1:CV300,6,FALSE)* 90)</f>
        <v>0</v>
      </c>
      <c r="BH6" s="5754">
        <f>IF(HLOOKUP("Mins",A1:CV300,6,FALSE)=0,0,HLOOKUP("FPL As",A1:CV300,6,FALSE)/HLOOKUP("Mins",A1:CV300,6,FALSE)* 90)</f>
        <v>0</v>
      </c>
      <c r="BI6" s="5755">
        <f>IF(HLOOKUP("Mins",A1:CV300,6,FALSE)=0,0,HLOOKUP("BC Created",A1:CV300,6,FALSE)/HLOOKUP("Mins",A1:CV300,6,FALSE)* 90)</f>
        <v>0</v>
      </c>
      <c r="BJ6" s="5756">
        <f>IF(HLOOKUP("Mins",A1:CV300,6,FALSE)=0,0,HLOOKUP("KP",A1:CV300,6,FALSE)/HLOOKUP("Mins",A1:CV300,6,FALSE)* 90)</f>
        <v>0</v>
      </c>
      <c r="BK6" s="5757">
        <f>IF(HLOOKUP("Mins",A1:CV300,6,FALSE)=0,0,HLOOKUP("BC",A1:CV300,6,FALSE)/HLOOKUP("Mins",A1:CV300,6,FALSE)* 90)</f>
        <v>0</v>
      </c>
      <c r="BL6" s="5758">
        <f>IF(HLOOKUP("Mins",A1:CV300,6,FALSE)=0,0,HLOOKUP("BC Miss",A1:CV300,6,FALSE)/HLOOKUP("Mins",A1:CV300,6,FALSE)* 90)</f>
        <v>0</v>
      </c>
      <c r="BM6" s="5759">
        <f>IF(HLOOKUP("Mins",A1:CV300,6,FALSE)=0,0,HLOOKUP("Gs - BC",A1:CV300,6,FALSE)/HLOOKUP("Mins",A1:CV300,6,FALSE)* 90)</f>
        <v>0</v>
      </c>
      <c r="BN6" s="5760">
        <f>IF(HLOOKUP("Mins",A1:CV300,6,FALSE)=0,0,HLOOKUP("GIB",A1:CV300,6,FALSE)/HLOOKUP("Mins",A1:CV300,6,FALSE)* 90)</f>
        <v>0</v>
      </c>
      <c r="BO6" s="5761">
        <f>IF(HLOOKUP("Mins",A1:CV300,6,FALSE)=0,0,HLOOKUP("Gs - Open",A1:CV300,6,FALSE)/HLOOKUP("Mins",A1:CV300,6,FALSE)* 90)</f>
        <v>0</v>
      </c>
      <c r="BP6" s="5762">
        <f>IF(HLOOKUP("Mins",A1:CV300,6,FALSE)=0,0,HLOOKUP("ICT Index",A1:CV300,6,FALSE)/HLOOKUP("Mins",A1:CV300,6,FALSE)* 90)</f>
        <v>1.75</v>
      </c>
      <c r="BQ6" s="5763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  <v>0</v>
      </c>
      <c r="BR6" s="5764">
        <f>0.0825*HLOOKUP("KP/90",A1:CV300,6,FALSE)</f>
        <v>0</v>
      </c>
      <c r="BS6" s="5765">
        <f>6*HLOOKUP("xG/90",A1:CV300,6,FALSE)+3*HLOOKUP("xA/90",A1:CV300,6,FALSE)</f>
        <v>0</v>
      </c>
      <c r="BT6" s="5766">
        <f>HLOOKUP("xPts/90",A1:CV300,6,FALSE)-(6*0.75*(HLOOKUP("PK Gs",A1:CV300,6,FALSE)+HLOOKUP("PK Miss",A1:CV300,6,FALSE))*90/HLOOKUP("Mins",A1:CV300,6,FALSE))</f>
        <v>0</v>
      </c>
      <c r="BU6" s="5767">
        <f>IF(HLOOKUP("Mins",A1:CV300,6,FALSE)=0,0,HLOOKUP("fsXG",A1:CV300,6,FALSE)/HLOOKUP("Mins",A1:CV300,6,FALSE)* 90)</f>
        <v>0</v>
      </c>
      <c r="BV6" s="5768">
        <f>IF(HLOOKUP("Mins",A1:CV300,6,FALSE)=0,0,HLOOKUP("fsXA",A1:CV300,6,FALSE)/HLOOKUP("Mins",A1:CV300,6,FALSE)* 90)</f>
        <v>5.0000000000000001E-3</v>
      </c>
      <c r="BW6" s="5769">
        <f>6*HLOOKUP("fsXG/90",A1:CV300,6,FALSE)+3*HLOOKUP("fsXA/90",A1:CV300,6,FALSE)</f>
        <v>1.4999999999999999E-2</v>
      </c>
      <c r="BX6" s="5770">
        <v>0</v>
      </c>
      <c r="BY6" s="5771">
        <v>0</v>
      </c>
      <c r="BZ6" s="5772">
        <f>6*HLOOKUP("uXG/90",A1:CV300,6,FALSE)+3*HLOOKUP("uXA/90",A1:CV300,6,FALSE)</f>
        <v>0</v>
      </c>
    </row>
    <row r="7" spans="1:78" hidden="1" x14ac:dyDescent="0.3">
      <c r="A7" s="5773" t="s">
        <v>170</v>
      </c>
      <c r="B7" s="5774" t="s">
        <v>96</v>
      </c>
      <c r="C7" s="5775">
        <v>5.0999999046325684</v>
      </c>
      <c r="D7" s="5776">
        <v>1980</v>
      </c>
      <c r="E7" s="5777">
        <v>22</v>
      </c>
      <c r="F7" s="5778">
        <v>73</v>
      </c>
      <c r="G7" s="5779">
        <v>1</v>
      </c>
      <c r="H7" s="5780">
        <v>9</v>
      </c>
      <c r="I7" s="5781">
        <v>378</v>
      </c>
      <c r="J7" s="5782">
        <f>HLOOKUP("BPS",A1:CV300,7,FALSE)-((-6*HLOOKUP("OG",A1:CV300,7,FALSE))+(-6*HLOOKUP("PK Miss",A1:CV300,7,FALSE))+(9*HLOOKUP("FPL As",A1:CV300,7,FALSE))+(12*HLOOKUP("CS",A1:CV300,7,FALSE))+(12*HLOOKUP("Gs",A1:CV300,7,FALSE)))</f>
        <v>264</v>
      </c>
      <c r="K7" s="5783">
        <v>0</v>
      </c>
      <c r="L7" s="5784">
        <v>7</v>
      </c>
      <c r="M7" s="5785">
        <v>45</v>
      </c>
      <c r="N7" s="5786">
        <v>15</v>
      </c>
      <c r="O7" s="5787">
        <v>15</v>
      </c>
      <c r="P7" s="5788">
        <f>IF(HLOOKUP("Shots",A1:CV300,7,FALSE)=0,0,HLOOKUP("SIB",A1:CV300,7,FALSE)/HLOOKUP("Shots",A1:CV300,7,FALSE))</f>
        <v>1</v>
      </c>
      <c r="Q7" s="5789">
        <v>5</v>
      </c>
      <c r="R7" s="5790">
        <f>IF(HLOOKUP("Shots",A1:CV300,7,FALSE)=0,0,HLOOKUP("S6YD",A1:CV300,7,FALSE)/HLOOKUP("Shots",A1:CV300,7,FALSE))</f>
        <v>0.33333333333333331</v>
      </c>
      <c r="S7" s="5791">
        <v>11</v>
      </c>
      <c r="T7" s="5792">
        <f>IF(HLOOKUP("Shots",A1:CV300,7,FALSE)=0,0,HLOOKUP("Headers",A1:CV300,7,FALSE)/HLOOKUP("Shots",A1:CV300,7,FALSE))</f>
        <v>0.73333333333333328</v>
      </c>
      <c r="U7" s="5793">
        <v>3</v>
      </c>
      <c r="V7" s="5794">
        <f>IF(HLOOKUP("Shots",A1:CV300,7,FALSE)=0,0,HLOOKUP("SOT",A1:CV300,7,FALSE)/HLOOKUP("Shots",A1:CV300,7,FALSE))</f>
        <v>0.2</v>
      </c>
      <c r="W7" s="5795">
        <f>IF(HLOOKUP("Shots",A1:CV300,7,FALSE)=0,0,HLOOKUP("Gs",A1:CV300,7,FALSE)/HLOOKUP("Shots",A1:CV300,7,FALSE))</f>
        <v>6.6666666666666666E-2</v>
      </c>
      <c r="X7" s="5796">
        <v>1</v>
      </c>
      <c r="Y7" s="5797">
        <v>2</v>
      </c>
      <c r="Z7" s="5798">
        <v>7</v>
      </c>
      <c r="AA7" s="5799">
        <f>IF(HLOOKUP("KP",A1:CV300,7,FALSE)=0,0,HLOOKUP("As",A1:CV300,7,FALSE)/HLOOKUP("KP",A1:CV300,7,FALSE))</f>
        <v>0.14285714285714285</v>
      </c>
      <c r="AB7" s="5800">
        <v>83.8</v>
      </c>
      <c r="AC7" s="5801">
        <v>12</v>
      </c>
      <c r="AD7" s="5802">
        <v>4</v>
      </c>
      <c r="AE7" s="5803">
        <v>2</v>
      </c>
      <c r="AF7" s="5804">
        <v>1</v>
      </c>
      <c r="AG7" s="5805">
        <f>IF(HLOOKUP("BC",A1:CV300,7,FALSE)=0,0,HLOOKUP("Gs - BC",A1:CV300,7,FALSE)/HLOOKUP("BC",A1:CV300,7,FALSE))</f>
        <v>0.5</v>
      </c>
      <c r="AH7" s="5806">
        <f>HLOOKUP("BC",A1:CV300,7,FALSE) - HLOOKUP("BC Miss",A1:CV300,7,FALSE)</f>
        <v>1</v>
      </c>
      <c r="AI7" s="5807">
        <f>IF(HLOOKUP("Gs",A1:CV300,7,FALSE)=0,0,HLOOKUP("Gs - BC",A1:CV300,7,FALSE)/HLOOKUP("Gs",A1:CV300,7,FALSE))</f>
        <v>1</v>
      </c>
      <c r="AJ7" s="5808">
        <v>0</v>
      </c>
      <c r="AK7" s="5809">
        <v>0</v>
      </c>
      <c r="AL7" s="5810">
        <f>HLOOKUP("BC",A1:CV300,7,FALSE) - (HLOOKUP("PK Gs",A1:CV300,7,FALSE) + HLOOKUP("PK Miss",A1:CV300,7,FALSE))</f>
        <v>2</v>
      </c>
      <c r="AM7" s="5811">
        <f>HLOOKUP("BC Miss",A1:CV300,7,FALSE) - HLOOKUP("PK Miss",A1:CV300,7,FALSE)</f>
        <v>1</v>
      </c>
      <c r="AN7" s="5812">
        <f>IF(HLOOKUP("BC - Open",A1:CV300,7,FALSE)=0,0,HLOOKUP("BC - Open Miss",A1:CV300,7,FALSE)/HLOOKUP("BC - Open",A1:CV300,7,FALSE))</f>
        <v>0.5</v>
      </c>
      <c r="AO7" s="5813">
        <v>1</v>
      </c>
      <c r="AP7" s="5814">
        <f>IF(HLOOKUP("Gs",A1:CV300,7,FALSE)=0,0,HLOOKUP("GIB",A1:CV300,7,FALSE)/HLOOKUP("Gs",A1:CV300,7,FALSE))</f>
        <v>1</v>
      </c>
      <c r="AQ7" s="5815">
        <v>0</v>
      </c>
      <c r="AR7" s="5816">
        <f>IF(HLOOKUP("Gs",A1:CV300,7,FALSE)=0,0,HLOOKUP("Gs - Open",A1:CV300,7,FALSE)/HLOOKUP("Gs",A1:CV300,7,FALSE))</f>
        <v>0</v>
      </c>
      <c r="AS7" s="5817">
        <v>1.34</v>
      </c>
      <c r="AT7" s="5818">
        <v>1.1299999999999999</v>
      </c>
      <c r="AU7" s="5819">
        <f>IF(HLOOKUP("Mins",A1:CV300,7,FALSE)=0,0,HLOOKUP("Pts",A1:CV300,7,FALSE)/HLOOKUP("Mins",A1:CV300,7,FALSE)* 90)</f>
        <v>3.3181818181818183</v>
      </c>
      <c r="AV7" s="5820">
        <f>IF(HLOOKUP("Apps",A1:CV300,7,FALSE)=0,0,HLOOKUP("Pts",A1:CV300,7,FALSE)/HLOOKUP("Apps",A1:CV300,7,FALSE)* 1)</f>
        <v>3.3181818181818183</v>
      </c>
      <c r="AW7" s="5821">
        <f>IF(HLOOKUP("Mins",A1:CV300,7,FALSE)=0,0,HLOOKUP("Gs",A1:CV300,7,FALSE)/HLOOKUP("Mins",A1:CV300,7,FALSE)* 90)</f>
        <v>4.5454545454545456E-2</v>
      </c>
      <c r="AX7" s="5822">
        <f>IF(HLOOKUP("Mins",A1:CV300,7,FALSE)=0,0,HLOOKUP("Bonus",A1:CV300,7,FALSE)/HLOOKUP("Mins",A1:CV300,7,FALSE)* 90)</f>
        <v>0.40909090909090906</v>
      </c>
      <c r="AY7" s="5823">
        <f>IF(HLOOKUP("Mins",A1:CV300,7,FALSE)=0,0,HLOOKUP("BPS",A1:CV300,7,FALSE)/HLOOKUP("Mins",A1:CV300,7,FALSE)* 90)</f>
        <v>17.181818181818183</v>
      </c>
      <c r="AZ7" s="5824">
        <f>IF(HLOOKUP("Mins",A1:CV300,7,FALSE)=0,0,HLOOKUP("Base BPS",A1:CV300,7,FALSE)/HLOOKUP("Mins",A1:CV300,7,FALSE)* 90)</f>
        <v>12</v>
      </c>
      <c r="BA7" s="5825">
        <f>IF(HLOOKUP("Mins",A1:CV300,7,FALSE)=0,0,HLOOKUP("PenTchs",A1:CV300,7,FALSE)/HLOOKUP("Mins",A1:CV300,7,FALSE)* 90)</f>
        <v>2.0454545454545454</v>
      </c>
      <c r="BB7" s="5826">
        <f>IF(HLOOKUP("Mins",A1:CV300,7,FALSE)=0,0,HLOOKUP("Shots",A1:CV300,7,FALSE)/HLOOKUP("Mins",A1:CV300,7,FALSE)* 90)</f>
        <v>0.68181818181818188</v>
      </c>
      <c r="BC7" s="5827">
        <f>IF(HLOOKUP("Mins",A1:CV300,7,FALSE)=0,0,HLOOKUP("SIB",A1:CV300,7,FALSE)/HLOOKUP("Mins",A1:CV300,7,FALSE)* 90)</f>
        <v>0.68181818181818188</v>
      </c>
      <c r="BD7" s="5828">
        <f>IF(HLOOKUP("Mins",A1:CV300,7,FALSE)=0,0,HLOOKUP("S6YD",A1:CV300,7,FALSE)/HLOOKUP("Mins",A1:CV300,7,FALSE)* 90)</f>
        <v>0.22727272727272729</v>
      </c>
      <c r="BE7" s="5829">
        <f>IF(HLOOKUP("Mins",A1:CV300,7,FALSE)=0,0,HLOOKUP("Headers",A1:CV300,7,FALSE)/HLOOKUP("Mins",A1:CV300,7,FALSE)* 90)</f>
        <v>0.5</v>
      </c>
      <c r="BF7" s="5830">
        <f>IF(HLOOKUP("Mins",A1:CV300,7,FALSE)=0,0,HLOOKUP("SOT",A1:CV300,7,FALSE)/HLOOKUP("Mins",A1:CV300,7,FALSE)* 90)</f>
        <v>0.13636363636363635</v>
      </c>
      <c r="BG7" s="5831">
        <f>IF(HLOOKUP("Mins",A1:CV300,7,FALSE)=0,0,HLOOKUP("As",A1:CV300,7,FALSE)/HLOOKUP("Mins",A1:CV300,7,FALSE)* 90)</f>
        <v>4.5454545454545456E-2</v>
      </c>
      <c r="BH7" s="5832">
        <f>IF(HLOOKUP("Mins",A1:CV300,7,FALSE)=0,0,HLOOKUP("FPL As",A1:CV300,7,FALSE)/HLOOKUP("Mins",A1:CV300,7,FALSE)* 90)</f>
        <v>9.0909090909090912E-2</v>
      </c>
      <c r="BI7" s="5833">
        <f>IF(HLOOKUP("Mins",A1:CV300,7,FALSE)=0,0,HLOOKUP("BC Created",A1:CV300,7,FALSE)/HLOOKUP("Mins",A1:CV300,7,FALSE)* 90)</f>
        <v>0.18181818181818182</v>
      </c>
      <c r="BJ7" s="5834">
        <f>IF(HLOOKUP("Mins",A1:CV300,7,FALSE)=0,0,HLOOKUP("KP",A1:CV300,7,FALSE)/HLOOKUP("Mins",A1:CV300,7,FALSE)* 90)</f>
        <v>0.31818181818181818</v>
      </c>
      <c r="BK7" s="5835">
        <f>IF(HLOOKUP("Mins",A1:CV300,7,FALSE)=0,0,HLOOKUP("BC",A1:CV300,7,FALSE)/HLOOKUP("Mins",A1:CV300,7,FALSE)* 90)</f>
        <v>9.0909090909090912E-2</v>
      </c>
      <c r="BL7" s="5836">
        <f>IF(HLOOKUP("Mins",A1:CV300,7,FALSE)=0,0,HLOOKUP("BC Miss",A1:CV300,7,FALSE)/HLOOKUP("Mins",A1:CV300,7,FALSE)* 90)</f>
        <v>4.5454545454545456E-2</v>
      </c>
      <c r="BM7" s="5837">
        <f>IF(HLOOKUP("Mins",A1:CV300,7,FALSE)=0,0,HLOOKUP("Gs - BC",A1:CV300,7,FALSE)/HLOOKUP("Mins",A1:CV300,7,FALSE)* 90)</f>
        <v>4.5454545454545456E-2</v>
      </c>
      <c r="BN7" s="5838">
        <f>IF(HLOOKUP("Mins",A1:CV300,7,FALSE)=0,0,HLOOKUP("GIB",A1:CV300,7,FALSE)/HLOOKUP("Mins",A1:CV300,7,FALSE)* 90)</f>
        <v>4.5454545454545456E-2</v>
      </c>
      <c r="BO7" s="5839">
        <f>IF(HLOOKUP("Mins",A1:CV300,7,FALSE)=0,0,HLOOKUP("Gs - Open",A1:CV300,7,FALSE)/HLOOKUP("Mins",A1:CV300,7,FALSE)* 90)</f>
        <v>0</v>
      </c>
      <c r="BP7" s="5840">
        <f>IF(HLOOKUP("Mins",A1:CV300,7,FALSE)=0,0,HLOOKUP("ICT Index",A1:CV300,7,FALSE)/HLOOKUP("Mins",A1:CV300,7,FALSE)* 90)</f>
        <v>3.8090909090909091</v>
      </c>
      <c r="BQ7" s="5841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  <v>6.3409090909090915E-2</v>
      </c>
      <c r="BR7" s="5842">
        <f>0.0825*HLOOKUP("KP/90",A1:CV300,7,FALSE)</f>
        <v>2.6250000000000002E-2</v>
      </c>
      <c r="BS7" s="5843">
        <f>6*HLOOKUP("xG/90",A1:CV300,7,FALSE)+3*HLOOKUP("xA/90",A1:CV300,7,FALSE)</f>
        <v>0.45920454545454548</v>
      </c>
      <c r="BT7" s="5844">
        <f>HLOOKUP("xPts/90",A1:CV300,7,FALSE)-(6*0.75*(HLOOKUP("PK Gs",A1:CV300,7,FALSE)+HLOOKUP("PK Miss",A1:CV300,7,FALSE))*90/HLOOKUP("Mins",A1:CV300,7,FALSE))</f>
        <v>0.45920454545454548</v>
      </c>
      <c r="BU7" s="5845">
        <f>IF(HLOOKUP("Mins",A1:CV300,7,FALSE)=0,0,HLOOKUP("fsXG",A1:CV300,7,FALSE)/HLOOKUP("Mins",A1:CV300,7,FALSE)* 90)</f>
        <v>6.0909090909090913E-2</v>
      </c>
      <c r="BV7" s="5846">
        <f>IF(HLOOKUP("Mins",A1:CV300,7,FALSE)=0,0,HLOOKUP("fsXA",A1:CV300,7,FALSE)/HLOOKUP("Mins",A1:CV300,7,FALSE)* 90)</f>
        <v>5.1363636363636361E-2</v>
      </c>
      <c r="BW7" s="5847">
        <f>6*HLOOKUP("fsXG/90",A1:CV300,7,FALSE)+3*HLOOKUP("fsXA/90",A1:CV300,7,FALSE)</f>
        <v>0.51954545454545453</v>
      </c>
      <c r="BX7" s="5848">
        <v>6.8913258612155914E-2</v>
      </c>
      <c r="BY7" s="5849">
        <v>0.11723064631223679</v>
      </c>
      <c r="BZ7" s="5850">
        <f>6*HLOOKUP("uXG/90",A1:CV300,7,FALSE)+3*HLOOKUP("uXA/90",A1:CV300,7,FALSE)</f>
        <v>0.76517149060964584</v>
      </c>
    </row>
    <row r="8" spans="1:78" hidden="1" x14ac:dyDescent="0.3">
      <c r="A8" s="5851" t="s">
        <v>171</v>
      </c>
      <c r="B8" s="5852" t="s">
        <v>151</v>
      </c>
      <c r="C8" s="5853">
        <v>5.4000000953674316</v>
      </c>
      <c r="D8" s="5854">
        <v>677</v>
      </c>
      <c r="E8" s="5855">
        <v>11</v>
      </c>
      <c r="F8" s="5856">
        <v>18</v>
      </c>
      <c r="G8" s="5857">
        <v>0</v>
      </c>
      <c r="H8" s="5858">
        <v>0</v>
      </c>
      <c r="I8" s="5859">
        <v>116</v>
      </c>
      <c r="J8" s="5860">
        <f>HLOOKUP("BPS",A1:CV300,8,FALSE)-((-6*HLOOKUP("OG",A1:CV300,8,FALSE))+(-6*HLOOKUP("PK Miss",A1:CV300,8,FALSE))+(9*HLOOKUP("FPL As",A1:CV300,8,FALSE))+(12*HLOOKUP("CS",A1:CV300,8,FALSE))+(12*HLOOKUP("Gs",A1:CV300,8,FALSE)))</f>
        <v>104</v>
      </c>
      <c r="K8" s="5861">
        <v>0</v>
      </c>
      <c r="L8" s="5862">
        <v>1</v>
      </c>
      <c r="M8" s="5863">
        <v>13</v>
      </c>
      <c r="N8" s="5864">
        <v>6</v>
      </c>
      <c r="O8" s="5865">
        <v>4</v>
      </c>
      <c r="P8" s="5866">
        <f>IF(HLOOKUP("Shots",A1:CV300,8,FALSE)=0,0,HLOOKUP("SIB",A1:CV300,8,FALSE)/HLOOKUP("Shots",A1:CV300,8,FALSE))</f>
        <v>0.66666666666666663</v>
      </c>
      <c r="Q8" s="5867">
        <v>0</v>
      </c>
      <c r="R8" s="5868">
        <f>IF(HLOOKUP("Shots",A1:CV300,8,FALSE)=0,0,HLOOKUP("S6YD",A1:CV300,8,FALSE)/HLOOKUP("Shots",A1:CV300,8,FALSE))</f>
        <v>0</v>
      </c>
      <c r="S8" s="5869">
        <v>1</v>
      </c>
      <c r="T8" s="5870">
        <f>IF(HLOOKUP("Shots",A1:CV300,8,FALSE)=0,0,HLOOKUP("Headers",A1:CV300,8,FALSE)/HLOOKUP("Shots",A1:CV300,8,FALSE))</f>
        <v>0.16666666666666666</v>
      </c>
      <c r="U8" s="5871">
        <v>3</v>
      </c>
      <c r="V8" s="5872">
        <f>IF(HLOOKUP("Shots",A1:CV300,8,FALSE)=0,0,HLOOKUP("SOT",A1:CV300,8,FALSE)/HLOOKUP("Shots",A1:CV300,8,FALSE))</f>
        <v>0.5</v>
      </c>
      <c r="W8" s="5873">
        <f>IF(HLOOKUP("Shots",A1:CV300,8,FALSE)=0,0,HLOOKUP("Gs",A1:CV300,8,FALSE)/HLOOKUP("Shots",A1:CV300,8,FALSE))</f>
        <v>0</v>
      </c>
      <c r="X8" s="5874">
        <v>0</v>
      </c>
      <c r="Y8" s="5875">
        <v>0</v>
      </c>
      <c r="Z8" s="5876">
        <v>7</v>
      </c>
      <c r="AA8" s="5877">
        <f>IF(HLOOKUP("KP",A1:CV300,8,FALSE)=0,0,HLOOKUP("As",A1:CV300,8,FALSE)/HLOOKUP("KP",A1:CV300,8,FALSE))</f>
        <v>0</v>
      </c>
      <c r="AB8" s="5878">
        <v>33.299999999999997</v>
      </c>
      <c r="AC8" s="5879">
        <v>0</v>
      </c>
      <c r="AD8" s="5880">
        <v>0</v>
      </c>
      <c r="AE8" s="5881">
        <v>0</v>
      </c>
      <c r="AF8" s="5882">
        <v>0</v>
      </c>
      <c r="AG8" s="5883">
        <f>IF(HLOOKUP("BC",A1:CV300,8,FALSE)=0,0,HLOOKUP("Gs - BC",A1:CV300,8,FALSE)/HLOOKUP("BC",A1:CV300,8,FALSE))</f>
        <v>0</v>
      </c>
      <c r="AH8" s="5884">
        <f>HLOOKUP("BC",A1:CV300,8,FALSE) - HLOOKUP("BC Miss",A1:CV300,8,FALSE)</f>
        <v>0</v>
      </c>
      <c r="AI8" s="5885">
        <f>IF(HLOOKUP("Gs",A1:CV300,8,FALSE)=0,0,HLOOKUP("Gs - BC",A1:CV300,8,FALSE)/HLOOKUP("Gs",A1:CV300,8,FALSE))</f>
        <v>0</v>
      </c>
      <c r="AJ8" s="5886">
        <v>0</v>
      </c>
      <c r="AK8" s="5887">
        <v>0</v>
      </c>
      <c r="AL8" s="5888">
        <f>HLOOKUP("BC",A1:CV300,8,FALSE) - (HLOOKUP("PK Gs",A1:CV300,8,FALSE) + HLOOKUP("PK Miss",A1:CV300,8,FALSE))</f>
        <v>0</v>
      </c>
      <c r="AM8" s="5889">
        <f>HLOOKUP("BC Miss",A1:CV300,8,FALSE) - HLOOKUP("PK Miss",A1:CV300,8,FALSE)</f>
        <v>0</v>
      </c>
      <c r="AN8" s="5890">
        <f>IF(HLOOKUP("BC - Open",A1:CV300,8,FALSE)=0,0,HLOOKUP("BC - Open Miss",A1:CV300,8,FALSE)/HLOOKUP("BC - Open",A1:CV300,8,FALSE))</f>
        <v>0</v>
      </c>
      <c r="AO8" s="5891">
        <v>0</v>
      </c>
      <c r="AP8" s="5892">
        <f>IF(HLOOKUP("Gs",A1:CV300,8,FALSE)=0,0,HLOOKUP("GIB",A1:CV300,8,FALSE)/HLOOKUP("Gs",A1:CV300,8,FALSE))</f>
        <v>0</v>
      </c>
      <c r="AQ8" s="5893">
        <v>0</v>
      </c>
      <c r="AR8" s="5894">
        <f>IF(HLOOKUP("Gs",A1:CV300,8,FALSE)=0,0,HLOOKUP("Gs - Open",A1:CV300,8,FALSE)/HLOOKUP("Gs",A1:CV300,8,FALSE))</f>
        <v>0</v>
      </c>
      <c r="AS8" s="5895">
        <v>0.26</v>
      </c>
      <c r="AT8" s="5896">
        <v>0.54</v>
      </c>
      <c r="AU8" s="5897">
        <f>IF(HLOOKUP("Mins",A1:CV300,8,FALSE)=0,0,HLOOKUP("Pts",A1:CV300,8,FALSE)/HLOOKUP("Mins",A1:CV300,8,FALSE)* 90)</f>
        <v>2.3929098966026587</v>
      </c>
      <c r="AV8" s="5898">
        <f>IF(HLOOKUP("Apps",A1:CV300,8,FALSE)=0,0,HLOOKUP("Pts",A1:CV300,8,FALSE)/HLOOKUP("Apps",A1:CV300,8,FALSE)* 1)</f>
        <v>1.6363636363636365</v>
      </c>
      <c r="AW8" s="5899">
        <f>IF(HLOOKUP("Mins",A1:CV300,8,FALSE)=0,0,HLOOKUP("Gs",A1:CV300,8,FALSE)/HLOOKUP("Mins",A1:CV300,8,FALSE)* 90)</f>
        <v>0</v>
      </c>
      <c r="AX8" s="5900">
        <f>IF(HLOOKUP("Mins",A1:CV300,8,FALSE)=0,0,HLOOKUP("Bonus",A1:CV300,8,FALSE)/HLOOKUP("Mins",A1:CV300,8,FALSE)* 90)</f>
        <v>0</v>
      </c>
      <c r="AY8" s="5901">
        <f>IF(HLOOKUP("Mins",A1:CV300,8,FALSE)=0,0,HLOOKUP("BPS",A1:CV300,8,FALSE)/HLOOKUP("Mins",A1:CV300,8,FALSE)* 90)</f>
        <v>15.420974889217135</v>
      </c>
      <c r="AZ8" s="5902">
        <f>IF(HLOOKUP("Mins",A1:CV300,8,FALSE)=0,0,HLOOKUP("Base BPS",A1:CV300,8,FALSE)/HLOOKUP("Mins",A1:CV300,8,FALSE)* 90)</f>
        <v>13.825701624815363</v>
      </c>
      <c r="BA8" s="5903">
        <f>IF(HLOOKUP("Mins",A1:CV300,8,FALSE)=0,0,HLOOKUP("PenTchs",A1:CV300,8,FALSE)/HLOOKUP("Mins",A1:CV300,8,FALSE)* 90)</f>
        <v>1.7282127031019203</v>
      </c>
      <c r="BB8" s="5904">
        <f>IF(HLOOKUP("Mins",A1:CV300,8,FALSE)=0,0,HLOOKUP("Shots",A1:CV300,8,FALSE)/HLOOKUP("Mins",A1:CV300,8,FALSE)* 90)</f>
        <v>0.79763663220088632</v>
      </c>
      <c r="BC8" s="5905">
        <f>IF(HLOOKUP("Mins",A1:CV300,8,FALSE)=0,0,HLOOKUP("SIB",A1:CV300,8,FALSE)/HLOOKUP("Mins",A1:CV300,8,FALSE)* 90)</f>
        <v>0.53175775480059084</v>
      </c>
      <c r="BD8" s="5906">
        <f>IF(HLOOKUP("Mins",A1:CV300,8,FALSE)=0,0,HLOOKUP("S6YD",A1:CV300,8,FALSE)/HLOOKUP("Mins",A1:CV300,8,FALSE)* 90)</f>
        <v>0</v>
      </c>
      <c r="BE8" s="5907">
        <f>IF(HLOOKUP("Mins",A1:CV300,8,FALSE)=0,0,HLOOKUP("Headers",A1:CV300,8,FALSE)/HLOOKUP("Mins",A1:CV300,8,FALSE)* 90)</f>
        <v>0.13293943870014771</v>
      </c>
      <c r="BF8" s="5908">
        <f>IF(HLOOKUP("Mins",A1:CV300,8,FALSE)=0,0,HLOOKUP("SOT",A1:CV300,8,FALSE)/HLOOKUP("Mins",A1:CV300,8,FALSE)* 90)</f>
        <v>0.39881831610044316</v>
      </c>
      <c r="BG8" s="5909">
        <f>IF(HLOOKUP("Mins",A1:CV300,8,FALSE)=0,0,HLOOKUP("As",A1:CV300,8,FALSE)/HLOOKUP("Mins",A1:CV300,8,FALSE)* 90)</f>
        <v>0</v>
      </c>
      <c r="BH8" s="5910">
        <f>IF(HLOOKUP("Mins",A1:CV300,8,FALSE)=0,0,HLOOKUP("FPL As",A1:CV300,8,FALSE)/HLOOKUP("Mins",A1:CV300,8,FALSE)* 90)</f>
        <v>0</v>
      </c>
      <c r="BI8" s="5911">
        <f>IF(HLOOKUP("Mins",A1:CV300,8,FALSE)=0,0,HLOOKUP("BC Created",A1:CV300,8,FALSE)/HLOOKUP("Mins",A1:CV300,8,FALSE)* 90)</f>
        <v>0</v>
      </c>
      <c r="BJ8" s="5912">
        <f>IF(HLOOKUP("Mins",A1:CV300,8,FALSE)=0,0,HLOOKUP("KP",A1:CV300,8,FALSE)/HLOOKUP("Mins",A1:CV300,8,FALSE)* 90)</f>
        <v>0.930576070901034</v>
      </c>
      <c r="BK8" s="5913">
        <f>IF(HLOOKUP("Mins",A1:CV300,8,FALSE)=0,0,HLOOKUP("BC",A1:CV300,8,FALSE)/HLOOKUP("Mins",A1:CV300,8,FALSE)* 90)</f>
        <v>0</v>
      </c>
      <c r="BL8" s="5914">
        <f>IF(HLOOKUP("Mins",A1:CV300,8,FALSE)=0,0,HLOOKUP("BC Miss",A1:CV300,8,FALSE)/HLOOKUP("Mins",A1:CV300,8,FALSE)* 90)</f>
        <v>0</v>
      </c>
      <c r="BM8" s="5915">
        <f>IF(HLOOKUP("Mins",A1:CV300,8,FALSE)=0,0,HLOOKUP("Gs - BC",A1:CV300,8,FALSE)/HLOOKUP("Mins",A1:CV300,8,FALSE)* 90)</f>
        <v>0</v>
      </c>
      <c r="BN8" s="5916">
        <f>IF(HLOOKUP("Mins",A1:CV300,8,FALSE)=0,0,HLOOKUP("GIB",A1:CV300,8,FALSE)/HLOOKUP("Mins",A1:CV300,8,FALSE)* 90)</f>
        <v>0</v>
      </c>
      <c r="BO8" s="5917">
        <f>IF(HLOOKUP("Mins",A1:CV300,8,FALSE)=0,0,HLOOKUP("Gs - Open",A1:CV300,8,FALSE)/HLOOKUP("Mins",A1:CV300,8,FALSE)* 90)</f>
        <v>0</v>
      </c>
      <c r="BP8" s="5918">
        <f>IF(HLOOKUP("Mins",A1:CV300,8,FALSE)=0,0,HLOOKUP("ICT Index",A1:CV300,8,FALSE)/HLOOKUP("Mins",A1:CV300,8,FALSE)* 90)</f>
        <v>4.4268833087149178</v>
      </c>
      <c r="BQ8" s="5919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  <v>5.477104874446085E-2</v>
      </c>
      <c r="BR8" s="5920">
        <f>0.0825*HLOOKUP("KP/90",A1:CV300,8,FALSE)</f>
        <v>7.6772525849335305E-2</v>
      </c>
      <c r="BS8" s="5921">
        <f>6*HLOOKUP("xG/90",A1:CV300,8,FALSE)+3*HLOOKUP("xA/90",A1:CV300,8,FALSE)</f>
        <v>0.55894387001477108</v>
      </c>
      <c r="BT8" s="5922">
        <f>HLOOKUP("xPts/90",A1:CV300,8,FALSE)-(6*0.75*(HLOOKUP("PK Gs",A1:CV300,8,FALSE)+HLOOKUP("PK Miss",A1:CV300,8,FALSE))*90/HLOOKUP("Mins",A1:CV300,8,FALSE))</f>
        <v>0.55894387001477108</v>
      </c>
      <c r="BU8" s="5923">
        <f>IF(HLOOKUP("Mins",A1:CV300,8,FALSE)=0,0,HLOOKUP("fsXG",A1:CV300,8,FALSE)/HLOOKUP("Mins",A1:CV300,8,FALSE)* 90)</f>
        <v>3.4564254062038405E-2</v>
      </c>
      <c r="BV8" s="5924">
        <f>IF(HLOOKUP("Mins",A1:CV300,8,FALSE)=0,0,HLOOKUP("fsXA",A1:CV300,8,FALSE)/HLOOKUP("Mins",A1:CV300,8,FALSE)* 90)</f>
        <v>7.1787296898079764E-2</v>
      </c>
      <c r="BW8" s="5925">
        <f>6*HLOOKUP("fsXG/90",A1:CV300,8,FALSE)+3*HLOOKUP("fsXA/90",A1:CV300,8,FALSE)</f>
        <v>0.42274741506646973</v>
      </c>
      <c r="BX8" s="5926">
        <v>4.3214719742536545E-2</v>
      </c>
      <c r="BY8" s="5927">
        <v>5.1779627799987793E-2</v>
      </c>
      <c r="BZ8" s="5928">
        <f>6*HLOOKUP("uXG/90",A1:CV300,8,FALSE)+3*HLOOKUP("uXA/90",A1:CV300,8,FALSE)</f>
        <v>0.41462720185518265</v>
      </c>
    </row>
    <row r="9" spans="1:78" hidden="1" x14ac:dyDescent="0.3">
      <c r="A9" s="5929" t="s">
        <v>172</v>
      </c>
      <c r="B9" s="5930" t="s">
        <v>96</v>
      </c>
      <c r="C9" s="5931">
        <v>4.3000001907348633</v>
      </c>
      <c r="D9" s="5932">
        <v>1234</v>
      </c>
      <c r="E9" s="5933">
        <v>15</v>
      </c>
      <c r="F9" s="5934">
        <v>42</v>
      </c>
      <c r="G9" s="5935">
        <v>0</v>
      </c>
      <c r="H9" s="5936">
        <v>7</v>
      </c>
      <c r="I9" s="5937">
        <v>226</v>
      </c>
      <c r="J9" s="5938">
        <f>HLOOKUP("BPS",A1:CV300,9,FALSE)-((-6*HLOOKUP("OG",A1:CV300,9,FALSE))+(-6*HLOOKUP("PK Miss",A1:CV300,9,FALSE))+(9*HLOOKUP("FPL As",A1:CV300,9,FALSE))+(12*HLOOKUP("CS",A1:CV300,9,FALSE))+(12*HLOOKUP("Gs",A1:CV300,9,FALSE)))</f>
        <v>163</v>
      </c>
      <c r="K9" s="5939">
        <v>0</v>
      </c>
      <c r="L9" s="5940">
        <v>3</v>
      </c>
      <c r="M9" s="5941">
        <v>4</v>
      </c>
      <c r="N9" s="5942">
        <v>7</v>
      </c>
      <c r="O9" s="5943">
        <v>2</v>
      </c>
      <c r="P9" s="5944">
        <f>IF(HLOOKUP("Shots",A1:CV300,9,FALSE)=0,0,HLOOKUP("SIB",A1:CV300,9,FALSE)/HLOOKUP("Shots",A1:CV300,9,FALSE))</f>
        <v>0.2857142857142857</v>
      </c>
      <c r="Q9" s="5945">
        <v>0</v>
      </c>
      <c r="R9" s="5946">
        <f>IF(HLOOKUP("Shots",A1:CV300,9,FALSE)=0,0,HLOOKUP("S6YD",A1:CV300,9,FALSE)/HLOOKUP("Shots",A1:CV300,9,FALSE))</f>
        <v>0</v>
      </c>
      <c r="S9" s="5947">
        <v>0</v>
      </c>
      <c r="T9" s="5948">
        <f>IF(HLOOKUP("Shots",A1:CV300,9,FALSE)=0,0,HLOOKUP("Headers",A1:CV300,9,FALSE)/HLOOKUP("Shots",A1:CV300,9,FALSE))</f>
        <v>0</v>
      </c>
      <c r="U9" s="5949">
        <v>1</v>
      </c>
      <c r="V9" s="5950">
        <f>IF(HLOOKUP("Shots",A1:CV300,9,FALSE)=0,0,HLOOKUP("SOT",A1:CV300,9,FALSE)/HLOOKUP("Shots",A1:CV300,9,FALSE))</f>
        <v>0.14285714285714285</v>
      </c>
      <c r="W9" s="5951">
        <f>IF(HLOOKUP("Shots",A1:CV300,9,FALSE)=0,0,HLOOKUP("Gs",A1:CV300,9,FALSE)/HLOOKUP("Shots",A1:CV300,9,FALSE))</f>
        <v>0</v>
      </c>
      <c r="X9" s="5952">
        <v>3</v>
      </c>
      <c r="Y9" s="5953">
        <v>3</v>
      </c>
      <c r="Z9" s="5954">
        <v>10</v>
      </c>
      <c r="AA9" s="5955">
        <f>IF(HLOOKUP("KP",A1:CV300,9,FALSE)=0,0,HLOOKUP("As",A1:CV300,9,FALSE)/HLOOKUP("KP",A1:CV300,9,FALSE))</f>
        <v>0.3</v>
      </c>
      <c r="AB9" s="5956">
        <v>41.3</v>
      </c>
      <c r="AC9" s="5957">
        <v>20</v>
      </c>
      <c r="AD9" s="5958">
        <v>3</v>
      </c>
      <c r="AE9" s="5959">
        <v>0</v>
      </c>
      <c r="AF9" s="5960">
        <v>0</v>
      </c>
      <c r="AG9" s="5961">
        <f>IF(HLOOKUP("BC",A1:CV300,9,FALSE)=0,0,HLOOKUP("Gs - BC",A1:CV300,9,FALSE)/HLOOKUP("BC",A1:CV300,9,FALSE))</f>
        <v>0</v>
      </c>
      <c r="AH9" s="5962">
        <f>HLOOKUP("BC",A1:CV300,9,FALSE) - HLOOKUP("BC Miss",A1:CV300,9,FALSE)</f>
        <v>0</v>
      </c>
      <c r="AI9" s="5963">
        <f>IF(HLOOKUP("Gs",A1:CV300,9,FALSE)=0,0,HLOOKUP("Gs - BC",A1:CV300,9,FALSE)/HLOOKUP("Gs",A1:CV300,9,FALSE))</f>
        <v>0</v>
      </c>
      <c r="AJ9" s="5964">
        <v>0</v>
      </c>
      <c r="AK9" s="5965">
        <v>0</v>
      </c>
      <c r="AL9" s="5966">
        <f>HLOOKUP("BC",A1:CV300,9,FALSE) - (HLOOKUP("PK Gs",A1:CV300,9,FALSE) + HLOOKUP("PK Miss",A1:CV300,9,FALSE))</f>
        <v>0</v>
      </c>
      <c r="AM9" s="5967">
        <f>HLOOKUP("BC Miss",A1:CV300,9,FALSE) - HLOOKUP("PK Miss",A1:CV300,9,FALSE)</f>
        <v>0</v>
      </c>
      <c r="AN9" s="5968">
        <f>IF(HLOOKUP("BC - Open",A1:CV300,9,FALSE)=0,0,HLOOKUP("BC - Open Miss",A1:CV300,9,FALSE)/HLOOKUP("BC - Open",A1:CV300,9,FALSE))</f>
        <v>0</v>
      </c>
      <c r="AO9" s="5969">
        <v>0</v>
      </c>
      <c r="AP9" s="5970">
        <f>IF(HLOOKUP("Gs",A1:CV300,9,FALSE)=0,0,HLOOKUP("GIB",A1:CV300,9,FALSE)/HLOOKUP("Gs",A1:CV300,9,FALSE))</f>
        <v>0</v>
      </c>
      <c r="AQ9" s="5971">
        <v>0</v>
      </c>
      <c r="AR9" s="5972">
        <f>IF(HLOOKUP("Gs",A1:CV300,9,FALSE)=0,0,HLOOKUP("Gs - Open",A1:CV300,9,FALSE)/HLOOKUP("Gs",A1:CV300,9,FALSE))</f>
        <v>0</v>
      </c>
      <c r="AS9" s="5973">
        <v>0.22</v>
      </c>
      <c r="AT9" s="5974">
        <v>0.91</v>
      </c>
      <c r="AU9" s="5975">
        <f>IF(HLOOKUP("Mins",A1:CV300,9,FALSE)=0,0,HLOOKUP("Pts",A1:CV300,9,FALSE)/HLOOKUP("Mins",A1:CV300,9,FALSE)* 90)</f>
        <v>3.0632090761750401</v>
      </c>
      <c r="AV9" s="5976">
        <f>IF(HLOOKUP("Apps",A1:CV300,9,FALSE)=0,0,HLOOKUP("Pts",A1:CV300,9,FALSE)/HLOOKUP("Apps",A1:CV300,9,FALSE)* 1)</f>
        <v>2.8</v>
      </c>
      <c r="AW9" s="5977">
        <f>IF(HLOOKUP("Mins",A1:CV300,9,FALSE)=0,0,HLOOKUP("Gs",A1:CV300,9,FALSE)/HLOOKUP("Mins",A1:CV300,9,FALSE)* 90)</f>
        <v>0</v>
      </c>
      <c r="AX9" s="5978">
        <f>IF(HLOOKUP("Mins",A1:CV300,9,FALSE)=0,0,HLOOKUP("Bonus",A1:CV300,9,FALSE)/HLOOKUP("Mins",A1:CV300,9,FALSE)* 90)</f>
        <v>0.51053484602917343</v>
      </c>
      <c r="AY9" s="5979">
        <f>IF(HLOOKUP("Mins",A1:CV300,9,FALSE)=0,0,HLOOKUP("BPS",A1:CV300,9,FALSE)/HLOOKUP("Mins",A1:CV300,9,FALSE)* 90)</f>
        <v>16.482982171799026</v>
      </c>
      <c r="AZ9" s="5980">
        <f>IF(HLOOKUP("Mins",A1:CV300,9,FALSE)=0,0,HLOOKUP("Base BPS",A1:CV300,9,FALSE)/HLOOKUP("Mins",A1:CV300,9,FALSE)* 90)</f>
        <v>11.888168557536467</v>
      </c>
      <c r="BA9" s="5981">
        <f>IF(HLOOKUP("Mins",A1:CV300,9,FALSE)=0,0,HLOOKUP("PenTchs",A1:CV300,9,FALSE)/HLOOKUP("Mins",A1:CV300,9,FALSE)* 90)</f>
        <v>0.29173419773095621</v>
      </c>
      <c r="BB9" s="5982">
        <f>IF(HLOOKUP("Mins",A1:CV300,9,FALSE)=0,0,HLOOKUP("Shots",A1:CV300,9,FALSE)/HLOOKUP("Mins",A1:CV300,9,FALSE)* 90)</f>
        <v>0.51053484602917343</v>
      </c>
      <c r="BC9" s="5983">
        <f>IF(HLOOKUP("Mins",A1:CV300,9,FALSE)=0,0,HLOOKUP("SIB",A1:CV300,9,FALSE)/HLOOKUP("Mins",A1:CV300,9,FALSE)* 90)</f>
        <v>0.14586709886547811</v>
      </c>
      <c r="BD9" s="5984">
        <f>IF(HLOOKUP("Mins",A1:CV300,9,FALSE)=0,0,HLOOKUP("S6YD",A1:CV300,9,FALSE)/HLOOKUP("Mins",A1:CV300,9,FALSE)* 90)</f>
        <v>0</v>
      </c>
      <c r="BE9" s="5985">
        <f>IF(HLOOKUP("Mins",A1:CV300,9,FALSE)=0,0,HLOOKUP("Headers",A1:CV300,9,FALSE)/HLOOKUP("Mins",A1:CV300,9,FALSE)* 90)</f>
        <v>0</v>
      </c>
      <c r="BF9" s="5986">
        <f>IF(HLOOKUP("Mins",A1:CV300,9,FALSE)=0,0,HLOOKUP("SOT",A1:CV300,9,FALSE)/HLOOKUP("Mins",A1:CV300,9,FALSE)* 90)</f>
        <v>7.2933549432739053E-2</v>
      </c>
      <c r="BG9" s="5987">
        <f>IF(HLOOKUP("Mins",A1:CV300,9,FALSE)=0,0,HLOOKUP("As",A1:CV300,9,FALSE)/HLOOKUP("Mins",A1:CV300,9,FALSE)* 90)</f>
        <v>0.21880064829821719</v>
      </c>
      <c r="BH9" s="5988">
        <f>IF(HLOOKUP("Mins",A1:CV300,9,FALSE)=0,0,HLOOKUP("FPL As",A1:CV300,9,FALSE)/HLOOKUP("Mins",A1:CV300,9,FALSE)* 90)</f>
        <v>0.21880064829821719</v>
      </c>
      <c r="BI9" s="5989">
        <f>IF(HLOOKUP("Mins",A1:CV300,9,FALSE)=0,0,HLOOKUP("BC Created",A1:CV300,9,FALSE)/HLOOKUP("Mins",A1:CV300,9,FALSE)* 90)</f>
        <v>0.21880064829821719</v>
      </c>
      <c r="BJ9" s="5990">
        <f>IF(HLOOKUP("Mins",A1:CV300,9,FALSE)=0,0,HLOOKUP("KP",A1:CV300,9,FALSE)/HLOOKUP("Mins",A1:CV300,9,FALSE)* 90)</f>
        <v>0.72933549432739053</v>
      </c>
      <c r="BK9" s="5991">
        <f>IF(HLOOKUP("Mins",A1:CV300,9,FALSE)=0,0,HLOOKUP("BC",A1:CV300,9,FALSE)/HLOOKUP("Mins",A1:CV300,9,FALSE)* 90)</f>
        <v>0</v>
      </c>
      <c r="BL9" s="5992">
        <f>IF(HLOOKUP("Mins",A1:CV300,9,FALSE)=0,0,HLOOKUP("BC Miss",A1:CV300,9,FALSE)/HLOOKUP("Mins",A1:CV300,9,FALSE)* 90)</f>
        <v>0</v>
      </c>
      <c r="BM9" s="5993">
        <f>IF(HLOOKUP("Mins",A1:CV300,9,FALSE)=0,0,HLOOKUP("Gs - BC",A1:CV300,9,FALSE)/HLOOKUP("Mins",A1:CV300,9,FALSE)* 90)</f>
        <v>0</v>
      </c>
      <c r="BN9" s="5994">
        <f>IF(HLOOKUP("Mins",A1:CV300,9,FALSE)=0,0,HLOOKUP("GIB",A1:CV300,9,FALSE)/HLOOKUP("Mins",A1:CV300,9,FALSE)* 90)</f>
        <v>0</v>
      </c>
      <c r="BO9" s="5995">
        <f>IF(HLOOKUP("Mins",A1:CV300,9,FALSE)=0,0,HLOOKUP("Gs - Open",A1:CV300,9,FALSE)/HLOOKUP("Mins",A1:CV300,9,FALSE)* 90)</f>
        <v>0</v>
      </c>
      <c r="BP9" s="5996">
        <f>IF(HLOOKUP("Mins",A1:CV300,9,FALSE)=0,0,HLOOKUP("ICT Index",A1:CV300,9,FALSE)/HLOOKUP("Mins",A1:CV300,9,FALSE)* 90)</f>
        <v>3.0121555915721232</v>
      </c>
      <c r="BQ9" s="5997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  <v>2.0858995137763375E-2</v>
      </c>
      <c r="BR9" s="5998">
        <f>0.0825*HLOOKUP("KP/90",A1:CV300,9,FALSE)</f>
        <v>6.0170178282009719E-2</v>
      </c>
      <c r="BS9" s="5999">
        <f>6*HLOOKUP("xG/90",A1:CV300,9,FALSE)+3*HLOOKUP("xA/90",A1:CV300,9,FALSE)</f>
        <v>0.30566450567260939</v>
      </c>
      <c r="BT9" s="6000">
        <f>HLOOKUP("xPts/90",A1:CV300,9,FALSE)-(6*0.75*(HLOOKUP("PK Gs",A1:CV300,9,FALSE)+HLOOKUP("PK Miss",A1:CV300,9,FALSE))*90/HLOOKUP("Mins",A1:CV300,9,FALSE))</f>
        <v>0.30566450567260939</v>
      </c>
      <c r="BU9" s="6001">
        <f>IF(HLOOKUP("Mins",A1:CV300,9,FALSE)=0,0,HLOOKUP("fsXG",A1:CV300,9,FALSE)/HLOOKUP("Mins",A1:CV300,9,FALSE)* 90)</f>
        <v>1.6045380875202592E-2</v>
      </c>
      <c r="BV9" s="6002">
        <f>IF(HLOOKUP("Mins",A1:CV300,9,FALSE)=0,0,HLOOKUP("fsXA",A1:CV300,9,FALSE)/HLOOKUP("Mins",A1:CV300,9,FALSE)* 90)</f>
        <v>6.6369529983792544E-2</v>
      </c>
      <c r="BW9" s="6003">
        <f>6*HLOOKUP("fsXG/90",A1:CV300,9,FALSE)+3*HLOOKUP("fsXA/90",A1:CV300,9,FALSE)</f>
        <v>0.29538087520259321</v>
      </c>
      <c r="BX9" s="6004">
        <v>1.2931352481245995E-2</v>
      </c>
      <c r="BY9" s="6005">
        <v>0.11047165095806122</v>
      </c>
      <c r="BZ9" s="6006">
        <f>6*HLOOKUP("uXG/90",A1:CV300,9,FALSE)+3*HLOOKUP("uXA/90",A1:CV300,9,FALSE)</f>
        <v>0.40900306776165962</v>
      </c>
    </row>
    <row r="10" spans="1:78" hidden="1" x14ac:dyDescent="0.3">
      <c r="A10" s="6007" t="s">
        <v>173</v>
      </c>
      <c r="B10" s="6008" t="s">
        <v>100</v>
      </c>
      <c r="C10" s="6009">
        <v>5.4000000953674316</v>
      </c>
      <c r="D10" s="6010">
        <v>1757</v>
      </c>
      <c r="E10" s="6011">
        <v>21</v>
      </c>
      <c r="F10" s="6012">
        <v>51</v>
      </c>
      <c r="G10" s="6013">
        <v>1</v>
      </c>
      <c r="H10" s="6014">
        <v>0</v>
      </c>
      <c r="I10" s="6015">
        <v>275</v>
      </c>
      <c r="J10" s="6016">
        <f>HLOOKUP("BPS",A1:CV300,10,FALSE)-((-6*HLOOKUP("OG",A1:CV300,10,FALSE))+(-6*HLOOKUP("PK Miss",A1:CV300,10,FALSE))+(9*HLOOKUP("FPL As",A1:CV300,10,FALSE))+(12*HLOOKUP("CS",A1:CV300,10,FALSE))+(12*HLOOKUP("Gs",A1:CV300,10,FALSE)))</f>
        <v>218</v>
      </c>
      <c r="K10" s="6017">
        <v>0</v>
      </c>
      <c r="L10" s="6018">
        <v>3</v>
      </c>
      <c r="M10" s="6019">
        <v>46</v>
      </c>
      <c r="N10" s="6020">
        <v>14</v>
      </c>
      <c r="O10" s="6021">
        <v>8</v>
      </c>
      <c r="P10" s="6022">
        <f>IF(HLOOKUP("Shots",A1:CV300,10,FALSE)=0,0,HLOOKUP("SIB",A1:CV300,10,FALSE)/HLOOKUP("Shots",A1:CV300,10,FALSE))</f>
        <v>0.5714285714285714</v>
      </c>
      <c r="Q10" s="6023">
        <v>1</v>
      </c>
      <c r="R10" s="6024">
        <f>IF(HLOOKUP("Shots",A1:CV300,10,FALSE)=0,0,HLOOKUP("S6YD",A1:CV300,10,FALSE)/HLOOKUP("Shots",A1:CV300,10,FALSE))</f>
        <v>7.1428571428571425E-2</v>
      </c>
      <c r="S10" s="6025">
        <v>2</v>
      </c>
      <c r="T10" s="6026">
        <f>IF(HLOOKUP("Shots",A1:CV300,10,FALSE)=0,0,HLOOKUP("Headers",A1:CV300,10,FALSE)/HLOOKUP("Shots",A1:CV300,10,FALSE))</f>
        <v>0.14285714285714285</v>
      </c>
      <c r="U10" s="6027">
        <v>4</v>
      </c>
      <c r="V10" s="6028">
        <f>IF(HLOOKUP("Shots",A1:CV300,10,FALSE)=0,0,HLOOKUP("SOT",A1:CV300,10,FALSE)/HLOOKUP("Shots",A1:CV300,10,FALSE))</f>
        <v>0.2857142857142857</v>
      </c>
      <c r="W10" s="6029">
        <f>IF(HLOOKUP("Shots",A1:CV300,10,FALSE)=0,0,HLOOKUP("Gs",A1:CV300,10,FALSE)/HLOOKUP("Shots",A1:CV300,10,FALSE))</f>
        <v>7.1428571428571425E-2</v>
      </c>
      <c r="X10" s="6030">
        <v>1</v>
      </c>
      <c r="Y10" s="6031">
        <v>1</v>
      </c>
      <c r="Z10" s="6032">
        <v>16</v>
      </c>
      <c r="AA10" s="6033">
        <f>IF(HLOOKUP("KP",A1:CV300,10,FALSE)=0,0,HLOOKUP("As",A1:CV300,10,FALSE)/HLOOKUP("KP",A1:CV300,10,FALSE))</f>
        <v>6.25E-2</v>
      </c>
      <c r="AB10" s="6034">
        <v>79.7</v>
      </c>
      <c r="AC10" s="6035">
        <v>8</v>
      </c>
      <c r="AD10" s="6036">
        <v>1</v>
      </c>
      <c r="AE10" s="6037">
        <v>2</v>
      </c>
      <c r="AF10" s="6038">
        <v>1</v>
      </c>
      <c r="AG10" s="6039">
        <f>IF(HLOOKUP("BC",A1:CV300,10,FALSE)=0,0,HLOOKUP("Gs - BC",A1:CV300,10,FALSE)/HLOOKUP("BC",A1:CV300,10,FALSE))</f>
        <v>0.5</v>
      </c>
      <c r="AH10" s="6040">
        <f>HLOOKUP("BC",A1:CV300,10,FALSE) - HLOOKUP("BC Miss",A1:CV300,10,FALSE)</f>
        <v>1</v>
      </c>
      <c r="AI10" s="6041">
        <f>IF(HLOOKUP("Gs",A1:CV300,10,FALSE)=0,0,HLOOKUP("Gs - BC",A1:CV300,10,FALSE)/HLOOKUP("Gs",A1:CV300,10,FALSE))</f>
        <v>1</v>
      </c>
      <c r="AJ10" s="6042">
        <v>0</v>
      </c>
      <c r="AK10" s="6043">
        <v>0</v>
      </c>
      <c r="AL10" s="6044">
        <f>HLOOKUP("BC",A1:CV300,10,FALSE) - (HLOOKUP("PK Gs",A1:CV300,10,FALSE) + HLOOKUP("PK Miss",A1:CV300,10,FALSE))</f>
        <v>2</v>
      </c>
      <c r="AM10" s="6045">
        <f>HLOOKUP("BC Miss",A1:CV300,10,FALSE) - HLOOKUP("PK Miss",A1:CV300,10,FALSE)</f>
        <v>1</v>
      </c>
      <c r="AN10" s="6046">
        <f>IF(HLOOKUP("BC - Open",A1:CV300,10,FALSE)=0,0,HLOOKUP("BC - Open Miss",A1:CV300,10,FALSE)/HLOOKUP("BC - Open",A1:CV300,10,FALSE))</f>
        <v>0.5</v>
      </c>
      <c r="AO10" s="6047">
        <v>1</v>
      </c>
      <c r="AP10" s="6048">
        <f>IF(HLOOKUP("Gs",A1:CV300,10,FALSE)=0,0,HLOOKUP("GIB",A1:CV300,10,FALSE)/HLOOKUP("Gs",A1:CV300,10,FALSE))</f>
        <v>1</v>
      </c>
      <c r="AQ10" s="6049">
        <v>1</v>
      </c>
      <c r="AR10" s="6050">
        <f>IF(HLOOKUP("Gs",A1:CV300,10,FALSE)=0,0,HLOOKUP("Gs - Open",A1:CV300,10,FALSE)/HLOOKUP("Gs",A1:CV300,10,FALSE))</f>
        <v>1</v>
      </c>
      <c r="AS10" s="6051">
        <v>1.35</v>
      </c>
      <c r="AT10" s="6052">
        <v>0.72</v>
      </c>
      <c r="AU10" s="6053">
        <f>IF(HLOOKUP("Mins",A1:CV300,10,FALSE)=0,0,HLOOKUP("Pts",A1:CV300,10,FALSE)/HLOOKUP("Mins",A1:CV300,10,FALSE)* 90)</f>
        <v>2.6124075128059192</v>
      </c>
      <c r="AV10" s="6054">
        <f>IF(HLOOKUP("Apps",A1:CV300,10,FALSE)=0,0,HLOOKUP("Pts",A1:CV300,10,FALSE)/HLOOKUP("Apps",A1:CV300,10,FALSE)* 1)</f>
        <v>2.4285714285714284</v>
      </c>
      <c r="AW10" s="6055">
        <f>IF(HLOOKUP("Mins",A1:CV300,10,FALSE)=0,0,HLOOKUP("Gs",A1:CV300,10,FALSE)/HLOOKUP("Mins",A1:CV300,10,FALSE)* 90)</f>
        <v>5.1223676721684694E-2</v>
      </c>
      <c r="AX10" s="6056">
        <f>IF(HLOOKUP("Mins",A1:CV300,10,FALSE)=0,0,HLOOKUP("Bonus",A1:CV300,10,FALSE)/HLOOKUP("Mins",A1:CV300,10,FALSE)* 90)</f>
        <v>0</v>
      </c>
      <c r="AY10" s="6057">
        <f>IF(HLOOKUP("Mins",A1:CV300,10,FALSE)=0,0,HLOOKUP("BPS",A1:CV300,10,FALSE)/HLOOKUP("Mins",A1:CV300,10,FALSE)* 90)</f>
        <v>14.086511098463291</v>
      </c>
      <c r="AZ10" s="6058">
        <f>IF(HLOOKUP("Mins",A1:CV300,10,FALSE)=0,0,HLOOKUP("Base BPS",A1:CV300,10,FALSE)/HLOOKUP("Mins",A1:CV300,10,FALSE)* 90)</f>
        <v>11.166761525327264</v>
      </c>
      <c r="BA10" s="6059">
        <f>IF(HLOOKUP("Mins",A1:CV300,10,FALSE)=0,0,HLOOKUP("PenTchs",A1:CV300,10,FALSE)/HLOOKUP("Mins",A1:CV300,10,FALSE)* 90)</f>
        <v>2.3562891291974957</v>
      </c>
      <c r="BB10" s="6060">
        <f>IF(HLOOKUP("Mins",A1:CV300,10,FALSE)=0,0,HLOOKUP("Shots",A1:CV300,10,FALSE)/HLOOKUP("Mins",A1:CV300,10,FALSE)* 90)</f>
        <v>0.71713147410358569</v>
      </c>
      <c r="BC10" s="6061">
        <f>IF(HLOOKUP("Mins",A1:CV300,10,FALSE)=0,0,HLOOKUP("SIB",A1:CV300,10,FALSE)/HLOOKUP("Mins",A1:CV300,10,FALSE)* 90)</f>
        <v>0.40978941377347755</v>
      </c>
      <c r="BD10" s="6062">
        <f>IF(HLOOKUP("Mins",A1:CV300,10,FALSE)=0,0,HLOOKUP("S6YD",A1:CV300,10,FALSE)/HLOOKUP("Mins",A1:CV300,10,FALSE)* 90)</f>
        <v>5.1223676721684694E-2</v>
      </c>
      <c r="BE10" s="6063">
        <f>IF(HLOOKUP("Mins",A1:CV300,10,FALSE)=0,0,HLOOKUP("Headers",A1:CV300,10,FALSE)/HLOOKUP("Mins",A1:CV300,10,FALSE)* 90)</f>
        <v>0.10244735344336939</v>
      </c>
      <c r="BF10" s="6064">
        <f>IF(HLOOKUP("Mins",A1:CV300,10,FALSE)=0,0,HLOOKUP("SOT",A1:CV300,10,FALSE)/HLOOKUP("Mins",A1:CV300,10,FALSE)* 90)</f>
        <v>0.20489470688673878</v>
      </c>
      <c r="BG10" s="6065">
        <f>IF(HLOOKUP("Mins",A1:CV300,10,FALSE)=0,0,HLOOKUP("As",A1:CV300,10,FALSE)/HLOOKUP("Mins",A1:CV300,10,FALSE)* 90)</f>
        <v>5.1223676721684694E-2</v>
      </c>
      <c r="BH10" s="6066">
        <f>IF(HLOOKUP("Mins",A1:CV300,10,FALSE)=0,0,HLOOKUP("FPL As",A1:CV300,10,FALSE)/HLOOKUP("Mins",A1:CV300,10,FALSE)* 90)</f>
        <v>5.1223676721684694E-2</v>
      </c>
      <c r="BI10" s="6067">
        <f>IF(HLOOKUP("Mins",A1:CV300,10,FALSE)=0,0,HLOOKUP("BC Created",A1:CV300,10,FALSE)/HLOOKUP("Mins",A1:CV300,10,FALSE)* 90)</f>
        <v>5.1223676721684694E-2</v>
      </c>
      <c r="BJ10" s="6068">
        <f>IF(HLOOKUP("Mins",A1:CV300,10,FALSE)=0,0,HLOOKUP("KP",A1:CV300,10,FALSE)/HLOOKUP("Mins",A1:CV300,10,FALSE)* 90)</f>
        <v>0.8195788275469551</v>
      </c>
      <c r="BK10" s="6069">
        <f>IF(HLOOKUP("Mins",A1:CV300,10,FALSE)=0,0,HLOOKUP("BC",A1:CV300,10,FALSE)/HLOOKUP("Mins",A1:CV300,10,FALSE)* 90)</f>
        <v>0.10244735344336939</v>
      </c>
      <c r="BL10" s="6070">
        <f>IF(HLOOKUP("Mins",A1:CV300,10,FALSE)=0,0,HLOOKUP("BC Miss",A1:CV300,10,FALSE)/HLOOKUP("Mins",A1:CV300,10,FALSE)* 90)</f>
        <v>5.1223676721684694E-2</v>
      </c>
      <c r="BM10" s="6071">
        <f>IF(HLOOKUP("Mins",A1:CV300,10,FALSE)=0,0,HLOOKUP("Gs - BC",A1:CV300,10,FALSE)/HLOOKUP("Mins",A1:CV300,10,FALSE)* 90)</f>
        <v>5.1223676721684694E-2</v>
      </c>
      <c r="BN10" s="6072">
        <f>IF(HLOOKUP("Mins",A1:CV300,10,FALSE)=0,0,HLOOKUP("GIB",A1:CV300,10,FALSE)/HLOOKUP("Mins",A1:CV300,10,FALSE)* 90)</f>
        <v>5.1223676721684694E-2</v>
      </c>
      <c r="BO10" s="6073">
        <f>IF(HLOOKUP("Mins",A1:CV300,10,FALSE)=0,0,HLOOKUP("Gs - Open",A1:CV300,10,FALSE)/HLOOKUP("Mins",A1:CV300,10,FALSE)* 90)</f>
        <v>5.1223676721684694E-2</v>
      </c>
      <c r="BP10" s="6074">
        <f>IF(HLOOKUP("Mins",A1:CV300,10,FALSE)=0,0,HLOOKUP("ICT Index",A1:CV300,10,FALSE)/HLOOKUP("Mins",A1:CV300,10,FALSE)* 90)</f>
        <v>4.0825270347182698</v>
      </c>
      <c r="BQ10" s="6075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  <v>4.4257256687535579E-2</v>
      </c>
      <c r="BR10" s="6076">
        <f>0.0825*HLOOKUP("KP/90",A1:CV300,10,FALSE)</f>
        <v>6.7615253272623799E-2</v>
      </c>
      <c r="BS10" s="6077">
        <f>6*HLOOKUP("xG/90",A1:CV300,10,FALSE)+3*HLOOKUP("xA/90",A1:CV300,10,FALSE)</f>
        <v>0.46838929994308487</v>
      </c>
      <c r="BT10" s="6078">
        <f>HLOOKUP("xPts/90",A1:CV300,10,FALSE)-(6*0.75*(HLOOKUP("PK Gs",A1:CV300,10,FALSE)+HLOOKUP("PK Miss",A1:CV300,10,FALSE))*90/HLOOKUP("Mins",A1:CV300,10,FALSE))</f>
        <v>0.46838929994308487</v>
      </c>
      <c r="BU10" s="6079">
        <f>IF(HLOOKUP("Mins",A1:CV300,10,FALSE)=0,0,HLOOKUP("fsXG",A1:CV300,10,FALSE)/HLOOKUP("Mins",A1:CV300,10,FALSE)* 90)</f>
        <v>6.9151963574274333E-2</v>
      </c>
      <c r="BV10" s="6080">
        <f>IF(HLOOKUP("Mins",A1:CV300,10,FALSE)=0,0,HLOOKUP("fsXA",A1:CV300,10,FALSE)/HLOOKUP("Mins",A1:CV300,10,FALSE)* 90)</f>
        <v>3.6881047239612975E-2</v>
      </c>
      <c r="BW10" s="6081">
        <f>6*HLOOKUP("fsXG/90",A1:CV300,10,FALSE)+3*HLOOKUP("fsXA/90",A1:CV300,10,FALSE)</f>
        <v>0.52555492316448493</v>
      </c>
      <c r="BX10" s="6082">
        <v>7.1303598582744598E-2</v>
      </c>
      <c r="BY10" s="6083">
        <v>5.4479289799928665E-2</v>
      </c>
      <c r="BZ10" s="6084">
        <f>6*HLOOKUP("uXG/90",A1:CV300,10,FALSE)+3*HLOOKUP("uXA/90",A1:CV300,10,FALSE)</f>
        <v>0.59125946089625359</v>
      </c>
    </row>
    <row r="11" spans="1:78" hidden="1" x14ac:dyDescent="0.3">
      <c r="A11" s="6085" t="s">
        <v>174</v>
      </c>
      <c r="B11" s="6086" t="s">
        <v>113</v>
      </c>
      <c r="C11" s="6087">
        <v>4.3000001907348633</v>
      </c>
      <c r="D11" s="6088">
        <v>1081</v>
      </c>
      <c r="E11" s="6089">
        <v>13</v>
      </c>
      <c r="F11" s="6090">
        <v>36</v>
      </c>
      <c r="G11" s="6091">
        <v>1</v>
      </c>
      <c r="H11" s="6092">
        <v>3</v>
      </c>
      <c r="I11" s="6093">
        <v>189</v>
      </c>
      <c r="J11" s="6094">
        <f>HLOOKUP("BPS",A1:CV300,11,FALSE)-((-6*HLOOKUP("OG",A1:CV300,11,FALSE))+(-6*HLOOKUP("PK Miss",A1:CV300,11,FALSE))+(9*HLOOKUP("FPL As",A1:CV300,11,FALSE))+(12*HLOOKUP("CS",A1:CV300,11,FALSE))+(12*HLOOKUP("Gs",A1:CV300,11,FALSE)))</f>
        <v>141</v>
      </c>
      <c r="K11" s="6095">
        <v>0</v>
      </c>
      <c r="L11" s="6096">
        <v>3</v>
      </c>
      <c r="M11" s="6097">
        <v>15</v>
      </c>
      <c r="N11" s="6098">
        <v>10</v>
      </c>
      <c r="O11" s="6099">
        <v>10</v>
      </c>
      <c r="P11" s="6100">
        <f>IF(HLOOKUP("Shots",A1:CV300,11,FALSE)=0,0,HLOOKUP("SIB",A1:CV300,11,FALSE)/HLOOKUP("Shots",A1:CV300,11,FALSE))</f>
        <v>1</v>
      </c>
      <c r="Q11" s="6101">
        <v>2</v>
      </c>
      <c r="R11" s="6102">
        <f>IF(HLOOKUP("Shots",A1:CV300,11,FALSE)=0,0,HLOOKUP("S6YD",A1:CV300,11,FALSE)/HLOOKUP("Shots",A1:CV300,11,FALSE))</f>
        <v>0.2</v>
      </c>
      <c r="S11" s="6103">
        <v>8</v>
      </c>
      <c r="T11" s="6104">
        <f>IF(HLOOKUP("Shots",A1:CV300,11,FALSE)=0,0,HLOOKUP("Headers",A1:CV300,11,FALSE)/HLOOKUP("Shots",A1:CV300,11,FALSE))</f>
        <v>0.8</v>
      </c>
      <c r="U11" s="6105">
        <v>4</v>
      </c>
      <c r="V11" s="6106">
        <f>IF(HLOOKUP("Shots",A1:CV300,11,FALSE)=0,0,HLOOKUP("SOT",A1:CV300,11,FALSE)/HLOOKUP("Shots",A1:CV300,11,FALSE))</f>
        <v>0.4</v>
      </c>
      <c r="W11" s="6107">
        <f>IF(HLOOKUP("Shots",A1:CV300,11,FALSE)=0,0,HLOOKUP("Gs",A1:CV300,11,FALSE)/HLOOKUP("Shots",A1:CV300,11,FALSE))</f>
        <v>0.1</v>
      </c>
      <c r="X11" s="6108">
        <v>0</v>
      </c>
      <c r="Y11" s="6109">
        <v>0</v>
      </c>
      <c r="Z11" s="6110">
        <v>1</v>
      </c>
      <c r="AA11" s="6111">
        <f>IF(HLOOKUP("KP",A1:CV300,11,FALSE)=0,0,HLOOKUP("As",A1:CV300,11,FALSE)/HLOOKUP("KP",A1:CV300,11,FALSE))</f>
        <v>0</v>
      </c>
      <c r="AB11" s="6112">
        <v>41.5</v>
      </c>
      <c r="AC11" s="6113">
        <v>8</v>
      </c>
      <c r="AD11" s="6114">
        <v>1</v>
      </c>
      <c r="AE11" s="6115">
        <v>1</v>
      </c>
      <c r="AF11" s="6116">
        <v>0</v>
      </c>
      <c r="AG11" s="6117">
        <f>IF(HLOOKUP("BC",A1:CV300,11,FALSE)=0,0,HLOOKUP("Gs - BC",A1:CV300,11,FALSE)/HLOOKUP("BC",A1:CV300,11,FALSE))</f>
        <v>1</v>
      </c>
      <c r="AH11" s="6118">
        <f>HLOOKUP("BC",A1:CV300,11,FALSE) - HLOOKUP("BC Miss",A1:CV300,11,FALSE)</f>
        <v>1</v>
      </c>
      <c r="AI11" s="6119">
        <f>IF(HLOOKUP("Gs",A1:CV300,11,FALSE)=0,0,HLOOKUP("Gs - BC",A1:CV300,11,FALSE)/HLOOKUP("Gs",A1:CV300,11,FALSE))</f>
        <v>1</v>
      </c>
      <c r="AJ11" s="6120">
        <v>0</v>
      </c>
      <c r="AK11" s="6121">
        <v>0</v>
      </c>
      <c r="AL11" s="6122">
        <f>HLOOKUP("BC",A1:CV300,11,FALSE) - (HLOOKUP("PK Gs",A1:CV300,11,FALSE) + HLOOKUP("PK Miss",A1:CV300,11,FALSE))</f>
        <v>1</v>
      </c>
      <c r="AM11" s="6123">
        <f>HLOOKUP("BC Miss",A1:CV300,11,FALSE) - HLOOKUP("PK Miss",A1:CV300,11,FALSE)</f>
        <v>0</v>
      </c>
      <c r="AN11" s="6124">
        <f>IF(HLOOKUP("BC - Open",A1:CV300,11,FALSE)=0,0,HLOOKUP("BC - Open Miss",A1:CV300,11,FALSE)/HLOOKUP("BC - Open",A1:CV300,11,FALSE))</f>
        <v>0</v>
      </c>
      <c r="AO11" s="6125">
        <v>1</v>
      </c>
      <c r="AP11" s="6126">
        <f>IF(HLOOKUP("Gs",A1:CV300,11,FALSE)=0,0,HLOOKUP("GIB",A1:CV300,11,FALSE)/HLOOKUP("Gs",A1:CV300,11,FALSE))</f>
        <v>1</v>
      </c>
      <c r="AQ11" s="6127">
        <v>0</v>
      </c>
      <c r="AR11" s="6128">
        <f>IF(HLOOKUP("Gs",A1:CV300,11,FALSE)=0,0,HLOOKUP("Gs - Open",A1:CV300,11,FALSE)/HLOOKUP("Gs",A1:CV300,11,FALSE))</f>
        <v>0</v>
      </c>
      <c r="AS11" s="6129">
        <v>1.55</v>
      </c>
      <c r="AT11" s="6130">
        <v>0.18</v>
      </c>
      <c r="AU11" s="6131">
        <f>IF(HLOOKUP("Mins",A1:CV300,11,FALSE)=0,0,HLOOKUP("Pts",A1:CV300,11,FALSE)/HLOOKUP("Mins",A1:CV300,11,FALSE)* 90)</f>
        <v>2.9972247918593897</v>
      </c>
      <c r="AV11" s="6132">
        <f>IF(HLOOKUP("Apps",A1:CV300,11,FALSE)=0,0,HLOOKUP("Pts",A1:CV300,11,FALSE)/HLOOKUP("Apps",A1:CV300,11,FALSE)* 1)</f>
        <v>2.7692307692307692</v>
      </c>
      <c r="AW11" s="6133">
        <f>IF(HLOOKUP("Mins",A1:CV300,11,FALSE)=0,0,HLOOKUP("Gs",A1:CV300,11,FALSE)/HLOOKUP("Mins",A1:CV300,11,FALSE)* 90)</f>
        <v>8.3256244218316372E-2</v>
      </c>
      <c r="AX11" s="6134">
        <f>IF(HLOOKUP("Mins",A1:CV300,11,FALSE)=0,0,HLOOKUP("Bonus",A1:CV300,11,FALSE)/HLOOKUP("Mins",A1:CV300,11,FALSE)* 90)</f>
        <v>0.24976873265494912</v>
      </c>
      <c r="AY11" s="6135">
        <f>IF(HLOOKUP("Mins",A1:CV300,11,FALSE)=0,0,HLOOKUP("BPS",A1:CV300,11,FALSE)/HLOOKUP("Mins",A1:CV300,11,FALSE)* 90)</f>
        <v>15.735430157261794</v>
      </c>
      <c r="AZ11" s="6136">
        <f>IF(HLOOKUP("Mins",A1:CV300,11,FALSE)=0,0,HLOOKUP("Base BPS",A1:CV300,11,FALSE)/HLOOKUP("Mins",A1:CV300,11,FALSE)* 90)</f>
        <v>11.739130434782608</v>
      </c>
      <c r="BA11" s="6137">
        <f>IF(HLOOKUP("Mins",A1:CV300,11,FALSE)=0,0,HLOOKUP("PenTchs",A1:CV300,11,FALSE)/HLOOKUP("Mins",A1:CV300,11,FALSE)* 90)</f>
        <v>1.2488436632747455</v>
      </c>
      <c r="BB11" s="6138">
        <f>IF(HLOOKUP("Mins",A1:CV300,11,FALSE)=0,0,HLOOKUP("Shots",A1:CV300,11,FALSE)/HLOOKUP("Mins",A1:CV300,11,FALSE)* 90)</f>
        <v>0.83256244218316378</v>
      </c>
      <c r="BC11" s="6139">
        <f>IF(HLOOKUP("Mins",A1:CV300,11,FALSE)=0,0,HLOOKUP("SIB",A1:CV300,11,FALSE)/HLOOKUP("Mins",A1:CV300,11,FALSE)* 90)</f>
        <v>0.83256244218316378</v>
      </c>
      <c r="BD11" s="6140">
        <f>IF(HLOOKUP("Mins",A1:CV300,11,FALSE)=0,0,HLOOKUP("S6YD",A1:CV300,11,FALSE)/HLOOKUP("Mins",A1:CV300,11,FALSE)* 90)</f>
        <v>0.16651248843663274</v>
      </c>
      <c r="BE11" s="6141">
        <f>IF(HLOOKUP("Mins",A1:CV300,11,FALSE)=0,0,HLOOKUP("Headers",A1:CV300,11,FALSE)/HLOOKUP("Mins",A1:CV300,11,FALSE)* 90)</f>
        <v>0.66604995374653098</v>
      </c>
      <c r="BF11" s="6142">
        <f>IF(HLOOKUP("Mins",A1:CV300,11,FALSE)=0,0,HLOOKUP("SOT",A1:CV300,11,FALSE)/HLOOKUP("Mins",A1:CV300,11,FALSE)* 90)</f>
        <v>0.33302497687326549</v>
      </c>
      <c r="BG11" s="6143">
        <f>IF(HLOOKUP("Mins",A1:CV300,11,FALSE)=0,0,HLOOKUP("As",A1:CV300,11,FALSE)/HLOOKUP("Mins",A1:CV300,11,FALSE)* 90)</f>
        <v>0</v>
      </c>
      <c r="BH11" s="6144">
        <f>IF(HLOOKUP("Mins",A1:CV300,11,FALSE)=0,0,HLOOKUP("FPL As",A1:CV300,11,FALSE)/HLOOKUP("Mins",A1:CV300,11,FALSE)* 90)</f>
        <v>0</v>
      </c>
      <c r="BI11" s="6145">
        <f>IF(HLOOKUP("Mins",A1:CV300,11,FALSE)=0,0,HLOOKUP("BC Created",A1:CV300,11,FALSE)/HLOOKUP("Mins",A1:CV300,11,FALSE)* 90)</f>
        <v>8.3256244218316372E-2</v>
      </c>
      <c r="BJ11" s="6146">
        <f>IF(HLOOKUP("Mins",A1:CV300,11,FALSE)=0,0,HLOOKUP("KP",A1:CV300,11,FALSE)/HLOOKUP("Mins",A1:CV300,11,FALSE)* 90)</f>
        <v>8.3256244218316372E-2</v>
      </c>
      <c r="BK11" s="6147">
        <f>IF(HLOOKUP("Mins",A1:CV300,11,FALSE)=0,0,HLOOKUP("BC",A1:CV300,11,FALSE)/HLOOKUP("Mins",A1:CV300,11,FALSE)* 90)</f>
        <v>8.3256244218316372E-2</v>
      </c>
      <c r="BL11" s="6148">
        <f>IF(HLOOKUP("Mins",A1:CV300,11,FALSE)=0,0,HLOOKUP("BC Miss",A1:CV300,11,FALSE)/HLOOKUP("Mins",A1:CV300,11,FALSE)* 90)</f>
        <v>0</v>
      </c>
      <c r="BM11" s="6149">
        <f>IF(HLOOKUP("Mins",A1:CV300,11,FALSE)=0,0,HLOOKUP("Gs - BC",A1:CV300,11,FALSE)/HLOOKUP("Mins",A1:CV300,11,FALSE)* 90)</f>
        <v>8.3256244218316372E-2</v>
      </c>
      <c r="BN11" s="6150">
        <f>IF(HLOOKUP("Mins",A1:CV300,11,FALSE)=0,0,HLOOKUP("GIB",A1:CV300,11,FALSE)/HLOOKUP("Mins",A1:CV300,11,FALSE)* 90)</f>
        <v>8.3256244218316372E-2</v>
      </c>
      <c r="BO11" s="6151">
        <f>IF(HLOOKUP("Mins",A1:CV300,11,FALSE)=0,0,HLOOKUP("Gs - Open",A1:CV300,11,FALSE)/HLOOKUP("Mins",A1:CV300,11,FALSE)* 90)</f>
        <v>0</v>
      </c>
      <c r="BP11" s="6152">
        <f>IF(HLOOKUP("Mins",A1:CV300,11,FALSE)=0,0,HLOOKUP("ICT Index",A1:CV300,11,FALSE)/HLOOKUP("Mins",A1:CV300,11,FALSE)* 90)</f>
        <v>3.4551341350601299</v>
      </c>
      <c r="BQ11" s="6153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  <v>7.7428307123034223E-2</v>
      </c>
      <c r="BR11" s="6154">
        <f>0.0825*HLOOKUP("KP/90",A1:CV300,11,FALSE)</f>
        <v>6.8686401480111013E-3</v>
      </c>
      <c r="BS11" s="6155">
        <f>6*HLOOKUP("xG/90",A1:CV300,11,FALSE)+3*HLOOKUP("xA/90",A1:CV300,11,FALSE)</f>
        <v>0.48517576318223865</v>
      </c>
      <c r="BT11" s="6156">
        <f>HLOOKUP("xPts/90",A1:CV300,11,FALSE)-(6*0.75*(HLOOKUP("PK Gs",A1:CV300,11,FALSE)+HLOOKUP("PK Miss",A1:CV300,11,FALSE))*90/HLOOKUP("Mins",A1:CV300,11,FALSE))</f>
        <v>0.48517576318223865</v>
      </c>
      <c r="BU11" s="6157">
        <f>IF(HLOOKUP("Mins",A1:CV300,11,FALSE)=0,0,HLOOKUP("fsXG",A1:CV300,11,FALSE)/HLOOKUP("Mins",A1:CV300,11,FALSE)* 90)</f>
        <v>0.12904717853839037</v>
      </c>
      <c r="BV11" s="6158">
        <f>IF(HLOOKUP("Mins",A1:CV300,11,FALSE)=0,0,HLOOKUP("fsXA",A1:CV300,11,FALSE)/HLOOKUP("Mins",A1:CV300,11,FALSE)* 90)</f>
        <v>1.4986123959296948E-2</v>
      </c>
      <c r="BW11" s="6159">
        <f>6*HLOOKUP("fsXG/90",A1:CV300,11,FALSE)+3*HLOOKUP("fsXA/90",A1:CV300,11,FALSE)</f>
        <v>0.8192414431082331</v>
      </c>
      <c r="BX11" s="6160">
        <v>0.11145182698965073</v>
      </c>
      <c r="BY11" s="6161">
        <v>3.8438800722360611E-2</v>
      </c>
      <c r="BZ11" s="6162">
        <f>6*HLOOKUP("uXG/90",A1:CV300,11,FALSE)+3*HLOOKUP("uXA/90",A1:CV300,11,FALSE)</f>
        <v>0.78402736410498619</v>
      </c>
    </row>
    <row r="12" spans="1:78" hidden="1" x14ac:dyDescent="0.3">
      <c r="A12" s="6163" t="s">
        <v>175</v>
      </c>
      <c r="B12" s="6164" t="s">
        <v>91</v>
      </c>
      <c r="C12" s="6165">
        <v>4.5</v>
      </c>
      <c r="D12" s="6166">
        <v>1164</v>
      </c>
      <c r="E12" s="6167">
        <v>15</v>
      </c>
      <c r="F12" s="6168">
        <v>21</v>
      </c>
      <c r="G12" s="6169">
        <v>0</v>
      </c>
      <c r="H12" s="6170">
        <v>0</v>
      </c>
      <c r="I12" s="6171">
        <v>188</v>
      </c>
      <c r="J12" s="6172">
        <f>HLOOKUP("BPS",A1:CV300,12,FALSE)-((-6*HLOOKUP("OG",A1:CV300,12,FALSE))+(-6*HLOOKUP("PK Miss",A1:CV300,12,FALSE))+(9*HLOOKUP("FPL As",A1:CV300,12,FALSE))+(12*HLOOKUP("CS",A1:CV300,12,FALSE))+(12*HLOOKUP("Gs",A1:CV300,12,FALSE)))</f>
        <v>164</v>
      </c>
      <c r="K12" s="6173">
        <v>0</v>
      </c>
      <c r="L12" s="6174">
        <v>2</v>
      </c>
      <c r="M12" s="6175">
        <v>19</v>
      </c>
      <c r="N12" s="6176">
        <v>5</v>
      </c>
      <c r="O12" s="6177">
        <v>1</v>
      </c>
      <c r="P12" s="6178">
        <f>IF(HLOOKUP("Shots",A1:CV300,12,FALSE)=0,0,HLOOKUP("SIB",A1:CV300,12,FALSE)/HLOOKUP("Shots",A1:CV300,12,FALSE))</f>
        <v>0.2</v>
      </c>
      <c r="Q12" s="6179">
        <v>0</v>
      </c>
      <c r="R12" s="6180">
        <f>IF(HLOOKUP("Shots",A1:CV300,12,FALSE)=0,0,HLOOKUP("S6YD",A1:CV300,12,FALSE)/HLOOKUP("Shots",A1:CV300,12,FALSE))</f>
        <v>0</v>
      </c>
      <c r="S12" s="6181">
        <v>0</v>
      </c>
      <c r="T12" s="6182">
        <f>IF(HLOOKUP("Shots",A1:CV300,12,FALSE)=0,0,HLOOKUP("Headers",A1:CV300,12,FALSE)/HLOOKUP("Shots",A1:CV300,12,FALSE))</f>
        <v>0</v>
      </c>
      <c r="U12" s="6183">
        <v>2</v>
      </c>
      <c r="V12" s="6184">
        <f>IF(HLOOKUP("Shots",A1:CV300,12,FALSE)=0,0,HLOOKUP("SOT",A1:CV300,12,FALSE)/HLOOKUP("Shots",A1:CV300,12,FALSE))</f>
        <v>0.4</v>
      </c>
      <c r="W12" s="6185">
        <f>IF(HLOOKUP("Shots",A1:CV300,12,FALSE)=0,0,HLOOKUP("Gs",A1:CV300,12,FALSE)/HLOOKUP("Shots",A1:CV300,12,FALSE))</f>
        <v>0</v>
      </c>
      <c r="X12" s="6186">
        <v>0</v>
      </c>
      <c r="Y12" s="6187">
        <v>0</v>
      </c>
      <c r="Z12" s="6188">
        <v>7</v>
      </c>
      <c r="AA12" s="6189">
        <f>IF(HLOOKUP("KP",A1:CV300,12,FALSE)=0,0,HLOOKUP("As",A1:CV300,12,FALSE)/HLOOKUP("KP",A1:CV300,12,FALSE))</f>
        <v>0</v>
      </c>
      <c r="AB12" s="6190">
        <v>38</v>
      </c>
      <c r="AC12" s="6191">
        <v>0</v>
      </c>
      <c r="AD12" s="6192">
        <v>1</v>
      </c>
      <c r="AE12" s="6193">
        <v>0</v>
      </c>
      <c r="AF12" s="6194">
        <v>0</v>
      </c>
      <c r="AG12" s="6195">
        <f>IF(HLOOKUP("BC",A1:CV300,12,FALSE)=0,0,HLOOKUP("Gs - BC",A1:CV300,12,FALSE)/HLOOKUP("BC",A1:CV300,12,FALSE))</f>
        <v>0</v>
      </c>
      <c r="AH12" s="6196">
        <f>HLOOKUP("BC",A1:CV300,12,FALSE) - HLOOKUP("BC Miss",A1:CV300,12,FALSE)</f>
        <v>0</v>
      </c>
      <c r="AI12" s="6197">
        <f>IF(HLOOKUP("Gs",A1:CV300,12,FALSE)=0,0,HLOOKUP("Gs - BC",A1:CV300,12,FALSE)/HLOOKUP("Gs",A1:CV300,12,FALSE))</f>
        <v>0</v>
      </c>
      <c r="AJ12" s="6198">
        <v>0</v>
      </c>
      <c r="AK12" s="6199">
        <v>0</v>
      </c>
      <c r="AL12" s="6200">
        <f>HLOOKUP("BC",A1:CV300,12,FALSE) - (HLOOKUP("PK Gs",A1:CV300,12,FALSE) + HLOOKUP("PK Miss",A1:CV300,12,FALSE))</f>
        <v>0</v>
      </c>
      <c r="AM12" s="6201">
        <f>HLOOKUP("BC Miss",A1:CV300,12,FALSE) - HLOOKUP("PK Miss",A1:CV300,12,FALSE)</f>
        <v>0</v>
      </c>
      <c r="AN12" s="6202">
        <f>IF(HLOOKUP("BC - Open",A1:CV300,12,FALSE)=0,0,HLOOKUP("BC - Open Miss",A1:CV300,12,FALSE)/HLOOKUP("BC - Open",A1:CV300,12,FALSE))</f>
        <v>0</v>
      </c>
      <c r="AO12" s="6203">
        <v>0</v>
      </c>
      <c r="AP12" s="6204">
        <f>IF(HLOOKUP("Gs",A1:CV300,12,FALSE)=0,0,HLOOKUP("GIB",A1:CV300,12,FALSE)/HLOOKUP("Gs",A1:CV300,12,FALSE))</f>
        <v>0</v>
      </c>
      <c r="AQ12" s="6205">
        <v>0</v>
      </c>
      <c r="AR12" s="6206">
        <f>IF(HLOOKUP("Gs",A1:CV300,12,FALSE)=0,0,HLOOKUP("Gs - Open",A1:CV300,12,FALSE)/HLOOKUP("Gs",A1:CV300,12,FALSE))</f>
        <v>0</v>
      </c>
      <c r="AS12" s="6207">
        <v>0.12</v>
      </c>
      <c r="AT12" s="6208">
        <v>0.74</v>
      </c>
      <c r="AU12" s="6209">
        <f>IF(HLOOKUP("Mins",A1:CV300,12,FALSE)=0,0,HLOOKUP("Pts",A1:CV300,12,FALSE)/HLOOKUP("Mins",A1:CV300,12,FALSE)* 90)</f>
        <v>1.6237113402061853</v>
      </c>
      <c r="AV12" s="6210">
        <f>IF(HLOOKUP("Apps",A1:CV300,12,FALSE)=0,0,HLOOKUP("Pts",A1:CV300,12,FALSE)/HLOOKUP("Apps",A1:CV300,12,FALSE)* 1)</f>
        <v>1.4</v>
      </c>
      <c r="AW12" s="6211">
        <f>IF(HLOOKUP("Mins",A1:CV300,12,FALSE)=0,0,HLOOKUP("Gs",A1:CV300,12,FALSE)/HLOOKUP("Mins",A1:CV300,12,FALSE)* 90)</f>
        <v>0</v>
      </c>
      <c r="AX12" s="6212">
        <f>IF(HLOOKUP("Mins",A1:CV300,12,FALSE)=0,0,HLOOKUP("Bonus",A1:CV300,12,FALSE)/HLOOKUP("Mins",A1:CV300,12,FALSE)* 90)</f>
        <v>0</v>
      </c>
      <c r="AY12" s="6213">
        <f>IF(HLOOKUP("Mins",A1:CV300,12,FALSE)=0,0,HLOOKUP("BPS",A1:CV300,12,FALSE)/HLOOKUP("Mins",A1:CV300,12,FALSE)* 90)</f>
        <v>14.536082474226806</v>
      </c>
      <c r="AZ12" s="6214">
        <f>IF(HLOOKUP("Mins",A1:CV300,12,FALSE)=0,0,HLOOKUP("Base BPS",A1:CV300,12,FALSE)/HLOOKUP("Mins",A1:CV300,12,FALSE)* 90)</f>
        <v>12.68041237113402</v>
      </c>
      <c r="BA12" s="6215">
        <f>IF(HLOOKUP("Mins",A1:CV300,12,FALSE)=0,0,HLOOKUP("PenTchs",A1:CV300,12,FALSE)/HLOOKUP("Mins",A1:CV300,12,FALSE)* 90)</f>
        <v>1.4690721649484537</v>
      </c>
      <c r="BB12" s="6216">
        <f>IF(HLOOKUP("Mins",A1:CV300,12,FALSE)=0,0,HLOOKUP("Shots",A1:CV300,12,FALSE)/HLOOKUP("Mins",A1:CV300,12,FALSE)* 90)</f>
        <v>0.38659793814432991</v>
      </c>
      <c r="BC12" s="6217">
        <f>IF(HLOOKUP("Mins",A1:CV300,12,FALSE)=0,0,HLOOKUP("SIB",A1:CV300,12,FALSE)/HLOOKUP("Mins",A1:CV300,12,FALSE)* 90)</f>
        <v>7.7319587628865982E-2</v>
      </c>
      <c r="BD12" s="6218">
        <f>IF(HLOOKUP("Mins",A1:CV300,12,FALSE)=0,0,HLOOKUP("S6YD",A1:CV300,12,FALSE)/HLOOKUP("Mins",A1:CV300,12,FALSE)* 90)</f>
        <v>0</v>
      </c>
      <c r="BE12" s="6219">
        <f>IF(HLOOKUP("Mins",A1:CV300,12,FALSE)=0,0,HLOOKUP("Headers",A1:CV300,12,FALSE)/HLOOKUP("Mins",A1:CV300,12,FALSE)* 90)</f>
        <v>0</v>
      </c>
      <c r="BF12" s="6220">
        <f>IF(HLOOKUP("Mins",A1:CV300,12,FALSE)=0,0,HLOOKUP("SOT",A1:CV300,12,FALSE)/HLOOKUP("Mins",A1:CV300,12,FALSE)* 90)</f>
        <v>0.15463917525773196</v>
      </c>
      <c r="BG12" s="6221">
        <f>IF(HLOOKUP("Mins",A1:CV300,12,FALSE)=0,0,HLOOKUP("As",A1:CV300,12,FALSE)/HLOOKUP("Mins",A1:CV300,12,FALSE)* 90)</f>
        <v>0</v>
      </c>
      <c r="BH12" s="6222">
        <f>IF(HLOOKUP("Mins",A1:CV300,12,FALSE)=0,0,HLOOKUP("FPL As",A1:CV300,12,FALSE)/HLOOKUP("Mins",A1:CV300,12,FALSE)* 90)</f>
        <v>0</v>
      </c>
      <c r="BI12" s="6223">
        <f>IF(HLOOKUP("Mins",A1:CV300,12,FALSE)=0,0,HLOOKUP("BC Created",A1:CV300,12,FALSE)/HLOOKUP("Mins",A1:CV300,12,FALSE)* 90)</f>
        <v>7.7319587628865982E-2</v>
      </c>
      <c r="BJ12" s="6224">
        <f>IF(HLOOKUP("Mins",A1:CV300,12,FALSE)=0,0,HLOOKUP("KP",A1:CV300,12,FALSE)/HLOOKUP("Mins",A1:CV300,12,FALSE)* 90)</f>
        <v>0.54123711340206193</v>
      </c>
      <c r="BK12" s="6225">
        <f>IF(HLOOKUP("Mins",A1:CV300,12,FALSE)=0,0,HLOOKUP("BC",A1:CV300,12,FALSE)/HLOOKUP("Mins",A1:CV300,12,FALSE)* 90)</f>
        <v>0</v>
      </c>
      <c r="BL12" s="6226">
        <f>IF(HLOOKUP("Mins",A1:CV300,12,FALSE)=0,0,HLOOKUP("BC Miss",A1:CV300,12,FALSE)/HLOOKUP("Mins",A1:CV300,12,FALSE)* 90)</f>
        <v>0</v>
      </c>
      <c r="BM12" s="6227">
        <f>IF(HLOOKUP("Mins",A1:CV300,12,FALSE)=0,0,HLOOKUP("Gs - BC",A1:CV300,12,FALSE)/HLOOKUP("Mins",A1:CV300,12,FALSE)* 90)</f>
        <v>0</v>
      </c>
      <c r="BN12" s="6228">
        <f>IF(HLOOKUP("Mins",A1:CV300,12,FALSE)=0,0,HLOOKUP("GIB",A1:CV300,12,FALSE)/HLOOKUP("Mins",A1:CV300,12,FALSE)* 90)</f>
        <v>0</v>
      </c>
      <c r="BO12" s="6229">
        <f>IF(HLOOKUP("Mins",A1:CV300,12,FALSE)=0,0,HLOOKUP("Gs - Open",A1:CV300,12,FALSE)/HLOOKUP("Mins",A1:CV300,12,FALSE)* 90)</f>
        <v>0</v>
      </c>
      <c r="BP12" s="6230">
        <f>IF(HLOOKUP("Mins",A1:CV300,12,FALSE)=0,0,HLOOKUP("ICT Index",A1:CV300,12,FALSE)/HLOOKUP("Mins",A1:CV300,12,FALSE)* 90)</f>
        <v>2.9381443298969074</v>
      </c>
      <c r="BQ12" s="6231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  <v>1.3376288659793813E-2</v>
      </c>
      <c r="BR12" s="6232">
        <f>0.0825*HLOOKUP("KP/90",A1:CV300,12,FALSE)</f>
        <v>4.4652061855670111E-2</v>
      </c>
      <c r="BS12" s="6233">
        <f>6*HLOOKUP("xG/90",A1:CV300,12,FALSE)+3*HLOOKUP("xA/90",A1:CV300,12,FALSE)</f>
        <v>0.21421391752577321</v>
      </c>
      <c r="BT12" s="6234">
        <f>HLOOKUP("xPts/90",A1:CV300,12,FALSE)-(6*0.75*(HLOOKUP("PK Gs",A1:CV300,12,FALSE)+HLOOKUP("PK Miss",A1:CV300,12,FALSE))*90/HLOOKUP("Mins",A1:CV300,12,FALSE))</f>
        <v>0.21421391752577321</v>
      </c>
      <c r="BU12" s="6235">
        <f>IF(HLOOKUP("Mins",A1:CV300,12,FALSE)=0,0,HLOOKUP("fsXG",A1:CV300,12,FALSE)/HLOOKUP("Mins",A1:CV300,12,FALSE)* 90)</f>
        <v>9.2783505154639175E-3</v>
      </c>
      <c r="BV12" s="6236">
        <f>IF(HLOOKUP("Mins",A1:CV300,12,FALSE)=0,0,HLOOKUP("fsXA",A1:CV300,12,FALSE)/HLOOKUP("Mins",A1:CV300,12,FALSE)* 90)</f>
        <v>5.7216494845360823E-2</v>
      </c>
      <c r="BW12" s="6237">
        <f>6*HLOOKUP("fsXG/90",A1:CV300,12,FALSE)+3*HLOOKUP("fsXA/90",A1:CV300,12,FALSE)</f>
        <v>0.22731958762886598</v>
      </c>
      <c r="BX12" s="6238">
        <v>8.3589600399136543E-3</v>
      </c>
      <c r="BY12" s="6239">
        <v>4.342738538980484E-2</v>
      </c>
      <c r="BZ12" s="6240">
        <f>6*HLOOKUP("uXG/90",A1:CV300,12,FALSE)+3*HLOOKUP("uXA/90",A1:CV300,12,FALSE)</f>
        <v>0.18043591640889645</v>
      </c>
    </row>
    <row r="13" spans="1:78" hidden="1" x14ac:dyDescent="0.3">
      <c r="A13" s="6241" t="s">
        <v>176</v>
      </c>
      <c r="B13" s="6242" t="s">
        <v>93</v>
      </c>
      <c r="C13" s="6243">
        <v>4</v>
      </c>
      <c r="D13" s="6244">
        <v>167</v>
      </c>
      <c r="E13" s="6245">
        <v>3</v>
      </c>
      <c r="F13" s="6246">
        <v>3</v>
      </c>
      <c r="G13" s="6247">
        <v>0</v>
      </c>
      <c r="H13" s="6248">
        <v>0</v>
      </c>
      <c r="I13" s="6249">
        <v>25</v>
      </c>
      <c r="J13" s="6250">
        <f>HLOOKUP("BPS",A1:CV300,13,FALSE)-((-6*HLOOKUP("OG",A1:CV300,13,FALSE))+(-6*HLOOKUP("PK Miss",A1:CV300,13,FALSE))+(9*HLOOKUP("FPL As",A1:CV300,13,FALSE))+(12*HLOOKUP("CS",A1:CV300,13,FALSE))+(12*HLOOKUP("Gs",A1:CV300,13,FALSE)))</f>
        <v>25</v>
      </c>
      <c r="K13" s="6251">
        <v>0</v>
      </c>
      <c r="L13" s="6252">
        <v>0</v>
      </c>
      <c r="M13" s="6253">
        <v>1</v>
      </c>
      <c r="N13" s="6254">
        <v>1</v>
      </c>
      <c r="O13" s="6255">
        <v>1</v>
      </c>
      <c r="P13" s="6256">
        <f>IF(HLOOKUP("Shots",A1:CV300,13,FALSE)=0,0,HLOOKUP("SIB",A1:CV300,13,FALSE)/HLOOKUP("Shots",A1:CV300,13,FALSE))</f>
        <v>1</v>
      </c>
      <c r="Q13" s="6257">
        <v>0</v>
      </c>
      <c r="R13" s="6258">
        <f>IF(HLOOKUP("Shots",A1:CV300,13,FALSE)=0,0,HLOOKUP("S6YD",A1:CV300,13,FALSE)/HLOOKUP("Shots",A1:CV300,13,FALSE))</f>
        <v>0</v>
      </c>
      <c r="S13" s="6259">
        <v>1</v>
      </c>
      <c r="T13" s="6260">
        <f>IF(HLOOKUP("Shots",A1:CV300,13,FALSE)=0,0,HLOOKUP("Headers",A1:CV300,13,FALSE)/HLOOKUP("Shots",A1:CV300,13,FALSE))</f>
        <v>1</v>
      </c>
      <c r="U13" s="6261">
        <v>0</v>
      </c>
      <c r="V13" s="6262">
        <f>IF(HLOOKUP("Shots",A1:CV300,13,FALSE)=0,0,HLOOKUP("SOT",A1:CV300,13,FALSE)/HLOOKUP("Shots",A1:CV300,13,FALSE))</f>
        <v>0</v>
      </c>
      <c r="W13" s="6263">
        <f>IF(HLOOKUP("Shots",A1:CV300,13,FALSE)=0,0,HLOOKUP("Gs",A1:CV300,13,FALSE)/HLOOKUP("Shots",A1:CV300,13,FALSE))</f>
        <v>0</v>
      </c>
      <c r="X13" s="6264">
        <v>0</v>
      </c>
      <c r="Y13" s="6265">
        <v>0</v>
      </c>
      <c r="Z13" s="6266">
        <v>1</v>
      </c>
      <c r="AA13" s="6267">
        <f>IF(HLOOKUP("KP",A1:CV300,13,FALSE)=0,0,HLOOKUP("As",A1:CV300,13,FALSE)/HLOOKUP("KP",A1:CV300,13,FALSE))</f>
        <v>0</v>
      </c>
      <c r="AB13" s="6268">
        <v>5.8</v>
      </c>
      <c r="AC13" s="6269">
        <v>0</v>
      </c>
      <c r="AD13" s="6270">
        <v>0</v>
      </c>
      <c r="AE13" s="6271">
        <v>0</v>
      </c>
      <c r="AF13" s="6272">
        <v>0</v>
      </c>
      <c r="AG13" s="6273">
        <f>IF(HLOOKUP("BC",A1:CV300,13,FALSE)=0,0,HLOOKUP("Gs - BC",A1:CV300,13,FALSE)/HLOOKUP("BC",A1:CV300,13,FALSE))</f>
        <v>0</v>
      </c>
      <c r="AH13" s="6274">
        <f>HLOOKUP("BC",A1:CV300,13,FALSE) - HLOOKUP("BC Miss",A1:CV300,13,FALSE)</f>
        <v>0</v>
      </c>
      <c r="AI13" s="6275">
        <f>IF(HLOOKUP("Gs",A1:CV300,13,FALSE)=0,0,HLOOKUP("Gs - BC",A1:CV300,13,FALSE)/HLOOKUP("Gs",A1:CV300,13,FALSE))</f>
        <v>0</v>
      </c>
      <c r="AJ13" s="6276">
        <v>0</v>
      </c>
      <c r="AK13" s="6277">
        <v>0</v>
      </c>
      <c r="AL13" s="6278">
        <f>HLOOKUP("BC",A1:CV300,13,FALSE) - (HLOOKUP("PK Gs",A1:CV300,13,FALSE) + HLOOKUP("PK Miss",A1:CV300,13,FALSE))</f>
        <v>0</v>
      </c>
      <c r="AM13" s="6279">
        <f>HLOOKUP("BC Miss",A1:CV300,13,FALSE) - HLOOKUP("PK Miss",A1:CV300,13,FALSE)</f>
        <v>0</v>
      </c>
      <c r="AN13" s="6280">
        <f>IF(HLOOKUP("BC - Open",A1:CV300,13,FALSE)=0,0,HLOOKUP("BC - Open Miss",A1:CV300,13,FALSE)/HLOOKUP("BC - Open",A1:CV300,13,FALSE))</f>
        <v>0</v>
      </c>
      <c r="AO13" s="6281">
        <v>0</v>
      </c>
      <c r="AP13" s="6282">
        <f>IF(HLOOKUP("Gs",A1:CV300,13,FALSE)=0,0,HLOOKUP("GIB",A1:CV300,13,FALSE)/HLOOKUP("Gs",A1:CV300,13,FALSE))</f>
        <v>0</v>
      </c>
      <c r="AQ13" s="6283">
        <v>0</v>
      </c>
      <c r="AR13" s="6284">
        <f>IF(HLOOKUP("Gs",A1:CV300,13,FALSE)=0,0,HLOOKUP("Gs - Open",A1:CV300,13,FALSE)/HLOOKUP("Gs",A1:CV300,13,FALSE))</f>
        <v>0</v>
      </c>
      <c r="AS13" s="6285">
        <v>0.04</v>
      </c>
      <c r="AT13" s="6286">
        <v>0.01</v>
      </c>
      <c r="AU13" s="6287">
        <f>IF(HLOOKUP("Mins",A1:CV300,13,FALSE)=0,0,HLOOKUP("Pts",A1:CV300,13,FALSE)/HLOOKUP("Mins",A1:CV300,13,FALSE)* 90)</f>
        <v>1.6167664670658681</v>
      </c>
      <c r="AV13" s="6288">
        <f>IF(HLOOKUP("Apps",A1:CV300,13,FALSE)=0,0,HLOOKUP("Pts",A1:CV300,13,FALSE)/HLOOKUP("Apps",A1:CV300,13,FALSE)* 1)</f>
        <v>1</v>
      </c>
      <c r="AW13" s="6289">
        <f>IF(HLOOKUP("Mins",A1:CV300,13,FALSE)=0,0,HLOOKUP("Gs",A1:CV300,13,FALSE)/HLOOKUP("Mins",A1:CV300,13,FALSE)* 90)</f>
        <v>0</v>
      </c>
      <c r="AX13" s="6290">
        <f>IF(HLOOKUP("Mins",A1:CV300,13,FALSE)=0,0,HLOOKUP("Bonus",A1:CV300,13,FALSE)/HLOOKUP("Mins",A1:CV300,13,FALSE)* 90)</f>
        <v>0</v>
      </c>
      <c r="AY13" s="6291">
        <f>IF(HLOOKUP("Mins",A1:CV300,13,FALSE)=0,0,HLOOKUP("BPS",A1:CV300,13,FALSE)/HLOOKUP("Mins",A1:CV300,13,FALSE)* 90)</f>
        <v>13.473053892215567</v>
      </c>
      <c r="AZ13" s="6292">
        <f>IF(HLOOKUP("Mins",A1:CV300,13,FALSE)=0,0,HLOOKUP("Base BPS",A1:CV300,13,FALSE)/HLOOKUP("Mins",A1:CV300,13,FALSE)* 90)</f>
        <v>13.473053892215567</v>
      </c>
      <c r="BA13" s="6293">
        <f>IF(HLOOKUP("Mins",A1:CV300,13,FALSE)=0,0,HLOOKUP("PenTchs",A1:CV300,13,FALSE)/HLOOKUP("Mins",A1:CV300,13,FALSE)* 90)</f>
        <v>0.53892215568862278</v>
      </c>
      <c r="BB13" s="6294">
        <f>IF(HLOOKUP("Mins",A1:CV300,13,FALSE)=0,0,HLOOKUP("Shots",A1:CV300,13,FALSE)/HLOOKUP("Mins",A1:CV300,13,FALSE)* 90)</f>
        <v>0.53892215568862278</v>
      </c>
      <c r="BC13" s="6295">
        <f>IF(HLOOKUP("Mins",A1:CV300,13,FALSE)=0,0,HLOOKUP("SIB",A1:CV300,13,FALSE)/HLOOKUP("Mins",A1:CV300,13,FALSE)* 90)</f>
        <v>0.53892215568862278</v>
      </c>
      <c r="BD13" s="6296">
        <f>IF(HLOOKUP("Mins",A1:CV300,13,FALSE)=0,0,HLOOKUP("S6YD",A1:CV300,13,FALSE)/HLOOKUP("Mins",A1:CV300,13,FALSE)* 90)</f>
        <v>0</v>
      </c>
      <c r="BE13" s="6297">
        <f>IF(HLOOKUP("Mins",A1:CV300,13,FALSE)=0,0,HLOOKUP("Headers",A1:CV300,13,FALSE)/HLOOKUP("Mins",A1:CV300,13,FALSE)* 90)</f>
        <v>0.53892215568862278</v>
      </c>
      <c r="BF13" s="6298">
        <f>IF(HLOOKUP("Mins",A1:CV300,13,FALSE)=0,0,HLOOKUP("SOT",A1:CV300,13,FALSE)/HLOOKUP("Mins",A1:CV300,13,FALSE)* 90)</f>
        <v>0</v>
      </c>
      <c r="BG13" s="6299">
        <f>IF(HLOOKUP("Mins",A1:CV300,13,FALSE)=0,0,HLOOKUP("As",A1:CV300,13,FALSE)/HLOOKUP("Mins",A1:CV300,13,FALSE)* 90)</f>
        <v>0</v>
      </c>
      <c r="BH13" s="6300">
        <f>IF(HLOOKUP("Mins",A1:CV300,13,FALSE)=0,0,HLOOKUP("FPL As",A1:CV300,13,FALSE)/HLOOKUP("Mins",A1:CV300,13,FALSE)* 90)</f>
        <v>0</v>
      </c>
      <c r="BI13" s="6301">
        <f>IF(HLOOKUP("Mins",A1:CV300,13,FALSE)=0,0,HLOOKUP("BC Created",A1:CV300,13,FALSE)/HLOOKUP("Mins",A1:CV300,13,FALSE)* 90)</f>
        <v>0</v>
      </c>
      <c r="BJ13" s="6302">
        <f>IF(HLOOKUP("Mins",A1:CV300,13,FALSE)=0,0,HLOOKUP("KP",A1:CV300,13,FALSE)/HLOOKUP("Mins",A1:CV300,13,FALSE)* 90)</f>
        <v>0.53892215568862278</v>
      </c>
      <c r="BK13" s="6303">
        <f>IF(HLOOKUP("Mins",A1:CV300,13,FALSE)=0,0,HLOOKUP("BC",A1:CV300,13,FALSE)/HLOOKUP("Mins",A1:CV300,13,FALSE)* 90)</f>
        <v>0</v>
      </c>
      <c r="BL13" s="6304">
        <f>IF(HLOOKUP("Mins",A1:CV300,13,FALSE)=0,0,HLOOKUP("BC Miss",A1:CV300,13,FALSE)/HLOOKUP("Mins",A1:CV300,13,FALSE)* 90)</f>
        <v>0</v>
      </c>
      <c r="BM13" s="6305">
        <f>IF(HLOOKUP("Mins",A1:CV300,13,FALSE)=0,0,HLOOKUP("Gs - BC",A1:CV300,13,FALSE)/HLOOKUP("Mins",A1:CV300,13,FALSE)* 90)</f>
        <v>0</v>
      </c>
      <c r="BN13" s="6306">
        <f>IF(HLOOKUP("Mins",A1:CV300,13,FALSE)=0,0,HLOOKUP("GIB",A1:CV300,13,FALSE)/HLOOKUP("Mins",A1:CV300,13,FALSE)* 90)</f>
        <v>0</v>
      </c>
      <c r="BO13" s="6307">
        <f>IF(HLOOKUP("Mins",A1:CV300,13,FALSE)=0,0,HLOOKUP("Gs - Open",A1:CV300,13,FALSE)/HLOOKUP("Mins",A1:CV300,13,FALSE)* 90)</f>
        <v>0</v>
      </c>
      <c r="BP13" s="6308">
        <f>IF(HLOOKUP("Mins",A1:CV300,13,FALSE)=0,0,HLOOKUP("ICT Index",A1:CV300,13,FALSE)/HLOOKUP("Mins",A1:CV300,13,FALSE)* 90)</f>
        <v>3.125748502994012</v>
      </c>
      <c r="BQ13" s="6309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  <v>5.011976047904191E-2</v>
      </c>
      <c r="BR13" s="6310">
        <f>0.0825*HLOOKUP("KP/90",A1:CV300,13,FALSE)</f>
        <v>4.4461077844311379E-2</v>
      </c>
      <c r="BS13" s="6311">
        <f>6*HLOOKUP("xG/90",A1:CV300,13,FALSE)+3*HLOOKUP("xA/90",A1:CV300,13,FALSE)</f>
        <v>0.4341017964071856</v>
      </c>
      <c r="BT13" s="6312">
        <f>HLOOKUP("xPts/90",A1:CV300,13,FALSE)-(6*0.75*(HLOOKUP("PK Gs",A1:CV300,13,FALSE)+HLOOKUP("PK Miss",A1:CV300,13,FALSE))*90/HLOOKUP("Mins",A1:CV300,13,FALSE))</f>
        <v>0.4341017964071856</v>
      </c>
      <c r="BU13" s="6313">
        <f>IF(HLOOKUP("Mins",A1:CV300,13,FALSE)=0,0,HLOOKUP("fsXG",A1:CV300,13,FALSE)/HLOOKUP("Mins",A1:CV300,13,FALSE)* 90)</f>
        <v>2.1556886227544911E-2</v>
      </c>
      <c r="BV13" s="6314">
        <f>IF(HLOOKUP("Mins",A1:CV300,13,FALSE)=0,0,HLOOKUP("fsXA",A1:CV300,13,FALSE)/HLOOKUP("Mins",A1:CV300,13,FALSE)* 90)</f>
        <v>5.3892215568862277E-3</v>
      </c>
      <c r="BW13" s="6315">
        <f>6*HLOOKUP("fsXG/90",A1:CV300,13,FALSE)+3*HLOOKUP("fsXA/90",A1:CV300,13,FALSE)</f>
        <v>0.14550898203592816</v>
      </c>
      <c r="BX13" s="6316">
        <v>6.4465915784239769E-3</v>
      </c>
      <c r="BY13" s="6317">
        <v>1.8919266760349274E-2</v>
      </c>
      <c r="BZ13" s="6318">
        <f>6*HLOOKUP("uXG/90",A1:CV300,13,FALSE)+3*HLOOKUP("uXA/90",A1:CV300,13,FALSE)</f>
        <v>9.5437349751591682E-2</v>
      </c>
    </row>
    <row r="14" spans="1:78" hidden="1" x14ac:dyDescent="0.3">
      <c r="A14" s="6319" t="s">
        <v>177</v>
      </c>
      <c r="B14" s="6320" t="s">
        <v>118</v>
      </c>
      <c r="C14" s="6321">
        <v>4.9000000953674316</v>
      </c>
      <c r="D14" s="6322">
        <v>153</v>
      </c>
      <c r="E14" s="6323">
        <v>3</v>
      </c>
      <c r="F14" s="6324">
        <v>8</v>
      </c>
      <c r="G14" s="6325">
        <v>0</v>
      </c>
      <c r="H14" s="6326">
        <v>0</v>
      </c>
      <c r="I14" s="6327">
        <v>38</v>
      </c>
      <c r="J14" s="6328">
        <f>HLOOKUP("BPS",A1:CV300,14,FALSE)-((-6*HLOOKUP("OG",A1:CV300,14,FALSE))+(-6*HLOOKUP("PK Miss",A1:CV300,14,FALSE))+(9*HLOOKUP("FPL As",A1:CV300,14,FALSE))+(12*HLOOKUP("CS",A1:CV300,14,FALSE))+(12*HLOOKUP("Gs",A1:CV300,14,FALSE)))</f>
        <v>29</v>
      </c>
      <c r="K14" s="6329">
        <v>0</v>
      </c>
      <c r="L14" s="6330">
        <v>0</v>
      </c>
      <c r="M14" s="6331">
        <v>1</v>
      </c>
      <c r="N14" s="6332">
        <v>1</v>
      </c>
      <c r="O14" s="6333">
        <v>0</v>
      </c>
      <c r="P14" s="6334">
        <f>IF(HLOOKUP("Shots",A1:CV300,14,FALSE)=0,0,HLOOKUP("SIB",A1:CV300,14,FALSE)/HLOOKUP("Shots",A1:CV300,14,FALSE))</f>
        <v>0</v>
      </c>
      <c r="Q14" s="6335">
        <v>0</v>
      </c>
      <c r="R14" s="6336">
        <f>IF(HLOOKUP("Shots",A1:CV300,14,FALSE)=0,0,HLOOKUP("S6YD",A1:CV300,14,FALSE)/HLOOKUP("Shots",A1:CV300,14,FALSE))</f>
        <v>0</v>
      </c>
      <c r="S14" s="6337">
        <v>0</v>
      </c>
      <c r="T14" s="6338">
        <f>IF(HLOOKUP("Shots",A1:CV300,14,FALSE)=0,0,HLOOKUP("Headers",A1:CV300,14,FALSE)/HLOOKUP("Shots",A1:CV300,14,FALSE))</f>
        <v>0</v>
      </c>
      <c r="U14" s="6339">
        <v>0</v>
      </c>
      <c r="V14" s="6340">
        <f>IF(HLOOKUP("Shots",A1:CV300,14,FALSE)=0,0,HLOOKUP("SOT",A1:CV300,14,FALSE)/HLOOKUP("Shots",A1:CV300,14,FALSE))</f>
        <v>0</v>
      </c>
      <c r="W14" s="6341">
        <f>IF(HLOOKUP("Shots",A1:CV300,14,FALSE)=0,0,HLOOKUP("Gs",A1:CV300,14,FALSE)/HLOOKUP("Shots",A1:CV300,14,FALSE))</f>
        <v>0</v>
      </c>
      <c r="X14" s="6342">
        <v>0</v>
      </c>
      <c r="Y14" s="6343">
        <v>1</v>
      </c>
      <c r="Z14" s="6344">
        <v>1</v>
      </c>
      <c r="AA14" s="6345">
        <f>IF(HLOOKUP("KP",A1:CV300,14,FALSE)=0,0,HLOOKUP("As",A1:CV300,14,FALSE)/HLOOKUP("KP",A1:CV300,14,FALSE))</f>
        <v>0</v>
      </c>
      <c r="AB14" s="6346">
        <v>6.3</v>
      </c>
      <c r="AC14" s="6347">
        <v>25</v>
      </c>
      <c r="AD14" s="6348">
        <v>0</v>
      </c>
      <c r="AE14" s="6349">
        <v>0</v>
      </c>
      <c r="AF14" s="6350">
        <v>0</v>
      </c>
      <c r="AG14" s="6351">
        <f>IF(HLOOKUP("BC",A1:CV300,14,FALSE)=0,0,HLOOKUP("Gs - BC",A1:CV300,14,FALSE)/HLOOKUP("BC",A1:CV300,14,FALSE))</f>
        <v>0</v>
      </c>
      <c r="AH14" s="6352">
        <f>HLOOKUP("BC",A1:CV300,14,FALSE) - HLOOKUP("BC Miss",A1:CV300,14,FALSE)</f>
        <v>0</v>
      </c>
      <c r="AI14" s="6353">
        <f>IF(HLOOKUP("Gs",A1:CV300,14,FALSE)=0,0,HLOOKUP("Gs - BC",A1:CV300,14,FALSE)/HLOOKUP("Gs",A1:CV300,14,FALSE))</f>
        <v>0</v>
      </c>
      <c r="AJ14" s="6354">
        <v>0</v>
      </c>
      <c r="AK14" s="6355">
        <v>0</v>
      </c>
      <c r="AL14" s="6356">
        <f>HLOOKUP("BC",A1:CV300,14,FALSE) - (HLOOKUP("PK Gs",A1:CV300,14,FALSE) + HLOOKUP("PK Miss",A1:CV300,14,FALSE))</f>
        <v>0</v>
      </c>
      <c r="AM14" s="6357">
        <f>HLOOKUP("BC Miss",A1:CV300,14,FALSE) - HLOOKUP("PK Miss",A1:CV300,14,FALSE)</f>
        <v>0</v>
      </c>
      <c r="AN14" s="6358">
        <f>IF(HLOOKUP("BC - Open",A1:CV300,14,FALSE)=0,0,HLOOKUP("BC - Open Miss",A1:CV300,14,FALSE)/HLOOKUP("BC - Open",A1:CV300,14,FALSE))</f>
        <v>0</v>
      </c>
      <c r="AO14" s="6359">
        <v>0</v>
      </c>
      <c r="AP14" s="6360">
        <f>IF(HLOOKUP("Gs",A1:CV300,14,FALSE)=0,0,HLOOKUP("GIB",A1:CV300,14,FALSE)/HLOOKUP("Gs",A1:CV300,14,FALSE))</f>
        <v>0</v>
      </c>
      <c r="AQ14" s="6361">
        <v>0</v>
      </c>
      <c r="AR14" s="6362">
        <f>IF(HLOOKUP("Gs",A1:CV300,14,FALSE)=0,0,HLOOKUP("Gs - Open",A1:CV300,14,FALSE)/HLOOKUP("Gs",A1:CV300,14,FALSE))</f>
        <v>0</v>
      </c>
      <c r="AS14" s="6363">
        <v>0.05</v>
      </c>
      <c r="AT14" s="6364">
        <v>0.16</v>
      </c>
      <c r="AU14" s="6365">
        <f>IF(HLOOKUP("Mins",A1:CV300,14,FALSE)=0,0,HLOOKUP("Pts",A1:CV300,14,FALSE)/HLOOKUP("Mins",A1:CV300,14,FALSE)* 90)</f>
        <v>4.7058823529411766</v>
      </c>
      <c r="AV14" s="6366">
        <f>IF(HLOOKUP("Apps",A1:CV300,14,FALSE)=0,0,HLOOKUP("Pts",A1:CV300,14,FALSE)/HLOOKUP("Apps",A1:CV300,14,FALSE)* 1)</f>
        <v>2.6666666666666665</v>
      </c>
      <c r="AW14" s="6367">
        <f>IF(HLOOKUP("Mins",A1:CV300,14,FALSE)=0,0,HLOOKUP("Gs",A1:CV300,14,FALSE)/HLOOKUP("Mins",A1:CV300,14,FALSE)* 90)</f>
        <v>0</v>
      </c>
      <c r="AX14" s="6368">
        <f>IF(HLOOKUP("Mins",A1:CV300,14,FALSE)=0,0,HLOOKUP("Bonus",A1:CV300,14,FALSE)/HLOOKUP("Mins",A1:CV300,14,FALSE)* 90)</f>
        <v>0</v>
      </c>
      <c r="AY14" s="6369">
        <f>IF(HLOOKUP("Mins",A1:CV300,14,FALSE)=0,0,HLOOKUP("BPS",A1:CV300,14,FALSE)/HLOOKUP("Mins",A1:CV300,14,FALSE)* 90)</f>
        <v>22.352941176470587</v>
      </c>
      <c r="AZ14" s="6370">
        <f>IF(HLOOKUP("Mins",A1:CV300,14,FALSE)=0,0,HLOOKUP("Base BPS",A1:CV300,14,FALSE)/HLOOKUP("Mins",A1:CV300,14,FALSE)* 90)</f>
        <v>17.058823529411764</v>
      </c>
      <c r="BA14" s="6371">
        <f>IF(HLOOKUP("Mins",A1:CV300,14,FALSE)=0,0,HLOOKUP("PenTchs",A1:CV300,14,FALSE)/HLOOKUP("Mins",A1:CV300,14,FALSE)* 90)</f>
        <v>0.58823529411764708</v>
      </c>
      <c r="BB14" s="6372">
        <f>IF(HLOOKUP("Mins",A1:CV300,14,FALSE)=0,0,HLOOKUP("Shots",A1:CV300,14,FALSE)/HLOOKUP("Mins",A1:CV300,14,FALSE)* 90)</f>
        <v>0.58823529411764708</v>
      </c>
      <c r="BC14" s="6373">
        <f>IF(HLOOKUP("Mins",A1:CV300,14,FALSE)=0,0,HLOOKUP("SIB",A1:CV300,14,FALSE)/HLOOKUP("Mins",A1:CV300,14,FALSE)* 90)</f>
        <v>0</v>
      </c>
      <c r="BD14" s="6374">
        <f>IF(HLOOKUP("Mins",A1:CV300,14,FALSE)=0,0,HLOOKUP("S6YD",A1:CV300,14,FALSE)/HLOOKUP("Mins",A1:CV300,14,FALSE)* 90)</f>
        <v>0</v>
      </c>
      <c r="BE14" s="6375">
        <f>IF(HLOOKUP("Mins",A1:CV300,14,FALSE)=0,0,HLOOKUP("Headers",A1:CV300,14,FALSE)/HLOOKUP("Mins",A1:CV300,14,FALSE)* 90)</f>
        <v>0</v>
      </c>
      <c r="BF14" s="6376">
        <f>IF(HLOOKUP("Mins",A1:CV300,14,FALSE)=0,0,HLOOKUP("SOT",A1:CV300,14,FALSE)/HLOOKUP("Mins",A1:CV300,14,FALSE)* 90)</f>
        <v>0</v>
      </c>
      <c r="BG14" s="6377">
        <f>IF(HLOOKUP("Mins",A1:CV300,14,FALSE)=0,0,HLOOKUP("As",A1:CV300,14,FALSE)/HLOOKUP("Mins",A1:CV300,14,FALSE)* 90)</f>
        <v>0</v>
      </c>
      <c r="BH14" s="6378">
        <f>IF(HLOOKUP("Mins",A1:CV300,14,FALSE)=0,0,HLOOKUP("FPL As",A1:CV300,14,FALSE)/HLOOKUP("Mins",A1:CV300,14,FALSE)* 90)</f>
        <v>0.58823529411764708</v>
      </c>
      <c r="BI14" s="6379">
        <f>IF(HLOOKUP("Mins",A1:CV300,14,FALSE)=0,0,HLOOKUP("BC Created",A1:CV300,14,FALSE)/HLOOKUP("Mins",A1:CV300,14,FALSE)* 90)</f>
        <v>0</v>
      </c>
      <c r="BJ14" s="6380">
        <f>IF(HLOOKUP("Mins",A1:CV300,14,FALSE)=0,0,HLOOKUP("KP",A1:CV300,14,FALSE)/HLOOKUP("Mins",A1:CV300,14,FALSE)* 90)</f>
        <v>0.58823529411764708</v>
      </c>
      <c r="BK14" s="6381">
        <f>IF(HLOOKUP("Mins",A1:CV300,14,FALSE)=0,0,HLOOKUP("BC",A1:CV300,14,FALSE)/HLOOKUP("Mins",A1:CV300,14,FALSE)* 90)</f>
        <v>0</v>
      </c>
      <c r="BL14" s="6382">
        <f>IF(HLOOKUP("Mins",A1:CV300,14,FALSE)=0,0,HLOOKUP("BC Miss",A1:CV300,14,FALSE)/HLOOKUP("Mins",A1:CV300,14,FALSE)* 90)</f>
        <v>0</v>
      </c>
      <c r="BM14" s="6383">
        <f>IF(HLOOKUP("Mins",A1:CV300,14,FALSE)=0,0,HLOOKUP("Gs - BC",A1:CV300,14,FALSE)/HLOOKUP("Mins",A1:CV300,14,FALSE)* 90)</f>
        <v>0</v>
      </c>
      <c r="BN14" s="6384">
        <f>IF(HLOOKUP("Mins",A1:CV300,14,FALSE)=0,0,HLOOKUP("GIB",A1:CV300,14,FALSE)/HLOOKUP("Mins",A1:CV300,14,FALSE)* 90)</f>
        <v>0</v>
      </c>
      <c r="BO14" s="6385">
        <f>IF(HLOOKUP("Mins",A1:CV300,14,FALSE)=0,0,HLOOKUP("Gs - Open",A1:CV300,14,FALSE)/HLOOKUP("Mins",A1:CV300,14,FALSE)* 90)</f>
        <v>0</v>
      </c>
      <c r="BP14" s="6386">
        <f>IF(HLOOKUP("Mins",A1:CV300,14,FALSE)=0,0,HLOOKUP("ICT Index",A1:CV300,14,FALSE)/HLOOKUP("Mins",A1:CV300,14,FALSE)* 90)</f>
        <v>3.7058823529411766</v>
      </c>
      <c r="BQ14" s="6387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  <v>1.1764705882352943E-2</v>
      </c>
      <c r="BR14" s="6388">
        <f>0.0825*HLOOKUP("KP/90",A1:CV300,14,FALSE)</f>
        <v>4.8529411764705883E-2</v>
      </c>
      <c r="BS14" s="6389">
        <f>6*HLOOKUP("xG/90",A1:CV300,14,FALSE)+3*HLOOKUP("xA/90",A1:CV300,14,FALSE)</f>
        <v>0.2161764705882353</v>
      </c>
      <c r="BT14" s="6390">
        <f>HLOOKUP("xPts/90",A1:CV300,14,FALSE)-(6*0.75*(HLOOKUP("PK Gs",A1:CV300,14,FALSE)+HLOOKUP("PK Miss",A1:CV300,14,FALSE))*90/HLOOKUP("Mins",A1:CV300,14,FALSE))</f>
        <v>0.2161764705882353</v>
      </c>
      <c r="BU14" s="6391">
        <f>IF(HLOOKUP("Mins",A1:CV300,14,FALSE)=0,0,HLOOKUP("fsXG",A1:CV300,14,FALSE)/HLOOKUP("Mins",A1:CV300,14,FALSE)* 90)</f>
        <v>2.9411764705882356E-2</v>
      </c>
      <c r="BV14" s="6392">
        <f>IF(HLOOKUP("Mins",A1:CV300,14,FALSE)=0,0,HLOOKUP("fsXA",A1:CV300,14,FALSE)/HLOOKUP("Mins",A1:CV300,14,FALSE)* 90)</f>
        <v>9.4117647058823542E-2</v>
      </c>
      <c r="BW14" s="6393">
        <f>6*HLOOKUP("fsXG/90",A1:CV300,14,FALSE)+3*HLOOKUP("fsXA/90",A1:CV300,14,FALSE)</f>
        <v>0.45882352941176474</v>
      </c>
      <c r="BX14" s="6394">
        <v>2.550610713660717E-2</v>
      </c>
      <c r="BY14" s="6395">
        <v>4.1474245488643646E-2</v>
      </c>
      <c r="BZ14" s="6396">
        <f>6*HLOOKUP("uXG/90",A1:CV300,14,FALSE)+3*HLOOKUP("uXA/90",A1:CV300,14,FALSE)</f>
        <v>0.27745937928557396</v>
      </c>
    </row>
    <row r="15" spans="1:78" hidden="1" x14ac:dyDescent="0.3">
      <c r="A15" s="6397" t="s">
        <v>178</v>
      </c>
      <c r="B15" s="6398" t="s">
        <v>89</v>
      </c>
      <c r="C15" s="6399">
        <v>5.3000001907348633</v>
      </c>
      <c r="D15" s="6400">
        <v>361</v>
      </c>
      <c r="E15" s="6401">
        <v>6</v>
      </c>
      <c r="F15" s="6402">
        <v>8</v>
      </c>
      <c r="G15" s="6403">
        <v>0</v>
      </c>
      <c r="H15" s="6404">
        <v>0</v>
      </c>
      <c r="I15" s="6405">
        <v>43</v>
      </c>
      <c r="J15" s="6406">
        <f>HLOOKUP("BPS",A1:CV300,15,FALSE)-((-6*HLOOKUP("OG",A1:CV300,15,FALSE))+(-6*HLOOKUP("PK Miss",A1:CV300,15,FALSE))+(9*HLOOKUP("FPL As",A1:CV300,15,FALSE))+(12*HLOOKUP("CS",A1:CV300,15,FALSE))+(12*HLOOKUP("Gs",A1:CV300,15,FALSE)))</f>
        <v>43</v>
      </c>
      <c r="K15" s="6407">
        <v>0</v>
      </c>
      <c r="L15" s="6408">
        <v>0</v>
      </c>
      <c r="M15" s="6409">
        <v>5</v>
      </c>
      <c r="N15" s="6410">
        <v>1</v>
      </c>
      <c r="O15" s="6411">
        <v>1</v>
      </c>
      <c r="P15" s="6412">
        <f>IF(HLOOKUP("Shots",A1:CV300,15,FALSE)=0,0,HLOOKUP("SIB",A1:CV300,15,FALSE)/HLOOKUP("Shots",A1:CV300,15,FALSE))</f>
        <v>1</v>
      </c>
      <c r="Q15" s="6413">
        <v>0</v>
      </c>
      <c r="R15" s="6414">
        <f>IF(HLOOKUP("Shots",A1:CV300,15,FALSE)=0,0,HLOOKUP("S6YD",A1:CV300,15,FALSE)/HLOOKUP("Shots",A1:CV300,15,FALSE))</f>
        <v>0</v>
      </c>
      <c r="S15" s="6415">
        <v>0</v>
      </c>
      <c r="T15" s="6416">
        <f>IF(HLOOKUP("Shots",A1:CV300,15,FALSE)=0,0,HLOOKUP("Headers",A1:CV300,15,FALSE)/HLOOKUP("Shots",A1:CV300,15,FALSE))</f>
        <v>0</v>
      </c>
      <c r="U15" s="6417">
        <v>0</v>
      </c>
      <c r="V15" s="6418">
        <f>IF(HLOOKUP("Shots",A1:CV300,15,FALSE)=0,0,HLOOKUP("SOT",A1:CV300,15,FALSE)/HLOOKUP("Shots",A1:CV300,15,FALSE))</f>
        <v>0</v>
      </c>
      <c r="W15" s="6419">
        <f>IF(HLOOKUP("Shots",A1:CV300,15,FALSE)=0,0,HLOOKUP("Gs",A1:CV300,15,FALSE)/HLOOKUP("Shots",A1:CV300,15,FALSE))</f>
        <v>0</v>
      </c>
      <c r="X15" s="6420">
        <v>0</v>
      </c>
      <c r="Y15" s="6421">
        <v>0</v>
      </c>
      <c r="Z15" s="6422">
        <v>2</v>
      </c>
      <c r="AA15" s="6423">
        <f>IF(HLOOKUP("KP",A1:CV300,15,FALSE)=0,0,HLOOKUP("As",A1:CV300,15,FALSE)/HLOOKUP("KP",A1:CV300,15,FALSE))</f>
        <v>0</v>
      </c>
      <c r="AB15" s="6424">
        <v>11.2</v>
      </c>
      <c r="AC15" s="6425">
        <v>0</v>
      </c>
      <c r="AD15" s="6426">
        <v>0</v>
      </c>
      <c r="AE15" s="6427">
        <v>0</v>
      </c>
      <c r="AF15" s="6428">
        <v>0</v>
      </c>
      <c r="AG15" s="6429">
        <f>IF(HLOOKUP("BC",A1:CV300,15,FALSE)=0,0,HLOOKUP("Gs - BC",A1:CV300,15,FALSE)/HLOOKUP("BC",A1:CV300,15,FALSE))</f>
        <v>0</v>
      </c>
      <c r="AH15" s="6430">
        <f>HLOOKUP("BC",A1:CV300,15,FALSE) - HLOOKUP("BC Miss",A1:CV300,15,FALSE)</f>
        <v>0</v>
      </c>
      <c r="AI15" s="6431">
        <f>IF(HLOOKUP("Gs",A1:CV300,15,FALSE)=0,0,HLOOKUP("Gs - BC",A1:CV300,15,FALSE)/HLOOKUP("Gs",A1:CV300,15,FALSE))</f>
        <v>0</v>
      </c>
      <c r="AJ15" s="6432">
        <v>0</v>
      </c>
      <c r="AK15" s="6433">
        <v>0</v>
      </c>
      <c r="AL15" s="6434">
        <f>HLOOKUP("BC",A1:CV300,15,FALSE) - (HLOOKUP("PK Gs",A1:CV300,15,FALSE) + HLOOKUP("PK Miss",A1:CV300,15,FALSE))</f>
        <v>0</v>
      </c>
      <c r="AM15" s="6435">
        <f>HLOOKUP("BC Miss",A1:CV300,15,FALSE) - HLOOKUP("PK Miss",A1:CV300,15,FALSE)</f>
        <v>0</v>
      </c>
      <c r="AN15" s="6436">
        <f>IF(HLOOKUP("BC - Open",A1:CV300,15,FALSE)=0,0,HLOOKUP("BC - Open Miss",A1:CV300,15,FALSE)/HLOOKUP("BC - Open",A1:CV300,15,FALSE))</f>
        <v>0</v>
      </c>
      <c r="AO15" s="6437">
        <v>0</v>
      </c>
      <c r="AP15" s="6438">
        <f>IF(HLOOKUP("Gs",A1:CV300,15,FALSE)=0,0,HLOOKUP("GIB",A1:CV300,15,FALSE)/HLOOKUP("Gs",A1:CV300,15,FALSE))</f>
        <v>0</v>
      </c>
      <c r="AQ15" s="6439">
        <v>0</v>
      </c>
      <c r="AR15" s="6440">
        <f>IF(HLOOKUP("Gs",A1:CV300,15,FALSE)=0,0,HLOOKUP("Gs - Open",A1:CV300,15,FALSE)/HLOOKUP("Gs",A1:CV300,15,FALSE))</f>
        <v>0</v>
      </c>
      <c r="AS15" s="6441">
        <v>0.04</v>
      </c>
      <c r="AT15" s="6442">
        <v>0.19</v>
      </c>
      <c r="AU15" s="6443">
        <f>IF(HLOOKUP("Mins",A1:CV300,15,FALSE)=0,0,HLOOKUP("Pts",A1:CV300,15,FALSE)/HLOOKUP("Mins",A1:CV300,15,FALSE)* 90)</f>
        <v>1.9944598337950139</v>
      </c>
      <c r="AV15" s="6444">
        <f>IF(HLOOKUP("Apps",A1:CV300,15,FALSE)=0,0,HLOOKUP("Pts",A1:CV300,15,FALSE)/HLOOKUP("Apps",A1:CV300,15,FALSE)* 1)</f>
        <v>1.3333333333333333</v>
      </c>
      <c r="AW15" s="6445">
        <f>IF(HLOOKUP("Mins",A1:CV300,15,FALSE)=0,0,HLOOKUP("Gs",A1:CV300,15,FALSE)/HLOOKUP("Mins",A1:CV300,15,FALSE)* 90)</f>
        <v>0</v>
      </c>
      <c r="AX15" s="6446">
        <f>IF(HLOOKUP("Mins",A1:CV300,15,FALSE)=0,0,HLOOKUP("Bonus",A1:CV300,15,FALSE)/HLOOKUP("Mins",A1:CV300,15,FALSE)* 90)</f>
        <v>0</v>
      </c>
      <c r="AY15" s="6447">
        <f>IF(HLOOKUP("Mins",A1:CV300,15,FALSE)=0,0,HLOOKUP("BPS",A1:CV300,15,FALSE)/HLOOKUP("Mins",A1:CV300,15,FALSE)* 90)</f>
        <v>10.720221606648199</v>
      </c>
      <c r="AZ15" s="6448">
        <f>IF(HLOOKUP("Mins",A1:CV300,15,FALSE)=0,0,HLOOKUP("Base BPS",A1:CV300,15,FALSE)/HLOOKUP("Mins",A1:CV300,15,FALSE)* 90)</f>
        <v>10.720221606648199</v>
      </c>
      <c r="BA15" s="6449">
        <f>IF(HLOOKUP("Mins",A1:CV300,15,FALSE)=0,0,HLOOKUP("PenTchs",A1:CV300,15,FALSE)/HLOOKUP("Mins",A1:CV300,15,FALSE)* 90)</f>
        <v>1.2465373961218835</v>
      </c>
      <c r="BB15" s="6450">
        <f>IF(HLOOKUP("Mins",A1:CV300,15,FALSE)=0,0,HLOOKUP("Shots",A1:CV300,15,FALSE)/HLOOKUP("Mins",A1:CV300,15,FALSE)* 90)</f>
        <v>0.24930747922437674</v>
      </c>
      <c r="BC15" s="6451">
        <f>IF(HLOOKUP("Mins",A1:CV300,15,FALSE)=0,0,HLOOKUP("SIB",A1:CV300,15,FALSE)/HLOOKUP("Mins",A1:CV300,15,FALSE)* 90)</f>
        <v>0.24930747922437674</v>
      </c>
      <c r="BD15" s="6452">
        <f>IF(HLOOKUP("Mins",A1:CV300,15,FALSE)=0,0,HLOOKUP("S6YD",A1:CV300,15,FALSE)/HLOOKUP("Mins",A1:CV300,15,FALSE)* 90)</f>
        <v>0</v>
      </c>
      <c r="BE15" s="6453">
        <f>IF(HLOOKUP("Mins",A1:CV300,15,FALSE)=0,0,HLOOKUP("Headers",A1:CV300,15,FALSE)/HLOOKUP("Mins",A1:CV300,15,FALSE)* 90)</f>
        <v>0</v>
      </c>
      <c r="BF15" s="6454">
        <f>IF(HLOOKUP("Mins",A1:CV300,15,FALSE)=0,0,HLOOKUP("SOT",A1:CV300,15,FALSE)/HLOOKUP("Mins",A1:CV300,15,FALSE)* 90)</f>
        <v>0</v>
      </c>
      <c r="BG15" s="6455">
        <f>IF(HLOOKUP("Mins",A1:CV300,15,FALSE)=0,0,HLOOKUP("As",A1:CV300,15,FALSE)/HLOOKUP("Mins",A1:CV300,15,FALSE)* 90)</f>
        <v>0</v>
      </c>
      <c r="BH15" s="6456">
        <f>IF(HLOOKUP("Mins",A1:CV300,15,FALSE)=0,0,HLOOKUP("FPL As",A1:CV300,15,FALSE)/HLOOKUP("Mins",A1:CV300,15,FALSE)* 90)</f>
        <v>0</v>
      </c>
      <c r="BI15" s="6457">
        <f>IF(HLOOKUP("Mins",A1:CV300,15,FALSE)=0,0,HLOOKUP("BC Created",A1:CV300,15,FALSE)/HLOOKUP("Mins",A1:CV300,15,FALSE)* 90)</f>
        <v>0</v>
      </c>
      <c r="BJ15" s="6458">
        <f>IF(HLOOKUP("Mins",A1:CV300,15,FALSE)=0,0,HLOOKUP("KP",A1:CV300,15,FALSE)/HLOOKUP("Mins",A1:CV300,15,FALSE)* 90)</f>
        <v>0.49861495844875348</v>
      </c>
      <c r="BK15" s="6459">
        <f>IF(HLOOKUP("Mins",A1:CV300,15,FALSE)=0,0,HLOOKUP("BC",A1:CV300,15,FALSE)/HLOOKUP("Mins",A1:CV300,15,FALSE)* 90)</f>
        <v>0</v>
      </c>
      <c r="BL15" s="6460">
        <f>IF(HLOOKUP("Mins",A1:CV300,15,FALSE)=0,0,HLOOKUP("BC Miss",A1:CV300,15,FALSE)/HLOOKUP("Mins",A1:CV300,15,FALSE)* 90)</f>
        <v>0</v>
      </c>
      <c r="BM15" s="6461">
        <f>IF(HLOOKUP("Mins",A1:CV300,15,FALSE)=0,0,HLOOKUP("Gs - BC",A1:CV300,15,FALSE)/HLOOKUP("Mins",A1:CV300,15,FALSE)* 90)</f>
        <v>0</v>
      </c>
      <c r="BN15" s="6462">
        <f>IF(HLOOKUP("Mins",A1:CV300,15,FALSE)=0,0,HLOOKUP("GIB",A1:CV300,15,FALSE)/HLOOKUP("Mins",A1:CV300,15,FALSE)* 90)</f>
        <v>0</v>
      </c>
      <c r="BO15" s="6463">
        <f>IF(HLOOKUP("Mins",A1:CV300,15,FALSE)=0,0,HLOOKUP("Gs - Open",A1:CV300,15,FALSE)/HLOOKUP("Mins",A1:CV300,15,FALSE)* 90)</f>
        <v>0</v>
      </c>
      <c r="BP15" s="6464">
        <f>IF(HLOOKUP("Mins",A1:CV300,15,FALSE)=0,0,HLOOKUP("ICT Index",A1:CV300,15,FALSE)/HLOOKUP("Mins",A1:CV300,15,FALSE)* 90)</f>
        <v>2.7922437673130189</v>
      </c>
      <c r="BQ15" s="6465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  <v>2.3185595567867038E-2</v>
      </c>
      <c r="BR15" s="6466">
        <f>0.0825*HLOOKUP("KP/90",A1:CV300,15,FALSE)</f>
        <v>4.1135734072022166E-2</v>
      </c>
      <c r="BS15" s="6467">
        <f>6*HLOOKUP("xG/90",A1:CV300,15,FALSE)+3*HLOOKUP("xA/90",A1:CV300,15,FALSE)</f>
        <v>0.2625207756232687</v>
      </c>
      <c r="BT15" s="6468">
        <f>HLOOKUP("xPts/90",A1:CV300,15,FALSE)-(6*0.75*(HLOOKUP("PK Gs",A1:CV300,15,FALSE)+HLOOKUP("PK Miss",A1:CV300,15,FALSE))*90/HLOOKUP("Mins",A1:CV300,15,FALSE))</f>
        <v>0.2625207756232687</v>
      </c>
      <c r="BU15" s="6469">
        <f>IF(HLOOKUP("Mins",A1:CV300,15,FALSE)=0,0,HLOOKUP("fsXG",A1:CV300,15,FALSE)/HLOOKUP("Mins",A1:CV300,15,FALSE)* 90)</f>
        <v>9.9722991689750705E-3</v>
      </c>
      <c r="BV15" s="6470">
        <f>IF(HLOOKUP("Mins",A1:CV300,15,FALSE)=0,0,HLOOKUP("fsXA",A1:CV300,15,FALSE)/HLOOKUP("Mins",A1:CV300,15,FALSE)* 90)</f>
        <v>4.736842105263158E-2</v>
      </c>
      <c r="BW15" s="6471">
        <f>6*HLOOKUP("fsXG/90",A1:CV300,15,FALSE)+3*HLOOKUP("fsXA/90",A1:CV300,15,FALSE)</f>
        <v>0.20193905817174515</v>
      </c>
      <c r="BX15" s="6472">
        <v>6.3612102530896664E-3</v>
      </c>
      <c r="BY15" s="6473">
        <v>8.3900000900030136E-3</v>
      </c>
      <c r="BZ15" s="6474">
        <f>6*HLOOKUP("uXG/90",A1:CV300,15,FALSE)+3*HLOOKUP("uXA/90",A1:CV300,15,FALSE)</f>
        <v>6.3337261788547039E-2</v>
      </c>
    </row>
    <row r="16" spans="1:78" hidden="1" x14ac:dyDescent="0.3">
      <c r="A16" s="6475" t="s">
        <v>179</v>
      </c>
      <c r="B16" s="6476" t="s">
        <v>79</v>
      </c>
      <c r="C16" s="6477">
        <v>5.1999998092651367</v>
      </c>
      <c r="D16" s="6478">
        <v>1089</v>
      </c>
      <c r="E16" s="6479">
        <v>16</v>
      </c>
      <c r="F16" s="6480">
        <v>34</v>
      </c>
      <c r="G16" s="6481">
        <v>0</v>
      </c>
      <c r="H16" s="6482">
        <v>1</v>
      </c>
      <c r="I16" s="6483">
        <v>219</v>
      </c>
      <c r="J16" s="6484">
        <f>HLOOKUP("BPS",A1:CV300,16,FALSE)-((-6*HLOOKUP("OG",A1:CV300,16,FALSE))+(-6*HLOOKUP("PK Miss",A1:CV300,16,FALSE))+(9*HLOOKUP("FPL As",A1:CV300,16,FALSE))+(12*HLOOKUP("CS",A1:CV300,16,FALSE))+(12*HLOOKUP("Gs",A1:CV300,16,FALSE)))</f>
        <v>177</v>
      </c>
      <c r="K16" s="6485">
        <v>0</v>
      </c>
      <c r="L16" s="6486">
        <v>2</v>
      </c>
      <c r="M16" s="6487">
        <v>26</v>
      </c>
      <c r="N16" s="6488">
        <v>3</v>
      </c>
      <c r="O16" s="6489">
        <v>2</v>
      </c>
      <c r="P16" s="6490">
        <f>IF(HLOOKUP("Shots",A1:CV300,16,FALSE)=0,0,HLOOKUP("SIB",A1:CV300,16,FALSE)/HLOOKUP("Shots",A1:CV300,16,FALSE))</f>
        <v>0.66666666666666663</v>
      </c>
      <c r="Q16" s="6491">
        <v>1</v>
      </c>
      <c r="R16" s="6492">
        <f>IF(HLOOKUP("Shots",A1:CV300,16,FALSE)=0,0,HLOOKUP("S6YD",A1:CV300,16,FALSE)/HLOOKUP("Shots",A1:CV300,16,FALSE))</f>
        <v>0.33333333333333331</v>
      </c>
      <c r="S16" s="6493">
        <v>1</v>
      </c>
      <c r="T16" s="6494">
        <f>IF(HLOOKUP("Shots",A1:CV300,16,FALSE)=0,0,HLOOKUP("Headers",A1:CV300,16,FALSE)/HLOOKUP("Shots",A1:CV300,16,FALSE))</f>
        <v>0.33333333333333331</v>
      </c>
      <c r="U16" s="6495">
        <v>0</v>
      </c>
      <c r="V16" s="6496">
        <f>IF(HLOOKUP("Shots",A1:CV300,16,FALSE)=0,0,HLOOKUP("SOT",A1:CV300,16,FALSE)/HLOOKUP("Shots",A1:CV300,16,FALSE))</f>
        <v>0</v>
      </c>
      <c r="W16" s="6497">
        <f>IF(HLOOKUP("Shots",A1:CV300,16,FALSE)=0,0,HLOOKUP("Gs",A1:CV300,16,FALSE)/HLOOKUP("Shots",A1:CV300,16,FALSE))</f>
        <v>0</v>
      </c>
      <c r="X16" s="6498">
        <v>2</v>
      </c>
      <c r="Y16" s="6499">
        <v>2</v>
      </c>
      <c r="Z16" s="6500">
        <v>9</v>
      </c>
      <c r="AA16" s="6501">
        <f>IF(HLOOKUP("KP",A1:CV300,16,FALSE)=0,0,HLOOKUP("As",A1:CV300,16,FALSE)/HLOOKUP("KP",A1:CV300,16,FALSE))</f>
        <v>0.22222222222222221</v>
      </c>
      <c r="AB16" s="6502">
        <v>41.4</v>
      </c>
      <c r="AC16" s="6503">
        <v>11</v>
      </c>
      <c r="AD16" s="6504">
        <v>2</v>
      </c>
      <c r="AE16" s="6505">
        <v>0</v>
      </c>
      <c r="AF16" s="6506">
        <v>0</v>
      </c>
      <c r="AG16" s="6507">
        <f>IF(HLOOKUP("BC",A1:CV300,16,FALSE)=0,0,HLOOKUP("Gs - BC",A1:CV300,16,FALSE)/HLOOKUP("BC",A1:CV300,16,FALSE))</f>
        <v>0</v>
      </c>
      <c r="AH16" s="6508">
        <f>HLOOKUP("BC",A1:CV300,16,FALSE) - HLOOKUP("BC Miss",A1:CV300,16,FALSE)</f>
        <v>0</v>
      </c>
      <c r="AI16" s="6509">
        <f>IF(HLOOKUP("Gs",A1:CV300,16,FALSE)=0,0,HLOOKUP("Gs - BC",A1:CV300,16,FALSE)/HLOOKUP("Gs",A1:CV300,16,FALSE))</f>
        <v>0</v>
      </c>
      <c r="AJ16" s="6510">
        <v>0</v>
      </c>
      <c r="AK16" s="6511">
        <v>0</v>
      </c>
      <c r="AL16" s="6512">
        <f>HLOOKUP("BC",A1:CV300,16,FALSE) - (HLOOKUP("PK Gs",A1:CV300,16,FALSE) + HLOOKUP("PK Miss",A1:CV300,16,FALSE))</f>
        <v>0</v>
      </c>
      <c r="AM16" s="6513">
        <f>HLOOKUP("BC Miss",A1:CV300,16,FALSE) - HLOOKUP("PK Miss",A1:CV300,16,FALSE)</f>
        <v>0</v>
      </c>
      <c r="AN16" s="6514">
        <f>IF(HLOOKUP("BC - Open",A1:CV300,16,FALSE)=0,0,HLOOKUP("BC - Open Miss",A1:CV300,16,FALSE)/HLOOKUP("BC - Open",A1:CV300,16,FALSE))</f>
        <v>0</v>
      </c>
      <c r="AO16" s="6515">
        <v>0</v>
      </c>
      <c r="AP16" s="6516">
        <f>IF(HLOOKUP("Gs",A1:CV300,16,FALSE)=0,0,HLOOKUP("GIB",A1:CV300,16,FALSE)/HLOOKUP("Gs",A1:CV300,16,FALSE))</f>
        <v>0</v>
      </c>
      <c r="AQ16" s="6517">
        <v>0</v>
      </c>
      <c r="AR16" s="6518">
        <f>IF(HLOOKUP("Gs",A1:CV300,16,FALSE)=0,0,HLOOKUP("Gs - Open",A1:CV300,16,FALSE)/HLOOKUP("Gs",A1:CV300,16,FALSE))</f>
        <v>0</v>
      </c>
      <c r="AS16" s="6519">
        <v>0.35</v>
      </c>
      <c r="AT16" s="6520">
        <v>1</v>
      </c>
      <c r="AU16" s="6521">
        <f>IF(HLOOKUP("Mins",A1:CV300,16,FALSE)=0,0,HLOOKUP("Pts",A1:CV300,16,FALSE)/HLOOKUP("Mins",A1:CV300,16,FALSE)* 90)</f>
        <v>2.8099173553719008</v>
      </c>
      <c r="AV16" s="6522">
        <f>IF(HLOOKUP("Apps",A1:CV300,16,FALSE)=0,0,HLOOKUP("Pts",A1:CV300,16,FALSE)/HLOOKUP("Apps",A1:CV300,16,FALSE)* 1)</f>
        <v>2.125</v>
      </c>
      <c r="AW16" s="6523">
        <f>IF(HLOOKUP("Mins",A1:CV300,16,FALSE)=0,0,HLOOKUP("Gs",A1:CV300,16,FALSE)/HLOOKUP("Mins",A1:CV300,16,FALSE)* 90)</f>
        <v>0</v>
      </c>
      <c r="AX16" s="6524">
        <f>IF(HLOOKUP("Mins",A1:CV300,16,FALSE)=0,0,HLOOKUP("Bonus",A1:CV300,16,FALSE)/HLOOKUP("Mins",A1:CV300,16,FALSE)* 90)</f>
        <v>8.2644628099173556E-2</v>
      </c>
      <c r="AY16" s="6525">
        <f>IF(HLOOKUP("Mins",A1:CV300,16,FALSE)=0,0,HLOOKUP("BPS",A1:CV300,16,FALSE)/HLOOKUP("Mins",A1:CV300,16,FALSE)* 90)</f>
        <v>18.099173553719009</v>
      </c>
      <c r="AZ16" s="6526">
        <f>IF(HLOOKUP("Mins",A1:CV300,16,FALSE)=0,0,HLOOKUP("Base BPS",A1:CV300,16,FALSE)/HLOOKUP("Mins",A1:CV300,16,FALSE)* 90)</f>
        <v>14.62809917355372</v>
      </c>
      <c r="BA16" s="6527">
        <f>IF(HLOOKUP("Mins",A1:CV300,16,FALSE)=0,0,HLOOKUP("PenTchs",A1:CV300,16,FALSE)/HLOOKUP("Mins",A1:CV300,16,FALSE)* 90)</f>
        <v>2.1487603305785123</v>
      </c>
      <c r="BB16" s="6528">
        <f>IF(HLOOKUP("Mins",A1:CV300,16,FALSE)=0,0,HLOOKUP("Shots",A1:CV300,16,FALSE)/HLOOKUP("Mins",A1:CV300,16,FALSE)* 90)</f>
        <v>0.24793388429752067</v>
      </c>
      <c r="BC16" s="6529">
        <f>IF(HLOOKUP("Mins",A1:CV300,16,FALSE)=0,0,HLOOKUP("SIB",A1:CV300,16,FALSE)/HLOOKUP("Mins",A1:CV300,16,FALSE)* 90)</f>
        <v>0.16528925619834711</v>
      </c>
      <c r="BD16" s="6530">
        <f>IF(HLOOKUP("Mins",A1:CV300,16,FALSE)=0,0,HLOOKUP("S6YD",A1:CV300,16,FALSE)/HLOOKUP("Mins",A1:CV300,16,FALSE)* 90)</f>
        <v>8.2644628099173556E-2</v>
      </c>
      <c r="BE16" s="6531">
        <f>IF(HLOOKUP("Mins",A1:CV300,16,FALSE)=0,0,HLOOKUP("Headers",A1:CV300,16,FALSE)/HLOOKUP("Mins",A1:CV300,16,FALSE)* 90)</f>
        <v>8.2644628099173556E-2</v>
      </c>
      <c r="BF16" s="6532">
        <f>IF(HLOOKUP("Mins",A1:CV300,16,FALSE)=0,0,HLOOKUP("SOT",A1:CV300,16,FALSE)/HLOOKUP("Mins",A1:CV300,16,FALSE)* 90)</f>
        <v>0</v>
      </c>
      <c r="BG16" s="6533">
        <f>IF(HLOOKUP("Mins",A1:CV300,16,FALSE)=0,0,HLOOKUP("As",A1:CV300,16,FALSE)/HLOOKUP("Mins",A1:CV300,16,FALSE)* 90)</f>
        <v>0.16528925619834711</v>
      </c>
      <c r="BH16" s="6534">
        <f>IF(HLOOKUP("Mins",A1:CV300,16,FALSE)=0,0,HLOOKUP("FPL As",A1:CV300,16,FALSE)/HLOOKUP("Mins",A1:CV300,16,FALSE)* 90)</f>
        <v>0.16528925619834711</v>
      </c>
      <c r="BI16" s="6535">
        <f>IF(HLOOKUP("Mins",A1:CV300,16,FALSE)=0,0,HLOOKUP("BC Created",A1:CV300,16,FALSE)/HLOOKUP("Mins",A1:CV300,16,FALSE)* 90)</f>
        <v>0.16528925619834711</v>
      </c>
      <c r="BJ16" s="6536">
        <f>IF(HLOOKUP("Mins",A1:CV300,16,FALSE)=0,0,HLOOKUP("KP",A1:CV300,16,FALSE)/HLOOKUP("Mins",A1:CV300,16,FALSE)* 90)</f>
        <v>0.74380165289256195</v>
      </c>
      <c r="BK16" s="6537">
        <f>IF(HLOOKUP("Mins",A1:CV300,16,FALSE)=0,0,HLOOKUP("BC",A1:CV300,16,FALSE)/HLOOKUP("Mins",A1:CV300,16,FALSE)* 90)</f>
        <v>0</v>
      </c>
      <c r="BL16" s="6538">
        <f>IF(HLOOKUP("Mins",A1:CV300,16,FALSE)=0,0,HLOOKUP("BC Miss",A1:CV300,16,FALSE)/HLOOKUP("Mins",A1:CV300,16,FALSE)* 90)</f>
        <v>0</v>
      </c>
      <c r="BM16" s="6539">
        <f>IF(HLOOKUP("Mins",A1:CV300,16,FALSE)=0,0,HLOOKUP("Gs - BC",A1:CV300,16,FALSE)/HLOOKUP("Mins",A1:CV300,16,FALSE)* 90)</f>
        <v>0</v>
      </c>
      <c r="BN16" s="6540">
        <f>IF(HLOOKUP("Mins",A1:CV300,16,FALSE)=0,0,HLOOKUP("GIB",A1:CV300,16,FALSE)/HLOOKUP("Mins",A1:CV300,16,FALSE)* 90)</f>
        <v>0</v>
      </c>
      <c r="BO16" s="6541">
        <f>IF(HLOOKUP("Mins",A1:CV300,16,FALSE)=0,0,HLOOKUP("Gs - Open",A1:CV300,16,FALSE)/HLOOKUP("Mins",A1:CV300,16,FALSE)* 90)</f>
        <v>0</v>
      </c>
      <c r="BP16" s="6542">
        <f>IF(HLOOKUP("Mins",A1:CV300,16,FALSE)=0,0,HLOOKUP("ICT Index",A1:CV300,16,FALSE)/HLOOKUP("Mins",A1:CV300,16,FALSE)* 90)</f>
        <v>3.4214876033057848</v>
      </c>
      <c r="BQ16" s="6543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  <v>1.7024793388429754E-2</v>
      </c>
      <c r="BR16" s="6544">
        <f>0.0825*HLOOKUP("KP/90",A1:CV300,16,FALSE)</f>
        <v>6.1363636363636363E-2</v>
      </c>
      <c r="BS16" s="6545">
        <f>6*HLOOKUP("xG/90",A1:CV300,16,FALSE)+3*HLOOKUP("xA/90",A1:CV300,16,FALSE)</f>
        <v>0.2862396694214876</v>
      </c>
      <c r="BT16" s="6546">
        <f>HLOOKUP("xPts/90",A1:CV300,16,FALSE)-(6*0.75*(HLOOKUP("PK Gs",A1:CV300,16,FALSE)+HLOOKUP("PK Miss",A1:CV300,16,FALSE))*90/HLOOKUP("Mins",A1:CV300,16,FALSE))</f>
        <v>0.2862396694214876</v>
      </c>
      <c r="BU16" s="6547">
        <f>IF(HLOOKUP("Mins",A1:CV300,16,FALSE)=0,0,HLOOKUP("fsXG",A1:CV300,16,FALSE)/HLOOKUP("Mins",A1:CV300,16,FALSE)* 90)</f>
        <v>2.8925619834710741E-2</v>
      </c>
      <c r="BV16" s="6548">
        <f>IF(HLOOKUP("Mins",A1:CV300,16,FALSE)=0,0,HLOOKUP("fsXA",A1:CV300,16,FALSE)/HLOOKUP("Mins",A1:CV300,16,FALSE)* 90)</f>
        <v>8.2644628099173556E-2</v>
      </c>
      <c r="BW16" s="6549">
        <f>6*HLOOKUP("fsXG/90",A1:CV300,16,FALSE)+3*HLOOKUP("fsXA/90",A1:CV300,16,FALSE)</f>
        <v>0.42148760330578511</v>
      </c>
      <c r="BX16" s="6550">
        <v>1.5473197214305401E-2</v>
      </c>
      <c r="BY16" s="6551">
        <v>0.10590258985757828</v>
      </c>
      <c r="BZ16" s="6552">
        <f>6*HLOOKUP("uXG/90",A1:CV300,16,FALSE)+3*HLOOKUP("uXA/90",A1:CV300,16,FALSE)</f>
        <v>0.41054695285856724</v>
      </c>
    </row>
    <row r="17" spans="1:78" hidden="1" x14ac:dyDescent="0.3">
      <c r="A17" s="6553" t="s">
        <v>180</v>
      </c>
      <c r="B17" s="6554" t="s">
        <v>147</v>
      </c>
      <c r="C17" s="6555">
        <v>6</v>
      </c>
      <c r="D17" s="6556">
        <v>589</v>
      </c>
      <c r="E17" s="6557">
        <v>8</v>
      </c>
      <c r="F17" s="6558">
        <v>47</v>
      </c>
      <c r="G17" s="6559">
        <v>1</v>
      </c>
      <c r="H17" s="6560">
        <v>5</v>
      </c>
      <c r="I17" s="6561">
        <v>181</v>
      </c>
      <c r="J17" s="6562">
        <f>HLOOKUP("BPS",A1:CV300,17,FALSE)-((-6*HLOOKUP("OG",A1:CV300,17,FALSE))+(-6*HLOOKUP("PK Miss",A1:CV300,17,FALSE))+(9*HLOOKUP("FPL As",A1:CV300,17,FALSE))+(12*HLOOKUP("CS",A1:CV300,17,FALSE))+(12*HLOOKUP("Gs",A1:CV300,17,FALSE)))</f>
        <v>94</v>
      </c>
      <c r="K17" s="6563">
        <v>0</v>
      </c>
      <c r="L17" s="6564">
        <v>4</v>
      </c>
      <c r="M17" s="6565">
        <v>24</v>
      </c>
      <c r="N17" s="6566">
        <v>7</v>
      </c>
      <c r="O17" s="6567">
        <v>4</v>
      </c>
      <c r="P17" s="6568">
        <f>IF(HLOOKUP("Shots",A1:CV300,17,FALSE)=0,0,HLOOKUP("SIB",A1:CV300,17,FALSE)/HLOOKUP("Shots",A1:CV300,17,FALSE))</f>
        <v>0.5714285714285714</v>
      </c>
      <c r="Q17" s="6569">
        <v>1</v>
      </c>
      <c r="R17" s="6570">
        <f>IF(HLOOKUP("Shots",A1:CV300,17,FALSE)=0,0,HLOOKUP("S6YD",A1:CV300,17,FALSE)/HLOOKUP("Shots",A1:CV300,17,FALSE))</f>
        <v>0.14285714285714285</v>
      </c>
      <c r="S17" s="6571">
        <v>1</v>
      </c>
      <c r="T17" s="6572">
        <f>IF(HLOOKUP("Shots",A1:CV300,17,FALSE)=0,0,HLOOKUP("Headers",A1:CV300,17,FALSE)/HLOOKUP("Shots",A1:CV300,17,FALSE))</f>
        <v>0.14285714285714285</v>
      </c>
      <c r="U17" s="6573">
        <v>3</v>
      </c>
      <c r="V17" s="6574">
        <f>IF(HLOOKUP("Shots",A1:CV300,17,FALSE)=0,0,HLOOKUP("SOT",A1:CV300,17,FALSE)/HLOOKUP("Shots",A1:CV300,17,FALSE))</f>
        <v>0.42857142857142855</v>
      </c>
      <c r="W17" s="6575">
        <f>IF(HLOOKUP("Shots",A1:CV300,17,FALSE)=0,0,HLOOKUP("Gs",A1:CV300,17,FALSE)/HLOOKUP("Shots",A1:CV300,17,FALSE))</f>
        <v>0.14285714285714285</v>
      </c>
      <c r="X17" s="6576">
        <v>2</v>
      </c>
      <c r="Y17" s="6577">
        <v>3</v>
      </c>
      <c r="Z17" s="6578">
        <v>9</v>
      </c>
      <c r="AA17" s="6579">
        <f>IF(HLOOKUP("KP",A1:CV300,17,FALSE)=0,0,HLOOKUP("As",A1:CV300,17,FALSE)/HLOOKUP("KP",A1:CV300,17,FALSE))</f>
        <v>0.22222222222222221</v>
      </c>
      <c r="AB17" s="6580">
        <v>44.4</v>
      </c>
      <c r="AC17" s="6581">
        <v>21</v>
      </c>
      <c r="AD17" s="6582">
        <v>2</v>
      </c>
      <c r="AE17" s="6583">
        <v>1</v>
      </c>
      <c r="AF17" s="6584">
        <v>1</v>
      </c>
      <c r="AG17" s="6585">
        <f>IF(HLOOKUP("BC",A1:CV300,17,FALSE)=0,0,HLOOKUP("Gs - BC",A1:CV300,17,FALSE)/HLOOKUP("BC",A1:CV300,17,FALSE))</f>
        <v>0</v>
      </c>
      <c r="AH17" s="6586">
        <f>HLOOKUP("BC",A1:CV300,17,FALSE) - HLOOKUP("BC Miss",A1:CV300,17,FALSE)</f>
        <v>0</v>
      </c>
      <c r="AI17" s="6587">
        <f>IF(HLOOKUP("Gs",A1:CV300,17,FALSE)=0,0,HLOOKUP("Gs - BC",A1:CV300,17,FALSE)/HLOOKUP("Gs",A1:CV300,17,FALSE))</f>
        <v>0</v>
      </c>
      <c r="AJ17" s="6588">
        <v>0</v>
      </c>
      <c r="AK17" s="6589">
        <v>0</v>
      </c>
      <c r="AL17" s="6590">
        <f>HLOOKUP("BC",A1:CV300,17,FALSE) - (HLOOKUP("PK Gs",A1:CV300,17,FALSE) + HLOOKUP("PK Miss",A1:CV300,17,FALSE))</f>
        <v>1</v>
      </c>
      <c r="AM17" s="6591">
        <f>HLOOKUP("BC Miss",A1:CV300,17,FALSE) - HLOOKUP("PK Miss",A1:CV300,17,FALSE)</f>
        <v>1</v>
      </c>
      <c r="AN17" s="6592">
        <f>IF(HLOOKUP("BC - Open",A1:CV300,17,FALSE)=0,0,HLOOKUP("BC - Open Miss",A1:CV300,17,FALSE)/HLOOKUP("BC - Open",A1:CV300,17,FALSE))</f>
        <v>1</v>
      </c>
      <c r="AO17" s="6593">
        <v>1</v>
      </c>
      <c r="AP17" s="6594">
        <f>IF(HLOOKUP("Gs",A1:CV300,17,FALSE)=0,0,HLOOKUP("GIB",A1:CV300,17,FALSE)/HLOOKUP("Gs",A1:CV300,17,FALSE))</f>
        <v>1</v>
      </c>
      <c r="AQ17" s="6595">
        <v>1</v>
      </c>
      <c r="AR17" s="6596">
        <f>IF(HLOOKUP("Gs",A1:CV300,17,FALSE)=0,0,HLOOKUP("Gs - Open",A1:CV300,17,FALSE)/HLOOKUP("Gs",A1:CV300,17,FALSE))</f>
        <v>1</v>
      </c>
      <c r="AS17" s="6597">
        <v>0.82</v>
      </c>
      <c r="AT17" s="6598">
        <v>0.76</v>
      </c>
      <c r="AU17" s="6599">
        <f>IF(HLOOKUP("Mins",A1:CV300,17,FALSE)=0,0,HLOOKUP("Pts",A1:CV300,17,FALSE)/HLOOKUP("Mins",A1:CV300,17,FALSE)* 90)</f>
        <v>7.181663837011885</v>
      </c>
      <c r="AV17" s="6600">
        <f>IF(HLOOKUP("Apps",A1:CV300,17,FALSE)=0,0,HLOOKUP("Pts",A1:CV300,17,FALSE)/HLOOKUP("Apps",A1:CV300,17,FALSE)* 1)</f>
        <v>5.875</v>
      </c>
      <c r="AW17" s="6601">
        <f>IF(HLOOKUP("Mins",A1:CV300,17,FALSE)=0,0,HLOOKUP("Gs",A1:CV300,17,FALSE)/HLOOKUP("Mins",A1:CV300,17,FALSE)* 90)</f>
        <v>0.15280135823429541</v>
      </c>
      <c r="AX17" s="6602">
        <f>IF(HLOOKUP("Mins",A1:CV300,17,FALSE)=0,0,HLOOKUP("Bonus",A1:CV300,17,FALSE)/HLOOKUP("Mins",A1:CV300,17,FALSE)* 90)</f>
        <v>0.76400679117147707</v>
      </c>
      <c r="AY17" s="6603">
        <f>IF(HLOOKUP("Mins",A1:CV300,17,FALSE)=0,0,HLOOKUP("BPS",A1:CV300,17,FALSE)/HLOOKUP("Mins",A1:CV300,17,FALSE)* 90)</f>
        <v>27.65704584040747</v>
      </c>
      <c r="AZ17" s="6604">
        <f>IF(HLOOKUP("Mins",A1:CV300,17,FALSE)=0,0,HLOOKUP("Base BPS",A1:CV300,17,FALSE)/HLOOKUP("Mins",A1:CV300,17,FALSE)* 90)</f>
        <v>14.36332767402377</v>
      </c>
      <c r="BA17" s="6605">
        <f>IF(HLOOKUP("Mins",A1:CV300,17,FALSE)=0,0,HLOOKUP("PenTchs",A1:CV300,17,FALSE)/HLOOKUP("Mins",A1:CV300,17,FALSE)* 90)</f>
        <v>3.6672325976230904</v>
      </c>
      <c r="BB17" s="6606">
        <f>IF(HLOOKUP("Mins",A1:CV300,17,FALSE)=0,0,HLOOKUP("Shots",A1:CV300,17,FALSE)/HLOOKUP("Mins",A1:CV300,17,FALSE)* 90)</f>
        <v>1.0696095076400678</v>
      </c>
      <c r="BC17" s="6607">
        <f>IF(HLOOKUP("Mins",A1:CV300,17,FALSE)=0,0,HLOOKUP("SIB",A1:CV300,17,FALSE)/HLOOKUP("Mins",A1:CV300,17,FALSE)* 90)</f>
        <v>0.61120543293718166</v>
      </c>
      <c r="BD17" s="6608">
        <f>IF(HLOOKUP("Mins",A1:CV300,17,FALSE)=0,0,HLOOKUP("S6YD",A1:CV300,17,FALSE)/HLOOKUP("Mins",A1:CV300,17,FALSE)* 90)</f>
        <v>0.15280135823429541</v>
      </c>
      <c r="BE17" s="6609">
        <f>IF(HLOOKUP("Mins",A1:CV300,17,FALSE)=0,0,HLOOKUP("Headers",A1:CV300,17,FALSE)/HLOOKUP("Mins",A1:CV300,17,FALSE)* 90)</f>
        <v>0.15280135823429541</v>
      </c>
      <c r="BF17" s="6610">
        <f>IF(HLOOKUP("Mins",A1:CV300,17,FALSE)=0,0,HLOOKUP("SOT",A1:CV300,17,FALSE)/HLOOKUP("Mins",A1:CV300,17,FALSE)* 90)</f>
        <v>0.4584040747028863</v>
      </c>
      <c r="BG17" s="6611">
        <f>IF(HLOOKUP("Mins",A1:CV300,17,FALSE)=0,0,HLOOKUP("As",A1:CV300,17,FALSE)/HLOOKUP("Mins",A1:CV300,17,FALSE)* 90)</f>
        <v>0.30560271646859083</v>
      </c>
      <c r="BH17" s="6612">
        <f>IF(HLOOKUP("Mins",A1:CV300,17,FALSE)=0,0,HLOOKUP("FPL As",A1:CV300,17,FALSE)/HLOOKUP("Mins",A1:CV300,17,FALSE)* 90)</f>
        <v>0.4584040747028863</v>
      </c>
      <c r="BI17" s="6613">
        <f>IF(HLOOKUP("Mins",A1:CV300,17,FALSE)=0,0,HLOOKUP("BC Created",A1:CV300,17,FALSE)/HLOOKUP("Mins",A1:CV300,17,FALSE)* 90)</f>
        <v>0.30560271646859083</v>
      </c>
      <c r="BJ17" s="6614">
        <f>IF(HLOOKUP("Mins",A1:CV300,17,FALSE)=0,0,HLOOKUP("KP",A1:CV300,17,FALSE)/HLOOKUP("Mins",A1:CV300,17,FALSE)* 90)</f>
        <v>1.3752122241086588</v>
      </c>
      <c r="BK17" s="6615">
        <f>IF(HLOOKUP("Mins",A1:CV300,17,FALSE)=0,0,HLOOKUP("BC",A1:CV300,17,FALSE)/HLOOKUP("Mins",A1:CV300,17,FALSE)* 90)</f>
        <v>0.15280135823429541</v>
      </c>
      <c r="BL17" s="6616">
        <f>IF(HLOOKUP("Mins",A1:CV300,17,FALSE)=0,0,HLOOKUP("BC Miss",A1:CV300,17,FALSE)/HLOOKUP("Mins",A1:CV300,17,FALSE)* 90)</f>
        <v>0.15280135823429541</v>
      </c>
      <c r="BM17" s="6617">
        <f>IF(HLOOKUP("Mins",A1:CV300,17,FALSE)=0,0,HLOOKUP("Gs - BC",A1:CV300,17,FALSE)/HLOOKUP("Mins",A1:CV300,17,FALSE)* 90)</f>
        <v>0</v>
      </c>
      <c r="BN17" s="6618">
        <f>IF(HLOOKUP("Mins",A1:CV300,17,FALSE)=0,0,HLOOKUP("GIB",A1:CV300,17,FALSE)/HLOOKUP("Mins",A1:CV300,17,FALSE)* 90)</f>
        <v>0.15280135823429541</v>
      </c>
      <c r="BO17" s="6619">
        <f>IF(HLOOKUP("Mins",A1:CV300,17,FALSE)=0,0,HLOOKUP("Gs - Open",A1:CV300,17,FALSE)/HLOOKUP("Mins",A1:CV300,17,FALSE)* 90)</f>
        <v>0.15280135823429541</v>
      </c>
      <c r="BP17" s="6620">
        <f>IF(HLOOKUP("Mins",A1:CV300,17,FALSE)=0,0,HLOOKUP("ICT Index",A1:CV300,17,FALSE)/HLOOKUP("Mins",A1:CV300,17,FALSE)* 90)</f>
        <v>6.7843803056027161</v>
      </c>
      <c r="BQ17" s="6621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  <v>6.6010186757215622E-2</v>
      </c>
      <c r="BR17" s="6622">
        <f>0.0825*HLOOKUP("KP/90",A1:CV300,17,FALSE)</f>
        <v>0.11345500848896437</v>
      </c>
      <c r="BS17" s="6623">
        <f>6*HLOOKUP("xG/90",A1:CV300,17,FALSE)+3*HLOOKUP("xA/90",A1:CV300,17,FALSE)</f>
        <v>0.73642614601018686</v>
      </c>
      <c r="BT17" s="6624">
        <f>HLOOKUP("xPts/90",A1:CV300,17,FALSE)-(6*0.75*(HLOOKUP("PK Gs",A1:CV300,17,FALSE)+HLOOKUP("PK Miss",A1:CV300,17,FALSE))*90/HLOOKUP("Mins",A1:CV300,17,FALSE))</f>
        <v>0.73642614601018686</v>
      </c>
      <c r="BU17" s="6625">
        <f>IF(HLOOKUP("Mins",A1:CV300,17,FALSE)=0,0,HLOOKUP("fsXG",A1:CV300,17,FALSE)/HLOOKUP("Mins",A1:CV300,17,FALSE)* 90)</f>
        <v>0.12529711375212224</v>
      </c>
      <c r="BV17" s="6626">
        <f>IF(HLOOKUP("Mins",A1:CV300,17,FALSE)=0,0,HLOOKUP("fsXA",A1:CV300,17,FALSE)/HLOOKUP("Mins",A1:CV300,17,FALSE)* 90)</f>
        <v>0.11612903225806452</v>
      </c>
      <c r="BW17" s="6627">
        <f>6*HLOOKUP("fsXG/90",A1:CV300,17,FALSE)+3*HLOOKUP("fsXA/90",A1:CV300,17,FALSE)</f>
        <v>1.1001697792869269</v>
      </c>
      <c r="BX17" s="6628">
        <v>0.11785139143466949</v>
      </c>
      <c r="BY17" s="6629">
        <v>0.18430405855178833</v>
      </c>
      <c r="BZ17" s="6630">
        <f>6*HLOOKUP("uXG/90",A1:CV300,17,FALSE)+3*HLOOKUP("uXA/90",A1:CV300,17,FALSE)</f>
        <v>1.260020524263382</v>
      </c>
    </row>
    <row r="18" spans="1:78" hidden="1" x14ac:dyDescent="0.3">
      <c r="A18" s="6631" t="s">
        <v>181</v>
      </c>
      <c r="B18" s="6632" t="s">
        <v>105</v>
      </c>
      <c r="C18" s="6633">
        <v>5</v>
      </c>
      <c r="D18" s="6634">
        <v>1022</v>
      </c>
      <c r="E18" s="6635">
        <v>14</v>
      </c>
      <c r="F18" s="6636">
        <v>47</v>
      </c>
      <c r="G18" s="6637">
        <v>2</v>
      </c>
      <c r="H18" s="6638">
        <v>2</v>
      </c>
      <c r="I18" s="6639">
        <v>219</v>
      </c>
      <c r="J18" s="6640">
        <f>HLOOKUP("BPS",A1:CV300,18,FALSE)-((-6*HLOOKUP("OG",A1:CV300,18,FALSE))+(-6*HLOOKUP("PK Miss",A1:CV300,18,FALSE))+(9*HLOOKUP("FPL As",A1:CV300,18,FALSE))+(12*HLOOKUP("CS",A1:CV300,18,FALSE))+(12*HLOOKUP("Gs",A1:CV300,18,FALSE)))</f>
        <v>150</v>
      </c>
      <c r="K18" s="6641">
        <v>0</v>
      </c>
      <c r="L18" s="6642">
        <v>3</v>
      </c>
      <c r="M18" s="6643">
        <v>26</v>
      </c>
      <c r="N18" s="6644">
        <v>12</v>
      </c>
      <c r="O18" s="6645">
        <v>12</v>
      </c>
      <c r="P18" s="6646">
        <f>IF(HLOOKUP("Shots",A1:CV300,18,FALSE)=0,0,HLOOKUP("SIB",A1:CV300,18,FALSE)/HLOOKUP("Shots",A1:CV300,18,FALSE))</f>
        <v>1</v>
      </c>
      <c r="Q18" s="6647">
        <v>7</v>
      </c>
      <c r="R18" s="6648">
        <f>IF(HLOOKUP("Shots",A1:CV300,18,FALSE)=0,0,HLOOKUP("S6YD",A1:CV300,18,FALSE)/HLOOKUP("Shots",A1:CV300,18,FALSE))</f>
        <v>0.58333333333333337</v>
      </c>
      <c r="S18" s="6649">
        <v>10</v>
      </c>
      <c r="T18" s="6650">
        <f>IF(HLOOKUP("Shots",A1:CV300,18,FALSE)=0,0,HLOOKUP("Headers",A1:CV300,18,FALSE)/HLOOKUP("Shots",A1:CV300,18,FALSE))</f>
        <v>0.83333333333333337</v>
      </c>
      <c r="U18" s="6651">
        <v>5</v>
      </c>
      <c r="V18" s="6652">
        <f>IF(HLOOKUP("Shots",A1:CV300,18,FALSE)=0,0,HLOOKUP("SOT",A1:CV300,18,FALSE)/HLOOKUP("Shots",A1:CV300,18,FALSE))</f>
        <v>0.41666666666666669</v>
      </c>
      <c r="W18" s="6653">
        <f>IF(HLOOKUP("Shots",A1:CV300,18,FALSE)=0,0,HLOOKUP("Gs",A1:CV300,18,FALSE)/HLOOKUP("Shots",A1:CV300,18,FALSE))</f>
        <v>0.16666666666666666</v>
      </c>
      <c r="X18" s="6654">
        <v>0</v>
      </c>
      <c r="Y18" s="6655">
        <v>1</v>
      </c>
      <c r="Z18" s="6656">
        <v>2</v>
      </c>
      <c r="AA18" s="6657">
        <f>IF(HLOOKUP("KP",A1:CV300,18,FALSE)=0,0,HLOOKUP("As",A1:CV300,18,FALSE)/HLOOKUP("KP",A1:CV300,18,FALSE))</f>
        <v>0</v>
      </c>
      <c r="AB18" s="6658">
        <v>57.4</v>
      </c>
      <c r="AC18" s="6659">
        <v>9</v>
      </c>
      <c r="AD18" s="6660">
        <v>0</v>
      </c>
      <c r="AE18" s="6661">
        <v>3</v>
      </c>
      <c r="AF18" s="6662">
        <v>1</v>
      </c>
      <c r="AG18" s="6663">
        <f>IF(HLOOKUP("BC",A1:CV300,18,FALSE)=0,0,HLOOKUP("Gs - BC",A1:CV300,18,FALSE)/HLOOKUP("BC",A1:CV300,18,FALSE))</f>
        <v>0.66666666666666663</v>
      </c>
      <c r="AH18" s="6664">
        <f>HLOOKUP("BC",A1:CV300,18,FALSE) - HLOOKUP("BC Miss",A1:CV300,18,FALSE)</f>
        <v>2</v>
      </c>
      <c r="AI18" s="6665">
        <f>IF(HLOOKUP("Gs",A1:CV300,18,FALSE)=0,0,HLOOKUP("Gs - BC",A1:CV300,18,FALSE)/HLOOKUP("Gs",A1:CV300,18,FALSE))</f>
        <v>1</v>
      </c>
      <c r="AJ18" s="6666">
        <v>0</v>
      </c>
      <c r="AK18" s="6667">
        <v>0</v>
      </c>
      <c r="AL18" s="6668">
        <f>HLOOKUP("BC",A1:CV300,18,FALSE) - (HLOOKUP("PK Gs",A1:CV300,18,FALSE) + HLOOKUP("PK Miss",A1:CV300,18,FALSE))</f>
        <v>3</v>
      </c>
      <c r="AM18" s="6669">
        <f>HLOOKUP("BC Miss",A1:CV300,18,FALSE) - HLOOKUP("PK Miss",A1:CV300,18,FALSE)</f>
        <v>1</v>
      </c>
      <c r="AN18" s="6670">
        <f>IF(HLOOKUP("BC - Open",A1:CV300,18,FALSE)=0,0,HLOOKUP("BC - Open Miss",A1:CV300,18,FALSE)/HLOOKUP("BC - Open",A1:CV300,18,FALSE))</f>
        <v>0.33333333333333331</v>
      </c>
      <c r="AO18" s="6671">
        <v>2</v>
      </c>
      <c r="AP18" s="6672">
        <f>IF(HLOOKUP("Gs",A1:CV300,18,FALSE)=0,0,HLOOKUP("GIB",A1:CV300,18,FALSE)/HLOOKUP("Gs",A1:CV300,18,FALSE))</f>
        <v>1</v>
      </c>
      <c r="AQ18" s="6673">
        <v>0</v>
      </c>
      <c r="AR18" s="6674">
        <f>IF(HLOOKUP("Gs",A1:CV300,18,FALSE)=0,0,HLOOKUP("Gs - Open",A1:CV300,18,FALSE)/HLOOKUP("Gs",A1:CV300,18,FALSE))</f>
        <v>0</v>
      </c>
      <c r="AS18" s="6675">
        <v>1.76</v>
      </c>
      <c r="AT18" s="6676">
        <v>0.19</v>
      </c>
      <c r="AU18" s="6677">
        <f>IF(HLOOKUP("Mins",A1:CV300,18,FALSE)=0,0,HLOOKUP("Pts",A1:CV300,18,FALSE)/HLOOKUP("Mins",A1:CV300,18,FALSE)* 90)</f>
        <v>4.1389432485322892</v>
      </c>
      <c r="AV18" s="6678">
        <f>IF(HLOOKUP("Apps",A1:CV300,18,FALSE)=0,0,HLOOKUP("Pts",A1:CV300,18,FALSE)/HLOOKUP("Apps",A1:CV300,18,FALSE)* 1)</f>
        <v>3.3571428571428572</v>
      </c>
      <c r="AW18" s="6679">
        <f>IF(HLOOKUP("Mins",A1:CV300,18,FALSE)=0,0,HLOOKUP("Gs",A1:CV300,18,FALSE)/HLOOKUP("Mins",A1:CV300,18,FALSE)* 90)</f>
        <v>0.17612524461839529</v>
      </c>
      <c r="AX18" s="6680">
        <f>IF(HLOOKUP("Mins",A1:CV300,18,FALSE)=0,0,HLOOKUP("Bonus",A1:CV300,18,FALSE)/HLOOKUP("Mins",A1:CV300,18,FALSE)* 90)</f>
        <v>0.17612524461839529</v>
      </c>
      <c r="AY18" s="6681">
        <f>IF(HLOOKUP("Mins",A1:CV300,18,FALSE)=0,0,HLOOKUP("BPS",A1:CV300,18,FALSE)/HLOOKUP("Mins",A1:CV300,18,FALSE)* 90)</f>
        <v>19.285714285714285</v>
      </c>
      <c r="AZ18" s="6682">
        <f>IF(HLOOKUP("Mins",A1:CV300,18,FALSE)=0,0,HLOOKUP("Base BPS",A1:CV300,18,FALSE)/HLOOKUP("Mins",A1:CV300,18,FALSE)* 90)</f>
        <v>13.209393346379647</v>
      </c>
      <c r="BA18" s="6683">
        <f>IF(HLOOKUP("Mins",A1:CV300,18,FALSE)=0,0,HLOOKUP("PenTchs",A1:CV300,18,FALSE)/HLOOKUP("Mins",A1:CV300,18,FALSE)* 90)</f>
        <v>2.2896281800391387</v>
      </c>
      <c r="BB18" s="6684">
        <f>IF(HLOOKUP("Mins",A1:CV300,18,FALSE)=0,0,HLOOKUP("Shots",A1:CV300,18,FALSE)/HLOOKUP("Mins",A1:CV300,18,FALSE)* 90)</f>
        <v>1.0567514677103718</v>
      </c>
      <c r="BC18" s="6685">
        <f>IF(HLOOKUP("Mins",A1:CV300,18,FALSE)=0,0,HLOOKUP("SIB",A1:CV300,18,FALSE)/HLOOKUP("Mins",A1:CV300,18,FALSE)* 90)</f>
        <v>1.0567514677103718</v>
      </c>
      <c r="BD18" s="6686">
        <f>IF(HLOOKUP("Mins",A1:CV300,18,FALSE)=0,0,HLOOKUP("S6YD",A1:CV300,18,FALSE)/HLOOKUP("Mins",A1:CV300,18,FALSE)* 90)</f>
        <v>0.61643835616438358</v>
      </c>
      <c r="BE18" s="6687">
        <f>IF(HLOOKUP("Mins",A1:CV300,18,FALSE)=0,0,HLOOKUP("Headers",A1:CV300,18,FALSE)/HLOOKUP("Mins",A1:CV300,18,FALSE)* 90)</f>
        <v>0.88062622309197647</v>
      </c>
      <c r="BF18" s="6688">
        <f>IF(HLOOKUP("Mins",A1:CV300,18,FALSE)=0,0,HLOOKUP("SOT",A1:CV300,18,FALSE)/HLOOKUP("Mins",A1:CV300,18,FALSE)* 90)</f>
        <v>0.44031311154598823</v>
      </c>
      <c r="BG18" s="6689">
        <f>IF(HLOOKUP("Mins",A1:CV300,18,FALSE)=0,0,HLOOKUP("As",A1:CV300,18,FALSE)/HLOOKUP("Mins",A1:CV300,18,FALSE)* 90)</f>
        <v>0</v>
      </c>
      <c r="BH18" s="6690">
        <f>IF(HLOOKUP("Mins",A1:CV300,18,FALSE)=0,0,HLOOKUP("FPL As",A1:CV300,18,FALSE)/HLOOKUP("Mins",A1:CV300,18,FALSE)* 90)</f>
        <v>8.8062622309197647E-2</v>
      </c>
      <c r="BI18" s="6691">
        <f>IF(HLOOKUP("Mins",A1:CV300,18,FALSE)=0,0,HLOOKUP("BC Created",A1:CV300,18,FALSE)/HLOOKUP("Mins",A1:CV300,18,FALSE)* 90)</f>
        <v>0</v>
      </c>
      <c r="BJ18" s="6692">
        <f>IF(HLOOKUP("Mins",A1:CV300,18,FALSE)=0,0,HLOOKUP("KP",A1:CV300,18,FALSE)/HLOOKUP("Mins",A1:CV300,18,FALSE)* 90)</f>
        <v>0.17612524461839529</v>
      </c>
      <c r="BK18" s="6693">
        <f>IF(HLOOKUP("Mins",A1:CV300,18,FALSE)=0,0,HLOOKUP("BC",A1:CV300,18,FALSE)/HLOOKUP("Mins",A1:CV300,18,FALSE)* 90)</f>
        <v>0.26418786692759294</v>
      </c>
      <c r="BL18" s="6694">
        <f>IF(HLOOKUP("Mins",A1:CV300,18,FALSE)=0,0,HLOOKUP("BC Miss",A1:CV300,18,FALSE)/HLOOKUP("Mins",A1:CV300,18,FALSE)* 90)</f>
        <v>8.8062622309197647E-2</v>
      </c>
      <c r="BM18" s="6695">
        <f>IF(HLOOKUP("Mins",A1:CV300,18,FALSE)=0,0,HLOOKUP("Gs - BC",A1:CV300,18,FALSE)/HLOOKUP("Mins",A1:CV300,18,FALSE)* 90)</f>
        <v>0.17612524461839529</v>
      </c>
      <c r="BN18" s="6696">
        <f>IF(HLOOKUP("Mins",A1:CV300,18,FALSE)=0,0,HLOOKUP("GIB",A1:CV300,18,FALSE)/HLOOKUP("Mins",A1:CV300,18,FALSE)* 90)</f>
        <v>0.17612524461839529</v>
      </c>
      <c r="BO18" s="6697">
        <f>IF(HLOOKUP("Mins",A1:CV300,18,FALSE)=0,0,HLOOKUP("Gs - Open",A1:CV300,18,FALSE)/HLOOKUP("Mins",A1:CV300,18,FALSE)* 90)</f>
        <v>0</v>
      </c>
      <c r="BP18" s="6698">
        <f>IF(HLOOKUP("Mins",A1:CV300,18,FALSE)=0,0,HLOOKUP("ICT Index",A1:CV300,18,FALSE)/HLOOKUP("Mins",A1:CV300,18,FALSE)* 90)</f>
        <v>5.0547945205479454</v>
      </c>
      <c r="BQ18" s="6699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  <v>9.8277886497064593E-2</v>
      </c>
      <c r="BR18" s="6700">
        <f>0.0825*HLOOKUP("KP/90",A1:CV300,18,FALSE)</f>
        <v>1.4530332681017612E-2</v>
      </c>
      <c r="BS18" s="6701">
        <f>6*HLOOKUP("xG/90",A1:CV300,18,FALSE)+3*HLOOKUP("xA/90",A1:CV300,18,FALSE)</f>
        <v>0.63325831702544044</v>
      </c>
      <c r="BT18" s="6702">
        <f>HLOOKUP("xPts/90",A1:CV300,18,FALSE)-(6*0.75*(HLOOKUP("PK Gs",A1:CV300,18,FALSE)+HLOOKUP("PK Miss",A1:CV300,18,FALSE))*90/HLOOKUP("Mins",A1:CV300,18,FALSE))</f>
        <v>0.63325831702544044</v>
      </c>
      <c r="BU18" s="6703">
        <f>IF(HLOOKUP("Mins",A1:CV300,18,FALSE)=0,0,HLOOKUP("fsXG",A1:CV300,18,FALSE)/HLOOKUP("Mins",A1:CV300,18,FALSE)* 90)</f>
        <v>0.15499021526418785</v>
      </c>
      <c r="BV18" s="6704">
        <f>IF(HLOOKUP("Mins",A1:CV300,18,FALSE)=0,0,HLOOKUP("fsXA",A1:CV300,18,FALSE)/HLOOKUP("Mins",A1:CV300,18,FALSE)* 90)</f>
        <v>1.6731898238747555E-2</v>
      </c>
      <c r="BW18" s="6705">
        <f>6*HLOOKUP("fsXG/90",A1:CV300,18,FALSE)+3*HLOOKUP("fsXA/90",A1:CV300,18,FALSE)</f>
        <v>0.98013698630136969</v>
      </c>
      <c r="BX18" s="6706">
        <v>0.16871070861816406</v>
      </c>
      <c r="BY18" s="6707">
        <v>4.5265667140483856E-3</v>
      </c>
      <c r="BZ18" s="6708">
        <f>6*HLOOKUP("uXG/90",A1:CV300,18,FALSE)+3*HLOOKUP("uXA/90",A1:CV300,18,FALSE)</f>
        <v>1.0258439518511295</v>
      </c>
    </row>
    <row r="19" spans="1:78" hidden="1" x14ac:dyDescent="0.3">
      <c r="A19" s="6709" t="s">
        <v>182</v>
      </c>
      <c r="B19" s="6710" t="s">
        <v>79</v>
      </c>
      <c r="C19" s="6711">
        <v>5</v>
      </c>
      <c r="D19" s="6712">
        <v>270</v>
      </c>
      <c r="E19" s="6713">
        <v>3</v>
      </c>
      <c r="F19" s="6714">
        <v>10</v>
      </c>
      <c r="G19" s="6715">
        <v>0</v>
      </c>
      <c r="H19" s="6716">
        <v>1</v>
      </c>
      <c r="I19" s="6717">
        <v>54</v>
      </c>
      <c r="J19" s="6718">
        <f>HLOOKUP("BPS",A1:CV300,19,FALSE)-((-6*HLOOKUP("OG",A1:CV300,19,FALSE))+(-6*HLOOKUP("PK Miss",A1:CV300,19,FALSE))+(9*HLOOKUP("FPL As",A1:CV300,19,FALSE))+(12*HLOOKUP("CS",A1:CV300,19,FALSE))+(12*HLOOKUP("Gs",A1:CV300,19,FALSE)))</f>
        <v>42</v>
      </c>
      <c r="K19" s="6719">
        <v>0</v>
      </c>
      <c r="L19" s="6720">
        <v>1</v>
      </c>
      <c r="M19" s="6721">
        <v>5</v>
      </c>
      <c r="N19" s="6722">
        <v>1</v>
      </c>
      <c r="O19" s="6723">
        <v>1</v>
      </c>
      <c r="P19" s="6724">
        <f>IF(HLOOKUP("Shots",A1:CV300,19,FALSE)=0,0,HLOOKUP("SIB",A1:CV300,19,FALSE)/HLOOKUP("Shots",A1:CV300,19,FALSE))</f>
        <v>1</v>
      </c>
      <c r="Q19" s="6725">
        <v>0</v>
      </c>
      <c r="R19" s="6726">
        <f>IF(HLOOKUP("Shots",A1:CV300,19,FALSE)=0,0,HLOOKUP("S6YD",A1:CV300,19,FALSE)/HLOOKUP("Shots",A1:CV300,19,FALSE))</f>
        <v>0</v>
      </c>
      <c r="S19" s="6727">
        <v>1</v>
      </c>
      <c r="T19" s="6728">
        <f>IF(HLOOKUP("Shots",A1:CV300,19,FALSE)=0,0,HLOOKUP("Headers",A1:CV300,19,FALSE)/HLOOKUP("Shots",A1:CV300,19,FALSE))</f>
        <v>1</v>
      </c>
      <c r="U19" s="6729">
        <v>0</v>
      </c>
      <c r="V19" s="6730">
        <f>IF(HLOOKUP("Shots",A1:CV300,19,FALSE)=0,0,HLOOKUP("SOT",A1:CV300,19,FALSE)/HLOOKUP("Shots",A1:CV300,19,FALSE))</f>
        <v>0</v>
      </c>
      <c r="W19" s="6731">
        <f>IF(HLOOKUP("Shots",A1:CV300,19,FALSE)=0,0,HLOOKUP("Gs",A1:CV300,19,FALSE)/HLOOKUP("Shots",A1:CV300,19,FALSE))</f>
        <v>0</v>
      </c>
      <c r="X19" s="6732">
        <v>0</v>
      </c>
      <c r="Y19" s="6733">
        <v>0</v>
      </c>
      <c r="Z19" s="6734">
        <v>3</v>
      </c>
      <c r="AA19" s="6735">
        <f>IF(HLOOKUP("KP",A1:CV300,19,FALSE)=0,0,HLOOKUP("As",A1:CV300,19,FALSE)/HLOOKUP("KP",A1:CV300,19,FALSE))</f>
        <v>0</v>
      </c>
      <c r="AB19" s="6736">
        <v>10</v>
      </c>
      <c r="AC19" s="6737">
        <v>0</v>
      </c>
      <c r="AD19" s="6738">
        <v>1</v>
      </c>
      <c r="AE19" s="6739">
        <v>0</v>
      </c>
      <c r="AF19" s="6740">
        <v>0</v>
      </c>
      <c r="AG19" s="6741">
        <f>IF(HLOOKUP("BC",A1:CV300,19,FALSE)=0,0,HLOOKUP("Gs - BC",A1:CV300,19,FALSE)/HLOOKUP("BC",A1:CV300,19,FALSE))</f>
        <v>0</v>
      </c>
      <c r="AH19" s="6742">
        <f>HLOOKUP("BC",A1:CV300,19,FALSE) - HLOOKUP("BC Miss",A1:CV300,19,FALSE)</f>
        <v>0</v>
      </c>
      <c r="AI19" s="6743">
        <f>IF(HLOOKUP("Gs",A1:CV300,19,FALSE)=0,0,HLOOKUP("Gs - BC",A1:CV300,19,FALSE)/HLOOKUP("Gs",A1:CV300,19,FALSE))</f>
        <v>0</v>
      </c>
      <c r="AJ19" s="6744">
        <v>0</v>
      </c>
      <c r="AK19" s="6745">
        <v>0</v>
      </c>
      <c r="AL19" s="6746">
        <f>HLOOKUP("BC",A1:CV300,19,FALSE) - (HLOOKUP("PK Gs",A1:CV300,19,FALSE) + HLOOKUP("PK Miss",A1:CV300,19,FALSE))</f>
        <v>0</v>
      </c>
      <c r="AM19" s="6747">
        <f>HLOOKUP("BC Miss",A1:CV300,19,FALSE) - HLOOKUP("PK Miss",A1:CV300,19,FALSE)</f>
        <v>0</v>
      </c>
      <c r="AN19" s="6748">
        <f>IF(HLOOKUP("BC - Open",A1:CV300,19,FALSE)=0,0,HLOOKUP("BC - Open Miss",A1:CV300,19,FALSE)/HLOOKUP("BC - Open",A1:CV300,19,FALSE))</f>
        <v>0</v>
      </c>
      <c r="AO19" s="6749">
        <v>0</v>
      </c>
      <c r="AP19" s="6750">
        <f>IF(HLOOKUP("Gs",A1:CV300,19,FALSE)=0,0,HLOOKUP("GIB",A1:CV300,19,FALSE)/HLOOKUP("Gs",A1:CV300,19,FALSE))</f>
        <v>0</v>
      </c>
      <c r="AQ19" s="6751">
        <v>0</v>
      </c>
      <c r="AR19" s="6752">
        <f>IF(HLOOKUP("Gs",A1:CV300,19,FALSE)=0,0,HLOOKUP("Gs - Open",A1:CV300,19,FALSE)/HLOOKUP("Gs",A1:CV300,19,FALSE))</f>
        <v>0</v>
      </c>
      <c r="AS19" s="6753">
        <v>0.04</v>
      </c>
      <c r="AT19" s="6754">
        <v>0.09</v>
      </c>
      <c r="AU19" s="6755">
        <f>IF(HLOOKUP("Mins",A1:CV300,19,FALSE)=0,0,HLOOKUP("Pts",A1:CV300,19,FALSE)/HLOOKUP("Mins",A1:CV300,19,FALSE)* 90)</f>
        <v>3.333333333333333</v>
      </c>
      <c r="AV19" s="6756">
        <f>IF(HLOOKUP("Apps",A1:CV300,19,FALSE)=0,0,HLOOKUP("Pts",A1:CV300,19,FALSE)/HLOOKUP("Apps",A1:CV300,19,FALSE)* 1)</f>
        <v>3.3333333333333335</v>
      </c>
      <c r="AW19" s="6757">
        <f>IF(HLOOKUP("Mins",A1:CV300,19,FALSE)=0,0,HLOOKUP("Gs",A1:CV300,19,FALSE)/HLOOKUP("Mins",A1:CV300,19,FALSE)* 90)</f>
        <v>0</v>
      </c>
      <c r="AX19" s="6758">
        <f>IF(HLOOKUP("Mins",A1:CV300,19,FALSE)=0,0,HLOOKUP("Bonus",A1:CV300,19,FALSE)/HLOOKUP("Mins",A1:CV300,19,FALSE)* 90)</f>
        <v>0.33333333333333337</v>
      </c>
      <c r="AY19" s="6759">
        <f>IF(HLOOKUP("Mins",A1:CV300,19,FALSE)=0,0,HLOOKUP("BPS",A1:CV300,19,FALSE)/HLOOKUP("Mins",A1:CV300,19,FALSE)* 90)</f>
        <v>18</v>
      </c>
      <c r="AZ19" s="6760">
        <f>IF(HLOOKUP("Mins",A1:CV300,19,FALSE)=0,0,HLOOKUP("Base BPS",A1:CV300,19,FALSE)/HLOOKUP("Mins",A1:CV300,19,FALSE)* 90)</f>
        <v>14</v>
      </c>
      <c r="BA19" s="6761">
        <f>IF(HLOOKUP("Mins",A1:CV300,19,FALSE)=0,0,HLOOKUP("PenTchs",A1:CV300,19,FALSE)/HLOOKUP("Mins",A1:CV300,19,FALSE)* 90)</f>
        <v>1.6666666666666665</v>
      </c>
      <c r="BB19" s="6762">
        <f>IF(HLOOKUP("Mins",A1:CV300,19,FALSE)=0,0,HLOOKUP("Shots",A1:CV300,19,FALSE)/HLOOKUP("Mins",A1:CV300,19,FALSE)* 90)</f>
        <v>0.33333333333333337</v>
      </c>
      <c r="BC19" s="6763">
        <f>IF(HLOOKUP("Mins",A1:CV300,19,FALSE)=0,0,HLOOKUP("SIB",A1:CV300,19,FALSE)/HLOOKUP("Mins",A1:CV300,19,FALSE)* 90)</f>
        <v>0.33333333333333337</v>
      </c>
      <c r="BD19" s="6764">
        <f>IF(HLOOKUP("Mins",A1:CV300,19,FALSE)=0,0,HLOOKUP("S6YD",A1:CV300,19,FALSE)/HLOOKUP("Mins",A1:CV300,19,FALSE)* 90)</f>
        <v>0</v>
      </c>
      <c r="BE19" s="6765">
        <f>IF(HLOOKUP("Mins",A1:CV300,19,FALSE)=0,0,HLOOKUP("Headers",A1:CV300,19,FALSE)/HLOOKUP("Mins",A1:CV300,19,FALSE)* 90)</f>
        <v>0.33333333333333337</v>
      </c>
      <c r="BF19" s="6766">
        <f>IF(HLOOKUP("Mins",A1:CV300,19,FALSE)=0,0,HLOOKUP("SOT",A1:CV300,19,FALSE)/HLOOKUP("Mins",A1:CV300,19,FALSE)* 90)</f>
        <v>0</v>
      </c>
      <c r="BG19" s="6767">
        <f>IF(HLOOKUP("Mins",A1:CV300,19,FALSE)=0,0,HLOOKUP("As",A1:CV300,19,FALSE)/HLOOKUP("Mins",A1:CV300,19,FALSE)* 90)</f>
        <v>0</v>
      </c>
      <c r="BH19" s="6768">
        <f>IF(HLOOKUP("Mins",A1:CV300,19,FALSE)=0,0,HLOOKUP("FPL As",A1:CV300,19,FALSE)/HLOOKUP("Mins",A1:CV300,19,FALSE)* 90)</f>
        <v>0</v>
      </c>
      <c r="BI19" s="6769">
        <f>IF(HLOOKUP("Mins",A1:CV300,19,FALSE)=0,0,HLOOKUP("BC Created",A1:CV300,19,FALSE)/HLOOKUP("Mins",A1:CV300,19,FALSE)* 90)</f>
        <v>0.33333333333333337</v>
      </c>
      <c r="BJ19" s="6770">
        <f>IF(HLOOKUP("Mins",A1:CV300,19,FALSE)=0,0,HLOOKUP("KP",A1:CV300,19,FALSE)/HLOOKUP("Mins",A1:CV300,19,FALSE)* 90)</f>
        <v>1</v>
      </c>
      <c r="BK19" s="6771">
        <f>IF(HLOOKUP("Mins",A1:CV300,19,FALSE)=0,0,HLOOKUP("BC",A1:CV300,19,FALSE)/HLOOKUP("Mins",A1:CV300,19,FALSE)* 90)</f>
        <v>0</v>
      </c>
      <c r="BL19" s="6772">
        <f>IF(HLOOKUP("Mins",A1:CV300,19,FALSE)=0,0,HLOOKUP("BC Miss",A1:CV300,19,FALSE)/HLOOKUP("Mins",A1:CV300,19,FALSE)* 90)</f>
        <v>0</v>
      </c>
      <c r="BM19" s="6773">
        <f>IF(HLOOKUP("Mins",A1:CV300,19,FALSE)=0,0,HLOOKUP("Gs - BC",A1:CV300,19,FALSE)/HLOOKUP("Mins",A1:CV300,19,FALSE)* 90)</f>
        <v>0</v>
      </c>
      <c r="BN19" s="6774">
        <f>IF(HLOOKUP("Mins",A1:CV300,19,FALSE)=0,0,HLOOKUP("GIB",A1:CV300,19,FALSE)/HLOOKUP("Mins",A1:CV300,19,FALSE)* 90)</f>
        <v>0</v>
      </c>
      <c r="BO19" s="6775">
        <f>IF(HLOOKUP("Mins",A1:CV300,19,FALSE)=0,0,HLOOKUP("Gs - Open",A1:CV300,19,FALSE)/HLOOKUP("Mins",A1:CV300,19,FALSE)* 90)</f>
        <v>0</v>
      </c>
      <c r="BP19" s="6776">
        <f>IF(HLOOKUP("Mins",A1:CV300,19,FALSE)=0,0,HLOOKUP("ICT Index",A1:CV300,19,FALSE)/HLOOKUP("Mins",A1:CV300,19,FALSE)* 90)</f>
        <v>3.333333333333333</v>
      </c>
      <c r="BQ19" s="6777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  <v>3.0999999999999996E-2</v>
      </c>
      <c r="BR19" s="6778">
        <f>0.0825*HLOOKUP("KP/90",A1:CV300,19,FALSE)</f>
        <v>8.2500000000000004E-2</v>
      </c>
      <c r="BS19" s="6779">
        <f>6*HLOOKUP("xG/90",A1:CV300,19,FALSE)+3*HLOOKUP("xA/90",A1:CV300,19,FALSE)</f>
        <v>0.4335</v>
      </c>
      <c r="BT19" s="6780">
        <f>HLOOKUP("xPts/90",A1:CV300,19,FALSE)-(6*0.75*(HLOOKUP("PK Gs",A1:CV300,19,FALSE)+HLOOKUP("PK Miss",A1:CV300,19,FALSE))*90/HLOOKUP("Mins",A1:CV300,19,FALSE))</f>
        <v>0.4335</v>
      </c>
      <c r="BU19" s="6781">
        <f>IF(HLOOKUP("Mins",A1:CV300,19,FALSE)=0,0,HLOOKUP("fsXG",A1:CV300,19,FALSE)/HLOOKUP("Mins",A1:CV300,19,FALSE)* 90)</f>
        <v>1.3333333333333332E-2</v>
      </c>
      <c r="BV19" s="6782">
        <f>IF(HLOOKUP("Mins",A1:CV300,19,FALSE)=0,0,HLOOKUP("fsXA",A1:CV300,19,FALSE)/HLOOKUP("Mins",A1:CV300,19,FALSE)* 90)</f>
        <v>0.03</v>
      </c>
      <c r="BW19" s="6783">
        <f>6*HLOOKUP("fsXG/90",A1:CV300,19,FALSE)+3*HLOOKUP("fsXA/90",A1:CV300,19,FALSE)</f>
        <v>0.16999999999999998</v>
      </c>
      <c r="BX19" s="6784">
        <v>1.4660109765827656E-2</v>
      </c>
      <c r="BY19" s="6785">
        <v>0.15314434468746185</v>
      </c>
      <c r="BZ19" s="6786">
        <f>6*HLOOKUP("uXG/90",A1:CV300,19,FALSE)+3*HLOOKUP("uXA/90",A1:CV300,19,FALSE)</f>
        <v>0.54739369265735149</v>
      </c>
    </row>
    <row r="20" spans="1:78" hidden="1" x14ac:dyDescent="0.3">
      <c r="A20" s="6787" t="s">
        <v>183</v>
      </c>
      <c r="B20" s="6788" t="s">
        <v>115</v>
      </c>
      <c r="C20" s="6789">
        <v>4.3000001907348633</v>
      </c>
      <c r="D20" s="6790">
        <v>1126</v>
      </c>
      <c r="E20" s="6791">
        <v>13</v>
      </c>
      <c r="F20" s="6792">
        <v>46</v>
      </c>
      <c r="G20" s="6793">
        <v>0</v>
      </c>
      <c r="H20" s="6794">
        <v>3</v>
      </c>
      <c r="I20" s="6795">
        <v>220</v>
      </c>
      <c r="J20" s="6796">
        <f>HLOOKUP("BPS",A1:CV300,20,FALSE)-((-6*HLOOKUP("OG",A1:CV300,20,FALSE))+(-6*HLOOKUP("PK Miss",A1:CV300,20,FALSE))+(9*HLOOKUP("FPL As",A1:CV300,20,FALSE))+(12*HLOOKUP("CS",A1:CV300,20,FALSE))+(12*HLOOKUP("Gs",A1:CV300,20,FALSE)))</f>
        <v>139</v>
      </c>
      <c r="K20" s="6797">
        <v>0</v>
      </c>
      <c r="L20" s="6798">
        <v>6</v>
      </c>
      <c r="M20" s="6799">
        <v>7</v>
      </c>
      <c r="N20" s="6800">
        <v>3</v>
      </c>
      <c r="O20" s="6801">
        <v>2</v>
      </c>
      <c r="P20" s="6802">
        <f>IF(HLOOKUP("Shots",A1:CV300,20,FALSE)=0,0,HLOOKUP("SIB",A1:CV300,20,FALSE)/HLOOKUP("Shots",A1:CV300,20,FALSE))</f>
        <v>0.66666666666666663</v>
      </c>
      <c r="Q20" s="6803">
        <v>0</v>
      </c>
      <c r="R20" s="6804">
        <f>IF(HLOOKUP("Shots",A1:CV300,20,FALSE)=0,0,HLOOKUP("S6YD",A1:CV300,20,FALSE)/HLOOKUP("Shots",A1:CV300,20,FALSE))</f>
        <v>0</v>
      </c>
      <c r="S20" s="6805">
        <v>1</v>
      </c>
      <c r="T20" s="6806">
        <f>IF(HLOOKUP("Shots",A1:CV300,20,FALSE)=0,0,HLOOKUP("Headers",A1:CV300,20,FALSE)/HLOOKUP("Shots",A1:CV300,20,FALSE))</f>
        <v>0.33333333333333331</v>
      </c>
      <c r="U20" s="6807">
        <v>1</v>
      </c>
      <c r="V20" s="6808">
        <f>IF(HLOOKUP("Shots",A1:CV300,20,FALSE)=0,0,HLOOKUP("SOT",A1:CV300,20,FALSE)/HLOOKUP("Shots",A1:CV300,20,FALSE))</f>
        <v>0.33333333333333331</v>
      </c>
      <c r="W20" s="6809">
        <f>IF(HLOOKUP("Shots",A1:CV300,20,FALSE)=0,0,HLOOKUP("Gs",A1:CV300,20,FALSE)/HLOOKUP("Shots",A1:CV300,20,FALSE))</f>
        <v>0</v>
      </c>
      <c r="X20" s="6810">
        <v>1</v>
      </c>
      <c r="Y20" s="6811">
        <v>1</v>
      </c>
      <c r="Z20" s="6812">
        <v>2</v>
      </c>
      <c r="AA20" s="6813">
        <f>IF(HLOOKUP("KP",A1:CV300,20,FALSE)=0,0,HLOOKUP("As",A1:CV300,20,FALSE)/HLOOKUP("KP",A1:CV300,20,FALSE))</f>
        <v>0.5</v>
      </c>
      <c r="AB20" s="6814">
        <v>32.700000000000003</v>
      </c>
      <c r="AC20" s="6815">
        <v>7</v>
      </c>
      <c r="AD20" s="6816">
        <v>0</v>
      </c>
      <c r="AE20" s="6817">
        <v>1</v>
      </c>
      <c r="AF20" s="6818">
        <v>1</v>
      </c>
      <c r="AG20" s="6819">
        <f>IF(HLOOKUP("BC",A1:CV300,20,FALSE)=0,0,HLOOKUP("Gs - BC",A1:CV300,20,FALSE)/HLOOKUP("BC",A1:CV300,20,FALSE))</f>
        <v>0</v>
      </c>
      <c r="AH20" s="6820">
        <f>HLOOKUP("BC",A1:CV300,20,FALSE) - HLOOKUP("BC Miss",A1:CV300,20,FALSE)</f>
        <v>0</v>
      </c>
      <c r="AI20" s="6821">
        <f>IF(HLOOKUP("Gs",A1:CV300,20,FALSE)=0,0,HLOOKUP("Gs - BC",A1:CV300,20,FALSE)/HLOOKUP("Gs",A1:CV300,20,FALSE))</f>
        <v>0</v>
      </c>
      <c r="AJ20" s="6822">
        <v>0</v>
      </c>
      <c r="AK20" s="6823">
        <v>0</v>
      </c>
      <c r="AL20" s="6824">
        <f>HLOOKUP("BC",A1:CV300,20,FALSE) - (HLOOKUP("PK Gs",A1:CV300,20,FALSE) + HLOOKUP("PK Miss",A1:CV300,20,FALSE))</f>
        <v>1</v>
      </c>
      <c r="AM20" s="6825">
        <f>HLOOKUP("BC Miss",A1:CV300,20,FALSE) - HLOOKUP("PK Miss",A1:CV300,20,FALSE)</f>
        <v>1</v>
      </c>
      <c r="AN20" s="6826">
        <f>IF(HLOOKUP("BC - Open",A1:CV300,20,FALSE)=0,0,HLOOKUP("BC - Open Miss",A1:CV300,20,FALSE)/HLOOKUP("BC - Open",A1:CV300,20,FALSE))</f>
        <v>1</v>
      </c>
      <c r="AO20" s="6827">
        <v>0</v>
      </c>
      <c r="AP20" s="6828">
        <f>IF(HLOOKUP("Gs",A1:CV300,20,FALSE)=0,0,HLOOKUP("GIB",A1:CV300,20,FALSE)/HLOOKUP("Gs",A1:CV300,20,FALSE))</f>
        <v>0</v>
      </c>
      <c r="AQ20" s="6829">
        <v>0</v>
      </c>
      <c r="AR20" s="6830">
        <f>IF(HLOOKUP("Gs",A1:CV300,20,FALSE)=0,0,HLOOKUP("Gs - Open",A1:CV300,20,FALSE)/HLOOKUP("Gs",A1:CV300,20,FALSE))</f>
        <v>0</v>
      </c>
      <c r="AS20" s="6831">
        <v>0.22</v>
      </c>
      <c r="AT20" s="6832">
        <v>0.08</v>
      </c>
      <c r="AU20" s="6833">
        <f>IF(HLOOKUP("Mins",A1:CV300,20,FALSE)=0,0,HLOOKUP("Pts",A1:CV300,20,FALSE)/HLOOKUP("Mins",A1:CV300,20,FALSE)* 90)</f>
        <v>3.6767317939609239</v>
      </c>
      <c r="AV20" s="6834">
        <f>IF(HLOOKUP("Apps",A1:CV300,20,FALSE)=0,0,HLOOKUP("Pts",A1:CV300,20,FALSE)/HLOOKUP("Apps",A1:CV300,20,FALSE)* 1)</f>
        <v>3.5384615384615383</v>
      </c>
      <c r="AW20" s="6835">
        <f>IF(HLOOKUP("Mins",A1:CV300,20,FALSE)=0,0,HLOOKUP("Gs",A1:CV300,20,FALSE)/HLOOKUP("Mins",A1:CV300,20,FALSE)* 90)</f>
        <v>0</v>
      </c>
      <c r="AX20" s="6836">
        <f>IF(HLOOKUP("Mins",A1:CV300,20,FALSE)=0,0,HLOOKUP("Bonus",A1:CV300,20,FALSE)/HLOOKUP("Mins",A1:CV300,20,FALSE)* 90)</f>
        <v>0.23978685612788633</v>
      </c>
      <c r="AY20" s="6837">
        <f>IF(HLOOKUP("Mins",A1:CV300,20,FALSE)=0,0,HLOOKUP("BPS",A1:CV300,20,FALSE)/HLOOKUP("Mins",A1:CV300,20,FALSE)* 90)</f>
        <v>17.584369449378332</v>
      </c>
      <c r="AZ20" s="6838">
        <f>IF(HLOOKUP("Mins",A1:CV300,20,FALSE)=0,0,HLOOKUP("Base BPS",A1:CV300,20,FALSE)/HLOOKUP("Mins",A1:CV300,20,FALSE)* 90)</f>
        <v>11.1101243339254</v>
      </c>
      <c r="BA20" s="6839">
        <f>IF(HLOOKUP("Mins",A1:CV300,20,FALSE)=0,0,HLOOKUP("PenTchs",A1:CV300,20,FALSE)/HLOOKUP("Mins",A1:CV300,20,FALSE)* 90)</f>
        <v>0.55950266429840145</v>
      </c>
      <c r="BB20" s="6840">
        <f>IF(HLOOKUP("Mins",A1:CV300,20,FALSE)=0,0,HLOOKUP("Shots",A1:CV300,20,FALSE)/HLOOKUP("Mins",A1:CV300,20,FALSE)* 90)</f>
        <v>0.23978685612788633</v>
      </c>
      <c r="BC20" s="6841">
        <f>IF(HLOOKUP("Mins",A1:CV300,20,FALSE)=0,0,HLOOKUP("SIB",A1:CV300,20,FALSE)/HLOOKUP("Mins",A1:CV300,20,FALSE)* 90)</f>
        <v>0.15985790408525755</v>
      </c>
      <c r="BD20" s="6842">
        <f>IF(HLOOKUP("Mins",A1:CV300,20,FALSE)=0,0,HLOOKUP("S6YD",A1:CV300,20,FALSE)/HLOOKUP("Mins",A1:CV300,20,FALSE)* 90)</f>
        <v>0</v>
      </c>
      <c r="BE20" s="6843">
        <f>IF(HLOOKUP("Mins",A1:CV300,20,FALSE)=0,0,HLOOKUP("Headers",A1:CV300,20,FALSE)/HLOOKUP("Mins",A1:CV300,20,FALSE)* 90)</f>
        <v>7.9928952042628773E-2</v>
      </c>
      <c r="BF20" s="6844">
        <f>IF(HLOOKUP("Mins",A1:CV300,20,FALSE)=0,0,HLOOKUP("SOT",A1:CV300,20,FALSE)/HLOOKUP("Mins",A1:CV300,20,FALSE)* 90)</f>
        <v>7.9928952042628773E-2</v>
      </c>
      <c r="BG20" s="6845">
        <f>IF(HLOOKUP("Mins",A1:CV300,20,FALSE)=0,0,HLOOKUP("As",A1:CV300,20,FALSE)/HLOOKUP("Mins",A1:CV300,20,FALSE)* 90)</f>
        <v>7.9928952042628773E-2</v>
      </c>
      <c r="BH20" s="6846">
        <f>IF(HLOOKUP("Mins",A1:CV300,20,FALSE)=0,0,HLOOKUP("FPL As",A1:CV300,20,FALSE)/HLOOKUP("Mins",A1:CV300,20,FALSE)* 90)</f>
        <v>7.9928952042628773E-2</v>
      </c>
      <c r="BI20" s="6847">
        <f>IF(HLOOKUP("Mins",A1:CV300,20,FALSE)=0,0,HLOOKUP("BC Created",A1:CV300,20,FALSE)/HLOOKUP("Mins",A1:CV300,20,FALSE)* 90)</f>
        <v>0</v>
      </c>
      <c r="BJ20" s="6848">
        <f>IF(HLOOKUP("Mins",A1:CV300,20,FALSE)=0,0,HLOOKUP("KP",A1:CV300,20,FALSE)/HLOOKUP("Mins",A1:CV300,20,FALSE)* 90)</f>
        <v>0.15985790408525755</v>
      </c>
      <c r="BK20" s="6849">
        <f>IF(HLOOKUP("Mins",A1:CV300,20,FALSE)=0,0,HLOOKUP("BC",A1:CV300,20,FALSE)/HLOOKUP("Mins",A1:CV300,20,FALSE)* 90)</f>
        <v>7.9928952042628773E-2</v>
      </c>
      <c r="BL20" s="6850">
        <f>IF(HLOOKUP("Mins",A1:CV300,20,FALSE)=0,0,HLOOKUP("BC Miss",A1:CV300,20,FALSE)/HLOOKUP("Mins",A1:CV300,20,FALSE)* 90)</f>
        <v>7.9928952042628773E-2</v>
      </c>
      <c r="BM20" s="6851">
        <f>IF(HLOOKUP("Mins",A1:CV300,20,FALSE)=0,0,HLOOKUP("Gs - BC",A1:CV300,20,FALSE)/HLOOKUP("Mins",A1:CV300,20,FALSE)* 90)</f>
        <v>0</v>
      </c>
      <c r="BN20" s="6852">
        <f>IF(HLOOKUP("Mins",A1:CV300,20,FALSE)=0,0,HLOOKUP("GIB",A1:CV300,20,FALSE)/HLOOKUP("Mins",A1:CV300,20,FALSE)* 90)</f>
        <v>0</v>
      </c>
      <c r="BO20" s="6853">
        <f>IF(HLOOKUP("Mins",A1:CV300,20,FALSE)=0,0,HLOOKUP("Gs - Open",A1:CV300,20,FALSE)/HLOOKUP("Mins",A1:CV300,20,FALSE)* 90)</f>
        <v>0</v>
      </c>
      <c r="BP20" s="6854">
        <f>IF(HLOOKUP("Mins",A1:CV300,20,FALSE)=0,0,HLOOKUP("ICT Index",A1:CV300,20,FALSE)/HLOOKUP("Mins",A1:CV300,20,FALSE)* 90)</f>
        <v>2.6136767317939613</v>
      </c>
      <c r="BQ20" s="6855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  <v>1.6465364120781527E-2</v>
      </c>
      <c r="BR20" s="6856">
        <f>0.0825*HLOOKUP("KP/90",A1:CV300,20,FALSE)</f>
        <v>1.3188277087033748E-2</v>
      </c>
      <c r="BS20" s="6857">
        <f>6*HLOOKUP("xG/90",A1:CV300,20,FALSE)+3*HLOOKUP("xA/90",A1:CV300,20,FALSE)</f>
        <v>0.13835701598579042</v>
      </c>
      <c r="BT20" s="6858">
        <f>HLOOKUP("xPts/90",A1:CV300,20,FALSE)-(6*0.75*(HLOOKUP("PK Gs",A1:CV300,20,FALSE)+HLOOKUP("PK Miss",A1:CV300,20,FALSE))*90/HLOOKUP("Mins",A1:CV300,20,FALSE))</f>
        <v>0.13835701598579042</v>
      </c>
      <c r="BU20" s="6859">
        <f>IF(HLOOKUP("Mins",A1:CV300,20,FALSE)=0,0,HLOOKUP("fsXG",A1:CV300,20,FALSE)/HLOOKUP("Mins",A1:CV300,20,FALSE)* 90)</f>
        <v>1.7584369449378332E-2</v>
      </c>
      <c r="BV20" s="6860">
        <f>IF(HLOOKUP("Mins",A1:CV300,20,FALSE)=0,0,HLOOKUP("fsXA",A1:CV300,20,FALSE)/HLOOKUP("Mins",A1:CV300,20,FALSE)* 90)</f>
        <v>6.3943161634103015E-3</v>
      </c>
      <c r="BW20" s="6861">
        <f>6*HLOOKUP("fsXG/90",A1:CV300,20,FALSE)+3*HLOOKUP("fsXA/90",A1:CV300,20,FALSE)</f>
        <v>0.1246891651865009</v>
      </c>
      <c r="BX20" s="6862">
        <v>3.3514972776174545E-2</v>
      </c>
      <c r="BY20" s="6863">
        <v>5.8994847349822521E-3</v>
      </c>
      <c r="BZ20" s="6864">
        <f>6*HLOOKUP("uXG/90",A1:CV300,20,FALSE)+3*HLOOKUP("uXA/90",A1:CV300,20,FALSE)</f>
        <v>0.21878829086199403</v>
      </c>
    </row>
    <row r="21" spans="1:78" hidden="1" x14ac:dyDescent="0.3">
      <c r="A21" s="6865" t="s">
        <v>184</v>
      </c>
      <c r="B21" s="6866" t="s">
        <v>93</v>
      </c>
      <c r="C21" s="6867">
        <v>4.3000001907348633</v>
      </c>
      <c r="D21" s="6868">
        <v>930</v>
      </c>
      <c r="E21" s="6869">
        <v>11</v>
      </c>
      <c r="F21" s="6870">
        <v>32</v>
      </c>
      <c r="G21" s="6871">
        <v>0</v>
      </c>
      <c r="H21" s="6872">
        <v>3</v>
      </c>
      <c r="I21" s="6873">
        <v>173</v>
      </c>
      <c r="J21" s="6874">
        <f>HLOOKUP("BPS",A1:CV300,21,FALSE)-((-6*HLOOKUP("OG",A1:CV300,21,FALSE))+(-6*HLOOKUP("PK Miss",A1:CV300,21,FALSE))+(9*HLOOKUP("FPL As",A1:CV300,21,FALSE))+(12*HLOOKUP("CS",A1:CV300,21,FALSE))+(12*HLOOKUP("Gs",A1:CV300,21,FALSE)))</f>
        <v>128</v>
      </c>
      <c r="K21" s="6875">
        <v>0</v>
      </c>
      <c r="L21" s="6876">
        <v>3</v>
      </c>
      <c r="M21" s="6877">
        <v>14</v>
      </c>
      <c r="N21" s="6878">
        <v>3</v>
      </c>
      <c r="O21" s="6879">
        <v>2</v>
      </c>
      <c r="P21" s="6880">
        <f>IF(HLOOKUP("Shots",A1:CV300,21,FALSE)=0,0,HLOOKUP("SIB",A1:CV300,21,FALSE)/HLOOKUP("Shots",A1:CV300,21,FALSE))</f>
        <v>0.66666666666666663</v>
      </c>
      <c r="Q21" s="6881">
        <v>1</v>
      </c>
      <c r="R21" s="6882">
        <f>IF(HLOOKUP("Shots",A1:CV300,21,FALSE)=0,0,HLOOKUP("S6YD",A1:CV300,21,FALSE)/HLOOKUP("Shots",A1:CV300,21,FALSE))</f>
        <v>0.33333333333333331</v>
      </c>
      <c r="S21" s="6883">
        <v>0</v>
      </c>
      <c r="T21" s="6884">
        <f>IF(HLOOKUP("Shots",A1:CV300,21,FALSE)=0,0,HLOOKUP("Headers",A1:CV300,21,FALSE)/HLOOKUP("Shots",A1:CV300,21,FALSE))</f>
        <v>0</v>
      </c>
      <c r="U21" s="6885">
        <v>1</v>
      </c>
      <c r="V21" s="6886">
        <f>IF(HLOOKUP("Shots",A1:CV300,21,FALSE)=0,0,HLOOKUP("SOT",A1:CV300,21,FALSE)/HLOOKUP("Shots",A1:CV300,21,FALSE))</f>
        <v>0.33333333333333331</v>
      </c>
      <c r="W21" s="6887">
        <f>IF(HLOOKUP("Shots",A1:CV300,21,FALSE)=0,0,HLOOKUP("Gs",A1:CV300,21,FALSE)/HLOOKUP("Shots",A1:CV300,21,FALSE))</f>
        <v>0</v>
      </c>
      <c r="X21" s="6888">
        <v>1</v>
      </c>
      <c r="Y21" s="6889">
        <v>1</v>
      </c>
      <c r="Z21" s="6890">
        <v>5</v>
      </c>
      <c r="AA21" s="6891">
        <f>IF(HLOOKUP("KP",A1:CV300,21,FALSE)=0,0,HLOOKUP("As",A1:CV300,21,FALSE)/HLOOKUP("KP",A1:CV300,21,FALSE))</f>
        <v>0.2</v>
      </c>
      <c r="AB21" s="6892">
        <v>30.4</v>
      </c>
      <c r="AC21" s="6893">
        <v>12</v>
      </c>
      <c r="AD21" s="6894">
        <v>1</v>
      </c>
      <c r="AE21" s="6895">
        <v>1</v>
      </c>
      <c r="AF21" s="6896">
        <v>1</v>
      </c>
      <c r="AG21" s="6897">
        <f>IF(HLOOKUP("BC",A1:CV300,21,FALSE)=0,0,HLOOKUP("Gs - BC",A1:CV300,21,FALSE)/HLOOKUP("BC",A1:CV300,21,FALSE))</f>
        <v>0</v>
      </c>
      <c r="AH21" s="6898">
        <f>HLOOKUP("BC",A1:CV300,21,FALSE) - HLOOKUP("BC Miss",A1:CV300,21,FALSE)</f>
        <v>0</v>
      </c>
      <c r="AI21" s="6899">
        <f>IF(HLOOKUP("Gs",A1:CV300,21,FALSE)=0,0,HLOOKUP("Gs - BC",A1:CV300,21,FALSE)/HLOOKUP("Gs",A1:CV300,21,FALSE))</f>
        <v>0</v>
      </c>
      <c r="AJ21" s="6900">
        <v>0</v>
      </c>
      <c r="AK21" s="6901">
        <v>0</v>
      </c>
      <c r="AL21" s="6902">
        <f>HLOOKUP("BC",A1:CV300,21,FALSE) - (HLOOKUP("PK Gs",A1:CV300,21,FALSE) + HLOOKUP("PK Miss",A1:CV300,21,FALSE))</f>
        <v>1</v>
      </c>
      <c r="AM21" s="6903">
        <f>HLOOKUP("BC Miss",A1:CV300,21,FALSE) - HLOOKUP("PK Miss",A1:CV300,21,FALSE)</f>
        <v>1</v>
      </c>
      <c r="AN21" s="6904">
        <f>IF(HLOOKUP("BC - Open",A1:CV300,21,FALSE)=0,0,HLOOKUP("BC - Open Miss",A1:CV300,21,FALSE)/HLOOKUP("BC - Open",A1:CV300,21,FALSE))</f>
        <v>1</v>
      </c>
      <c r="AO21" s="6905">
        <v>0</v>
      </c>
      <c r="AP21" s="6906">
        <f>IF(HLOOKUP("Gs",A1:CV300,21,FALSE)=0,0,HLOOKUP("GIB",A1:CV300,21,FALSE)/HLOOKUP("Gs",A1:CV300,21,FALSE))</f>
        <v>0</v>
      </c>
      <c r="AQ21" s="6907">
        <v>0</v>
      </c>
      <c r="AR21" s="6908">
        <f>IF(HLOOKUP("Gs",A1:CV300,21,FALSE)=0,0,HLOOKUP("Gs - Open",A1:CV300,21,FALSE)/HLOOKUP("Gs",A1:CV300,21,FALSE))</f>
        <v>0</v>
      </c>
      <c r="AS21" s="6909">
        <v>0.73</v>
      </c>
      <c r="AT21" s="6910">
        <v>0.25</v>
      </c>
      <c r="AU21" s="6911">
        <f>IF(HLOOKUP("Mins",A1:CV300,21,FALSE)=0,0,HLOOKUP("Pts",A1:CV300,21,FALSE)/HLOOKUP("Mins",A1:CV300,21,FALSE)* 90)</f>
        <v>3.096774193548387</v>
      </c>
      <c r="AV21" s="6912">
        <f>IF(HLOOKUP("Apps",A1:CV300,21,FALSE)=0,0,HLOOKUP("Pts",A1:CV300,21,FALSE)/HLOOKUP("Apps",A1:CV300,21,FALSE)* 1)</f>
        <v>2.9090909090909092</v>
      </c>
      <c r="AW21" s="6913">
        <f>IF(HLOOKUP("Mins",A1:CV300,21,FALSE)=0,0,HLOOKUP("Gs",A1:CV300,21,FALSE)/HLOOKUP("Mins",A1:CV300,21,FALSE)* 90)</f>
        <v>0</v>
      </c>
      <c r="AX21" s="6914">
        <f>IF(HLOOKUP("Mins",A1:CV300,21,FALSE)=0,0,HLOOKUP("Bonus",A1:CV300,21,FALSE)/HLOOKUP("Mins",A1:CV300,21,FALSE)* 90)</f>
        <v>0.29032258064516131</v>
      </c>
      <c r="AY21" s="6915">
        <f>IF(HLOOKUP("Mins",A1:CV300,21,FALSE)=0,0,HLOOKUP("BPS",A1:CV300,21,FALSE)/HLOOKUP("Mins",A1:CV300,21,FALSE)* 90)</f>
        <v>16.741935483870968</v>
      </c>
      <c r="AZ21" s="6916">
        <f>IF(HLOOKUP("Mins",A1:CV300,21,FALSE)=0,0,HLOOKUP("Base BPS",A1:CV300,21,FALSE)/HLOOKUP("Mins",A1:CV300,21,FALSE)* 90)</f>
        <v>12.387096774193548</v>
      </c>
      <c r="BA21" s="6917">
        <f>IF(HLOOKUP("Mins",A1:CV300,21,FALSE)=0,0,HLOOKUP("PenTchs",A1:CV300,21,FALSE)/HLOOKUP("Mins",A1:CV300,21,FALSE)* 90)</f>
        <v>1.3548387096774195</v>
      </c>
      <c r="BB21" s="6918">
        <f>IF(HLOOKUP("Mins",A1:CV300,21,FALSE)=0,0,HLOOKUP("Shots",A1:CV300,21,FALSE)/HLOOKUP("Mins",A1:CV300,21,FALSE)* 90)</f>
        <v>0.29032258064516131</v>
      </c>
      <c r="BC21" s="6919">
        <f>IF(HLOOKUP("Mins",A1:CV300,21,FALSE)=0,0,HLOOKUP("SIB",A1:CV300,21,FALSE)/HLOOKUP("Mins",A1:CV300,21,FALSE)* 90)</f>
        <v>0.19354838709677419</v>
      </c>
      <c r="BD21" s="6920">
        <f>IF(HLOOKUP("Mins",A1:CV300,21,FALSE)=0,0,HLOOKUP("S6YD",A1:CV300,21,FALSE)/HLOOKUP("Mins",A1:CV300,21,FALSE)* 90)</f>
        <v>9.6774193548387094E-2</v>
      </c>
      <c r="BE21" s="6921">
        <f>IF(HLOOKUP("Mins",A1:CV300,21,FALSE)=0,0,HLOOKUP("Headers",A1:CV300,21,FALSE)/HLOOKUP("Mins",A1:CV300,21,FALSE)* 90)</f>
        <v>0</v>
      </c>
      <c r="BF21" s="6922">
        <f>IF(HLOOKUP("Mins",A1:CV300,21,FALSE)=0,0,HLOOKUP("SOT",A1:CV300,21,FALSE)/HLOOKUP("Mins",A1:CV300,21,FALSE)* 90)</f>
        <v>9.6774193548387094E-2</v>
      </c>
      <c r="BG21" s="6923">
        <f>IF(HLOOKUP("Mins",A1:CV300,21,FALSE)=0,0,HLOOKUP("As",A1:CV300,21,FALSE)/HLOOKUP("Mins",A1:CV300,21,FALSE)* 90)</f>
        <v>9.6774193548387094E-2</v>
      </c>
      <c r="BH21" s="6924">
        <f>IF(HLOOKUP("Mins",A1:CV300,21,FALSE)=0,0,HLOOKUP("FPL As",A1:CV300,21,FALSE)/HLOOKUP("Mins",A1:CV300,21,FALSE)* 90)</f>
        <v>9.6774193548387094E-2</v>
      </c>
      <c r="BI21" s="6925">
        <f>IF(HLOOKUP("Mins",A1:CV300,21,FALSE)=0,0,HLOOKUP("BC Created",A1:CV300,21,FALSE)/HLOOKUP("Mins",A1:CV300,21,FALSE)* 90)</f>
        <v>9.6774193548387094E-2</v>
      </c>
      <c r="BJ21" s="6926">
        <f>IF(HLOOKUP("Mins",A1:CV300,21,FALSE)=0,0,HLOOKUP("KP",A1:CV300,21,FALSE)/HLOOKUP("Mins",A1:CV300,21,FALSE)* 90)</f>
        <v>0.4838709677419355</v>
      </c>
      <c r="BK21" s="6927">
        <f>IF(HLOOKUP("Mins",A1:CV300,21,FALSE)=0,0,HLOOKUP("BC",A1:CV300,21,FALSE)/HLOOKUP("Mins",A1:CV300,21,FALSE)* 90)</f>
        <v>9.6774193548387094E-2</v>
      </c>
      <c r="BL21" s="6928">
        <f>IF(HLOOKUP("Mins",A1:CV300,21,FALSE)=0,0,HLOOKUP("BC Miss",A1:CV300,21,FALSE)/HLOOKUP("Mins",A1:CV300,21,FALSE)* 90)</f>
        <v>9.6774193548387094E-2</v>
      </c>
      <c r="BM21" s="6929">
        <f>IF(HLOOKUP("Mins",A1:CV300,21,FALSE)=0,0,HLOOKUP("Gs - BC",A1:CV300,21,FALSE)/HLOOKUP("Mins",A1:CV300,21,FALSE)* 90)</f>
        <v>0</v>
      </c>
      <c r="BN21" s="6930">
        <f>IF(HLOOKUP("Mins",A1:CV300,21,FALSE)=0,0,HLOOKUP("GIB",A1:CV300,21,FALSE)/HLOOKUP("Mins",A1:CV300,21,FALSE)* 90)</f>
        <v>0</v>
      </c>
      <c r="BO21" s="6931">
        <f>IF(HLOOKUP("Mins",A1:CV300,21,FALSE)=0,0,HLOOKUP("Gs - Open",A1:CV300,21,FALSE)/HLOOKUP("Mins",A1:CV300,21,FALSE)* 90)</f>
        <v>0</v>
      </c>
      <c r="BP21" s="6932">
        <f>IF(HLOOKUP("Mins",A1:CV300,21,FALSE)=0,0,HLOOKUP("ICT Index",A1:CV300,21,FALSE)/HLOOKUP("Mins",A1:CV300,21,FALSE)* 90)</f>
        <v>2.9419354838709673</v>
      </c>
      <c r="BQ21" s="6933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  <v>1.9935483870967739E-2</v>
      </c>
      <c r="BR21" s="6934">
        <f>0.0825*HLOOKUP("KP/90",A1:CV300,21,FALSE)</f>
        <v>3.9919354838709682E-2</v>
      </c>
      <c r="BS21" s="6935">
        <f>6*HLOOKUP("xG/90",A1:CV300,21,FALSE)+3*HLOOKUP("xA/90",A1:CV300,21,FALSE)</f>
        <v>0.2393709677419355</v>
      </c>
      <c r="BT21" s="6936">
        <f>HLOOKUP("xPts/90",A1:CV300,21,FALSE)-(6*0.75*(HLOOKUP("PK Gs",A1:CV300,21,FALSE)+HLOOKUP("PK Miss",A1:CV300,21,FALSE))*90/HLOOKUP("Mins",A1:CV300,21,FALSE))</f>
        <v>0.2393709677419355</v>
      </c>
      <c r="BU21" s="6937">
        <f>IF(HLOOKUP("Mins",A1:CV300,21,FALSE)=0,0,HLOOKUP("fsXG",A1:CV300,21,FALSE)/HLOOKUP("Mins",A1:CV300,21,FALSE)* 90)</f>
        <v>7.0645161290322583E-2</v>
      </c>
      <c r="BV21" s="6938">
        <f>IF(HLOOKUP("Mins",A1:CV300,21,FALSE)=0,0,HLOOKUP("fsXA",A1:CV300,21,FALSE)/HLOOKUP("Mins",A1:CV300,21,FALSE)* 90)</f>
        <v>2.4193548387096774E-2</v>
      </c>
      <c r="BW21" s="6939">
        <f>6*HLOOKUP("fsXG/90",A1:CV300,21,FALSE)+3*HLOOKUP("fsXA/90",A1:CV300,21,FALSE)</f>
        <v>0.49645161290322581</v>
      </c>
      <c r="BX21" s="6940">
        <v>6.3339322805404663E-2</v>
      </c>
      <c r="BY21" s="6941">
        <v>7.7431179583072662E-2</v>
      </c>
      <c r="BZ21" s="6942">
        <f>6*HLOOKUP("uXG/90",A1:CV300,21,FALSE)+3*HLOOKUP("uXA/90",A1:CV300,21,FALSE)</f>
        <v>0.61232947558164597</v>
      </c>
    </row>
    <row r="22" spans="1:78" hidden="1" x14ac:dyDescent="0.3">
      <c r="A22" s="6943" t="s">
        <v>185</v>
      </c>
      <c r="B22" s="6944" t="s">
        <v>96</v>
      </c>
      <c r="C22" s="6945">
        <v>4.3000001907348633</v>
      </c>
      <c r="D22" s="6946">
        <v>810</v>
      </c>
      <c r="E22" s="6947">
        <v>9</v>
      </c>
      <c r="F22" s="6948">
        <v>27</v>
      </c>
      <c r="G22" s="6949">
        <v>0</v>
      </c>
      <c r="H22" s="6950">
        <v>0</v>
      </c>
      <c r="I22" s="6951">
        <v>140</v>
      </c>
      <c r="J22" s="6952">
        <f>HLOOKUP("BPS",A1:CV300,22,FALSE)-((-6*HLOOKUP("OG",A1:CV300,22,FALSE))+(-6*HLOOKUP("PK Miss",A1:CV300,22,FALSE))+(9*HLOOKUP("FPL As",A1:CV300,22,FALSE))+(12*HLOOKUP("CS",A1:CV300,22,FALSE))+(12*HLOOKUP("Gs",A1:CV300,22,FALSE)))</f>
        <v>92</v>
      </c>
      <c r="K22" s="6953">
        <v>0</v>
      </c>
      <c r="L22" s="6954">
        <v>4</v>
      </c>
      <c r="M22" s="6955">
        <v>4</v>
      </c>
      <c r="N22" s="6956">
        <v>5</v>
      </c>
      <c r="O22" s="6957">
        <v>1</v>
      </c>
      <c r="P22" s="6958">
        <f>IF(HLOOKUP("Shots",A1:CV300,22,FALSE)=0,0,HLOOKUP("SIB",A1:CV300,22,FALSE)/HLOOKUP("Shots",A1:CV300,22,FALSE))</f>
        <v>0.2</v>
      </c>
      <c r="Q22" s="6959">
        <v>0</v>
      </c>
      <c r="R22" s="6960">
        <f>IF(HLOOKUP("Shots",A1:CV300,22,FALSE)=0,0,HLOOKUP("S6YD",A1:CV300,22,FALSE)/HLOOKUP("Shots",A1:CV300,22,FALSE))</f>
        <v>0</v>
      </c>
      <c r="S22" s="6961">
        <v>0</v>
      </c>
      <c r="T22" s="6962">
        <f>IF(HLOOKUP("Shots",A1:CV300,22,FALSE)=0,0,HLOOKUP("Headers",A1:CV300,22,FALSE)/HLOOKUP("Shots",A1:CV300,22,FALSE))</f>
        <v>0</v>
      </c>
      <c r="U22" s="6963">
        <v>2</v>
      </c>
      <c r="V22" s="6964">
        <f>IF(HLOOKUP("Shots",A1:CV300,22,FALSE)=0,0,HLOOKUP("SOT",A1:CV300,22,FALSE)/HLOOKUP("Shots",A1:CV300,22,FALSE))</f>
        <v>0.4</v>
      </c>
      <c r="W22" s="6965">
        <f>IF(HLOOKUP("Shots",A1:CV300,22,FALSE)=0,0,HLOOKUP("Gs",A1:CV300,22,FALSE)/HLOOKUP("Shots",A1:CV300,22,FALSE))</f>
        <v>0</v>
      </c>
      <c r="X22" s="6966">
        <v>0</v>
      </c>
      <c r="Y22" s="6967">
        <v>0</v>
      </c>
      <c r="Z22" s="6968">
        <v>3</v>
      </c>
      <c r="AA22" s="6969">
        <f>IF(HLOOKUP("KP",A1:CV300,22,FALSE)=0,0,HLOOKUP("As",A1:CV300,22,FALSE)/HLOOKUP("KP",A1:CV300,22,FALSE))</f>
        <v>0</v>
      </c>
      <c r="AB22" s="6970">
        <v>24.5</v>
      </c>
      <c r="AC22" s="6971">
        <v>0</v>
      </c>
      <c r="AD22" s="6972">
        <v>1</v>
      </c>
      <c r="AE22" s="6973">
        <v>0</v>
      </c>
      <c r="AF22" s="6974">
        <v>0</v>
      </c>
      <c r="AG22" s="6975">
        <f>IF(HLOOKUP("BC",A1:CV300,22,FALSE)=0,0,HLOOKUP("Gs - BC",A1:CV300,22,FALSE)/HLOOKUP("BC",A1:CV300,22,FALSE))</f>
        <v>0</v>
      </c>
      <c r="AH22" s="6976">
        <f>HLOOKUP("BC",A1:CV300,22,FALSE) - HLOOKUP("BC Miss",A1:CV300,22,FALSE)</f>
        <v>0</v>
      </c>
      <c r="AI22" s="6977">
        <f>IF(HLOOKUP("Gs",A1:CV300,22,FALSE)=0,0,HLOOKUP("Gs - BC",A1:CV300,22,FALSE)/HLOOKUP("Gs",A1:CV300,22,FALSE))</f>
        <v>0</v>
      </c>
      <c r="AJ22" s="6978">
        <v>0</v>
      </c>
      <c r="AK22" s="6979">
        <v>0</v>
      </c>
      <c r="AL22" s="6980">
        <f>HLOOKUP("BC",A1:CV300,22,FALSE) - (HLOOKUP("PK Gs",A1:CV300,22,FALSE) + HLOOKUP("PK Miss",A1:CV300,22,FALSE))</f>
        <v>0</v>
      </c>
      <c r="AM22" s="6981">
        <f>HLOOKUP("BC Miss",A1:CV300,22,FALSE) - HLOOKUP("PK Miss",A1:CV300,22,FALSE)</f>
        <v>0</v>
      </c>
      <c r="AN22" s="6982">
        <f>IF(HLOOKUP("BC - Open",A1:CV300,22,FALSE)=0,0,HLOOKUP("BC - Open Miss",A1:CV300,22,FALSE)/HLOOKUP("BC - Open",A1:CV300,22,FALSE))</f>
        <v>0</v>
      </c>
      <c r="AO22" s="6983">
        <v>0</v>
      </c>
      <c r="AP22" s="6984">
        <f>IF(HLOOKUP("Gs",A1:CV300,22,FALSE)=0,0,HLOOKUP("GIB",A1:CV300,22,FALSE)/HLOOKUP("Gs",A1:CV300,22,FALSE))</f>
        <v>0</v>
      </c>
      <c r="AQ22" s="6985">
        <v>0</v>
      </c>
      <c r="AR22" s="6986">
        <f>IF(HLOOKUP("Gs",A1:CV300,22,FALSE)=0,0,HLOOKUP("Gs - Open",A1:CV300,22,FALSE)/HLOOKUP("Gs",A1:CV300,22,FALSE))</f>
        <v>0</v>
      </c>
      <c r="AS22" s="6987">
        <v>0.12</v>
      </c>
      <c r="AT22" s="6988">
        <v>0.49</v>
      </c>
      <c r="AU22" s="6989">
        <f>IF(HLOOKUP("Mins",A1:CV300,22,FALSE)=0,0,HLOOKUP("Pts",A1:CV300,22,FALSE)/HLOOKUP("Mins",A1:CV300,22,FALSE)* 90)</f>
        <v>3</v>
      </c>
      <c r="AV22" s="6990">
        <f>IF(HLOOKUP("Apps",A1:CV300,22,FALSE)=0,0,HLOOKUP("Pts",A1:CV300,22,FALSE)/HLOOKUP("Apps",A1:CV300,22,FALSE)* 1)</f>
        <v>3</v>
      </c>
      <c r="AW22" s="6991">
        <f>IF(HLOOKUP("Mins",A1:CV300,22,FALSE)=0,0,HLOOKUP("Gs",A1:CV300,22,FALSE)/HLOOKUP("Mins",A1:CV300,22,FALSE)* 90)</f>
        <v>0</v>
      </c>
      <c r="AX22" s="6992">
        <f>IF(HLOOKUP("Mins",A1:CV300,22,FALSE)=0,0,HLOOKUP("Bonus",A1:CV300,22,FALSE)/HLOOKUP("Mins",A1:CV300,22,FALSE)* 90)</f>
        <v>0</v>
      </c>
      <c r="AY22" s="6993">
        <f>IF(HLOOKUP("Mins",A1:CV300,22,FALSE)=0,0,HLOOKUP("BPS",A1:CV300,22,FALSE)/HLOOKUP("Mins",A1:CV300,22,FALSE)* 90)</f>
        <v>15.555555555555555</v>
      </c>
      <c r="AZ22" s="6994">
        <f>IF(HLOOKUP("Mins",A1:CV300,22,FALSE)=0,0,HLOOKUP("Base BPS",A1:CV300,22,FALSE)/HLOOKUP("Mins",A1:CV300,22,FALSE)* 90)</f>
        <v>10.222222222222223</v>
      </c>
      <c r="BA22" s="6995">
        <f>IF(HLOOKUP("Mins",A1:CV300,22,FALSE)=0,0,HLOOKUP("PenTchs",A1:CV300,22,FALSE)/HLOOKUP("Mins",A1:CV300,22,FALSE)* 90)</f>
        <v>0.44444444444444442</v>
      </c>
      <c r="BB22" s="6996">
        <f>IF(HLOOKUP("Mins",A1:CV300,22,FALSE)=0,0,HLOOKUP("Shots",A1:CV300,22,FALSE)/HLOOKUP("Mins",A1:CV300,22,FALSE)* 90)</f>
        <v>0.55555555555555558</v>
      </c>
      <c r="BC22" s="6997">
        <f>IF(HLOOKUP("Mins",A1:CV300,22,FALSE)=0,0,HLOOKUP("SIB",A1:CV300,22,FALSE)/HLOOKUP("Mins",A1:CV300,22,FALSE)* 90)</f>
        <v>0.1111111111111111</v>
      </c>
      <c r="BD22" s="6998">
        <f>IF(HLOOKUP("Mins",A1:CV300,22,FALSE)=0,0,HLOOKUP("S6YD",A1:CV300,22,FALSE)/HLOOKUP("Mins",A1:CV300,22,FALSE)* 90)</f>
        <v>0</v>
      </c>
      <c r="BE22" s="6999">
        <f>IF(HLOOKUP("Mins",A1:CV300,22,FALSE)=0,0,HLOOKUP("Headers",A1:CV300,22,FALSE)/HLOOKUP("Mins",A1:CV300,22,FALSE)* 90)</f>
        <v>0</v>
      </c>
      <c r="BF22" s="7000">
        <f>IF(HLOOKUP("Mins",A1:CV300,22,FALSE)=0,0,HLOOKUP("SOT",A1:CV300,22,FALSE)/HLOOKUP("Mins",A1:CV300,22,FALSE)* 90)</f>
        <v>0.22222222222222221</v>
      </c>
      <c r="BG22" s="7001">
        <f>IF(HLOOKUP("Mins",A1:CV300,22,FALSE)=0,0,HLOOKUP("As",A1:CV300,22,FALSE)/HLOOKUP("Mins",A1:CV300,22,FALSE)* 90)</f>
        <v>0</v>
      </c>
      <c r="BH22" s="7002">
        <f>IF(HLOOKUP("Mins",A1:CV300,22,FALSE)=0,0,HLOOKUP("FPL As",A1:CV300,22,FALSE)/HLOOKUP("Mins",A1:CV300,22,FALSE)* 90)</f>
        <v>0</v>
      </c>
      <c r="BI22" s="7003">
        <f>IF(HLOOKUP("Mins",A1:CV300,22,FALSE)=0,0,HLOOKUP("BC Created",A1:CV300,22,FALSE)/HLOOKUP("Mins",A1:CV300,22,FALSE)* 90)</f>
        <v>0.1111111111111111</v>
      </c>
      <c r="BJ22" s="7004">
        <f>IF(HLOOKUP("Mins",A1:CV300,22,FALSE)=0,0,HLOOKUP("KP",A1:CV300,22,FALSE)/HLOOKUP("Mins",A1:CV300,22,FALSE)* 90)</f>
        <v>0.33333333333333337</v>
      </c>
      <c r="BK22" s="7005">
        <f>IF(HLOOKUP("Mins",A1:CV300,22,FALSE)=0,0,HLOOKUP("BC",A1:CV300,22,FALSE)/HLOOKUP("Mins",A1:CV300,22,FALSE)* 90)</f>
        <v>0</v>
      </c>
      <c r="BL22" s="7006">
        <f>IF(HLOOKUP("Mins",A1:CV300,22,FALSE)=0,0,HLOOKUP("BC Miss",A1:CV300,22,FALSE)/HLOOKUP("Mins",A1:CV300,22,FALSE)* 90)</f>
        <v>0</v>
      </c>
      <c r="BM22" s="7007">
        <f>IF(HLOOKUP("Mins",A1:CV300,22,FALSE)=0,0,HLOOKUP("Gs - BC",A1:CV300,22,FALSE)/HLOOKUP("Mins",A1:CV300,22,FALSE)* 90)</f>
        <v>0</v>
      </c>
      <c r="BN22" s="7008">
        <f>IF(HLOOKUP("Mins",A1:CV300,22,FALSE)=0,0,HLOOKUP("GIB",A1:CV300,22,FALSE)/HLOOKUP("Mins",A1:CV300,22,FALSE)* 90)</f>
        <v>0</v>
      </c>
      <c r="BO22" s="7009">
        <f>IF(HLOOKUP("Mins",A1:CV300,22,FALSE)=0,0,HLOOKUP("Gs - Open",A1:CV300,22,FALSE)/HLOOKUP("Mins",A1:CV300,22,FALSE)* 90)</f>
        <v>0</v>
      </c>
      <c r="BP22" s="7010">
        <f>IF(HLOOKUP("Mins",A1:CV300,22,FALSE)=0,0,HLOOKUP("ICT Index",A1:CV300,22,FALSE)/HLOOKUP("Mins",A1:CV300,22,FALSE)* 90)</f>
        <v>2.7222222222222223</v>
      </c>
      <c r="BQ22" s="7011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  <v>1.922222222222222E-2</v>
      </c>
      <c r="BR22" s="7012">
        <f>0.0825*HLOOKUP("KP/90",A1:CV300,22,FALSE)</f>
        <v>2.7500000000000004E-2</v>
      </c>
      <c r="BS22" s="7013">
        <f>6*HLOOKUP("xG/90",A1:CV300,22,FALSE)+3*HLOOKUP("xA/90",A1:CV300,22,FALSE)</f>
        <v>0.19783333333333333</v>
      </c>
      <c r="BT22" s="7014">
        <f>HLOOKUP("xPts/90",A1:CV300,22,FALSE)-(6*0.75*(HLOOKUP("PK Gs",A1:CV300,22,FALSE)+HLOOKUP("PK Miss",A1:CV300,22,FALSE))*90/HLOOKUP("Mins",A1:CV300,22,FALSE))</f>
        <v>0.19783333333333333</v>
      </c>
      <c r="BU22" s="7015">
        <f>IF(HLOOKUP("Mins",A1:CV300,22,FALSE)=0,0,HLOOKUP("fsXG",A1:CV300,22,FALSE)/HLOOKUP("Mins",A1:CV300,22,FALSE)* 90)</f>
        <v>1.3333333333333332E-2</v>
      </c>
      <c r="BV22" s="7016">
        <f>IF(HLOOKUP("Mins",A1:CV300,22,FALSE)=0,0,HLOOKUP("fsXA",A1:CV300,22,FALSE)/HLOOKUP("Mins",A1:CV300,22,FALSE)* 90)</f>
        <v>5.4444444444444441E-2</v>
      </c>
      <c r="BW22" s="7017">
        <f>6*HLOOKUP("fsXG/90",A1:CV300,22,FALSE)+3*HLOOKUP("fsXA/90",A1:CV300,22,FALSE)</f>
        <v>0.24333333333333332</v>
      </c>
      <c r="BX22" s="7018">
        <v>7.8786574304103851E-3</v>
      </c>
      <c r="BY22" s="7019">
        <v>5.1328014582395554E-2</v>
      </c>
      <c r="BZ22" s="7020">
        <f>6*HLOOKUP("uXG/90",A1:CV300,22,FALSE)+3*HLOOKUP("uXA/90",A1:CV300,22,FALSE)</f>
        <v>0.20125598832964897</v>
      </c>
    </row>
    <row r="23" spans="1:78" hidden="1" x14ac:dyDescent="0.3">
      <c r="A23" s="7021" t="s">
        <v>186</v>
      </c>
      <c r="B23" s="7022" t="s">
        <v>102</v>
      </c>
      <c r="C23" s="7023">
        <v>4.4000000953674316</v>
      </c>
      <c r="D23" s="7024">
        <v>1193</v>
      </c>
      <c r="E23" s="7025">
        <v>16</v>
      </c>
      <c r="F23" s="7026">
        <v>48</v>
      </c>
      <c r="G23" s="7027">
        <v>2</v>
      </c>
      <c r="H23" s="7028">
        <v>4</v>
      </c>
      <c r="I23" s="7029">
        <v>226</v>
      </c>
      <c r="J23" s="7030">
        <f>HLOOKUP("BPS",A1:CV300,23,FALSE)-((-6*HLOOKUP("OG",A1:CV300,23,FALSE))+(-6*HLOOKUP("PK Miss",A1:CV300,23,FALSE))+(9*HLOOKUP("FPL As",A1:CV300,23,FALSE))+(12*HLOOKUP("CS",A1:CV300,23,FALSE))+(12*HLOOKUP("Gs",A1:CV300,23,FALSE)))</f>
        <v>160</v>
      </c>
      <c r="K23" s="7031">
        <v>0</v>
      </c>
      <c r="L23" s="7032">
        <v>2</v>
      </c>
      <c r="M23" s="7033">
        <v>13</v>
      </c>
      <c r="N23" s="7034">
        <v>7</v>
      </c>
      <c r="O23" s="7035">
        <v>6</v>
      </c>
      <c r="P23" s="7036">
        <f>IF(HLOOKUP("Shots",A1:CV300,23,FALSE)=0,0,HLOOKUP("SIB",A1:CV300,23,FALSE)/HLOOKUP("Shots",A1:CV300,23,FALSE))</f>
        <v>0.8571428571428571</v>
      </c>
      <c r="Q23" s="7037">
        <v>3</v>
      </c>
      <c r="R23" s="7038">
        <f>IF(HLOOKUP("Shots",A1:CV300,23,FALSE)=0,0,HLOOKUP("S6YD",A1:CV300,23,FALSE)/HLOOKUP("Shots",A1:CV300,23,FALSE))</f>
        <v>0.42857142857142855</v>
      </c>
      <c r="S23" s="7039">
        <v>4</v>
      </c>
      <c r="T23" s="7040">
        <f>IF(HLOOKUP("Shots",A1:CV300,23,FALSE)=0,0,HLOOKUP("Headers",A1:CV300,23,FALSE)/HLOOKUP("Shots",A1:CV300,23,FALSE))</f>
        <v>0.5714285714285714</v>
      </c>
      <c r="U23" s="7041">
        <v>4</v>
      </c>
      <c r="V23" s="7042">
        <f>IF(HLOOKUP("Shots",A1:CV300,23,FALSE)=0,0,HLOOKUP("SOT",A1:CV300,23,FALSE)/HLOOKUP("Shots",A1:CV300,23,FALSE))</f>
        <v>0.5714285714285714</v>
      </c>
      <c r="W23" s="7043">
        <f>IF(HLOOKUP("Shots",A1:CV300,23,FALSE)=0,0,HLOOKUP("Gs",A1:CV300,23,FALSE)/HLOOKUP("Shots",A1:CV300,23,FALSE))</f>
        <v>0.2857142857142857</v>
      </c>
      <c r="X23" s="7044">
        <v>1</v>
      </c>
      <c r="Y23" s="7045">
        <v>2</v>
      </c>
      <c r="Z23" s="7046">
        <v>2</v>
      </c>
      <c r="AA23" s="7047">
        <f>IF(HLOOKUP("KP",A1:CV300,23,FALSE)=0,0,HLOOKUP("As",A1:CV300,23,FALSE)/HLOOKUP("KP",A1:CV300,23,FALSE))</f>
        <v>0.5</v>
      </c>
      <c r="AB23" s="7048">
        <v>59.7</v>
      </c>
      <c r="AC23" s="7049">
        <v>25</v>
      </c>
      <c r="AD23" s="7050">
        <v>0</v>
      </c>
      <c r="AE23" s="7051">
        <v>4</v>
      </c>
      <c r="AF23" s="7052">
        <v>2</v>
      </c>
      <c r="AG23" s="7053">
        <f>IF(HLOOKUP("BC",A1:CV300,23,FALSE)=0,0,HLOOKUP("Gs - BC",A1:CV300,23,FALSE)/HLOOKUP("BC",A1:CV300,23,FALSE))</f>
        <v>0.5</v>
      </c>
      <c r="AH23" s="7054">
        <f>HLOOKUP("BC",A1:CV300,23,FALSE) - HLOOKUP("BC Miss",A1:CV300,23,FALSE)</f>
        <v>2</v>
      </c>
      <c r="AI23" s="7055">
        <f>IF(HLOOKUP("Gs",A1:CV300,23,FALSE)=0,0,HLOOKUP("Gs - BC",A1:CV300,23,FALSE)/HLOOKUP("Gs",A1:CV300,23,FALSE))</f>
        <v>1</v>
      </c>
      <c r="AJ23" s="7056">
        <v>0</v>
      </c>
      <c r="AK23" s="7057">
        <v>0</v>
      </c>
      <c r="AL23" s="7058">
        <f>HLOOKUP("BC",A1:CV300,23,FALSE) - (HLOOKUP("PK Gs",A1:CV300,23,FALSE) + HLOOKUP("PK Miss",A1:CV300,23,FALSE))</f>
        <v>4</v>
      </c>
      <c r="AM23" s="7059">
        <f>HLOOKUP("BC Miss",A1:CV300,23,FALSE) - HLOOKUP("PK Miss",A1:CV300,23,FALSE)</f>
        <v>2</v>
      </c>
      <c r="AN23" s="7060">
        <f>IF(HLOOKUP("BC - Open",A1:CV300,23,FALSE)=0,0,HLOOKUP("BC - Open Miss",A1:CV300,23,FALSE)/HLOOKUP("BC - Open",A1:CV300,23,FALSE))</f>
        <v>0.5</v>
      </c>
      <c r="AO23" s="7061">
        <v>2</v>
      </c>
      <c r="AP23" s="7062">
        <f>IF(HLOOKUP("Gs",A1:CV300,23,FALSE)=0,0,HLOOKUP("GIB",A1:CV300,23,FALSE)/HLOOKUP("Gs",A1:CV300,23,FALSE))</f>
        <v>1</v>
      </c>
      <c r="AQ23" s="7063">
        <v>0</v>
      </c>
      <c r="AR23" s="7064">
        <f>IF(HLOOKUP("Gs",A1:CV300,23,FALSE)=0,0,HLOOKUP("Gs - Open",A1:CV300,23,FALSE)/HLOOKUP("Gs",A1:CV300,23,FALSE))</f>
        <v>0</v>
      </c>
      <c r="AS23" s="7065">
        <v>0.87</v>
      </c>
      <c r="AT23" s="7066">
        <v>0.39</v>
      </c>
      <c r="AU23" s="7067">
        <f>IF(HLOOKUP("Mins",A1:CV300,23,FALSE)=0,0,HLOOKUP("Pts",A1:CV300,23,FALSE)/HLOOKUP("Mins",A1:CV300,23,FALSE)* 90)</f>
        <v>3.6211232187761944</v>
      </c>
      <c r="AV23" s="7068">
        <f>IF(HLOOKUP("Apps",A1:CV300,23,FALSE)=0,0,HLOOKUP("Pts",A1:CV300,23,FALSE)/HLOOKUP("Apps",A1:CV300,23,FALSE)* 1)</f>
        <v>3</v>
      </c>
      <c r="AW23" s="7069">
        <f>IF(HLOOKUP("Mins",A1:CV300,23,FALSE)=0,0,HLOOKUP("Gs",A1:CV300,23,FALSE)/HLOOKUP("Mins",A1:CV300,23,FALSE)* 90)</f>
        <v>0.15088013411567477</v>
      </c>
      <c r="AX23" s="7070">
        <f>IF(HLOOKUP("Mins",A1:CV300,23,FALSE)=0,0,HLOOKUP("Bonus",A1:CV300,23,FALSE)/HLOOKUP("Mins",A1:CV300,23,FALSE)* 90)</f>
        <v>0.30176026823134955</v>
      </c>
      <c r="AY23" s="7071">
        <f>IF(HLOOKUP("Mins",A1:CV300,23,FALSE)=0,0,HLOOKUP("BPS",A1:CV300,23,FALSE)/HLOOKUP("Mins",A1:CV300,23,FALSE)* 90)</f>
        <v>17.04945515507125</v>
      </c>
      <c r="AZ23" s="7072">
        <f>IF(HLOOKUP("Mins",A1:CV300,23,FALSE)=0,0,HLOOKUP("Base BPS",A1:CV300,23,FALSE)/HLOOKUP("Mins",A1:CV300,23,FALSE)* 90)</f>
        <v>12.070410729253982</v>
      </c>
      <c r="BA23" s="7073">
        <f>IF(HLOOKUP("Mins",A1:CV300,23,FALSE)=0,0,HLOOKUP("PenTchs",A1:CV300,23,FALSE)/HLOOKUP("Mins",A1:CV300,23,FALSE)* 90)</f>
        <v>0.98072087175188594</v>
      </c>
      <c r="BB23" s="7074">
        <f>IF(HLOOKUP("Mins",A1:CV300,23,FALSE)=0,0,HLOOKUP("Shots",A1:CV300,23,FALSE)/HLOOKUP("Mins",A1:CV300,23,FALSE)* 90)</f>
        <v>0.52808046940486175</v>
      </c>
      <c r="BC23" s="7075">
        <f>IF(HLOOKUP("Mins",A1:CV300,23,FALSE)=0,0,HLOOKUP("SIB",A1:CV300,23,FALSE)/HLOOKUP("Mins",A1:CV300,23,FALSE)* 90)</f>
        <v>0.4526404023470243</v>
      </c>
      <c r="BD23" s="7076">
        <f>IF(HLOOKUP("Mins",A1:CV300,23,FALSE)=0,0,HLOOKUP("S6YD",A1:CV300,23,FALSE)/HLOOKUP("Mins",A1:CV300,23,FALSE)* 90)</f>
        <v>0.22632020117351215</v>
      </c>
      <c r="BE23" s="7077">
        <f>IF(HLOOKUP("Mins",A1:CV300,23,FALSE)=0,0,HLOOKUP("Headers",A1:CV300,23,FALSE)/HLOOKUP("Mins",A1:CV300,23,FALSE)* 90)</f>
        <v>0.30176026823134955</v>
      </c>
      <c r="BF23" s="7078">
        <f>IF(HLOOKUP("Mins",A1:CV300,23,FALSE)=0,0,HLOOKUP("SOT",A1:CV300,23,FALSE)/HLOOKUP("Mins",A1:CV300,23,FALSE)* 90)</f>
        <v>0.30176026823134955</v>
      </c>
      <c r="BG23" s="7079">
        <f>IF(HLOOKUP("Mins",A1:CV300,23,FALSE)=0,0,HLOOKUP("As",A1:CV300,23,FALSE)/HLOOKUP("Mins",A1:CV300,23,FALSE)* 90)</f>
        <v>7.5440067057837387E-2</v>
      </c>
      <c r="BH23" s="7080">
        <f>IF(HLOOKUP("Mins",A1:CV300,23,FALSE)=0,0,HLOOKUP("FPL As",A1:CV300,23,FALSE)/HLOOKUP("Mins",A1:CV300,23,FALSE)* 90)</f>
        <v>0.15088013411567477</v>
      </c>
      <c r="BI23" s="7081">
        <f>IF(HLOOKUP("Mins",A1:CV300,23,FALSE)=0,0,HLOOKUP("BC Created",A1:CV300,23,FALSE)/HLOOKUP("Mins",A1:CV300,23,FALSE)* 90)</f>
        <v>0</v>
      </c>
      <c r="BJ23" s="7082">
        <f>IF(HLOOKUP("Mins",A1:CV300,23,FALSE)=0,0,HLOOKUP("KP",A1:CV300,23,FALSE)/HLOOKUP("Mins",A1:CV300,23,FALSE)* 90)</f>
        <v>0.15088013411567477</v>
      </c>
      <c r="BK23" s="7083">
        <f>IF(HLOOKUP("Mins",A1:CV300,23,FALSE)=0,0,HLOOKUP("BC",A1:CV300,23,FALSE)/HLOOKUP("Mins",A1:CV300,23,FALSE)* 90)</f>
        <v>0.30176026823134955</v>
      </c>
      <c r="BL23" s="7084">
        <f>IF(HLOOKUP("Mins",A1:CV300,23,FALSE)=0,0,HLOOKUP("BC Miss",A1:CV300,23,FALSE)/HLOOKUP("Mins",A1:CV300,23,FALSE)* 90)</f>
        <v>0.15088013411567477</v>
      </c>
      <c r="BM23" s="7085">
        <f>IF(HLOOKUP("Mins",A1:CV300,23,FALSE)=0,0,HLOOKUP("Gs - BC",A1:CV300,23,FALSE)/HLOOKUP("Mins",A1:CV300,23,FALSE)* 90)</f>
        <v>0.15088013411567477</v>
      </c>
      <c r="BN23" s="7086">
        <f>IF(HLOOKUP("Mins",A1:CV300,23,FALSE)=0,0,HLOOKUP("GIB",A1:CV300,23,FALSE)/HLOOKUP("Mins",A1:CV300,23,FALSE)* 90)</f>
        <v>0.15088013411567477</v>
      </c>
      <c r="BO23" s="7087">
        <f>IF(HLOOKUP("Mins",A1:CV300,23,FALSE)=0,0,HLOOKUP("Gs - Open",A1:CV300,23,FALSE)/HLOOKUP("Mins",A1:CV300,23,FALSE)* 90)</f>
        <v>0</v>
      </c>
      <c r="BP23" s="7088">
        <f>IF(HLOOKUP("Mins",A1:CV300,23,FALSE)=0,0,HLOOKUP("ICT Index",A1:CV300,23,FALSE)/HLOOKUP("Mins",A1:CV300,23,FALSE)* 90)</f>
        <v>4.5037720033528919</v>
      </c>
      <c r="BQ23" s="7089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  <v>4.3604358759430015E-2</v>
      </c>
      <c r="BR23" s="7090">
        <f>0.0825*HLOOKUP("KP/90",A1:CV300,23,FALSE)</f>
        <v>1.244761106454317E-2</v>
      </c>
      <c r="BS23" s="7091">
        <f>6*HLOOKUP("xG/90",A1:CV300,23,FALSE)+3*HLOOKUP("xA/90",A1:CV300,23,FALSE)</f>
        <v>0.29896898575020958</v>
      </c>
      <c r="BT23" s="7092">
        <f>HLOOKUP("xPts/90",A1:CV300,23,FALSE)-(6*0.75*(HLOOKUP("PK Gs",A1:CV300,23,FALSE)+HLOOKUP("PK Miss",A1:CV300,23,FALSE))*90/HLOOKUP("Mins",A1:CV300,23,FALSE))</f>
        <v>0.29896898575020958</v>
      </c>
      <c r="BU23" s="7093">
        <f>IF(HLOOKUP("Mins",A1:CV300,23,FALSE)=0,0,HLOOKUP("fsXG",A1:CV300,23,FALSE)/HLOOKUP("Mins",A1:CV300,23,FALSE)* 90)</f>
        <v>6.5632858340318526E-2</v>
      </c>
      <c r="BV23" s="7094">
        <f>IF(HLOOKUP("Mins",A1:CV300,23,FALSE)=0,0,HLOOKUP("fsXA",A1:CV300,23,FALSE)/HLOOKUP("Mins",A1:CV300,23,FALSE)* 90)</f>
        <v>2.9421626152556578E-2</v>
      </c>
      <c r="BW23" s="7095">
        <f>6*HLOOKUP("fsXG/90",A1:CV300,23,FALSE)+3*HLOOKUP("fsXA/90",A1:CV300,23,FALSE)</f>
        <v>0.48206202849958091</v>
      </c>
      <c r="BX23" s="7096">
        <v>0.10355528444051743</v>
      </c>
      <c r="BY23" s="7097">
        <v>1.6393035650253296E-2</v>
      </c>
      <c r="BZ23" s="7098">
        <f>6*HLOOKUP("uXG/90",A1:CV300,23,FALSE)+3*HLOOKUP("uXA/90",A1:CV300,23,FALSE)</f>
        <v>0.67051081359386444</v>
      </c>
    </row>
    <row r="24" spans="1:78" hidden="1" x14ac:dyDescent="0.3">
      <c r="A24" s="7099" t="s">
        <v>187</v>
      </c>
      <c r="B24" s="7100" t="s">
        <v>96</v>
      </c>
      <c r="C24" s="7101">
        <v>4.1999998092651367</v>
      </c>
      <c r="D24" s="7102">
        <v>746</v>
      </c>
      <c r="E24" s="7103">
        <v>10</v>
      </c>
      <c r="F24" s="7104">
        <v>26</v>
      </c>
      <c r="G24" s="7105">
        <v>0</v>
      </c>
      <c r="H24" s="7106">
        <v>1</v>
      </c>
      <c r="I24" s="7107">
        <v>125</v>
      </c>
      <c r="J24" s="7108">
        <f>HLOOKUP("BPS",A1:CV300,24,FALSE)-((-6*HLOOKUP("OG",A1:CV300,24,FALSE))+(-6*HLOOKUP("PK Miss",A1:CV300,24,FALSE))+(9*HLOOKUP("FPL As",A1:CV300,24,FALSE))+(12*HLOOKUP("CS",A1:CV300,24,FALSE))+(12*HLOOKUP("Gs",A1:CV300,24,FALSE)))</f>
        <v>89</v>
      </c>
      <c r="K24" s="7109">
        <v>0</v>
      </c>
      <c r="L24" s="7110">
        <v>3</v>
      </c>
      <c r="M24" s="7111">
        <v>3</v>
      </c>
      <c r="N24" s="7112">
        <v>1</v>
      </c>
      <c r="O24" s="7113">
        <v>0</v>
      </c>
      <c r="P24" s="7114">
        <f>IF(HLOOKUP("Shots",A1:CV300,24,FALSE)=0,0,HLOOKUP("SIB",A1:CV300,24,FALSE)/HLOOKUP("Shots",A1:CV300,24,FALSE))</f>
        <v>0</v>
      </c>
      <c r="Q24" s="7115">
        <v>0</v>
      </c>
      <c r="R24" s="7116">
        <f>IF(HLOOKUP("Shots",A1:CV300,24,FALSE)=0,0,HLOOKUP("S6YD",A1:CV300,24,FALSE)/HLOOKUP("Shots",A1:CV300,24,FALSE))</f>
        <v>0</v>
      </c>
      <c r="S24" s="7117">
        <v>0</v>
      </c>
      <c r="T24" s="7118">
        <f>IF(HLOOKUP("Shots",A1:CV300,24,FALSE)=0,0,HLOOKUP("Headers",A1:CV300,24,FALSE)/HLOOKUP("Shots",A1:CV300,24,FALSE))</f>
        <v>0</v>
      </c>
      <c r="U24" s="7119">
        <v>0</v>
      </c>
      <c r="V24" s="7120">
        <f>IF(HLOOKUP("Shots",A1:CV300,24,FALSE)=0,0,HLOOKUP("SOT",A1:CV300,24,FALSE)/HLOOKUP("Shots",A1:CV300,24,FALSE))</f>
        <v>0</v>
      </c>
      <c r="W24" s="7121">
        <f>IF(HLOOKUP("Shots",A1:CV300,24,FALSE)=0,0,HLOOKUP("Gs",A1:CV300,24,FALSE)/HLOOKUP("Shots",A1:CV300,24,FALSE))</f>
        <v>0</v>
      </c>
      <c r="X24" s="7122">
        <v>0</v>
      </c>
      <c r="Y24" s="7123">
        <v>0</v>
      </c>
      <c r="Z24" s="7124">
        <v>6</v>
      </c>
      <c r="AA24" s="7125">
        <f>IF(HLOOKUP("KP",A1:CV300,24,FALSE)=0,0,HLOOKUP("As",A1:CV300,24,FALSE)/HLOOKUP("KP",A1:CV300,24,FALSE))</f>
        <v>0</v>
      </c>
      <c r="AB24" s="7126">
        <v>24.7</v>
      </c>
      <c r="AC24" s="7127">
        <v>0</v>
      </c>
      <c r="AD24" s="7128">
        <v>0</v>
      </c>
      <c r="AE24" s="7129">
        <v>0</v>
      </c>
      <c r="AF24" s="7130">
        <v>0</v>
      </c>
      <c r="AG24" s="7131">
        <f>IF(HLOOKUP("BC",A1:CV300,24,FALSE)=0,0,HLOOKUP("Gs - BC",A1:CV300,24,FALSE)/HLOOKUP("BC",A1:CV300,24,FALSE))</f>
        <v>0</v>
      </c>
      <c r="AH24" s="7132">
        <f>HLOOKUP("BC",A1:CV300,24,FALSE) - HLOOKUP("BC Miss",A1:CV300,24,FALSE)</f>
        <v>0</v>
      </c>
      <c r="AI24" s="7133">
        <f>IF(HLOOKUP("Gs",A1:CV300,24,FALSE)=0,0,HLOOKUP("Gs - BC",A1:CV300,24,FALSE)/HLOOKUP("Gs",A1:CV300,24,FALSE))</f>
        <v>0</v>
      </c>
      <c r="AJ24" s="7134">
        <v>0</v>
      </c>
      <c r="AK24" s="7135">
        <v>0</v>
      </c>
      <c r="AL24" s="7136">
        <f>HLOOKUP("BC",A1:CV300,24,FALSE) - (HLOOKUP("PK Gs",A1:CV300,24,FALSE) + HLOOKUP("PK Miss",A1:CV300,24,FALSE))</f>
        <v>0</v>
      </c>
      <c r="AM24" s="7137">
        <f>HLOOKUP("BC Miss",A1:CV300,24,FALSE) - HLOOKUP("PK Miss",A1:CV300,24,FALSE)</f>
        <v>0</v>
      </c>
      <c r="AN24" s="7138">
        <f>IF(HLOOKUP("BC - Open",A1:CV300,24,FALSE)=0,0,HLOOKUP("BC - Open Miss",A1:CV300,24,FALSE)/HLOOKUP("BC - Open",A1:CV300,24,FALSE))</f>
        <v>0</v>
      </c>
      <c r="AO24" s="7139">
        <v>0</v>
      </c>
      <c r="AP24" s="7140">
        <f>IF(HLOOKUP("Gs",A1:CV300,24,FALSE)=0,0,HLOOKUP("GIB",A1:CV300,24,FALSE)/HLOOKUP("Gs",A1:CV300,24,FALSE))</f>
        <v>0</v>
      </c>
      <c r="AQ24" s="7141">
        <v>0</v>
      </c>
      <c r="AR24" s="7142">
        <f>IF(HLOOKUP("Gs",A1:CV300,24,FALSE)=0,0,HLOOKUP("Gs - Open",A1:CV300,24,FALSE)/HLOOKUP("Gs",A1:CV300,24,FALSE))</f>
        <v>0</v>
      </c>
      <c r="AS24" s="7143">
        <v>0.03</v>
      </c>
      <c r="AT24" s="7144">
        <v>0.54</v>
      </c>
      <c r="AU24" s="7145">
        <f>IF(HLOOKUP("Mins",A1:CV300,24,FALSE)=0,0,HLOOKUP("Pts",A1:CV300,24,FALSE)/HLOOKUP("Mins",A1:CV300,24,FALSE)* 90)</f>
        <v>3.1367292225201076</v>
      </c>
      <c r="AV24" s="7146">
        <f>IF(HLOOKUP("Apps",A1:CV300,24,FALSE)=0,0,HLOOKUP("Pts",A1:CV300,24,FALSE)/HLOOKUP("Apps",A1:CV300,24,FALSE)* 1)</f>
        <v>2.6</v>
      </c>
      <c r="AW24" s="7147">
        <f>IF(HLOOKUP("Mins",A1:CV300,24,FALSE)=0,0,HLOOKUP("Gs",A1:CV300,24,FALSE)/HLOOKUP("Mins",A1:CV300,24,FALSE)* 90)</f>
        <v>0</v>
      </c>
      <c r="AX24" s="7148">
        <f>IF(HLOOKUP("Mins",A1:CV300,24,FALSE)=0,0,HLOOKUP("Bonus",A1:CV300,24,FALSE)/HLOOKUP("Mins",A1:CV300,24,FALSE)* 90)</f>
        <v>0.12064343163538874</v>
      </c>
      <c r="AY24" s="7149">
        <f>IF(HLOOKUP("Mins",A1:CV300,24,FALSE)=0,0,HLOOKUP("BPS",A1:CV300,24,FALSE)/HLOOKUP("Mins",A1:CV300,24,FALSE)* 90)</f>
        <v>15.080428954423592</v>
      </c>
      <c r="AZ24" s="7150">
        <f>IF(HLOOKUP("Mins",A1:CV300,24,FALSE)=0,0,HLOOKUP("Base BPS",A1:CV300,24,FALSE)/HLOOKUP("Mins",A1:CV300,24,FALSE)* 90)</f>
        <v>10.737265415549597</v>
      </c>
      <c r="BA24" s="7151">
        <f>IF(HLOOKUP("Mins",A1:CV300,24,FALSE)=0,0,HLOOKUP("PenTchs",A1:CV300,24,FALSE)/HLOOKUP("Mins",A1:CV300,24,FALSE)* 90)</f>
        <v>0.36193029490616624</v>
      </c>
      <c r="BB24" s="7152">
        <f>IF(HLOOKUP("Mins",A1:CV300,24,FALSE)=0,0,HLOOKUP("Shots",A1:CV300,24,FALSE)/HLOOKUP("Mins",A1:CV300,24,FALSE)* 90)</f>
        <v>0.12064343163538874</v>
      </c>
      <c r="BC24" s="7153">
        <f>IF(HLOOKUP("Mins",A1:CV300,24,FALSE)=0,0,HLOOKUP("SIB",A1:CV300,24,FALSE)/HLOOKUP("Mins",A1:CV300,24,FALSE)* 90)</f>
        <v>0</v>
      </c>
      <c r="BD24" s="7154">
        <f>IF(HLOOKUP("Mins",A1:CV300,24,FALSE)=0,0,HLOOKUP("S6YD",A1:CV300,24,FALSE)/HLOOKUP("Mins",A1:CV300,24,FALSE)* 90)</f>
        <v>0</v>
      </c>
      <c r="BE24" s="7155">
        <f>IF(HLOOKUP("Mins",A1:CV300,24,FALSE)=0,0,HLOOKUP("Headers",A1:CV300,24,FALSE)/HLOOKUP("Mins",A1:CV300,24,FALSE)* 90)</f>
        <v>0</v>
      </c>
      <c r="BF24" s="7156">
        <f>IF(HLOOKUP("Mins",A1:CV300,24,FALSE)=0,0,HLOOKUP("SOT",A1:CV300,24,FALSE)/HLOOKUP("Mins",A1:CV300,24,FALSE)* 90)</f>
        <v>0</v>
      </c>
      <c r="BG24" s="7157">
        <f>IF(HLOOKUP("Mins",A1:CV300,24,FALSE)=0,0,HLOOKUP("As",A1:CV300,24,FALSE)/HLOOKUP("Mins",A1:CV300,24,FALSE)* 90)</f>
        <v>0</v>
      </c>
      <c r="BH24" s="7158">
        <f>IF(HLOOKUP("Mins",A1:CV300,24,FALSE)=0,0,HLOOKUP("FPL As",A1:CV300,24,FALSE)/HLOOKUP("Mins",A1:CV300,24,FALSE)* 90)</f>
        <v>0</v>
      </c>
      <c r="BI24" s="7159">
        <f>IF(HLOOKUP("Mins",A1:CV300,24,FALSE)=0,0,HLOOKUP("BC Created",A1:CV300,24,FALSE)/HLOOKUP("Mins",A1:CV300,24,FALSE)* 90)</f>
        <v>0</v>
      </c>
      <c r="BJ24" s="7160">
        <f>IF(HLOOKUP("Mins",A1:CV300,24,FALSE)=0,0,HLOOKUP("KP",A1:CV300,24,FALSE)/HLOOKUP("Mins",A1:CV300,24,FALSE)* 90)</f>
        <v>0.72386058981233248</v>
      </c>
      <c r="BK24" s="7161">
        <f>IF(HLOOKUP("Mins",A1:CV300,24,FALSE)=0,0,HLOOKUP("BC",A1:CV300,24,FALSE)/HLOOKUP("Mins",A1:CV300,24,FALSE)* 90)</f>
        <v>0</v>
      </c>
      <c r="BL24" s="7162">
        <f>IF(HLOOKUP("Mins",A1:CV300,24,FALSE)=0,0,HLOOKUP("BC Miss",A1:CV300,24,FALSE)/HLOOKUP("Mins",A1:CV300,24,FALSE)* 90)</f>
        <v>0</v>
      </c>
      <c r="BM24" s="7163">
        <f>IF(HLOOKUP("Mins",A1:CV300,24,FALSE)=0,0,HLOOKUP("Gs - BC",A1:CV300,24,FALSE)/HLOOKUP("Mins",A1:CV300,24,FALSE)* 90)</f>
        <v>0</v>
      </c>
      <c r="BN24" s="7164">
        <f>IF(HLOOKUP("Mins",A1:CV300,24,FALSE)=0,0,HLOOKUP("GIB",A1:CV300,24,FALSE)/HLOOKUP("Mins",A1:CV300,24,FALSE)* 90)</f>
        <v>0</v>
      </c>
      <c r="BO24" s="7165">
        <f>IF(HLOOKUP("Mins",A1:CV300,24,FALSE)=0,0,HLOOKUP("Gs - Open",A1:CV300,24,FALSE)/HLOOKUP("Mins",A1:CV300,24,FALSE)* 90)</f>
        <v>0</v>
      </c>
      <c r="BP24" s="7166">
        <f>IF(HLOOKUP("Mins",A1:CV300,24,FALSE)=0,0,HLOOKUP("ICT Index",A1:CV300,24,FALSE)/HLOOKUP("Mins",A1:CV300,24,FALSE)* 90)</f>
        <v>2.9798927613941015</v>
      </c>
      <c r="BQ24" s="7167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  <v>2.4128686327077749E-3</v>
      </c>
      <c r="BR24" s="7168">
        <f>0.0825*HLOOKUP("KP/90",A1:CV300,24,FALSE)</f>
        <v>5.9718498659517436E-2</v>
      </c>
      <c r="BS24" s="7169">
        <f>6*HLOOKUP("xG/90",A1:CV300,24,FALSE)+3*HLOOKUP("xA/90",A1:CV300,24,FALSE)</f>
        <v>0.19363270777479893</v>
      </c>
      <c r="BT24" s="7170">
        <f>HLOOKUP("xPts/90",A1:CV300,24,FALSE)-(6*0.75*(HLOOKUP("PK Gs",A1:CV300,24,FALSE)+HLOOKUP("PK Miss",A1:CV300,24,FALSE))*90/HLOOKUP("Mins",A1:CV300,24,FALSE))</f>
        <v>0.19363270777479893</v>
      </c>
      <c r="BU24" s="7171">
        <f>IF(HLOOKUP("Mins",A1:CV300,24,FALSE)=0,0,HLOOKUP("fsXG",A1:CV300,24,FALSE)/HLOOKUP("Mins",A1:CV300,24,FALSE)* 90)</f>
        <v>3.6193029490616622E-3</v>
      </c>
      <c r="BV24" s="7172">
        <f>IF(HLOOKUP("Mins",A1:CV300,24,FALSE)=0,0,HLOOKUP("fsXA",A1:CV300,24,FALSE)/HLOOKUP("Mins",A1:CV300,24,FALSE)* 90)</f>
        <v>6.5147453083109916E-2</v>
      </c>
      <c r="BW24" s="7173">
        <f>6*HLOOKUP("fsXG/90",A1:CV300,24,FALSE)+3*HLOOKUP("fsXA/90",A1:CV300,24,FALSE)</f>
        <v>0.21715817694369971</v>
      </c>
      <c r="BX24" s="7174">
        <v>1.7070873873308301E-3</v>
      </c>
      <c r="BY24" s="7175">
        <v>3.4499749541282654E-2</v>
      </c>
      <c r="BZ24" s="7176">
        <f>6*HLOOKUP("uXG/90",A1:CV300,24,FALSE)+3*HLOOKUP("uXA/90",A1:CV300,24,FALSE)</f>
        <v>0.11374177294783294</v>
      </c>
    </row>
    <row r="25" spans="1:78" hidden="1" x14ac:dyDescent="0.3">
      <c r="A25" s="7177" t="s">
        <v>188</v>
      </c>
      <c r="B25" s="7178" t="s">
        <v>118</v>
      </c>
      <c r="C25" s="7179">
        <v>5.6999998092651367</v>
      </c>
      <c r="D25" s="7180">
        <v>1795</v>
      </c>
      <c r="E25" s="7181">
        <v>21</v>
      </c>
      <c r="F25" s="7182">
        <v>72</v>
      </c>
      <c r="G25" s="7183">
        <v>0</v>
      </c>
      <c r="H25" s="7184">
        <v>10</v>
      </c>
      <c r="I25" s="7185">
        <v>377</v>
      </c>
      <c r="J25" s="7186">
        <f>HLOOKUP("BPS",A1:CV300,25,FALSE)-((-6*HLOOKUP("OG",A1:CV300,25,FALSE))+(-6*HLOOKUP("PK Miss",A1:CV300,25,FALSE))+(9*HLOOKUP("FPL As",A1:CV300,25,FALSE))+(12*HLOOKUP("CS",A1:CV300,25,FALSE))+(12*HLOOKUP("Gs",A1:CV300,25,FALSE)))</f>
        <v>275</v>
      </c>
      <c r="K25" s="7187">
        <v>1</v>
      </c>
      <c r="L25" s="7188">
        <v>6</v>
      </c>
      <c r="M25" s="7189">
        <v>35</v>
      </c>
      <c r="N25" s="7190">
        <v>17</v>
      </c>
      <c r="O25" s="7191">
        <v>4</v>
      </c>
      <c r="P25" s="7192">
        <f>IF(HLOOKUP("Shots",A1:CV300,25,FALSE)=0,0,HLOOKUP("SIB",A1:CV300,25,FALSE)/HLOOKUP("Shots",A1:CV300,25,FALSE))</f>
        <v>0.23529411764705882</v>
      </c>
      <c r="Q25" s="7193">
        <v>0</v>
      </c>
      <c r="R25" s="7194">
        <f>IF(HLOOKUP("Shots",A1:CV300,25,FALSE)=0,0,HLOOKUP("S6YD",A1:CV300,25,FALSE)/HLOOKUP("Shots",A1:CV300,25,FALSE))</f>
        <v>0</v>
      </c>
      <c r="S25" s="7195">
        <v>0</v>
      </c>
      <c r="T25" s="7196">
        <f>IF(HLOOKUP("Shots",A1:CV300,25,FALSE)=0,0,HLOOKUP("Headers",A1:CV300,25,FALSE)/HLOOKUP("Shots",A1:CV300,25,FALSE))</f>
        <v>0</v>
      </c>
      <c r="U25" s="7197">
        <v>3</v>
      </c>
      <c r="V25" s="7198">
        <f>IF(HLOOKUP("Shots",A1:CV300,25,FALSE)=0,0,HLOOKUP("SOT",A1:CV300,25,FALSE)/HLOOKUP("Shots",A1:CV300,25,FALSE))</f>
        <v>0.17647058823529413</v>
      </c>
      <c r="W25" s="7199">
        <f>IF(HLOOKUP("Shots",A1:CV300,25,FALSE)=0,0,HLOOKUP("Gs",A1:CV300,25,FALSE)/HLOOKUP("Shots",A1:CV300,25,FALSE))</f>
        <v>0</v>
      </c>
      <c r="X25" s="7200">
        <v>4</v>
      </c>
      <c r="Y25" s="7201">
        <v>4</v>
      </c>
      <c r="Z25" s="7202">
        <v>49</v>
      </c>
      <c r="AA25" s="7203">
        <f>IF(HLOOKUP("KP",A1:CV300,25,FALSE)=0,0,HLOOKUP("As",A1:CV300,25,FALSE)/HLOOKUP("KP",A1:CV300,25,FALSE))</f>
        <v>8.1632653061224483E-2</v>
      </c>
      <c r="AB25" s="7204">
        <v>132.5</v>
      </c>
      <c r="AC25" s="7205">
        <v>19</v>
      </c>
      <c r="AD25" s="7206">
        <v>4</v>
      </c>
      <c r="AE25" s="7207">
        <v>0</v>
      </c>
      <c r="AF25" s="7208">
        <v>0</v>
      </c>
      <c r="AG25" s="7209">
        <f>IF(HLOOKUP("BC",A1:CV300,25,FALSE)=0,0,HLOOKUP("Gs - BC",A1:CV300,25,FALSE)/HLOOKUP("BC",A1:CV300,25,FALSE))</f>
        <v>0</v>
      </c>
      <c r="AH25" s="7210">
        <f>HLOOKUP("BC",A1:CV300,25,FALSE) - HLOOKUP("BC Miss",A1:CV300,25,FALSE)</f>
        <v>0</v>
      </c>
      <c r="AI25" s="7211">
        <f>IF(HLOOKUP("Gs",A1:CV300,25,FALSE)=0,0,HLOOKUP("Gs - BC",A1:CV300,25,FALSE)/HLOOKUP("Gs",A1:CV300,25,FALSE))</f>
        <v>0</v>
      </c>
      <c r="AJ25" s="7212">
        <v>0</v>
      </c>
      <c r="AK25" s="7213">
        <v>0</v>
      </c>
      <c r="AL25" s="7214">
        <f>HLOOKUP("BC",A1:CV300,25,FALSE) - (HLOOKUP("PK Gs",A1:CV300,25,FALSE) + HLOOKUP("PK Miss",A1:CV300,25,FALSE))</f>
        <v>0</v>
      </c>
      <c r="AM25" s="7215">
        <f>HLOOKUP("BC Miss",A1:CV300,25,FALSE) - HLOOKUP("PK Miss",A1:CV300,25,FALSE)</f>
        <v>0</v>
      </c>
      <c r="AN25" s="7216">
        <f>IF(HLOOKUP("BC - Open",A1:CV300,25,FALSE)=0,0,HLOOKUP("BC - Open Miss",A1:CV300,25,FALSE)/HLOOKUP("BC - Open",A1:CV300,25,FALSE))</f>
        <v>0</v>
      </c>
      <c r="AO25" s="7217">
        <v>0</v>
      </c>
      <c r="AP25" s="7218">
        <f>IF(HLOOKUP("Gs",A1:CV300,25,FALSE)=0,0,HLOOKUP("GIB",A1:CV300,25,FALSE)/HLOOKUP("Gs",A1:CV300,25,FALSE))</f>
        <v>0</v>
      </c>
      <c r="AQ25" s="7219">
        <v>0</v>
      </c>
      <c r="AR25" s="7220">
        <f>IF(HLOOKUP("Gs",A1:CV300,25,FALSE)=0,0,HLOOKUP("Gs - Open",A1:CV300,25,FALSE)/HLOOKUP("Gs",A1:CV300,25,FALSE))</f>
        <v>0</v>
      </c>
      <c r="AS25" s="7221">
        <v>0.8</v>
      </c>
      <c r="AT25" s="7222">
        <v>3.53</v>
      </c>
      <c r="AU25" s="7223">
        <f>IF(HLOOKUP("Mins",A1:CV300,25,FALSE)=0,0,HLOOKUP("Pts",A1:CV300,25,FALSE)/HLOOKUP("Mins",A1:CV300,25,FALSE)* 90)</f>
        <v>3.6100278551532035</v>
      </c>
      <c r="AV25" s="7224">
        <f>IF(HLOOKUP("Apps",A1:CV300,25,FALSE)=0,0,HLOOKUP("Pts",A1:CV300,25,FALSE)/HLOOKUP("Apps",A1:CV300,25,FALSE)* 1)</f>
        <v>3.4285714285714284</v>
      </c>
      <c r="AW25" s="7225">
        <f>IF(HLOOKUP("Mins",A1:CV300,25,FALSE)=0,0,HLOOKUP("Gs",A1:CV300,25,FALSE)/HLOOKUP("Mins",A1:CV300,25,FALSE)* 90)</f>
        <v>0</v>
      </c>
      <c r="AX25" s="7226">
        <f>IF(HLOOKUP("Mins",A1:CV300,25,FALSE)=0,0,HLOOKUP("Bonus",A1:CV300,25,FALSE)/HLOOKUP("Mins",A1:CV300,25,FALSE)* 90)</f>
        <v>0.50139275766016711</v>
      </c>
      <c r="AY25" s="7227">
        <f>IF(HLOOKUP("Mins",A1:CV300,25,FALSE)=0,0,HLOOKUP("BPS",A1:CV300,25,FALSE)/HLOOKUP("Mins",A1:CV300,25,FALSE)* 90)</f>
        <v>18.902506963788301</v>
      </c>
      <c r="AZ25" s="7228">
        <f>IF(HLOOKUP("Mins",A1:CV300,25,FALSE)=0,0,HLOOKUP("Base BPS",A1:CV300,25,FALSE)/HLOOKUP("Mins",A1:CV300,25,FALSE)* 90)</f>
        <v>13.788300835654596</v>
      </c>
      <c r="BA25" s="7229">
        <f>IF(HLOOKUP("Mins",A1:CV300,25,FALSE)=0,0,HLOOKUP("PenTchs",A1:CV300,25,FALSE)/HLOOKUP("Mins",A1:CV300,25,FALSE)* 90)</f>
        <v>1.7548746518105851</v>
      </c>
      <c r="BB25" s="7230">
        <f>IF(HLOOKUP("Mins",A1:CV300,25,FALSE)=0,0,HLOOKUP("Shots",A1:CV300,25,FALSE)/HLOOKUP("Mins",A1:CV300,25,FALSE)* 90)</f>
        <v>0.85236768802228413</v>
      </c>
      <c r="BC25" s="7231">
        <f>IF(HLOOKUP("Mins",A1:CV300,25,FALSE)=0,0,HLOOKUP("SIB",A1:CV300,25,FALSE)/HLOOKUP("Mins",A1:CV300,25,FALSE)* 90)</f>
        <v>0.20055710306406685</v>
      </c>
      <c r="BD25" s="7232">
        <f>IF(HLOOKUP("Mins",A1:CV300,25,FALSE)=0,0,HLOOKUP("S6YD",A1:CV300,25,FALSE)/HLOOKUP("Mins",A1:CV300,25,FALSE)* 90)</f>
        <v>0</v>
      </c>
      <c r="BE25" s="7233">
        <f>IF(HLOOKUP("Mins",A1:CV300,25,FALSE)=0,0,HLOOKUP("Headers",A1:CV300,25,FALSE)/HLOOKUP("Mins",A1:CV300,25,FALSE)* 90)</f>
        <v>0</v>
      </c>
      <c r="BF25" s="7234">
        <f>IF(HLOOKUP("Mins",A1:CV300,25,FALSE)=0,0,HLOOKUP("SOT",A1:CV300,25,FALSE)/HLOOKUP("Mins",A1:CV300,25,FALSE)* 90)</f>
        <v>0.15041782729805014</v>
      </c>
      <c r="BG25" s="7235">
        <f>IF(HLOOKUP("Mins",A1:CV300,25,FALSE)=0,0,HLOOKUP("As",A1:CV300,25,FALSE)/HLOOKUP("Mins",A1:CV300,25,FALSE)* 90)</f>
        <v>0.20055710306406685</v>
      </c>
      <c r="BH25" s="7236">
        <f>IF(HLOOKUP("Mins",A1:CV300,25,FALSE)=0,0,HLOOKUP("FPL As",A1:CV300,25,FALSE)/HLOOKUP("Mins",A1:CV300,25,FALSE)* 90)</f>
        <v>0.20055710306406685</v>
      </c>
      <c r="BI25" s="7237">
        <f>IF(HLOOKUP("Mins",A1:CV300,25,FALSE)=0,0,HLOOKUP("BC Created",A1:CV300,25,FALSE)/HLOOKUP("Mins",A1:CV300,25,FALSE)* 90)</f>
        <v>0.20055710306406685</v>
      </c>
      <c r="BJ25" s="7238">
        <f>IF(HLOOKUP("Mins",A1:CV300,25,FALSE)=0,0,HLOOKUP("KP",A1:CV300,25,FALSE)/HLOOKUP("Mins",A1:CV300,25,FALSE)* 90)</f>
        <v>2.4568245125348187</v>
      </c>
      <c r="BK25" s="7239">
        <f>IF(HLOOKUP("Mins",A1:CV300,25,FALSE)=0,0,HLOOKUP("BC",A1:CV300,25,FALSE)/HLOOKUP("Mins",A1:CV300,25,FALSE)* 90)</f>
        <v>0</v>
      </c>
      <c r="BL25" s="7240">
        <f>IF(HLOOKUP("Mins",A1:CV300,25,FALSE)=0,0,HLOOKUP("BC Miss",A1:CV300,25,FALSE)/HLOOKUP("Mins",A1:CV300,25,FALSE)* 90)</f>
        <v>0</v>
      </c>
      <c r="BM25" s="7241">
        <f>IF(HLOOKUP("Mins",A1:CV300,25,FALSE)=0,0,HLOOKUP("Gs - BC",A1:CV300,25,FALSE)/HLOOKUP("Mins",A1:CV300,25,FALSE)* 90)</f>
        <v>0</v>
      </c>
      <c r="BN25" s="7242">
        <f>IF(HLOOKUP("Mins",A1:CV300,25,FALSE)=0,0,HLOOKUP("GIB",A1:CV300,25,FALSE)/HLOOKUP("Mins",A1:CV300,25,FALSE)* 90)</f>
        <v>0</v>
      </c>
      <c r="BO25" s="7243">
        <f>IF(HLOOKUP("Mins",A1:CV300,25,FALSE)=0,0,HLOOKUP("Gs - Open",A1:CV300,25,FALSE)/HLOOKUP("Mins",A1:CV300,25,FALSE)* 90)</f>
        <v>0</v>
      </c>
      <c r="BP25" s="7244">
        <f>IF(HLOOKUP("Mins",A1:CV300,25,FALSE)=0,0,HLOOKUP("ICT Index",A1:CV300,25,FALSE)/HLOOKUP("Mins",A1:CV300,25,FALSE)* 90)</f>
        <v>6.6434540389972145</v>
      </c>
      <c r="BQ25" s="7245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  <v>3.1688022284122562E-2</v>
      </c>
      <c r="BR25" s="7246">
        <f>0.0825*HLOOKUP("KP/90",A1:CV300,25,FALSE)</f>
        <v>0.20268802228412255</v>
      </c>
      <c r="BS25" s="7247">
        <f>6*HLOOKUP("xG/90",A1:CV300,25,FALSE)+3*HLOOKUP("xA/90",A1:CV300,25,FALSE)</f>
        <v>0.79819220055710305</v>
      </c>
      <c r="BT25" s="7248">
        <f>HLOOKUP("xPts/90",A1:CV300,25,FALSE)-(6*0.75*(HLOOKUP("PK Gs",A1:CV300,25,FALSE)+HLOOKUP("PK Miss",A1:CV300,25,FALSE))*90/HLOOKUP("Mins",A1:CV300,25,FALSE))</f>
        <v>0.79819220055710305</v>
      </c>
      <c r="BU25" s="7249">
        <f>IF(HLOOKUP("Mins",A1:CV300,25,FALSE)=0,0,HLOOKUP("fsXG",A1:CV300,25,FALSE)/HLOOKUP("Mins",A1:CV300,25,FALSE)* 90)</f>
        <v>4.0111420612813371E-2</v>
      </c>
      <c r="BV25" s="7250">
        <f>IF(HLOOKUP("Mins",A1:CV300,25,FALSE)=0,0,HLOOKUP("fsXA",A1:CV300,25,FALSE)/HLOOKUP("Mins",A1:CV300,25,FALSE)* 90)</f>
        <v>0.176991643454039</v>
      </c>
      <c r="BW25" s="7251">
        <f>6*HLOOKUP("fsXG/90",A1:CV300,25,FALSE)+3*HLOOKUP("fsXA/90",A1:CV300,25,FALSE)</f>
        <v>0.77164345403899715</v>
      </c>
      <c r="BX25" s="7252">
        <v>3.3176552504301071E-2</v>
      </c>
      <c r="BY25" s="7253">
        <v>0.20961242914199829</v>
      </c>
      <c r="BZ25" s="7254">
        <f>6*HLOOKUP("uXG/90",A1:CV300,25,FALSE)+3*HLOOKUP("uXA/90",A1:CV300,25,FALSE)</f>
        <v>0.8278966024518013</v>
      </c>
    </row>
    <row r="26" spans="1:78" hidden="1" x14ac:dyDescent="0.3">
      <c r="A26" s="7255" t="s">
        <v>189</v>
      </c>
      <c r="B26" s="7256" t="s">
        <v>93</v>
      </c>
      <c r="C26" s="7257">
        <v>4.8000001907348633</v>
      </c>
      <c r="D26" s="7258">
        <v>1475</v>
      </c>
      <c r="E26" s="7259">
        <v>17</v>
      </c>
      <c r="F26" s="7260">
        <v>51</v>
      </c>
      <c r="G26" s="7261">
        <v>1</v>
      </c>
      <c r="H26" s="7262">
        <v>5</v>
      </c>
      <c r="I26" s="7263">
        <v>307</v>
      </c>
      <c r="J26" s="7264">
        <f>HLOOKUP("BPS",A1:CV300,26,FALSE)-((-6*HLOOKUP("OG",A1:CV300,26,FALSE))+(-6*HLOOKUP("PK Miss",A1:CV300,26,FALSE))+(9*HLOOKUP("FPL As",A1:CV300,26,FALSE))+(12*HLOOKUP("CS",A1:CV300,26,FALSE))+(12*HLOOKUP("Gs",A1:CV300,26,FALSE)))</f>
        <v>250</v>
      </c>
      <c r="K26" s="7265">
        <v>0</v>
      </c>
      <c r="L26" s="7266">
        <v>3</v>
      </c>
      <c r="M26" s="7267">
        <v>22</v>
      </c>
      <c r="N26" s="7268">
        <v>14</v>
      </c>
      <c r="O26" s="7269">
        <v>14</v>
      </c>
      <c r="P26" s="7270">
        <f>IF(HLOOKUP("Shots",A1:CV300,26,FALSE)=0,0,HLOOKUP("SIB",A1:CV300,26,FALSE)/HLOOKUP("Shots",A1:CV300,26,FALSE))</f>
        <v>1</v>
      </c>
      <c r="Q26" s="7271">
        <v>0</v>
      </c>
      <c r="R26" s="7272">
        <f>IF(HLOOKUP("Shots",A1:CV300,26,FALSE)=0,0,HLOOKUP("S6YD",A1:CV300,26,FALSE)/HLOOKUP("Shots",A1:CV300,26,FALSE))</f>
        <v>0</v>
      </c>
      <c r="S26" s="7273">
        <v>7</v>
      </c>
      <c r="T26" s="7274">
        <f>IF(HLOOKUP("Shots",A1:CV300,26,FALSE)=0,0,HLOOKUP("Headers",A1:CV300,26,FALSE)/HLOOKUP("Shots",A1:CV300,26,FALSE))</f>
        <v>0.5</v>
      </c>
      <c r="U26" s="7275">
        <v>3</v>
      </c>
      <c r="V26" s="7276">
        <f>IF(HLOOKUP("Shots",A1:CV300,26,FALSE)=0,0,HLOOKUP("SOT",A1:CV300,26,FALSE)/HLOOKUP("Shots",A1:CV300,26,FALSE))</f>
        <v>0.21428571428571427</v>
      </c>
      <c r="W26" s="7277">
        <f>IF(HLOOKUP("Shots",A1:CV300,26,FALSE)=0,0,HLOOKUP("Gs",A1:CV300,26,FALSE)/HLOOKUP("Shots",A1:CV300,26,FALSE))</f>
        <v>7.1428571428571425E-2</v>
      </c>
      <c r="X26" s="7278">
        <v>1</v>
      </c>
      <c r="Y26" s="7279">
        <v>1</v>
      </c>
      <c r="Z26" s="7280">
        <v>5</v>
      </c>
      <c r="AA26" s="7281">
        <f>IF(HLOOKUP("KP",A1:CV300,26,FALSE)=0,0,HLOOKUP("As",A1:CV300,26,FALSE)/HLOOKUP("KP",A1:CV300,26,FALSE))</f>
        <v>0.2</v>
      </c>
      <c r="AB26" s="7282">
        <v>60.3</v>
      </c>
      <c r="AC26" s="7283">
        <v>11</v>
      </c>
      <c r="AD26" s="7284">
        <v>2</v>
      </c>
      <c r="AE26" s="7285">
        <v>2</v>
      </c>
      <c r="AF26" s="7286">
        <v>1</v>
      </c>
      <c r="AG26" s="7287">
        <f>IF(HLOOKUP("BC",A1:CV300,26,FALSE)=0,0,HLOOKUP("Gs - BC",A1:CV300,26,FALSE)/HLOOKUP("BC",A1:CV300,26,FALSE))</f>
        <v>0.5</v>
      </c>
      <c r="AH26" s="7288">
        <f>HLOOKUP("BC",A1:CV300,26,FALSE) - HLOOKUP("BC Miss",A1:CV300,26,FALSE)</f>
        <v>1</v>
      </c>
      <c r="AI26" s="7289">
        <f>IF(HLOOKUP("Gs",A1:CV300,26,FALSE)=0,0,HLOOKUP("Gs - BC",A1:CV300,26,FALSE)/HLOOKUP("Gs",A1:CV300,26,FALSE))</f>
        <v>1</v>
      </c>
      <c r="AJ26" s="7290">
        <v>0</v>
      </c>
      <c r="AK26" s="7291">
        <v>0</v>
      </c>
      <c r="AL26" s="7292">
        <f>HLOOKUP("BC",A1:CV300,26,FALSE) - (HLOOKUP("PK Gs",A1:CV300,26,FALSE) + HLOOKUP("PK Miss",A1:CV300,26,FALSE))</f>
        <v>2</v>
      </c>
      <c r="AM26" s="7293">
        <f>HLOOKUP("BC Miss",A1:CV300,26,FALSE) - HLOOKUP("PK Miss",A1:CV300,26,FALSE)</f>
        <v>1</v>
      </c>
      <c r="AN26" s="7294">
        <f>IF(HLOOKUP("BC - Open",A1:CV300,26,FALSE)=0,0,HLOOKUP("BC - Open Miss",A1:CV300,26,FALSE)/HLOOKUP("BC - Open",A1:CV300,26,FALSE))</f>
        <v>0.5</v>
      </c>
      <c r="AO26" s="7295">
        <v>1</v>
      </c>
      <c r="AP26" s="7296">
        <f>IF(HLOOKUP("Gs",A1:CV300,26,FALSE)=0,0,HLOOKUP("GIB",A1:CV300,26,FALSE)/HLOOKUP("Gs",A1:CV300,26,FALSE))</f>
        <v>1</v>
      </c>
      <c r="AQ26" s="7297">
        <v>0</v>
      </c>
      <c r="AR26" s="7298">
        <f>IF(HLOOKUP("Gs",A1:CV300,26,FALSE)=0,0,HLOOKUP("Gs - Open",A1:CV300,26,FALSE)/HLOOKUP("Gs",A1:CV300,26,FALSE))</f>
        <v>0</v>
      </c>
      <c r="AS26" s="7299">
        <v>1.4</v>
      </c>
      <c r="AT26" s="7300">
        <v>0.16</v>
      </c>
      <c r="AU26" s="7301">
        <f>IF(HLOOKUP("Mins",A1:CV300,26,FALSE)=0,0,HLOOKUP("Pts",A1:CV300,26,FALSE)/HLOOKUP("Mins",A1:CV300,26,FALSE)* 90)</f>
        <v>3.1118644067796613</v>
      </c>
      <c r="AV26" s="7302">
        <f>IF(HLOOKUP("Apps",A1:CV300,26,FALSE)=0,0,HLOOKUP("Pts",A1:CV300,26,FALSE)/HLOOKUP("Apps",A1:CV300,26,FALSE)* 1)</f>
        <v>3</v>
      </c>
      <c r="AW26" s="7303">
        <f>IF(HLOOKUP("Mins",A1:CV300,26,FALSE)=0,0,HLOOKUP("Gs",A1:CV300,26,FALSE)/HLOOKUP("Mins",A1:CV300,26,FALSE)* 90)</f>
        <v>6.1016949152542375E-2</v>
      </c>
      <c r="AX26" s="7304">
        <f>IF(HLOOKUP("Mins",A1:CV300,26,FALSE)=0,0,HLOOKUP("Bonus",A1:CV300,26,FALSE)/HLOOKUP("Mins",A1:CV300,26,FALSE)* 90)</f>
        <v>0.30508474576271183</v>
      </c>
      <c r="AY26" s="7305">
        <f>IF(HLOOKUP("Mins",A1:CV300,26,FALSE)=0,0,HLOOKUP("BPS",A1:CV300,26,FALSE)/HLOOKUP("Mins",A1:CV300,26,FALSE)* 90)</f>
        <v>18.732203389830509</v>
      </c>
      <c r="AZ26" s="7306">
        <f>IF(HLOOKUP("Mins",A1:CV300,26,FALSE)=0,0,HLOOKUP("Base BPS",A1:CV300,26,FALSE)/HLOOKUP("Mins",A1:CV300,26,FALSE)* 90)</f>
        <v>15.254237288135592</v>
      </c>
      <c r="BA26" s="7307">
        <f>IF(HLOOKUP("Mins",A1:CV300,26,FALSE)=0,0,HLOOKUP("PenTchs",A1:CV300,26,FALSE)/HLOOKUP("Mins",A1:CV300,26,FALSE)* 90)</f>
        <v>1.3423728813559324</v>
      </c>
      <c r="BB26" s="7308">
        <f>IF(HLOOKUP("Mins",A1:CV300,26,FALSE)=0,0,HLOOKUP("Shots",A1:CV300,26,FALSE)/HLOOKUP("Mins",A1:CV300,26,FALSE)* 90)</f>
        <v>0.85423728813559319</v>
      </c>
      <c r="BC26" s="7309">
        <f>IF(HLOOKUP("Mins",A1:CV300,26,FALSE)=0,0,HLOOKUP("SIB",A1:CV300,26,FALSE)/HLOOKUP("Mins",A1:CV300,26,FALSE)* 90)</f>
        <v>0.85423728813559319</v>
      </c>
      <c r="BD26" s="7310">
        <f>IF(HLOOKUP("Mins",A1:CV300,26,FALSE)=0,0,HLOOKUP("S6YD",A1:CV300,26,FALSE)/HLOOKUP("Mins",A1:CV300,26,FALSE)* 90)</f>
        <v>0</v>
      </c>
      <c r="BE26" s="7311">
        <f>IF(HLOOKUP("Mins",A1:CV300,26,FALSE)=0,0,HLOOKUP("Headers",A1:CV300,26,FALSE)/HLOOKUP("Mins",A1:CV300,26,FALSE)* 90)</f>
        <v>0.42711864406779659</v>
      </c>
      <c r="BF26" s="7312">
        <f>IF(HLOOKUP("Mins",A1:CV300,26,FALSE)=0,0,HLOOKUP("SOT",A1:CV300,26,FALSE)/HLOOKUP("Mins",A1:CV300,26,FALSE)* 90)</f>
        <v>0.18305084745762712</v>
      </c>
      <c r="BG26" s="7313">
        <f>IF(HLOOKUP("Mins",A1:CV300,26,FALSE)=0,0,HLOOKUP("As",A1:CV300,26,FALSE)/HLOOKUP("Mins",A1:CV300,26,FALSE)* 90)</f>
        <v>6.1016949152542375E-2</v>
      </c>
      <c r="BH26" s="7314">
        <f>IF(HLOOKUP("Mins",A1:CV300,26,FALSE)=0,0,HLOOKUP("FPL As",A1:CV300,26,FALSE)/HLOOKUP("Mins",A1:CV300,26,FALSE)* 90)</f>
        <v>6.1016949152542375E-2</v>
      </c>
      <c r="BI26" s="7315">
        <f>IF(HLOOKUP("Mins",A1:CV300,26,FALSE)=0,0,HLOOKUP("BC Created",A1:CV300,26,FALSE)/HLOOKUP("Mins",A1:CV300,26,FALSE)* 90)</f>
        <v>0.12203389830508475</v>
      </c>
      <c r="BJ26" s="7316">
        <f>IF(HLOOKUP("Mins",A1:CV300,26,FALSE)=0,0,HLOOKUP("KP",A1:CV300,26,FALSE)/HLOOKUP("Mins",A1:CV300,26,FALSE)* 90)</f>
        <v>0.30508474576271183</v>
      </c>
      <c r="BK26" s="7317">
        <f>IF(HLOOKUP("Mins",A1:CV300,26,FALSE)=0,0,HLOOKUP("BC",A1:CV300,26,FALSE)/HLOOKUP("Mins",A1:CV300,26,FALSE)* 90)</f>
        <v>0.12203389830508475</v>
      </c>
      <c r="BL26" s="7318">
        <f>IF(HLOOKUP("Mins",A1:CV300,26,FALSE)=0,0,HLOOKUP("BC Miss",A1:CV300,26,FALSE)/HLOOKUP("Mins",A1:CV300,26,FALSE)* 90)</f>
        <v>6.1016949152542375E-2</v>
      </c>
      <c r="BM26" s="7319">
        <f>IF(HLOOKUP("Mins",A1:CV300,26,FALSE)=0,0,HLOOKUP("Gs - BC",A1:CV300,26,FALSE)/HLOOKUP("Mins",A1:CV300,26,FALSE)* 90)</f>
        <v>6.1016949152542375E-2</v>
      </c>
      <c r="BN26" s="7320">
        <f>IF(HLOOKUP("Mins",A1:CV300,26,FALSE)=0,0,HLOOKUP("GIB",A1:CV300,26,FALSE)/HLOOKUP("Mins",A1:CV300,26,FALSE)* 90)</f>
        <v>6.1016949152542375E-2</v>
      </c>
      <c r="BO26" s="7321">
        <f>IF(HLOOKUP("Mins",A1:CV300,26,FALSE)=0,0,HLOOKUP("Gs - Open",A1:CV300,26,FALSE)/HLOOKUP("Mins",A1:CV300,26,FALSE)* 90)</f>
        <v>0</v>
      </c>
      <c r="BP26" s="7322">
        <f>IF(HLOOKUP("Mins",A1:CV300,26,FALSE)=0,0,HLOOKUP("ICT Index",A1:CV300,26,FALSE)/HLOOKUP("Mins",A1:CV300,26,FALSE)* 90)</f>
        <v>3.6793220338983046</v>
      </c>
      <c r="BQ26" s="7323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  <v>7.9444067796610174E-2</v>
      </c>
      <c r="BR26" s="7324">
        <f>0.0825*HLOOKUP("KP/90",A1:CV300,26,FALSE)</f>
        <v>2.5169491525423728E-2</v>
      </c>
      <c r="BS26" s="7325">
        <f>6*HLOOKUP("xG/90",A1:CV300,26,FALSE)+3*HLOOKUP("xA/90",A1:CV300,26,FALSE)</f>
        <v>0.55217288135593223</v>
      </c>
      <c r="BT26" s="7326">
        <f>HLOOKUP("xPts/90",A1:CV300,26,FALSE)-(6*0.75*(HLOOKUP("PK Gs",A1:CV300,26,FALSE)+HLOOKUP("PK Miss",A1:CV300,26,FALSE))*90/HLOOKUP("Mins",A1:CV300,26,FALSE))</f>
        <v>0.55217288135593223</v>
      </c>
      <c r="BU26" s="7327">
        <f>IF(HLOOKUP("Mins",A1:CV300,26,FALSE)=0,0,HLOOKUP("fsXG",A1:CV300,26,FALSE)/HLOOKUP("Mins",A1:CV300,26,FALSE)* 90)</f>
        <v>8.5423728813559321E-2</v>
      </c>
      <c r="BV26" s="7328">
        <f>IF(HLOOKUP("Mins",A1:CV300,26,FALSE)=0,0,HLOOKUP("fsXA",A1:CV300,26,FALSE)/HLOOKUP("Mins",A1:CV300,26,FALSE)* 90)</f>
        <v>9.7627118644067791E-3</v>
      </c>
      <c r="BW26" s="7329">
        <f>6*HLOOKUP("fsXG/90",A1:CV300,26,FALSE)+3*HLOOKUP("fsXA/90",A1:CV300,26,FALSE)</f>
        <v>0.54183050847457626</v>
      </c>
      <c r="BX26" s="7330">
        <v>0.10941484570503235</v>
      </c>
      <c r="BY26" s="7331">
        <v>8.1107646226882935E-2</v>
      </c>
      <c r="BZ26" s="7332">
        <f>6*HLOOKUP("uXG/90",A1:CV300,26,FALSE)+3*HLOOKUP("uXA/90",A1:CV300,26,FALSE)</f>
        <v>0.8998120129108429</v>
      </c>
    </row>
    <row r="27" spans="1:78" hidden="1" x14ac:dyDescent="0.3">
      <c r="A27" s="7333" t="s">
        <v>190</v>
      </c>
      <c r="B27" s="7334" t="s">
        <v>107</v>
      </c>
      <c r="C27" s="7335">
        <v>4.4000000953674316</v>
      </c>
      <c r="D27" s="7336">
        <v>1170</v>
      </c>
      <c r="E27" s="7337">
        <v>13</v>
      </c>
      <c r="F27" s="7338">
        <v>33</v>
      </c>
      <c r="G27" s="7339">
        <v>0</v>
      </c>
      <c r="H27" s="7340">
        <v>3</v>
      </c>
      <c r="I27" s="7341">
        <v>210</v>
      </c>
      <c r="J27" s="7342">
        <f>HLOOKUP("BPS",A1:CV300,27,FALSE)-((-6*HLOOKUP("OG",A1:CV300,27,FALSE))+(-6*HLOOKUP("PK Miss",A1:CV300,27,FALSE))+(9*HLOOKUP("FPL As",A1:CV300,27,FALSE))+(12*HLOOKUP("CS",A1:CV300,27,FALSE))+(12*HLOOKUP("Gs",A1:CV300,27,FALSE)))</f>
        <v>174</v>
      </c>
      <c r="K27" s="7343">
        <v>0</v>
      </c>
      <c r="L27" s="7344">
        <v>3</v>
      </c>
      <c r="M27" s="7345">
        <v>20</v>
      </c>
      <c r="N27" s="7346">
        <v>7</v>
      </c>
      <c r="O27" s="7347">
        <v>6</v>
      </c>
      <c r="P27" s="7348">
        <f>IF(HLOOKUP("Shots",A1:CV300,27,FALSE)=0,0,HLOOKUP("SIB",A1:CV300,27,FALSE)/HLOOKUP("Shots",A1:CV300,27,FALSE))</f>
        <v>0.8571428571428571</v>
      </c>
      <c r="Q27" s="7349">
        <v>1</v>
      </c>
      <c r="R27" s="7350">
        <f>IF(HLOOKUP("Shots",A1:CV300,27,FALSE)=0,0,HLOOKUP("S6YD",A1:CV300,27,FALSE)/HLOOKUP("Shots",A1:CV300,27,FALSE))</f>
        <v>0.14285714285714285</v>
      </c>
      <c r="S27" s="7351">
        <v>5</v>
      </c>
      <c r="T27" s="7352">
        <f>IF(HLOOKUP("Shots",A1:CV300,27,FALSE)=0,0,HLOOKUP("Headers",A1:CV300,27,FALSE)/HLOOKUP("Shots",A1:CV300,27,FALSE))</f>
        <v>0.7142857142857143</v>
      </c>
      <c r="U27" s="7353">
        <v>1</v>
      </c>
      <c r="V27" s="7354">
        <f>IF(HLOOKUP("Shots",A1:CV300,27,FALSE)=0,0,HLOOKUP("SOT",A1:CV300,27,FALSE)/HLOOKUP("Shots",A1:CV300,27,FALSE))</f>
        <v>0.14285714285714285</v>
      </c>
      <c r="W27" s="7355">
        <f>IF(HLOOKUP("Shots",A1:CV300,27,FALSE)=0,0,HLOOKUP("Gs",A1:CV300,27,FALSE)/HLOOKUP("Shots",A1:CV300,27,FALSE))</f>
        <v>0</v>
      </c>
      <c r="X27" s="7356">
        <v>0</v>
      </c>
      <c r="Y27" s="7357">
        <v>0</v>
      </c>
      <c r="Z27" s="7358">
        <v>2</v>
      </c>
      <c r="AA27" s="7359">
        <f>IF(HLOOKUP("KP",A1:CV300,27,FALSE)=0,0,HLOOKUP("As",A1:CV300,27,FALSE)/HLOOKUP("KP",A1:CV300,27,FALSE))</f>
        <v>0</v>
      </c>
      <c r="AB27" s="7360">
        <v>41.8</v>
      </c>
      <c r="AC27" s="7361">
        <v>0</v>
      </c>
      <c r="AD27" s="7362">
        <v>0</v>
      </c>
      <c r="AE27" s="7363">
        <v>0</v>
      </c>
      <c r="AF27" s="7364">
        <v>0</v>
      </c>
      <c r="AG27" s="7365">
        <f>IF(HLOOKUP("BC",A1:CV300,27,FALSE)=0,0,HLOOKUP("Gs - BC",A1:CV300,27,FALSE)/HLOOKUP("BC",A1:CV300,27,FALSE))</f>
        <v>0</v>
      </c>
      <c r="AH27" s="7366">
        <f>HLOOKUP("BC",A1:CV300,27,FALSE) - HLOOKUP("BC Miss",A1:CV300,27,FALSE)</f>
        <v>0</v>
      </c>
      <c r="AI27" s="7367">
        <f>IF(HLOOKUP("Gs",A1:CV300,27,FALSE)=0,0,HLOOKUP("Gs - BC",A1:CV300,27,FALSE)/HLOOKUP("Gs",A1:CV300,27,FALSE))</f>
        <v>0</v>
      </c>
      <c r="AJ27" s="7368">
        <v>0</v>
      </c>
      <c r="AK27" s="7369">
        <v>0</v>
      </c>
      <c r="AL27" s="7370">
        <f>HLOOKUP("BC",A1:CV300,27,FALSE) - (HLOOKUP("PK Gs",A1:CV300,27,FALSE) + HLOOKUP("PK Miss",A1:CV300,27,FALSE))</f>
        <v>0</v>
      </c>
      <c r="AM27" s="7371">
        <f>HLOOKUP("BC Miss",A1:CV300,27,FALSE) - HLOOKUP("PK Miss",A1:CV300,27,FALSE)</f>
        <v>0</v>
      </c>
      <c r="AN27" s="7372">
        <f>IF(HLOOKUP("BC - Open",A1:CV300,27,FALSE)=0,0,HLOOKUP("BC - Open Miss",A1:CV300,27,FALSE)/HLOOKUP("BC - Open",A1:CV300,27,FALSE))</f>
        <v>0</v>
      </c>
      <c r="AO27" s="7373">
        <v>0</v>
      </c>
      <c r="AP27" s="7374">
        <f>IF(HLOOKUP("Gs",A1:CV300,27,FALSE)=0,0,HLOOKUP("GIB",A1:CV300,27,FALSE)/HLOOKUP("Gs",A1:CV300,27,FALSE))</f>
        <v>0</v>
      </c>
      <c r="AQ27" s="7375">
        <v>0</v>
      </c>
      <c r="AR27" s="7376">
        <f>IF(HLOOKUP("Gs",A1:CV300,27,FALSE)=0,0,HLOOKUP("Gs - Open",A1:CV300,27,FALSE)/HLOOKUP("Gs",A1:CV300,27,FALSE))</f>
        <v>0</v>
      </c>
      <c r="AS27" s="7377">
        <v>0.47</v>
      </c>
      <c r="AT27" s="7378">
        <v>0.12</v>
      </c>
      <c r="AU27" s="7379">
        <f>IF(HLOOKUP("Mins",A1:CV300,27,FALSE)=0,0,HLOOKUP("Pts",A1:CV300,27,FALSE)/HLOOKUP("Mins",A1:CV300,27,FALSE)* 90)</f>
        <v>2.5384615384615383</v>
      </c>
      <c r="AV27" s="7380">
        <f>IF(HLOOKUP("Apps",A1:CV300,27,FALSE)=0,0,HLOOKUP("Pts",A1:CV300,27,FALSE)/HLOOKUP("Apps",A1:CV300,27,FALSE)* 1)</f>
        <v>2.5384615384615383</v>
      </c>
      <c r="AW27" s="7381">
        <f>IF(HLOOKUP("Mins",A1:CV300,27,FALSE)=0,0,HLOOKUP("Gs",A1:CV300,27,FALSE)/HLOOKUP("Mins",A1:CV300,27,FALSE)* 90)</f>
        <v>0</v>
      </c>
      <c r="AX27" s="7382">
        <f>IF(HLOOKUP("Mins",A1:CV300,27,FALSE)=0,0,HLOOKUP("Bonus",A1:CV300,27,FALSE)/HLOOKUP("Mins",A1:CV300,27,FALSE)* 90)</f>
        <v>0.23076923076923078</v>
      </c>
      <c r="AY27" s="7383">
        <f>IF(HLOOKUP("Mins",A1:CV300,27,FALSE)=0,0,HLOOKUP("BPS",A1:CV300,27,FALSE)/HLOOKUP("Mins",A1:CV300,27,FALSE)* 90)</f>
        <v>16.153846153846153</v>
      </c>
      <c r="AZ27" s="7384">
        <f>IF(HLOOKUP("Mins",A1:CV300,27,FALSE)=0,0,HLOOKUP("Base BPS",A1:CV300,27,FALSE)/HLOOKUP("Mins",A1:CV300,27,FALSE)* 90)</f>
        <v>13.384615384615385</v>
      </c>
      <c r="BA27" s="7385">
        <f>IF(HLOOKUP("Mins",A1:CV300,27,FALSE)=0,0,HLOOKUP("PenTchs",A1:CV300,27,FALSE)/HLOOKUP("Mins",A1:CV300,27,FALSE)* 90)</f>
        <v>1.5384615384615385</v>
      </c>
      <c r="BB27" s="7386">
        <f>IF(HLOOKUP("Mins",A1:CV300,27,FALSE)=0,0,HLOOKUP("Shots",A1:CV300,27,FALSE)/HLOOKUP("Mins",A1:CV300,27,FALSE)* 90)</f>
        <v>0.53846153846153855</v>
      </c>
      <c r="BC27" s="7387">
        <f>IF(HLOOKUP("Mins",A1:CV300,27,FALSE)=0,0,HLOOKUP("SIB",A1:CV300,27,FALSE)/HLOOKUP("Mins",A1:CV300,27,FALSE)* 90)</f>
        <v>0.46153846153846156</v>
      </c>
      <c r="BD27" s="7388">
        <f>IF(HLOOKUP("Mins",A1:CV300,27,FALSE)=0,0,HLOOKUP("S6YD",A1:CV300,27,FALSE)/HLOOKUP("Mins",A1:CV300,27,FALSE)* 90)</f>
        <v>7.6923076923076927E-2</v>
      </c>
      <c r="BE27" s="7389">
        <f>IF(HLOOKUP("Mins",A1:CV300,27,FALSE)=0,0,HLOOKUP("Headers",A1:CV300,27,FALSE)/HLOOKUP("Mins",A1:CV300,27,FALSE)* 90)</f>
        <v>0.38461538461538464</v>
      </c>
      <c r="BF27" s="7390">
        <f>IF(HLOOKUP("Mins",A1:CV300,27,FALSE)=0,0,HLOOKUP("SOT",A1:CV300,27,FALSE)/HLOOKUP("Mins",A1:CV300,27,FALSE)* 90)</f>
        <v>7.6923076923076927E-2</v>
      </c>
      <c r="BG27" s="7391">
        <f>IF(HLOOKUP("Mins",A1:CV300,27,FALSE)=0,0,HLOOKUP("As",A1:CV300,27,FALSE)/HLOOKUP("Mins",A1:CV300,27,FALSE)* 90)</f>
        <v>0</v>
      </c>
      <c r="BH27" s="7392">
        <f>IF(HLOOKUP("Mins",A1:CV300,27,FALSE)=0,0,HLOOKUP("FPL As",A1:CV300,27,FALSE)/HLOOKUP("Mins",A1:CV300,27,FALSE)* 90)</f>
        <v>0</v>
      </c>
      <c r="BI27" s="7393">
        <f>IF(HLOOKUP("Mins",A1:CV300,27,FALSE)=0,0,HLOOKUP("BC Created",A1:CV300,27,FALSE)/HLOOKUP("Mins",A1:CV300,27,FALSE)* 90)</f>
        <v>0</v>
      </c>
      <c r="BJ27" s="7394">
        <f>IF(HLOOKUP("Mins",A1:CV300,27,FALSE)=0,0,HLOOKUP("KP",A1:CV300,27,FALSE)/HLOOKUP("Mins",A1:CV300,27,FALSE)* 90)</f>
        <v>0.15384615384615385</v>
      </c>
      <c r="BK27" s="7395">
        <f>IF(HLOOKUP("Mins",A1:CV300,27,FALSE)=0,0,HLOOKUP("BC",A1:CV300,27,FALSE)/HLOOKUP("Mins",A1:CV300,27,FALSE)* 90)</f>
        <v>0</v>
      </c>
      <c r="BL27" s="7396">
        <f>IF(HLOOKUP("Mins",A1:CV300,27,FALSE)=0,0,HLOOKUP("BC Miss",A1:CV300,27,FALSE)/HLOOKUP("Mins",A1:CV300,27,FALSE)* 90)</f>
        <v>0</v>
      </c>
      <c r="BM27" s="7397">
        <f>IF(HLOOKUP("Mins",A1:CV300,27,FALSE)=0,0,HLOOKUP("Gs - BC",A1:CV300,27,FALSE)/HLOOKUP("Mins",A1:CV300,27,FALSE)* 90)</f>
        <v>0</v>
      </c>
      <c r="BN27" s="7398">
        <f>IF(HLOOKUP("Mins",A1:CV300,27,FALSE)=0,0,HLOOKUP("GIB",A1:CV300,27,FALSE)/HLOOKUP("Mins",A1:CV300,27,FALSE)* 90)</f>
        <v>0</v>
      </c>
      <c r="BO27" s="7399">
        <f>IF(HLOOKUP("Mins",A1:CV300,27,FALSE)=0,0,HLOOKUP("Gs - Open",A1:CV300,27,FALSE)/HLOOKUP("Mins",A1:CV300,27,FALSE)* 90)</f>
        <v>0</v>
      </c>
      <c r="BP27" s="7400">
        <f>IF(HLOOKUP("Mins",A1:CV300,27,FALSE)=0,0,HLOOKUP("ICT Index",A1:CV300,27,FALSE)/HLOOKUP("Mins",A1:CV300,27,FALSE)* 90)</f>
        <v>3.2153846153846151</v>
      </c>
      <c r="BQ27" s="7401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  <v>4.4461538461538462E-2</v>
      </c>
      <c r="BR27" s="7402">
        <f>0.0825*HLOOKUP("KP/90",A1:CV300,27,FALSE)</f>
        <v>1.2692307692307694E-2</v>
      </c>
      <c r="BS27" s="7403">
        <f>6*HLOOKUP("xG/90",A1:CV300,27,FALSE)+3*HLOOKUP("xA/90",A1:CV300,27,FALSE)</f>
        <v>0.30484615384615382</v>
      </c>
      <c r="BT27" s="7404">
        <f>HLOOKUP("xPts/90",A1:CV300,27,FALSE)-(6*0.75*(HLOOKUP("PK Gs",A1:CV300,27,FALSE)+HLOOKUP("PK Miss",A1:CV300,27,FALSE))*90/HLOOKUP("Mins",A1:CV300,27,FALSE))</f>
        <v>0.30484615384615382</v>
      </c>
      <c r="BU27" s="7405">
        <f>IF(HLOOKUP("Mins",A1:CV300,27,FALSE)=0,0,HLOOKUP("fsXG",A1:CV300,27,FALSE)/HLOOKUP("Mins",A1:CV300,27,FALSE)* 90)</f>
        <v>3.6153846153846148E-2</v>
      </c>
      <c r="BV27" s="7406">
        <f>IF(HLOOKUP("Mins",A1:CV300,27,FALSE)=0,0,HLOOKUP("fsXA",A1:CV300,27,FALSE)/HLOOKUP("Mins",A1:CV300,27,FALSE)* 90)</f>
        <v>9.2307692307692299E-3</v>
      </c>
      <c r="BW27" s="7407">
        <f>6*HLOOKUP("fsXG/90",A1:CV300,27,FALSE)+3*HLOOKUP("fsXA/90",A1:CV300,27,FALSE)</f>
        <v>0.24461538461538457</v>
      </c>
      <c r="BX27" s="7408">
        <v>2.515764907002449E-2</v>
      </c>
      <c r="BY27" s="7409">
        <v>5.2339797839522362E-3</v>
      </c>
      <c r="BZ27" s="7410">
        <f>6*HLOOKUP("uXG/90",A1:CV300,27,FALSE)+3*HLOOKUP("uXA/90",A1:CV300,27,FALSE)</f>
        <v>0.16664783377200365</v>
      </c>
    </row>
    <row r="28" spans="1:78" hidden="1" x14ac:dyDescent="0.3">
      <c r="A28" s="7411" t="s">
        <v>191</v>
      </c>
      <c r="B28" s="7412" t="s">
        <v>93</v>
      </c>
      <c r="C28" s="7413">
        <v>4.3000001907348633</v>
      </c>
      <c r="D28" s="7414">
        <v>127</v>
      </c>
      <c r="E28" s="7415">
        <v>2</v>
      </c>
      <c r="F28" s="7416">
        <v>3</v>
      </c>
      <c r="G28" s="7417">
        <v>0</v>
      </c>
      <c r="H28" s="7418">
        <v>0</v>
      </c>
      <c r="I28" s="7419">
        <v>18</v>
      </c>
      <c r="J28" s="7420">
        <f>HLOOKUP("BPS",A1:CV300,28,FALSE)-((-6*HLOOKUP("OG",A1:CV300,28,FALSE))+(-6*HLOOKUP("PK Miss",A1:CV300,28,FALSE))+(9*HLOOKUP("FPL As",A1:CV300,28,FALSE))+(12*HLOOKUP("CS",A1:CV300,28,FALSE))+(12*HLOOKUP("Gs",A1:CV300,28,FALSE)))</f>
        <v>18</v>
      </c>
      <c r="K28" s="7421">
        <v>0</v>
      </c>
      <c r="L28" s="7422">
        <v>0</v>
      </c>
      <c r="M28" s="7423">
        <v>0</v>
      </c>
      <c r="N28" s="7424">
        <v>0</v>
      </c>
      <c r="O28" s="7425">
        <v>0</v>
      </c>
      <c r="P28" s="7426">
        <f>IF(HLOOKUP("Shots",A1:CV300,28,FALSE)=0,0,HLOOKUP("SIB",A1:CV300,28,FALSE)/HLOOKUP("Shots",A1:CV300,28,FALSE))</f>
        <v>0</v>
      </c>
      <c r="Q28" s="7427">
        <v>0</v>
      </c>
      <c r="R28" s="7428">
        <f>IF(HLOOKUP("Shots",A1:CV300,28,FALSE)=0,0,HLOOKUP("S6YD",A1:CV300,28,FALSE)/HLOOKUP("Shots",A1:CV300,28,FALSE))</f>
        <v>0</v>
      </c>
      <c r="S28" s="7429">
        <v>0</v>
      </c>
      <c r="T28" s="7430">
        <f>IF(HLOOKUP("Shots",A1:CV300,28,FALSE)=0,0,HLOOKUP("Headers",A1:CV300,28,FALSE)/HLOOKUP("Shots",A1:CV300,28,FALSE))</f>
        <v>0</v>
      </c>
      <c r="U28" s="7431">
        <v>0</v>
      </c>
      <c r="V28" s="7432">
        <f>IF(HLOOKUP("Shots",A1:CV300,28,FALSE)=0,0,HLOOKUP("SOT",A1:CV300,28,FALSE)/HLOOKUP("Shots",A1:CV300,28,FALSE))</f>
        <v>0</v>
      </c>
      <c r="W28" s="7433">
        <f>IF(HLOOKUP("Shots",A1:CV300,28,FALSE)=0,0,HLOOKUP("Gs",A1:CV300,28,FALSE)/HLOOKUP("Shots",A1:CV300,28,FALSE))</f>
        <v>0</v>
      </c>
      <c r="X28" s="7434">
        <v>0</v>
      </c>
      <c r="Y28" s="7435">
        <v>0</v>
      </c>
      <c r="Z28" s="7436">
        <v>2</v>
      </c>
      <c r="AA28" s="7437">
        <f>IF(HLOOKUP("KP",A1:CV300,28,FALSE)=0,0,HLOOKUP("As",A1:CV300,28,FALSE)/HLOOKUP("KP",A1:CV300,28,FALSE))</f>
        <v>0</v>
      </c>
      <c r="AB28" s="7438">
        <v>5.4</v>
      </c>
      <c r="AC28" s="7439">
        <v>0</v>
      </c>
      <c r="AD28" s="7440">
        <v>0</v>
      </c>
      <c r="AE28" s="7441">
        <v>0</v>
      </c>
      <c r="AF28" s="7442">
        <v>0</v>
      </c>
      <c r="AG28" s="7443">
        <f>IF(HLOOKUP("BC",A1:CV300,28,FALSE)=0,0,HLOOKUP("Gs - BC",A1:CV300,28,FALSE)/HLOOKUP("BC",A1:CV300,28,FALSE))</f>
        <v>0</v>
      </c>
      <c r="AH28" s="7444">
        <f>HLOOKUP("BC",A1:CV300,28,FALSE) - HLOOKUP("BC Miss",A1:CV300,28,FALSE)</f>
        <v>0</v>
      </c>
      <c r="AI28" s="7445">
        <f>IF(HLOOKUP("Gs",A1:CV300,28,FALSE)=0,0,HLOOKUP("Gs - BC",A1:CV300,28,FALSE)/HLOOKUP("Gs",A1:CV300,28,FALSE))</f>
        <v>0</v>
      </c>
      <c r="AJ28" s="7446">
        <v>0</v>
      </c>
      <c r="AK28" s="7447">
        <v>0</v>
      </c>
      <c r="AL28" s="7448">
        <f>HLOOKUP("BC",A1:CV300,28,FALSE) - (HLOOKUP("PK Gs",A1:CV300,28,FALSE) + HLOOKUP("PK Miss",A1:CV300,28,FALSE))</f>
        <v>0</v>
      </c>
      <c r="AM28" s="7449">
        <f>HLOOKUP("BC Miss",A1:CV300,28,FALSE) - HLOOKUP("PK Miss",A1:CV300,28,FALSE)</f>
        <v>0</v>
      </c>
      <c r="AN28" s="7450">
        <f>IF(HLOOKUP("BC - Open",A1:CV300,28,FALSE)=0,0,HLOOKUP("BC - Open Miss",A1:CV300,28,FALSE)/HLOOKUP("BC - Open",A1:CV300,28,FALSE))</f>
        <v>0</v>
      </c>
      <c r="AO28" s="7451">
        <v>0</v>
      </c>
      <c r="AP28" s="7452">
        <f>IF(HLOOKUP("Gs",A1:CV300,28,FALSE)=0,0,HLOOKUP("GIB",A1:CV300,28,FALSE)/HLOOKUP("Gs",A1:CV300,28,FALSE))</f>
        <v>0</v>
      </c>
      <c r="AQ28" s="7453">
        <v>0</v>
      </c>
      <c r="AR28" s="7454">
        <f>IF(HLOOKUP("Gs",A1:CV300,28,FALSE)=0,0,HLOOKUP("Gs - Open",A1:CV300,28,FALSE)/HLOOKUP("Gs",A1:CV300,28,FALSE))</f>
        <v>0</v>
      </c>
      <c r="AS28" s="7455">
        <v>0</v>
      </c>
      <c r="AT28" s="7456">
        <v>0.03</v>
      </c>
      <c r="AU28" s="7457">
        <f>IF(HLOOKUP("Mins",A1:CV300,28,FALSE)=0,0,HLOOKUP("Pts",A1:CV300,28,FALSE)/HLOOKUP("Mins",A1:CV300,28,FALSE)* 90)</f>
        <v>2.1259842519685037</v>
      </c>
      <c r="AV28" s="7458">
        <f>IF(HLOOKUP("Apps",A1:CV300,28,FALSE)=0,0,HLOOKUP("Pts",A1:CV300,28,FALSE)/HLOOKUP("Apps",A1:CV300,28,FALSE)* 1)</f>
        <v>1.5</v>
      </c>
      <c r="AW28" s="7459">
        <f>IF(HLOOKUP("Mins",A1:CV300,28,FALSE)=0,0,HLOOKUP("Gs",A1:CV300,28,FALSE)/HLOOKUP("Mins",A1:CV300,28,FALSE)* 90)</f>
        <v>0</v>
      </c>
      <c r="AX28" s="7460">
        <f>IF(HLOOKUP("Mins",A1:CV300,28,FALSE)=0,0,HLOOKUP("Bonus",A1:CV300,28,FALSE)/HLOOKUP("Mins",A1:CV300,28,FALSE)* 90)</f>
        <v>0</v>
      </c>
      <c r="AY28" s="7461">
        <f>IF(HLOOKUP("Mins",A1:CV300,28,FALSE)=0,0,HLOOKUP("BPS",A1:CV300,28,FALSE)/HLOOKUP("Mins",A1:CV300,28,FALSE)* 90)</f>
        <v>12.755905511811024</v>
      </c>
      <c r="AZ28" s="7462">
        <f>IF(HLOOKUP("Mins",A1:CV300,28,FALSE)=0,0,HLOOKUP("Base BPS",A1:CV300,28,FALSE)/HLOOKUP("Mins",A1:CV300,28,FALSE)* 90)</f>
        <v>12.755905511811024</v>
      </c>
      <c r="BA28" s="7463">
        <f>IF(HLOOKUP("Mins",A1:CV300,28,FALSE)=0,0,HLOOKUP("PenTchs",A1:CV300,28,FALSE)/HLOOKUP("Mins",A1:CV300,28,FALSE)* 90)</f>
        <v>0</v>
      </c>
      <c r="BB28" s="7464">
        <f>IF(HLOOKUP("Mins",A1:CV300,28,FALSE)=0,0,HLOOKUP("Shots",A1:CV300,28,FALSE)/HLOOKUP("Mins",A1:CV300,28,FALSE)* 90)</f>
        <v>0</v>
      </c>
      <c r="BC28" s="7465">
        <f>IF(HLOOKUP("Mins",A1:CV300,28,FALSE)=0,0,HLOOKUP("SIB",A1:CV300,28,FALSE)/HLOOKUP("Mins",A1:CV300,28,FALSE)* 90)</f>
        <v>0</v>
      </c>
      <c r="BD28" s="7466">
        <f>IF(HLOOKUP("Mins",A1:CV300,28,FALSE)=0,0,HLOOKUP("S6YD",A1:CV300,28,FALSE)/HLOOKUP("Mins",A1:CV300,28,FALSE)* 90)</f>
        <v>0</v>
      </c>
      <c r="BE28" s="7467">
        <f>IF(HLOOKUP("Mins",A1:CV300,28,FALSE)=0,0,HLOOKUP("Headers",A1:CV300,28,FALSE)/HLOOKUP("Mins",A1:CV300,28,FALSE)* 90)</f>
        <v>0</v>
      </c>
      <c r="BF28" s="7468">
        <f>IF(HLOOKUP("Mins",A1:CV300,28,FALSE)=0,0,HLOOKUP("SOT",A1:CV300,28,FALSE)/HLOOKUP("Mins",A1:CV300,28,FALSE)* 90)</f>
        <v>0</v>
      </c>
      <c r="BG28" s="7469">
        <f>IF(HLOOKUP("Mins",A1:CV300,28,FALSE)=0,0,HLOOKUP("As",A1:CV300,28,FALSE)/HLOOKUP("Mins",A1:CV300,28,FALSE)* 90)</f>
        <v>0</v>
      </c>
      <c r="BH28" s="7470">
        <f>IF(HLOOKUP("Mins",A1:CV300,28,FALSE)=0,0,HLOOKUP("FPL As",A1:CV300,28,FALSE)/HLOOKUP("Mins",A1:CV300,28,FALSE)* 90)</f>
        <v>0</v>
      </c>
      <c r="BI28" s="7471">
        <f>IF(HLOOKUP("Mins",A1:CV300,28,FALSE)=0,0,HLOOKUP("BC Created",A1:CV300,28,FALSE)/HLOOKUP("Mins",A1:CV300,28,FALSE)* 90)</f>
        <v>0</v>
      </c>
      <c r="BJ28" s="7472">
        <f>IF(HLOOKUP("Mins",A1:CV300,28,FALSE)=0,0,HLOOKUP("KP",A1:CV300,28,FALSE)/HLOOKUP("Mins",A1:CV300,28,FALSE)* 90)</f>
        <v>1.4173228346456692</v>
      </c>
      <c r="BK28" s="7473">
        <f>IF(HLOOKUP("Mins",A1:CV300,28,FALSE)=0,0,HLOOKUP("BC",A1:CV300,28,FALSE)/HLOOKUP("Mins",A1:CV300,28,FALSE)* 90)</f>
        <v>0</v>
      </c>
      <c r="BL28" s="7474">
        <f>IF(HLOOKUP("Mins",A1:CV300,28,FALSE)=0,0,HLOOKUP("BC Miss",A1:CV300,28,FALSE)/HLOOKUP("Mins",A1:CV300,28,FALSE)* 90)</f>
        <v>0</v>
      </c>
      <c r="BM28" s="7475">
        <f>IF(HLOOKUP("Mins",A1:CV300,28,FALSE)=0,0,HLOOKUP("Gs - BC",A1:CV300,28,FALSE)/HLOOKUP("Mins",A1:CV300,28,FALSE)* 90)</f>
        <v>0</v>
      </c>
      <c r="BN28" s="7476">
        <f>IF(HLOOKUP("Mins",A1:CV300,28,FALSE)=0,0,HLOOKUP("GIB",A1:CV300,28,FALSE)/HLOOKUP("Mins",A1:CV300,28,FALSE)* 90)</f>
        <v>0</v>
      </c>
      <c r="BO28" s="7477">
        <f>IF(HLOOKUP("Mins",A1:CV300,28,FALSE)=0,0,HLOOKUP("Gs - Open",A1:CV300,28,FALSE)/HLOOKUP("Mins",A1:CV300,28,FALSE)* 90)</f>
        <v>0</v>
      </c>
      <c r="BP28" s="7478">
        <f>IF(HLOOKUP("Mins",A1:CV300,28,FALSE)=0,0,HLOOKUP("ICT Index",A1:CV300,28,FALSE)/HLOOKUP("Mins",A1:CV300,28,FALSE)* 90)</f>
        <v>3.826771653543307</v>
      </c>
      <c r="BQ28" s="7479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  <v>0</v>
      </c>
      <c r="BR28" s="7480">
        <f>0.0825*HLOOKUP("KP/90",A1:CV300,28,FALSE)</f>
        <v>0.11692913385826771</v>
      </c>
      <c r="BS28" s="7481">
        <f>6*HLOOKUP("xG/90",A1:CV300,28,FALSE)+3*HLOOKUP("xA/90",A1:CV300,28,FALSE)</f>
        <v>0.35078740157480315</v>
      </c>
      <c r="BT28" s="7482">
        <f>HLOOKUP("xPts/90",A1:CV300,28,FALSE)-(6*0.75*(HLOOKUP("PK Gs",A1:CV300,28,FALSE)+HLOOKUP("PK Miss",A1:CV300,28,FALSE))*90/HLOOKUP("Mins",A1:CV300,28,FALSE))</f>
        <v>0.35078740157480315</v>
      </c>
      <c r="BU28" s="7483">
        <f>IF(HLOOKUP("Mins",A1:CV300,28,FALSE)=0,0,HLOOKUP("fsXG",A1:CV300,28,FALSE)/HLOOKUP("Mins",A1:CV300,28,FALSE)* 90)</f>
        <v>0</v>
      </c>
      <c r="BV28" s="7484">
        <f>IF(HLOOKUP("Mins",A1:CV300,28,FALSE)=0,0,HLOOKUP("fsXA",A1:CV300,28,FALSE)/HLOOKUP("Mins",A1:CV300,28,FALSE)* 90)</f>
        <v>2.1259842519685039E-2</v>
      </c>
      <c r="BW28" s="7485">
        <f>6*HLOOKUP("fsXG/90",A1:CV300,28,FALSE)+3*HLOOKUP("fsXA/90",A1:CV300,28,FALSE)</f>
        <v>6.377952755905511E-2</v>
      </c>
      <c r="BX28" s="7486">
        <v>0</v>
      </c>
      <c r="BY28" s="7487">
        <v>0.10123026371002197</v>
      </c>
      <c r="BZ28" s="7488">
        <f>6*HLOOKUP("uXG/90",A1:CV300,28,FALSE)+3*HLOOKUP("uXA/90",A1:CV300,28,FALSE)</f>
        <v>0.30369079113006592</v>
      </c>
    </row>
    <row r="29" spans="1:78" hidden="1" x14ac:dyDescent="0.3">
      <c r="A29" s="7489" t="s">
        <v>192</v>
      </c>
      <c r="B29" s="7490" t="s">
        <v>115</v>
      </c>
      <c r="C29" s="7491">
        <v>4.5999999046325684</v>
      </c>
      <c r="D29" s="7492">
        <v>1006</v>
      </c>
      <c r="E29" s="7493">
        <v>12</v>
      </c>
      <c r="F29" s="7494">
        <v>16</v>
      </c>
      <c r="G29" s="7495">
        <v>0</v>
      </c>
      <c r="H29" s="7496">
        <v>0</v>
      </c>
      <c r="I29" s="7497">
        <v>141</v>
      </c>
      <c r="J29" s="7498">
        <f>HLOOKUP("BPS",A1:CV300,29,FALSE)-((-6*HLOOKUP("OG",A1:CV300,29,FALSE))+(-6*HLOOKUP("PK Miss",A1:CV300,29,FALSE))+(9*HLOOKUP("FPL As",A1:CV300,29,FALSE))+(12*HLOOKUP("CS",A1:CV300,29,FALSE))+(12*HLOOKUP("Gs",A1:CV300,29,FALSE)))</f>
        <v>117</v>
      </c>
      <c r="K29" s="7499">
        <v>0</v>
      </c>
      <c r="L29" s="7500">
        <v>2</v>
      </c>
      <c r="M29" s="7501">
        <v>7</v>
      </c>
      <c r="N29" s="7502">
        <v>6</v>
      </c>
      <c r="O29" s="7503">
        <v>3</v>
      </c>
      <c r="P29" s="7504">
        <f>IF(HLOOKUP("Shots",A1:CV300,29,FALSE)=0,0,HLOOKUP("SIB",A1:CV300,29,FALSE)/HLOOKUP("Shots",A1:CV300,29,FALSE))</f>
        <v>0.5</v>
      </c>
      <c r="Q29" s="7505">
        <v>0</v>
      </c>
      <c r="R29" s="7506">
        <f>IF(HLOOKUP("Shots",A1:CV300,29,FALSE)=0,0,HLOOKUP("S6YD",A1:CV300,29,FALSE)/HLOOKUP("Shots",A1:CV300,29,FALSE))</f>
        <v>0</v>
      </c>
      <c r="S29" s="7507">
        <v>1</v>
      </c>
      <c r="T29" s="7508">
        <f>IF(HLOOKUP("Shots",A1:CV300,29,FALSE)=0,0,HLOOKUP("Headers",A1:CV300,29,FALSE)/HLOOKUP("Shots",A1:CV300,29,FALSE))</f>
        <v>0.16666666666666666</v>
      </c>
      <c r="U29" s="7509">
        <v>3</v>
      </c>
      <c r="V29" s="7510">
        <f>IF(HLOOKUP("Shots",A1:CV300,29,FALSE)=0,0,HLOOKUP("SOT",A1:CV300,29,FALSE)/HLOOKUP("Shots",A1:CV300,29,FALSE))</f>
        <v>0.5</v>
      </c>
      <c r="W29" s="7511">
        <f>IF(HLOOKUP("Shots",A1:CV300,29,FALSE)=0,0,HLOOKUP("Gs",A1:CV300,29,FALSE)/HLOOKUP("Shots",A1:CV300,29,FALSE))</f>
        <v>0</v>
      </c>
      <c r="X29" s="7512">
        <v>0</v>
      </c>
      <c r="Y29" s="7513">
        <v>0</v>
      </c>
      <c r="Z29" s="7514">
        <v>11</v>
      </c>
      <c r="AA29" s="7515">
        <f>IF(HLOOKUP("KP",A1:CV300,29,FALSE)=0,0,HLOOKUP("As",A1:CV300,29,FALSE)/HLOOKUP("KP",A1:CV300,29,FALSE))</f>
        <v>0</v>
      </c>
      <c r="AB29" s="7516">
        <v>43.7</v>
      </c>
      <c r="AC29" s="7517">
        <v>0</v>
      </c>
      <c r="AD29" s="7518">
        <v>0</v>
      </c>
      <c r="AE29" s="7519">
        <v>0</v>
      </c>
      <c r="AF29" s="7520">
        <v>0</v>
      </c>
      <c r="AG29" s="7521">
        <f>IF(HLOOKUP("BC",A1:CV300,29,FALSE)=0,0,HLOOKUP("Gs - BC",A1:CV300,29,FALSE)/HLOOKUP("BC",A1:CV300,29,FALSE))</f>
        <v>0</v>
      </c>
      <c r="AH29" s="7522">
        <f>HLOOKUP("BC",A1:CV300,29,FALSE) - HLOOKUP("BC Miss",A1:CV300,29,FALSE)</f>
        <v>0</v>
      </c>
      <c r="AI29" s="7523">
        <f>IF(HLOOKUP("Gs",A1:CV300,29,FALSE)=0,0,HLOOKUP("Gs - BC",A1:CV300,29,FALSE)/HLOOKUP("Gs",A1:CV300,29,FALSE))</f>
        <v>0</v>
      </c>
      <c r="AJ29" s="7524">
        <v>0</v>
      </c>
      <c r="AK29" s="7525">
        <v>0</v>
      </c>
      <c r="AL29" s="7526">
        <f>HLOOKUP("BC",A1:CV300,29,FALSE) - (HLOOKUP("PK Gs",A1:CV300,29,FALSE) + HLOOKUP("PK Miss",A1:CV300,29,FALSE))</f>
        <v>0</v>
      </c>
      <c r="AM29" s="7527">
        <f>HLOOKUP("BC Miss",A1:CV300,29,FALSE) - HLOOKUP("PK Miss",A1:CV300,29,FALSE)</f>
        <v>0</v>
      </c>
      <c r="AN29" s="7528">
        <f>IF(HLOOKUP("BC - Open",A1:CV300,29,FALSE)=0,0,HLOOKUP("BC - Open Miss",A1:CV300,29,FALSE)/HLOOKUP("BC - Open",A1:CV300,29,FALSE))</f>
        <v>0</v>
      </c>
      <c r="AO29" s="7529">
        <v>0</v>
      </c>
      <c r="AP29" s="7530">
        <f>IF(HLOOKUP("Gs",A1:CV300,29,FALSE)=0,0,HLOOKUP("GIB",A1:CV300,29,FALSE)/HLOOKUP("Gs",A1:CV300,29,FALSE))</f>
        <v>0</v>
      </c>
      <c r="AQ29" s="7531">
        <v>0</v>
      </c>
      <c r="AR29" s="7532">
        <f>IF(HLOOKUP("Gs",A1:CV300,29,FALSE)=0,0,HLOOKUP("Gs - Open",A1:CV300,29,FALSE)/HLOOKUP("Gs",A1:CV300,29,FALSE))</f>
        <v>0</v>
      </c>
      <c r="AS29" s="7533">
        <v>0.34</v>
      </c>
      <c r="AT29" s="7534">
        <v>0.89</v>
      </c>
      <c r="AU29" s="7535">
        <f>IF(HLOOKUP("Mins",A1:CV300,29,FALSE)=0,0,HLOOKUP("Pts",A1:CV300,29,FALSE)/HLOOKUP("Mins",A1:CV300,29,FALSE)* 90)</f>
        <v>1.4314115308151092</v>
      </c>
      <c r="AV29" s="7536">
        <f>IF(HLOOKUP("Apps",A1:CV300,29,FALSE)=0,0,HLOOKUP("Pts",A1:CV300,29,FALSE)/HLOOKUP("Apps",A1:CV300,29,FALSE)* 1)</f>
        <v>1.3333333333333333</v>
      </c>
      <c r="AW29" s="7537">
        <f>IF(HLOOKUP("Mins",A1:CV300,29,FALSE)=0,0,HLOOKUP("Gs",A1:CV300,29,FALSE)/HLOOKUP("Mins",A1:CV300,29,FALSE)* 90)</f>
        <v>0</v>
      </c>
      <c r="AX29" s="7538">
        <f>IF(HLOOKUP("Mins",A1:CV300,29,FALSE)=0,0,HLOOKUP("Bonus",A1:CV300,29,FALSE)/HLOOKUP("Mins",A1:CV300,29,FALSE)* 90)</f>
        <v>0</v>
      </c>
      <c r="AY29" s="7539">
        <f>IF(HLOOKUP("Mins",A1:CV300,29,FALSE)=0,0,HLOOKUP("BPS",A1:CV300,29,FALSE)/HLOOKUP("Mins",A1:CV300,29,FALSE)* 90)</f>
        <v>12.614314115308153</v>
      </c>
      <c r="AZ29" s="7540">
        <f>IF(HLOOKUP("Mins",A1:CV300,29,FALSE)=0,0,HLOOKUP("Base BPS",A1:CV300,29,FALSE)/HLOOKUP("Mins",A1:CV300,29,FALSE)* 90)</f>
        <v>10.467196819085487</v>
      </c>
      <c r="BA29" s="7541">
        <f>IF(HLOOKUP("Mins",A1:CV300,29,FALSE)=0,0,HLOOKUP("PenTchs",A1:CV300,29,FALSE)/HLOOKUP("Mins",A1:CV300,29,FALSE)* 90)</f>
        <v>0.62624254473161034</v>
      </c>
      <c r="BB29" s="7542">
        <f>IF(HLOOKUP("Mins",A1:CV300,29,FALSE)=0,0,HLOOKUP("Shots",A1:CV300,29,FALSE)/HLOOKUP("Mins",A1:CV300,29,FALSE)* 90)</f>
        <v>0.53677932405566597</v>
      </c>
      <c r="BC29" s="7543">
        <f>IF(HLOOKUP("Mins",A1:CV300,29,FALSE)=0,0,HLOOKUP("SIB",A1:CV300,29,FALSE)/HLOOKUP("Mins",A1:CV300,29,FALSE)* 90)</f>
        <v>0.26838966202783299</v>
      </c>
      <c r="BD29" s="7544">
        <f>IF(HLOOKUP("Mins",A1:CV300,29,FALSE)=0,0,HLOOKUP("S6YD",A1:CV300,29,FALSE)/HLOOKUP("Mins",A1:CV300,29,FALSE)* 90)</f>
        <v>0</v>
      </c>
      <c r="BE29" s="7545">
        <f>IF(HLOOKUP("Mins",A1:CV300,29,FALSE)=0,0,HLOOKUP("Headers",A1:CV300,29,FALSE)/HLOOKUP("Mins",A1:CV300,29,FALSE)* 90)</f>
        <v>8.9463220675944324E-2</v>
      </c>
      <c r="BF29" s="7546">
        <f>IF(HLOOKUP("Mins",A1:CV300,29,FALSE)=0,0,HLOOKUP("SOT",A1:CV300,29,FALSE)/HLOOKUP("Mins",A1:CV300,29,FALSE)* 90)</f>
        <v>0.26838966202783299</v>
      </c>
      <c r="BG29" s="7547">
        <f>IF(HLOOKUP("Mins",A1:CV300,29,FALSE)=0,0,HLOOKUP("As",A1:CV300,29,FALSE)/HLOOKUP("Mins",A1:CV300,29,FALSE)* 90)</f>
        <v>0</v>
      </c>
      <c r="BH29" s="7548">
        <f>IF(HLOOKUP("Mins",A1:CV300,29,FALSE)=0,0,HLOOKUP("FPL As",A1:CV300,29,FALSE)/HLOOKUP("Mins",A1:CV300,29,FALSE)* 90)</f>
        <v>0</v>
      </c>
      <c r="BI29" s="7549">
        <f>IF(HLOOKUP("Mins",A1:CV300,29,FALSE)=0,0,HLOOKUP("BC Created",A1:CV300,29,FALSE)/HLOOKUP("Mins",A1:CV300,29,FALSE)* 90)</f>
        <v>0</v>
      </c>
      <c r="BJ29" s="7550">
        <f>IF(HLOOKUP("Mins",A1:CV300,29,FALSE)=0,0,HLOOKUP("KP",A1:CV300,29,FALSE)/HLOOKUP("Mins",A1:CV300,29,FALSE)* 90)</f>
        <v>0.98409542743538769</v>
      </c>
      <c r="BK29" s="7551">
        <f>IF(HLOOKUP("Mins",A1:CV300,29,FALSE)=0,0,HLOOKUP("BC",A1:CV300,29,FALSE)/HLOOKUP("Mins",A1:CV300,29,FALSE)* 90)</f>
        <v>0</v>
      </c>
      <c r="BL29" s="7552">
        <f>IF(HLOOKUP("Mins",A1:CV300,29,FALSE)=0,0,HLOOKUP("BC Miss",A1:CV300,29,FALSE)/HLOOKUP("Mins",A1:CV300,29,FALSE)* 90)</f>
        <v>0</v>
      </c>
      <c r="BM29" s="7553">
        <f>IF(HLOOKUP("Mins",A1:CV300,29,FALSE)=0,0,HLOOKUP("Gs - BC",A1:CV300,29,FALSE)/HLOOKUP("Mins",A1:CV300,29,FALSE)* 90)</f>
        <v>0</v>
      </c>
      <c r="BN29" s="7554">
        <f>IF(HLOOKUP("Mins",A1:CV300,29,FALSE)=0,0,HLOOKUP("GIB",A1:CV300,29,FALSE)/HLOOKUP("Mins",A1:CV300,29,FALSE)* 90)</f>
        <v>0</v>
      </c>
      <c r="BO29" s="7555">
        <f>IF(HLOOKUP("Mins",A1:CV300,29,FALSE)=0,0,HLOOKUP("Gs - Open",A1:CV300,29,FALSE)/HLOOKUP("Mins",A1:CV300,29,FALSE)* 90)</f>
        <v>0</v>
      </c>
      <c r="BP29" s="7556">
        <f>IF(HLOOKUP("Mins",A1:CV300,29,FALSE)=0,0,HLOOKUP("ICT Index",A1:CV300,29,FALSE)/HLOOKUP("Mins",A1:CV300,29,FALSE)* 90)</f>
        <v>3.9095427435387675</v>
      </c>
      <c r="BQ29" s="7557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  <v>3.0328031809145131E-2</v>
      </c>
      <c r="BR29" s="7558">
        <f>0.0825*HLOOKUP("KP/90",A1:CV300,29,FALSE)</f>
        <v>8.1187872763419489E-2</v>
      </c>
      <c r="BS29" s="7559">
        <f>6*HLOOKUP("xG/90",A1:CV300,29,FALSE)+3*HLOOKUP("xA/90",A1:CV300,29,FALSE)</f>
        <v>0.42553180914512923</v>
      </c>
      <c r="BT29" s="7560">
        <f>HLOOKUP("xPts/90",A1:CV300,29,FALSE)-(6*0.75*(HLOOKUP("PK Gs",A1:CV300,29,FALSE)+HLOOKUP("PK Miss",A1:CV300,29,FALSE))*90/HLOOKUP("Mins",A1:CV300,29,FALSE))</f>
        <v>0.42553180914512923</v>
      </c>
      <c r="BU29" s="7561">
        <f>IF(HLOOKUP("Mins",A1:CV300,29,FALSE)=0,0,HLOOKUP("fsXG",A1:CV300,29,FALSE)/HLOOKUP("Mins",A1:CV300,29,FALSE)* 90)</f>
        <v>3.0417495029821075E-2</v>
      </c>
      <c r="BV29" s="7562">
        <f>IF(HLOOKUP("Mins",A1:CV300,29,FALSE)=0,0,HLOOKUP("fsXA",A1:CV300,29,FALSE)/HLOOKUP("Mins",A1:CV300,29,FALSE)* 90)</f>
        <v>7.9622266401590466E-2</v>
      </c>
      <c r="BW29" s="7563">
        <f>6*HLOOKUP("fsXG/90",A1:CV300,29,FALSE)+3*HLOOKUP("fsXA/90",A1:CV300,29,FALSE)</f>
        <v>0.4213717693836978</v>
      </c>
      <c r="BX29" s="7564">
        <v>2.1341776475310326E-2</v>
      </c>
      <c r="BY29" s="7565">
        <v>4.857277125120163E-2</v>
      </c>
      <c r="BZ29" s="7566">
        <f>6*HLOOKUP("uXG/90",A1:CV300,29,FALSE)+3*HLOOKUP("uXA/90",A1:CV300,29,FALSE)</f>
        <v>0.27376897260546684</v>
      </c>
    </row>
    <row r="30" spans="1:78" hidden="1" x14ac:dyDescent="0.3">
      <c r="A30" s="7567" t="s">
        <v>193</v>
      </c>
      <c r="B30" s="7568" t="s">
        <v>132</v>
      </c>
      <c r="C30" s="7569">
        <v>7.5</v>
      </c>
      <c r="D30" s="7570">
        <v>1843</v>
      </c>
      <c r="E30" s="7571">
        <v>21</v>
      </c>
      <c r="F30" s="7572">
        <v>118</v>
      </c>
      <c r="G30" s="7573">
        <v>2</v>
      </c>
      <c r="H30" s="7574">
        <v>12</v>
      </c>
      <c r="I30" s="7575">
        <v>525</v>
      </c>
      <c r="J30" s="7576">
        <f>HLOOKUP("BPS",A1:CV300,30,FALSE)-((-6*HLOOKUP("OG",A1:CV300,30,FALSE))+(-6*HLOOKUP("PK Miss",A1:CV300,30,FALSE))+(9*HLOOKUP("FPL As",A1:CV300,30,FALSE))+(12*HLOOKUP("CS",A1:CV300,30,FALSE))+(12*HLOOKUP("Gs",A1:CV300,30,FALSE)))</f>
        <v>327</v>
      </c>
      <c r="K30" s="7577">
        <v>0</v>
      </c>
      <c r="L30" s="7578">
        <v>7</v>
      </c>
      <c r="M30" s="7579">
        <v>37</v>
      </c>
      <c r="N30" s="7580">
        <v>25</v>
      </c>
      <c r="O30" s="7581">
        <v>13</v>
      </c>
      <c r="P30" s="7582">
        <f>IF(HLOOKUP("Shots",A1:CV300,30,FALSE)=0,0,HLOOKUP("SIB",A1:CV300,30,FALSE)/HLOOKUP("Shots",A1:CV300,30,FALSE))</f>
        <v>0.52</v>
      </c>
      <c r="Q30" s="7583">
        <v>0</v>
      </c>
      <c r="R30" s="7584">
        <f>IF(HLOOKUP("Shots",A1:CV300,30,FALSE)=0,0,HLOOKUP("S6YD",A1:CV300,30,FALSE)/HLOOKUP("Shots",A1:CV300,30,FALSE))</f>
        <v>0</v>
      </c>
      <c r="S30" s="7585">
        <v>0</v>
      </c>
      <c r="T30" s="7586">
        <f>IF(HLOOKUP("Shots",A1:CV300,30,FALSE)=0,0,HLOOKUP("Headers",A1:CV300,30,FALSE)/HLOOKUP("Shots",A1:CV300,30,FALSE))</f>
        <v>0</v>
      </c>
      <c r="U30" s="7587">
        <v>7</v>
      </c>
      <c r="V30" s="7588">
        <f>IF(HLOOKUP("Shots",A1:CV300,30,FALSE)=0,0,HLOOKUP("SOT",A1:CV300,30,FALSE)/HLOOKUP("Shots",A1:CV300,30,FALSE))</f>
        <v>0.28000000000000003</v>
      </c>
      <c r="W30" s="7589">
        <f>IF(HLOOKUP("Shots",A1:CV300,30,FALSE)=0,0,HLOOKUP("Gs",A1:CV300,30,FALSE)/HLOOKUP("Shots",A1:CV300,30,FALSE))</f>
        <v>0.08</v>
      </c>
      <c r="X30" s="7590">
        <v>8</v>
      </c>
      <c r="Y30" s="7591">
        <v>10</v>
      </c>
      <c r="Z30" s="7592">
        <v>60</v>
      </c>
      <c r="AA30" s="7593">
        <f>IF(HLOOKUP("KP",A1:CV300,30,FALSE)=0,0,HLOOKUP("As",A1:CV300,30,FALSE)/HLOOKUP("KP",A1:CV300,30,FALSE))</f>
        <v>0.13333333333333333</v>
      </c>
      <c r="AB30" s="7594">
        <v>181.7</v>
      </c>
      <c r="AC30" s="7595">
        <v>25</v>
      </c>
      <c r="AD30" s="7596">
        <v>13</v>
      </c>
      <c r="AE30" s="7597">
        <v>2</v>
      </c>
      <c r="AF30" s="7598">
        <v>2</v>
      </c>
      <c r="AG30" s="7599">
        <f>IF(HLOOKUP("BC",A1:CV300,30,FALSE)=0,0,HLOOKUP("Gs - BC",A1:CV300,30,FALSE)/HLOOKUP("BC",A1:CV300,30,FALSE))</f>
        <v>0</v>
      </c>
      <c r="AH30" s="7600">
        <f>HLOOKUP("BC",A1:CV300,30,FALSE) - HLOOKUP("BC Miss",A1:CV300,30,FALSE)</f>
        <v>0</v>
      </c>
      <c r="AI30" s="7601">
        <f>IF(HLOOKUP("Gs",A1:CV300,30,FALSE)=0,0,HLOOKUP("Gs - BC",A1:CV300,30,FALSE)/HLOOKUP("Gs",A1:CV300,30,FALSE))</f>
        <v>0</v>
      </c>
      <c r="AJ30" s="7602">
        <v>0</v>
      </c>
      <c r="AK30" s="7603">
        <v>0</v>
      </c>
      <c r="AL30" s="7604">
        <f>HLOOKUP("BC",A1:CV300,30,FALSE) - (HLOOKUP("PK Gs",A1:CV300,30,FALSE) + HLOOKUP("PK Miss",A1:CV300,30,FALSE))</f>
        <v>2</v>
      </c>
      <c r="AM30" s="7605">
        <f>HLOOKUP("BC Miss",A1:CV300,30,FALSE) - HLOOKUP("PK Miss",A1:CV300,30,FALSE)</f>
        <v>2</v>
      </c>
      <c r="AN30" s="7606">
        <f>IF(HLOOKUP("BC - Open",A1:CV300,30,FALSE)=0,0,HLOOKUP("BC - Open Miss",A1:CV300,30,FALSE)/HLOOKUP("BC - Open",A1:CV300,30,FALSE))</f>
        <v>1</v>
      </c>
      <c r="AO30" s="7607">
        <v>1</v>
      </c>
      <c r="AP30" s="7608">
        <f>IF(HLOOKUP("Gs",A1:CV300,30,FALSE)=0,0,HLOOKUP("GIB",A1:CV300,30,FALSE)/HLOOKUP("Gs",A1:CV300,30,FALSE))</f>
        <v>0.5</v>
      </c>
      <c r="AQ30" s="7609">
        <v>1</v>
      </c>
      <c r="AR30" s="7610">
        <f>IF(HLOOKUP("Gs",A1:CV300,30,FALSE)=0,0,HLOOKUP("Gs - Open",A1:CV300,30,FALSE)/HLOOKUP("Gs",A1:CV300,30,FALSE))</f>
        <v>0.5</v>
      </c>
      <c r="AS30" s="7611">
        <v>1.82</v>
      </c>
      <c r="AT30" s="7612">
        <v>6.59</v>
      </c>
      <c r="AU30" s="7613">
        <f>IF(HLOOKUP("Mins",A1:CV300,30,FALSE)=0,0,HLOOKUP("Pts",A1:CV300,30,FALSE)/HLOOKUP("Mins",A1:CV300,30,FALSE)* 90)</f>
        <v>5.7623440043407488</v>
      </c>
      <c r="AV30" s="7614">
        <f>IF(HLOOKUP("Apps",A1:CV300,30,FALSE)=0,0,HLOOKUP("Pts",A1:CV300,30,FALSE)/HLOOKUP("Apps",A1:CV300,30,FALSE)* 1)</f>
        <v>5.6190476190476186</v>
      </c>
      <c r="AW30" s="7615">
        <f>IF(HLOOKUP("Mins",A1:CV300,30,FALSE)=0,0,HLOOKUP("Gs",A1:CV300,30,FALSE)/HLOOKUP("Mins",A1:CV300,30,FALSE)* 90)</f>
        <v>9.7666847531199127E-2</v>
      </c>
      <c r="AX30" s="7616">
        <f>IF(HLOOKUP("Mins",A1:CV300,30,FALSE)=0,0,HLOOKUP("Bonus",A1:CV300,30,FALSE)/HLOOKUP("Mins",A1:CV300,30,FALSE)* 90)</f>
        <v>0.58600108518719474</v>
      </c>
      <c r="AY30" s="7617">
        <f>IF(HLOOKUP("Mins",A1:CV300,30,FALSE)=0,0,HLOOKUP("BPS",A1:CV300,30,FALSE)/HLOOKUP("Mins",A1:CV300,30,FALSE)* 90)</f>
        <v>25.637547476939769</v>
      </c>
      <c r="AZ30" s="7618">
        <f>IF(HLOOKUP("Mins",A1:CV300,30,FALSE)=0,0,HLOOKUP("Base BPS",A1:CV300,30,FALSE)/HLOOKUP("Mins",A1:CV300,30,FALSE)* 90)</f>
        <v>15.968529571351057</v>
      </c>
      <c r="BA30" s="7619">
        <f>IF(HLOOKUP("Mins",A1:CV300,30,FALSE)=0,0,HLOOKUP("PenTchs",A1:CV300,30,FALSE)/HLOOKUP("Mins",A1:CV300,30,FALSE)* 90)</f>
        <v>1.8068366793271839</v>
      </c>
      <c r="BB30" s="7620">
        <f>IF(HLOOKUP("Mins",A1:CV300,30,FALSE)=0,0,HLOOKUP("Shots",A1:CV300,30,FALSE)/HLOOKUP("Mins",A1:CV300,30,FALSE)* 90)</f>
        <v>1.2208355941399891</v>
      </c>
      <c r="BC30" s="7621">
        <f>IF(HLOOKUP("Mins",A1:CV300,30,FALSE)=0,0,HLOOKUP("SIB",A1:CV300,30,FALSE)/HLOOKUP("Mins",A1:CV300,30,FALSE)* 90)</f>
        <v>0.63483450895279436</v>
      </c>
      <c r="BD30" s="7622">
        <f>IF(HLOOKUP("Mins",A1:CV300,30,FALSE)=0,0,HLOOKUP("S6YD",A1:CV300,30,FALSE)/HLOOKUP("Mins",A1:CV300,30,FALSE)* 90)</f>
        <v>0</v>
      </c>
      <c r="BE30" s="7623">
        <f>IF(HLOOKUP("Mins",A1:CV300,30,FALSE)=0,0,HLOOKUP("Headers",A1:CV300,30,FALSE)/HLOOKUP("Mins",A1:CV300,30,FALSE)* 90)</f>
        <v>0</v>
      </c>
      <c r="BF30" s="7624">
        <f>IF(HLOOKUP("Mins",A1:CV300,30,FALSE)=0,0,HLOOKUP("SOT",A1:CV300,30,FALSE)/HLOOKUP("Mins",A1:CV300,30,FALSE)* 90)</f>
        <v>0.34183396635919699</v>
      </c>
      <c r="BG30" s="7625">
        <f>IF(HLOOKUP("Mins",A1:CV300,30,FALSE)=0,0,HLOOKUP("As",A1:CV300,30,FALSE)/HLOOKUP("Mins",A1:CV300,30,FALSE)* 90)</f>
        <v>0.39066739012479651</v>
      </c>
      <c r="BH30" s="7626">
        <f>IF(HLOOKUP("Mins",A1:CV300,30,FALSE)=0,0,HLOOKUP("FPL As",A1:CV300,30,FALSE)/HLOOKUP("Mins",A1:CV300,30,FALSE)* 90)</f>
        <v>0.48833423765599565</v>
      </c>
      <c r="BI30" s="7627">
        <f>IF(HLOOKUP("Mins",A1:CV300,30,FALSE)=0,0,HLOOKUP("BC Created",A1:CV300,30,FALSE)/HLOOKUP("Mins",A1:CV300,30,FALSE)* 90)</f>
        <v>0.63483450895279436</v>
      </c>
      <c r="BJ30" s="7628">
        <f>IF(HLOOKUP("Mins",A1:CV300,30,FALSE)=0,0,HLOOKUP("KP",A1:CV300,30,FALSE)/HLOOKUP("Mins",A1:CV300,30,FALSE)* 90)</f>
        <v>2.930005425935974</v>
      </c>
      <c r="BK30" s="7629">
        <f>IF(HLOOKUP("Mins",A1:CV300,30,FALSE)=0,0,HLOOKUP("BC",A1:CV300,30,FALSE)/HLOOKUP("Mins",A1:CV300,30,FALSE)* 90)</f>
        <v>9.7666847531199127E-2</v>
      </c>
      <c r="BL30" s="7630">
        <f>IF(HLOOKUP("Mins",A1:CV300,30,FALSE)=0,0,HLOOKUP("BC Miss",A1:CV300,30,FALSE)/HLOOKUP("Mins",A1:CV300,30,FALSE)* 90)</f>
        <v>9.7666847531199127E-2</v>
      </c>
      <c r="BM30" s="7631">
        <f>IF(HLOOKUP("Mins",A1:CV300,30,FALSE)=0,0,HLOOKUP("Gs - BC",A1:CV300,30,FALSE)/HLOOKUP("Mins",A1:CV300,30,FALSE)* 90)</f>
        <v>0</v>
      </c>
      <c r="BN30" s="7632">
        <f>IF(HLOOKUP("Mins",A1:CV300,30,FALSE)=0,0,HLOOKUP("GIB",A1:CV300,30,FALSE)/HLOOKUP("Mins",A1:CV300,30,FALSE)* 90)</f>
        <v>4.8833423765599564E-2</v>
      </c>
      <c r="BO30" s="7633">
        <f>IF(HLOOKUP("Mins",A1:CV300,30,FALSE)=0,0,HLOOKUP("Gs - Open",A1:CV300,30,FALSE)/HLOOKUP("Mins",A1:CV300,30,FALSE)* 90)</f>
        <v>4.8833423765599564E-2</v>
      </c>
      <c r="BP30" s="7634">
        <f>IF(HLOOKUP("Mins",A1:CV300,30,FALSE)=0,0,HLOOKUP("ICT Index",A1:CV300,30,FALSE)/HLOOKUP("Mins",A1:CV300,30,FALSE)* 90)</f>
        <v>8.8730330982094419</v>
      </c>
      <c r="BQ30" s="7635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  <v>7.0759631036353771E-2</v>
      </c>
      <c r="BR30" s="7636">
        <f>0.0825*HLOOKUP("KP/90",A1:CV300,30,FALSE)</f>
        <v>0.24172544763971787</v>
      </c>
      <c r="BS30" s="7637">
        <f>6*HLOOKUP("xG/90",A1:CV300,30,FALSE)+3*HLOOKUP("xA/90",A1:CV300,30,FALSE)</f>
        <v>1.1497341291372762</v>
      </c>
      <c r="BT30" s="7638">
        <f>HLOOKUP("xPts/90",A1:CV300,30,FALSE)-(6*0.75*(HLOOKUP("PK Gs",A1:CV300,30,FALSE)+HLOOKUP("PK Miss",A1:CV300,30,FALSE))*90/HLOOKUP("Mins",A1:CV300,30,FALSE))</f>
        <v>1.1497341291372762</v>
      </c>
      <c r="BU30" s="7639">
        <f>IF(HLOOKUP("Mins",A1:CV300,30,FALSE)=0,0,HLOOKUP("fsXG",A1:CV300,30,FALSE)/HLOOKUP("Mins",A1:CV300,30,FALSE)* 90)</f>
        <v>8.8876831253391214E-2</v>
      </c>
      <c r="BV30" s="7640">
        <f>IF(HLOOKUP("Mins",A1:CV300,30,FALSE)=0,0,HLOOKUP("fsXA",A1:CV300,30,FALSE)/HLOOKUP("Mins",A1:CV300,30,FALSE)* 90)</f>
        <v>0.32181226261530116</v>
      </c>
      <c r="BW30" s="7641">
        <f>6*HLOOKUP("fsXG/90",A1:CV300,30,FALSE)+3*HLOOKUP("fsXA/90",A1:CV300,30,FALSE)</f>
        <v>1.4986977753662507</v>
      </c>
      <c r="BX30" s="7642">
        <v>0.10706791281700134</v>
      </c>
      <c r="BY30" s="7643">
        <v>0.36381196975708008</v>
      </c>
      <c r="BZ30" s="7644">
        <f>6*HLOOKUP("uXG/90",A1:CV300,30,FALSE)+3*HLOOKUP("uXA/90",A1:CV300,30,FALSE)</f>
        <v>1.7338433861732483</v>
      </c>
    </row>
    <row r="31" spans="1:78" hidden="1" x14ac:dyDescent="0.3">
      <c r="A31" s="7645" t="s">
        <v>194</v>
      </c>
      <c r="B31" s="7646" t="s">
        <v>107</v>
      </c>
      <c r="C31" s="7647">
        <v>5</v>
      </c>
      <c r="D31" s="7648">
        <v>466</v>
      </c>
      <c r="E31" s="7649">
        <v>8</v>
      </c>
      <c r="F31" s="7650">
        <v>7</v>
      </c>
      <c r="G31" s="7651">
        <v>0</v>
      </c>
      <c r="H31" s="7652">
        <v>0</v>
      </c>
      <c r="I31" s="7653">
        <v>69</v>
      </c>
      <c r="J31" s="7654">
        <f>HLOOKUP("BPS",A1:CV300,31,FALSE)-((-6*HLOOKUP("OG",A1:CV300,31,FALSE))+(-6*HLOOKUP("PK Miss",A1:CV300,31,FALSE))+(9*HLOOKUP("FPL As",A1:CV300,31,FALSE))+(12*HLOOKUP("CS",A1:CV300,31,FALSE))+(12*HLOOKUP("Gs",A1:CV300,31,FALSE)))</f>
        <v>69</v>
      </c>
      <c r="K31" s="7655">
        <v>0</v>
      </c>
      <c r="L31" s="7656">
        <v>0</v>
      </c>
      <c r="M31" s="7657">
        <v>3</v>
      </c>
      <c r="N31" s="7658">
        <v>0</v>
      </c>
      <c r="O31" s="7659">
        <v>0</v>
      </c>
      <c r="P31" s="7660">
        <f>IF(HLOOKUP("Shots",A1:CV300,31,FALSE)=0,0,HLOOKUP("SIB",A1:CV300,31,FALSE)/HLOOKUP("Shots",A1:CV300,31,FALSE))</f>
        <v>0</v>
      </c>
      <c r="Q31" s="7661">
        <v>0</v>
      </c>
      <c r="R31" s="7662">
        <f>IF(HLOOKUP("Shots",A1:CV300,31,FALSE)=0,0,HLOOKUP("S6YD",A1:CV300,31,FALSE)/HLOOKUP("Shots",A1:CV300,31,FALSE))</f>
        <v>0</v>
      </c>
      <c r="S31" s="7663">
        <v>0</v>
      </c>
      <c r="T31" s="7664">
        <f>IF(HLOOKUP("Shots",A1:CV300,31,FALSE)=0,0,HLOOKUP("Headers",A1:CV300,31,FALSE)/HLOOKUP("Shots",A1:CV300,31,FALSE))</f>
        <v>0</v>
      </c>
      <c r="U31" s="7665">
        <v>0</v>
      </c>
      <c r="V31" s="7666">
        <f>IF(HLOOKUP("Shots",A1:CV300,31,FALSE)=0,0,HLOOKUP("SOT",A1:CV300,31,FALSE)/HLOOKUP("Shots",A1:CV300,31,FALSE))</f>
        <v>0</v>
      </c>
      <c r="W31" s="7667">
        <f>IF(HLOOKUP("Shots",A1:CV300,31,FALSE)=0,0,HLOOKUP("Gs",A1:CV300,31,FALSE)/HLOOKUP("Shots",A1:CV300,31,FALSE))</f>
        <v>0</v>
      </c>
      <c r="X31" s="7668">
        <v>0</v>
      </c>
      <c r="Y31" s="7669">
        <v>0</v>
      </c>
      <c r="Z31" s="7670">
        <v>1</v>
      </c>
      <c r="AA31" s="7671">
        <f>IF(HLOOKUP("KP",A1:CV300,31,FALSE)=0,0,HLOOKUP("As",A1:CV300,31,FALSE)/HLOOKUP("KP",A1:CV300,31,FALSE))</f>
        <v>0</v>
      </c>
      <c r="AB31" s="7672">
        <v>10</v>
      </c>
      <c r="AC31" s="7673">
        <v>0</v>
      </c>
      <c r="AD31" s="7674">
        <v>0</v>
      </c>
      <c r="AE31" s="7675">
        <v>0</v>
      </c>
      <c r="AF31" s="7676">
        <v>0</v>
      </c>
      <c r="AG31" s="7677">
        <f>IF(HLOOKUP("BC",A1:CV300,31,FALSE)=0,0,HLOOKUP("Gs - BC",A1:CV300,31,FALSE)/HLOOKUP("BC",A1:CV300,31,FALSE))</f>
        <v>0</v>
      </c>
      <c r="AH31" s="7678">
        <f>HLOOKUP("BC",A1:CV300,31,FALSE) - HLOOKUP("BC Miss",A1:CV300,31,FALSE)</f>
        <v>0</v>
      </c>
      <c r="AI31" s="7679">
        <f>IF(HLOOKUP("Gs",A1:CV300,31,FALSE)=0,0,HLOOKUP("Gs - BC",A1:CV300,31,FALSE)/HLOOKUP("Gs",A1:CV300,31,FALSE))</f>
        <v>0</v>
      </c>
      <c r="AJ31" s="7680">
        <v>0</v>
      </c>
      <c r="AK31" s="7681">
        <v>0</v>
      </c>
      <c r="AL31" s="7682">
        <f>HLOOKUP("BC",A1:CV300,31,FALSE) - (HLOOKUP("PK Gs",A1:CV300,31,FALSE) + HLOOKUP("PK Miss",A1:CV300,31,FALSE))</f>
        <v>0</v>
      </c>
      <c r="AM31" s="7683">
        <f>HLOOKUP("BC Miss",A1:CV300,31,FALSE) - HLOOKUP("PK Miss",A1:CV300,31,FALSE)</f>
        <v>0</v>
      </c>
      <c r="AN31" s="7684">
        <f>IF(HLOOKUP("BC - Open",A1:CV300,31,FALSE)=0,0,HLOOKUP("BC - Open Miss",A1:CV300,31,FALSE)/HLOOKUP("BC - Open",A1:CV300,31,FALSE))</f>
        <v>0</v>
      </c>
      <c r="AO31" s="7685">
        <v>0</v>
      </c>
      <c r="AP31" s="7686">
        <f>IF(HLOOKUP("Gs",A1:CV300,31,FALSE)=0,0,HLOOKUP("GIB",A1:CV300,31,FALSE)/HLOOKUP("Gs",A1:CV300,31,FALSE))</f>
        <v>0</v>
      </c>
      <c r="AQ31" s="7687">
        <v>0</v>
      </c>
      <c r="AR31" s="7688">
        <f>IF(HLOOKUP("Gs",A1:CV300,31,FALSE)=0,0,HLOOKUP("Gs - Open",A1:CV300,31,FALSE)/HLOOKUP("Gs",A1:CV300,31,FALSE))</f>
        <v>0</v>
      </c>
      <c r="AS31" s="7689">
        <v>0</v>
      </c>
      <c r="AT31" s="7690">
        <v>0.1</v>
      </c>
      <c r="AU31" s="7691">
        <f>IF(HLOOKUP("Mins",A1:CV300,31,FALSE)=0,0,HLOOKUP("Pts",A1:CV300,31,FALSE)/HLOOKUP("Mins",A1:CV300,31,FALSE)* 90)</f>
        <v>1.351931330472103</v>
      </c>
      <c r="AV31" s="7692">
        <f>IF(HLOOKUP("Apps",A1:CV300,31,FALSE)=0,0,HLOOKUP("Pts",A1:CV300,31,FALSE)/HLOOKUP("Apps",A1:CV300,31,FALSE)* 1)</f>
        <v>0.875</v>
      </c>
      <c r="AW31" s="7693">
        <f>IF(HLOOKUP("Mins",A1:CV300,31,FALSE)=0,0,HLOOKUP("Gs",A1:CV300,31,FALSE)/HLOOKUP("Mins",A1:CV300,31,FALSE)* 90)</f>
        <v>0</v>
      </c>
      <c r="AX31" s="7694">
        <f>IF(HLOOKUP("Mins",A1:CV300,31,FALSE)=0,0,HLOOKUP("Bonus",A1:CV300,31,FALSE)/HLOOKUP("Mins",A1:CV300,31,FALSE)* 90)</f>
        <v>0</v>
      </c>
      <c r="AY31" s="7695">
        <f>IF(HLOOKUP("Mins",A1:CV300,31,FALSE)=0,0,HLOOKUP("BPS",A1:CV300,31,FALSE)/HLOOKUP("Mins",A1:CV300,31,FALSE)* 90)</f>
        <v>13.326180257510728</v>
      </c>
      <c r="AZ31" s="7696">
        <f>IF(HLOOKUP("Mins",A1:CV300,31,FALSE)=0,0,HLOOKUP("Base BPS",A1:CV300,31,FALSE)/HLOOKUP("Mins",A1:CV300,31,FALSE)* 90)</f>
        <v>13.326180257510728</v>
      </c>
      <c r="BA31" s="7697">
        <f>IF(HLOOKUP("Mins",A1:CV300,31,FALSE)=0,0,HLOOKUP("PenTchs",A1:CV300,31,FALSE)/HLOOKUP("Mins",A1:CV300,31,FALSE)* 90)</f>
        <v>0.57939914163090134</v>
      </c>
      <c r="BB31" s="7698">
        <f>IF(HLOOKUP("Mins",A1:CV300,31,FALSE)=0,0,HLOOKUP("Shots",A1:CV300,31,FALSE)/HLOOKUP("Mins",A1:CV300,31,FALSE)* 90)</f>
        <v>0</v>
      </c>
      <c r="BC31" s="7699">
        <f>IF(HLOOKUP("Mins",A1:CV300,31,FALSE)=0,0,HLOOKUP("SIB",A1:CV300,31,FALSE)/HLOOKUP("Mins",A1:CV300,31,FALSE)* 90)</f>
        <v>0</v>
      </c>
      <c r="BD31" s="7700">
        <f>IF(HLOOKUP("Mins",A1:CV300,31,FALSE)=0,0,HLOOKUP("S6YD",A1:CV300,31,FALSE)/HLOOKUP("Mins",A1:CV300,31,FALSE)* 90)</f>
        <v>0</v>
      </c>
      <c r="BE31" s="7701">
        <f>IF(HLOOKUP("Mins",A1:CV300,31,FALSE)=0,0,HLOOKUP("Headers",A1:CV300,31,FALSE)/HLOOKUP("Mins",A1:CV300,31,FALSE)* 90)</f>
        <v>0</v>
      </c>
      <c r="BF31" s="7702">
        <f>IF(HLOOKUP("Mins",A1:CV300,31,FALSE)=0,0,HLOOKUP("SOT",A1:CV300,31,FALSE)/HLOOKUP("Mins",A1:CV300,31,FALSE)* 90)</f>
        <v>0</v>
      </c>
      <c r="BG31" s="7703">
        <f>IF(HLOOKUP("Mins",A1:CV300,31,FALSE)=0,0,HLOOKUP("As",A1:CV300,31,FALSE)/HLOOKUP("Mins",A1:CV300,31,FALSE)* 90)</f>
        <v>0</v>
      </c>
      <c r="BH31" s="7704">
        <f>IF(HLOOKUP("Mins",A1:CV300,31,FALSE)=0,0,HLOOKUP("FPL As",A1:CV300,31,FALSE)/HLOOKUP("Mins",A1:CV300,31,FALSE)* 90)</f>
        <v>0</v>
      </c>
      <c r="BI31" s="7705">
        <f>IF(HLOOKUP("Mins",A1:CV300,31,FALSE)=0,0,HLOOKUP("BC Created",A1:CV300,31,FALSE)/HLOOKUP("Mins",A1:CV300,31,FALSE)* 90)</f>
        <v>0</v>
      </c>
      <c r="BJ31" s="7706">
        <f>IF(HLOOKUP("Mins",A1:CV300,31,FALSE)=0,0,HLOOKUP("KP",A1:CV300,31,FALSE)/HLOOKUP("Mins",A1:CV300,31,FALSE)* 90)</f>
        <v>0.19313304721030042</v>
      </c>
      <c r="BK31" s="7707">
        <f>IF(HLOOKUP("Mins",A1:CV300,31,FALSE)=0,0,HLOOKUP("BC",A1:CV300,31,FALSE)/HLOOKUP("Mins",A1:CV300,31,FALSE)* 90)</f>
        <v>0</v>
      </c>
      <c r="BL31" s="7708">
        <f>IF(HLOOKUP("Mins",A1:CV300,31,FALSE)=0,0,HLOOKUP("BC Miss",A1:CV300,31,FALSE)/HLOOKUP("Mins",A1:CV300,31,FALSE)* 90)</f>
        <v>0</v>
      </c>
      <c r="BM31" s="7709">
        <f>IF(HLOOKUP("Mins",A1:CV300,31,FALSE)=0,0,HLOOKUP("Gs - BC",A1:CV300,31,FALSE)/HLOOKUP("Mins",A1:CV300,31,FALSE)* 90)</f>
        <v>0</v>
      </c>
      <c r="BN31" s="7710">
        <f>IF(HLOOKUP("Mins",A1:CV300,31,FALSE)=0,0,HLOOKUP("GIB",A1:CV300,31,FALSE)/HLOOKUP("Mins",A1:CV300,31,FALSE)* 90)</f>
        <v>0</v>
      </c>
      <c r="BO31" s="7711">
        <f>IF(HLOOKUP("Mins",A1:CV300,31,FALSE)=0,0,HLOOKUP("Gs - Open",A1:CV300,31,FALSE)/HLOOKUP("Mins",A1:CV300,31,FALSE)* 90)</f>
        <v>0</v>
      </c>
      <c r="BP31" s="7712">
        <f>IF(HLOOKUP("Mins",A1:CV300,31,FALSE)=0,0,HLOOKUP("ICT Index",A1:CV300,31,FALSE)/HLOOKUP("Mins",A1:CV300,31,FALSE)* 90)</f>
        <v>1.9313304721030042</v>
      </c>
      <c r="BQ31" s="7713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  <v>0</v>
      </c>
      <c r="BR31" s="7714">
        <f>0.0825*HLOOKUP("KP/90",A1:CV300,31,FALSE)</f>
        <v>1.5933476394849787E-2</v>
      </c>
      <c r="BS31" s="7715">
        <f>6*HLOOKUP("xG/90",A1:CV300,31,FALSE)+3*HLOOKUP("xA/90",A1:CV300,31,FALSE)</f>
        <v>4.780042918454936E-2</v>
      </c>
      <c r="BT31" s="7716">
        <f>HLOOKUP("xPts/90",A1:CV300,31,FALSE)-(6*0.75*(HLOOKUP("PK Gs",A1:CV300,31,FALSE)+HLOOKUP("PK Miss",A1:CV300,31,FALSE))*90/HLOOKUP("Mins",A1:CV300,31,FALSE))</f>
        <v>4.780042918454936E-2</v>
      </c>
      <c r="BU31" s="7717">
        <f>IF(HLOOKUP("Mins",A1:CV300,31,FALSE)=0,0,HLOOKUP("fsXG",A1:CV300,31,FALSE)/HLOOKUP("Mins",A1:CV300,31,FALSE)* 90)</f>
        <v>0</v>
      </c>
      <c r="BV31" s="7718">
        <f>IF(HLOOKUP("Mins",A1:CV300,31,FALSE)=0,0,HLOOKUP("fsXA",A1:CV300,31,FALSE)/HLOOKUP("Mins",A1:CV300,31,FALSE)* 90)</f>
        <v>1.9313304721030045E-2</v>
      </c>
      <c r="BW31" s="7719">
        <f>6*HLOOKUP("fsXG/90",A1:CV300,31,FALSE)+3*HLOOKUP("fsXA/90",A1:CV300,31,FALSE)</f>
        <v>5.7939914163090134E-2</v>
      </c>
      <c r="BX31" s="7720">
        <v>0</v>
      </c>
      <c r="BY31" s="7721">
        <v>5.7484991848468781E-3</v>
      </c>
      <c r="BZ31" s="7722">
        <f>6*HLOOKUP("uXG/90",A1:CV300,31,FALSE)+3*HLOOKUP("uXA/90",A1:CV300,31,FALSE)</f>
        <v>1.7245497554540634E-2</v>
      </c>
    </row>
    <row r="32" spans="1:78" hidden="1" x14ac:dyDescent="0.3">
      <c r="A32" s="7723" t="s">
        <v>195</v>
      </c>
      <c r="B32" s="7724" t="s">
        <v>105</v>
      </c>
      <c r="C32" s="7725">
        <v>5.6999998092651367</v>
      </c>
      <c r="D32" s="7726">
        <v>1448</v>
      </c>
      <c r="E32" s="7727">
        <v>17</v>
      </c>
      <c r="F32" s="7728">
        <v>54</v>
      </c>
      <c r="G32" s="7729">
        <v>1</v>
      </c>
      <c r="H32" s="7730">
        <v>3</v>
      </c>
      <c r="I32" s="7731">
        <v>288</v>
      </c>
      <c r="J32" s="7732">
        <f>HLOOKUP("BPS",A1:CV300,32,FALSE)-((-6*HLOOKUP("OG",A1:CV300,32,FALSE))+(-6*HLOOKUP("PK Miss",A1:CV300,32,FALSE))+(9*HLOOKUP("FPL As",A1:CV300,32,FALSE))+(12*HLOOKUP("CS",A1:CV300,32,FALSE))+(12*HLOOKUP("Gs",A1:CV300,32,FALSE)))</f>
        <v>210</v>
      </c>
      <c r="K32" s="7733">
        <v>0</v>
      </c>
      <c r="L32" s="7734">
        <v>4</v>
      </c>
      <c r="M32" s="7735">
        <v>19</v>
      </c>
      <c r="N32" s="7736">
        <v>12</v>
      </c>
      <c r="O32" s="7737">
        <v>4</v>
      </c>
      <c r="P32" s="7738">
        <f>IF(HLOOKUP("Shots",A1:CV300,32,FALSE)=0,0,HLOOKUP("SIB",A1:CV300,32,FALSE)/HLOOKUP("Shots",A1:CV300,32,FALSE))</f>
        <v>0.33333333333333331</v>
      </c>
      <c r="Q32" s="7739">
        <v>1</v>
      </c>
      <c r="R32" s="7740">
        <f>IF(HLOOKUP("Shots",A1:CV300,32,FALSE)=0,0,HLOOKUP("S6YD",A1:CV300,32,FALSE)/HLOOKUP("Shots",A1:CV300,32,FALSE))</f>
        <v>8.3333333333333329E-2</v>
      </c>
      <c r="S32" s="7741">
        <v>2</v>
      </c>
      <c r="T32" s="7742">
        <f>IF(HLOOKUP("Shots",A1:CV300,32,FALSE)=0,0,HLOOKUP("Headers",A1:CV300,32,FALSE)/HLOOKUP("Shots",A1:CV300,32,FALSE))</f>
        <v>0.16666666666666666</v>
      </c>
      <c r="U32" s="7743">
        <v>2</v>
      </c>
      <c r="V32" s="7744">
        <f>IF(HLOOKUP("Shots",A1:CV300,32,FALSE)=0,0,HLOOKUP("SOT",A1:CV300,32,FALSE)/HLOOKUP("Shots",A1:CV300,32,FALSE))</f>
        <v>0.16666666666666666</v>
      </c>
      <c r="W32" s="7745">
        <f>IF(HLOOKUP("Shots",A1:CV300,32,FALSE)=0,0,HLOOKUP("Gs",A1:CV300,32,FALSE)/HLOOKUP("Shots",A1:CV300,32,FALSE))</f>
        <v>8.3333333333333329E-2</v>
      </c>
      <c r="X32" s="7746">
        <v>2</v>
      </c>
      <c r="Y32" s="7747">
        <v>2</v>
      </c>
      <c r="Z32" s="7748">
        <v>9</v>
      </c>
      <c r="AA32" s="7749">
        <f>IF(HLOOKUP("KP",A1:CV300,32,FALSE)=0,0,HLOOKUP("As",A1:CV300,32,FALSE)/HLOOKUP("KP",A1:CV300,32,FALSE))</f>
        <v>0.22222222222222221</v>
      </c>
      <c r="AB32" s="7750">
        <v>56.3</v>
      </c>
      <c r="AC32" s="7751">
        <v>7</v>
      </c>
      <c r="AD32" s="7752">
        <v>1</v>
      </c>
      <c r="AE32" s="7753">
        <v>2</v>
      </c>
      <c r="AF32" s="7754">
        <v>1</v>
      </c>
      <c r="AG32" s="7755">
        <f>IF(HLOOKUP("BC",A1:CV300,32,FALSE)=0,0,HLOOKUP("Gs - BC",A1:CV300,32,FALSE)/HLOOKUP("BC",A1:CV300,32,FALSE))</f>
        <v>0.5</v>
      </c>
      <c r="AH32" s="7756">
        <f>HLOOKUP("BC",A1:CV300,32,FALSE) - HLOOKUP("BC Miss",A1:CV300,32,FALSE)</f>
        <v>1</v>
      </c>
      <c r="AI32" s="7757">
        <f>IF(HLOOKUP("Gs",A1:CV300,32,FALSE)=0,0,HLOOKUP("Gs - BC",A1:CV300,32,FALSE)/HLOOKUP("Gs",A1:CV300,32,FALSE))</f>
        <v>1</v>
      </c>
      <c r="AJ32" s="7758">
        <v>0</v>
      </c>
      <c r="AK32" s="7759">
        <v>0</v>
      </c>
      <c r="AL32" s="7760">
        <f>HLOOKUP("BC",A1:CV300,32,FALSE) - (HLOOKUP("PK Gs",A1:CV300,32,FALSE) + HLOOKUP("PK Miss",A1:CV300,32,FALSE))</f>
        <v>2</v>
      </c>
      <c r="AM32" s="7761">
        <f>HLOOKUP("BC Miss",A1:CV300,32,FALSE) - HLOOKUP("PK Miss",A1:CV300,32,FALSE)</f>
        <v>1</v>
      </c>
      <c r="AN32" s="7762">
        <f>IF(HLOOKUP("BC - Open",A1:CV300,32,FALSE)=0,0,HLOOKUP("BC - Open Miss",A1:CV300,32,FALSE)/HLOOKUP("BC - Open",A1:CV300,32,FALSE))</f>
        <v>0.5</v>
      </c>
      <c r="AO32" s="7763">
        <v>1</v>
      </c>
      <c r="AP32" s="7764">
        <f>IF(HLOOKUP("Gs",A1:CV300,32,FALSE)=0,0,HLOOKUP("GIB",A1:CV300,32,FALSE)/HLOOKUP("Gs",A1:CV300,32,FALSE))</f>
        <v>1</v>
      </c>
      <c r="AQ32" s="7765">
        <v>1</v>
      </c>
      <c r="AR32" s="7766">
        <f>IF(HLOOKUP("Gs",A1:CV300,32,FALSE)=0,0,HLOOKUP("Gs - Open",A1:CV300,32,FALSE)/HLOOKUP("Gs",A1:CV300,32,FALSE))</f>
        <v>1</v>
      </c>
      <c r="AS32" s="7767">
        <v>1.18</v>
      </c>
      <c r="AT32" s="7768">
        <v>1.54</v>
      </c>
      <c r="AU32" s="7769">
        <f>IF(HLOOKUP("Mins",A1:CV300,32,FALSE)=0,0,HLOOKUP("Pts",A1:CV300,32,FALSE)/HLOOKUP("Mins",A1:CV300,32,FALSE)* 90)</f>
        <v>3.3563535911602211</v>
      </c>
      <c r="AV32" s="7770">
        <f>IF(HLOOKUP("Apps",A1:CV300,32,FALSE)=0,0,HLOOKUP("Pts",A1:CV300,32,FALSE)/HLOOKUP("Apps",A1:CV300,32,FALSE)* 1)</f>
        <v>3.1764705882352939</v>
      </c>
      <c r="AW32" s="7771">
        <f>IF(HLOOKUP("Mins",A1:CV300,32,FALSE)=0,0,HLOOKUP("Gs",A1:CV300,32,FALSE)/HLOOKUP("Mins",A1:CV300,32,FALSE)* 90)</f>
        <v>6.2154696132596679E-2</v>
      </c>
      <c r="AX32" s="7772">
        <f>IF(HLOOKUP("Mins",A1:CV300,32,FALSE)=0,0,HLOOKUP("Bonus",A1:CV300,32,FALSE)/HLOOKUP("Mins",A1:CV300,32,FALSE)* 90)</f>
        <v>0.18646408839779005</v>
      </c>
      <c r="AY32" s="7773">
        <f>IF(HLOOKUP("Mins",A1:CV300,32,FALSE)=0,0,HLOOKUP("BPS",A1:CV300,32,FALSE)/HLOOKUP("Mins",A1:CV300,32,FALSE)* 90)</f>
        <v>17.900552486187845</v>
      </c>
      <c r="AZ32" s="7774">
        <f>IF(HLOOKUP("Mins",A1:CV300,32,FALSE)=0,0,HLOOKUP("Base BPS",A1:CV300,32,FALSE)/HLOOKUP("Mins",A1:CV300,32,FALSE)* 90)</f>
        <v>13.052486187845304</v>
      </c>
      <c r="BA32" s="7775">
        <f>IF(HLOOKUP("Mins",A1:CV300,32,FALSE)=0,0,HLOOKUP("PenTchs",A1:CV300,32,FALSE)/HLOOKUP("Mins",A1:CV300,32,FALSE)* 90)</f>
        <v>1.180939226519337</v>
      </c>
      <c r="BB32" s="7776">
        <f>IF(HLOOKUP("Mins",A1:CV300,32,FALSE)=0,0,HLOOKUP("Shots",A1:CV300,32,FALSE)/HLOOKUP("Mins",A1:CV300,32,FALSE)* 90)</f>
        <v>0.7458563535911602</v>
      </c>
      <c r="BC32" s="7777">
        <f>IF(HLOOKUP("Mins",A1:CV300,32,FALSE)=0,0,HLOOKUP("SIB",A1:CV300,32,FALSE)/HLOOKUP("Mins",A1:CV300,32,FALSE)* 90)</f>
        <v>0.24861878453038672</v>
      </c>
      <c r="BD32" s="7778">
        <f>IF(HLOOKUP("Mins",A1:CV300,32,FALSE)=0,0,HLOOKUP("S6YD",A1:CV300,32,FALSE)/HLOOKUP("Mins",A1:CV300,32,FALSE)* 90)</f>
        <v>6.2154696132596679E-2</v>
      </c>
      <c r="BE32" s="7779">
        <f>IF(HLOOKUP("Mins",A1:CV300,32,FALSE)=0,0,HLOOKUP("Headers",A1:CV300,32,FALSE)/HLOOKUP("Mins",A1:CV300,32,FALSE)* 90)</f>
        <v>0.12430939226519336</v>
      </c>
      <c r="BF32" s="7780">
        <f>IF(HLOOKUP("Mins",A1:CV300,32,FALSE)=0,0,HLOOKUP("SOT",A1:CV300,32,FALSE)/HLOOKUP("Mins",A1:CV300,32,FALSE)* 90)</f>
        <v>0.12430939226519336</v>
      </c>
      <c r="BG32" s="7781">
        <f>IF(HLOOKUP("Mins",A1:CV300,32,FALSE)=0,0,HLOOKUP("As",A1:CV300,32,FALSE)/HLOOKUP("Mins",A1:CV300,32,FALSE)* 90)</f>
        <v>0.12430939226519336</v>
      </c>
      <c r="BH32" s="7782">
        <f>IF(HLOOKUP("Mins",A1:CV300,32,FALSE)=0,0,HLOOKUP("FPL As",A1:CV300,32,FALSE)/HLOOKUP("Mins",A1:CV300,32,FALSE)* 90)</f>
        <v>0.12430939226519336</v>
      </c>
      <c r="BI32" s="7783">
        <f>IF(HLOOKUP("Mins",A1:CV300,32,FALSE)=0,0,HLOOKUP("BC Created",A1:CV300,32,FALSE)/HLOOKUP("Mins",A1:CV300,32,FALSE)* 90)</f>
        <v>6.2154696132596679E-2</v>
      </c>
      <c r="BJ32" s="7784">
        <f>IF(HLOOKUP("Mins",A1:CV300,32,FALSE)=0,0,HLOOKUP("KP",A1:CV300,32,FALSE)/HLOOKUP("Mins",A1:CV300,32,FALSE)* 90)</f>
        <v>0.55939226519337015</v>
      </c>
      <c r="BK32" s="7785">
        <f>IF(HLOOKUP("Mins",A1:CV300,32,FALSE)=0,0,HLOOKUP("BC",A1:CV300,32,FALSE)/HLOOKUP("Mins",A1:CV300,32,FALSE)* 90)</f>
        <v>0.12430939226519336</v>
      </c>
      <c r="BL32" s="7786">
        <f>IF(HLOOKUP("Mins",A1:CV300,32,FALSE)=0,0,HLOOKUP("BC Miss",A1:CV300,32,FALSE)/HLOOKUP("Mins",A1:CV300,32,FALSE)* 90)</f>
        <v>6.2154696132596679E-2</v>
      </c>
      <c r="BM32" s="7787">
        <f>IF(HLOOKUP("Mins",A1:CV300,32,FALSE)=0,0,HLOOKUP("Gs - BC",A1:CV300,32,FALSE)/HLOOKUP("Mins",A1:CV300,32,FALSE)* 90)</f>
        <v>6.2154696132596679E-2</v>
      </c>
      <c r="BN32" s="7788">
        <f>IF(HLOOKUP("Mins",A1:CV300,32,FALSE)=0,0,HLOOKUP("GIB",A1:CV300,32,FALSE)/HLOOKUP("Mins",A1:CV300,32,FALSE)* 90)</f>
        <v>6.2154696132596679E-2</v>
      </c>
      <c r="BO32" s="7789">
        <f>IF(HLOOKUP("Mins",A1:CV300,32,FALSE)=0,0,HLOOKUP("Gs - Open",A1:CV300,32,FALSE)/HLOOKUP("Mins",A1:CV300,32,FALSE)* 90)</f>
        <v>6.2154696132596679E-2</v>
      </c>
      <c r="BP32" s="7790">
        <f>IF(HLOOKUP("Mins",A1:CV300,32,FALSE)=0,0,HLOOKUP("ICT Index",A1:CV300,32,FALSE)/HLOOKUP("Mins",A1:CV300,32,FALSE)* 90)</f>
        <v>3.499309392265193</v>
      </c>
      <c r="BQ32" s="7791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  <v>3.3066298342541434E-2</v>
      </c>
      <c r="BR32" s="7792">
        <f>0.0825*HLOOKUP("KP/90",A1:CV300,32,FALSE)</f>
        <v>4.614986187845304E-2</v>
      </c>
      <c r="BS32" s="7793">
        <f>6*HLOOKUP("xG/90",A1:CV300,32,FALSE)+3*HLOOKUP("xA/90",A1:CV300,32,FALSE)</f>
        <v>0.33684737569060774</v>
      </c>
      <c r="BT32" s="7794">
        <f>HLOOKUP("xPts/90",A1:CV300,32,FALSE)-(6*0.75*(HLOOKUP("PK Gs",A1:CV300,32,FALSE)+HLOOKUP("PK Miss",A1:CV300,32,FALSE))*90/HLOOKUP("Mins",A1:CV300,32,FALSE))</f>
        <v>0.33684737569060774</v>
      </c>
      <c r="BU32" s="7795">
        <f>IF(HLOOKUP("Mins",A1:CV300,32,FALSE)=0,0,HLOOKUP("fsXG",A1:CV300,32,FALSE)/HLOOKUP("Mins",A1:CV300,32,FALSE)* 90)</f>
        <v>7.3342541436464084E-2</v>
      </c>
      <c r="BV32" s="7796">
        <f>IF(HLOOKUP("Mins",A1:CV300,32,FALSE)=0,0,HLOOKUP("fsXA",A1:CV300,32,FALSE)/HLOOKUP("Mins",A1:CV300,32,FALSE)* 90)</f>
        <v>9.5718232044198895E-2</v>
      </c>
      <c r="BW32" s="7797">
        <f>6*HLOOKUP("fsXG/90",A1:CV300,32,FALSE)+3*HLOOKUP("fsXA/90",A1:CV300,32,FALSE)</f>
        <v>0.72720994475138123</v>
      </c>
      <c r="BX32" s="7798">
        <v>7.9272627830505371E-2</v>
      </c>
      <c r="BY32" s="7799">
        <v>6.6542863845825195E-2</v>
      </c>
      <c r="BZ32" s="7800">
        <f>6*HLOOKUP("uXG/90",A1:CV300,32,FALSE)+3*HLOOKUP("uXA/90",A1:CV300,32,FALSE)</f>
        <v>0.67526435852050781</v>
      </c>
    </row>
    <row r="33" spans="1:78" hidden="1" x14ac:dyDescent="0.3">
      <c r="A33" s="7801" t="s">
        <v>196</v>
      </c>
      <c r="B33" s="7802" t="s">
        <v>107</v>
      </c>
      <c r="C33" s="7803">
        <v>5.5</v>
      </c>
      <c r="D33" s="7804">
        <v>1444</v>
      </c>
      <c r="E33" s="7805">
        <v>17</v>
      </c>
      <c r="F33" s="7806">
        <v>55</v>
      </c>
      <c r="G33" s="7807">
        <v>2</v>
      </c>
      <c r="H33" s="7808">
        <v>3</v>
      </c>
      <c r="I33" s="7809">
        <v>273</v>
      </c>
      <c r="J33" s="7810">
        <f>HLOOKUP("BPS",A1:CV300,33,FALSE)-((-6*HLOOKUP("OG",A1:CV300,33,FALSE))+(-6*HLOOKUP("PK Miss",A1:CV300,33,FALSE))+(9*HLOOKUP("FPL As",A1:CV300,33,FALSE))+(12*HLOOKUP("CS",A1:CV300,33,FALSE))+(12*HLOOKUP("Gs",A1:CV300,33,FALSE)))</f>
        <v>207</v>
      </c>
      <c r="K33" s="7811">
        <v>1</v>
      </c>
      <c r="L33" s="7812">
        <v>4</v>
      </c>
      <c r="M33" s="7813">
        <v>24</v>
      </c>
      <c r="N33" s="7814">
        <v>14</v>
      </c>
      <c r="O33" s="7815">
        <v>8</v>
      </c>
      <c r="P33" s="7816">
        <f>IF(HLOOKUP("Shots",A1:CV300,33,FALSE)=0,0,HLOOKUP("SIB",A1:CV300,33,FALSE)/HLOOKUP("Shots",A1:CV300,33,FALSE))</f>
        <v>0.5714285714285714</v>
      </c>
      <c r="Q33" s="7817">
        <v>0</v>
      </c>
      <c r="R33" s="7818">
        <f>IF(HLOOKUP("Shots",A1:CV300,33,FALSE)=0,0,HLOOKUP("S6YD",A1:CV300,33,FALSE)/HLOOKUP("Shots",A1:CV300,33,FALSE))</f>
        <v>0</v>
      </c>
      <c r="S33" s="7819">
        <v>0</v>
      </c>
      <c r="T33" s="7820">
        <f>IF(HLOOKUP("Shots",A1:CV300,33,FALSE)=0,0,HLOOKUP("Headers",A1:CV300,33,FALSE)/HLOOKUP("Shots",A1:CV300,33,FALSE))</f>
        <v>0</v>
      </c>
      <c r="U33" s="7821">
        <v>3</v>
      </c>
      <c r="V33" s="7822">
        <f>IF(HLOOKUP("Shots",A1:CV300,33,FALSE)=0,0,HLOOKUP("SOT",A1:CV300,33,FALSE)/HLOOKUP("Shots",A1:CV300,33,FALSE))</f>
        <v>0.21428571428571427</v>
      </c>
      <c r="W33" s="7823">
        <f>IF(HLOOKUP("Shots",A1:CV300,33,FALSE)=0,0,HLOOKUP("Gs",A1:CV300,33,FALSE)/HLOOKUP("Shots",A1:CV300,33,FALSE))</f>
        <v>0.14285714285714285</v>
      </c>
      <c r="X33" s="7824">
        <v>0</v>
      </c>
      <c r="Y33" s="7825">
        <v>0</v>
      </c>
      <c r="Z33" s="7826">
        <v>15</v>
      </c>
      <c r="AA33" s="7827">
        <f>IF(HLOOKUP("KP",A1:CV300,33,FALSE)=0,0,HLOOKUP("As",A1:CV300,33,FALSE)/HLOOKUP("KP",A1:CV300,33,FALSE))</f>
        <v>0</v>
      </c>
      <c r="AB33" s="7828">
        <v>67.3</v>
      </c>
      <c r="AC33" s="7829">
        <v>15</v>
      </c>
      <c r="AD33" s="7830">
        <v>1</v>
      </c>
      <c r="AE33" s="7831">
        <v>1</v>
      </c>
      <c r="AF33" s="7832">
        <v>0</v>
      </c>
      <c r="AG33" s="7833">
        <f>IF(HLOOKUP("BC",A1:CV300,33,FALSE)=0,0,HLOOKUP("Gs - BC",A1:CV300,33,FALSE)/HLOOKUP("BC",A1:CV300,33,FALSE))</f>
        <v>1</v>
      </c>
      <c r="AH33" s="7834">
        <f>HLOOKUP("BC",A1:CV300,33,FALSE) - HLOOKUP("BC Miss",A1:CV300,33,FALSE)</f>
        <v>1</v>
      </c>
      <c r="AI33" s="7835">
        <f>IF(HLOOKUP("Gs",A1:CV300,33,FALSE)=0,0,HLOOKUP("Gs - BC",A1:CV300,33,FALSE)/HLOOKUP("Gs",A1:CV300,33,FALSE))</f>
        <v>0.5</v>
      </c>
      <c r="AJ33" s="7836">
        <v>1</v>
      </c>
      <c r="AK33" s="7837">
        <v>0</v>
      </c>
      <c r="AL33" s="7838">
        <f>HLOOKUP("BC",A1:CV300,33,FALSE) - (HLOOKUP("PK Gs",A1:CV300,33,FALSE) + HLOOKUP("PK Miss",A1:CV300,33,FALSE))</f>
        <v>0</v>
      </c>
      <c r="AM33" s="7839">
        <f>HLOOKUP("BC Miss",A1:CV300,33,FALSE) - HLOOKUP("PK Miss",A1:CV300,33,FALSE)</f>
        <v>0</v>
      </c>
      <c r="AN33" s="7840">
        <f>IF(HLOOKUP("BC - Open",A1:CV300,33,FALSE)=0,0,HLOOKUP("BC - Open Miss",A1:CV300,33,FALSE)/HLOOKUP("BC - Open",A1:CV300,33,FALSE))</f>
        <v>0</v>
      </c>
      <c r="AO33" s="7841">
        <v>2</v>
      </c>
      <c r="AP33" s="7842">
        <f>IF(HLOOKUP("Gs",A1:CV300,33,FALSE)=0,0,HLOOKUP("GIB",A1:CV300,33,FALSE)/HLOOKUP("Gs",A1:CV300,33,FALSE))</f>
        <v>1</v>
      </c>
      <c r="AQ33" s="7843">
        <v>1</v>
      </c>
      <c r="AR33" s="7844">
        <f>IF(HLOOKUP("Gs",A1:CV300,33,FALSE)=0,0,HLOOKUP("Gs - Open",A1:CV300,33,FALSE)/HLOOKUP("Gs",A1:CV300,33,FALSE))</f>
        <v>0.5</v>
      </c>
      <c r="AS33" s="7845">
        <v>1.4</v>
      </c>
      <c r="AT33" s="7846">
        <v>1.46</v>
      </c>
      <c r="AU33" s="7847">
        <f>IF(HLOOKUP("Mins",A1:CV300,33,FALSE)=0,0,HLOOKUP("Pts",A1:CV300,33,FALSE)/HLOOKUP("Mins",A1:CV300,33,FALSE)* 90)</f>
        <v>3.4279778393351799</v>
      </c>
      <c r="AV33" s="7848">
        <f>IF(HLOOKUP("Apps",A1:CV300,33,FALSE)=0,0,HLOOKUP("Pts",A1:CV300,33,FALSE)/HLOOKUP("Apps",A1:CV300,33,FALSE)* 1)</f>
        <v>3.2352941176470589</v>
      </c>
      <c r="AW33" s="7849">
        <f>IF(HLOOKUP("Mins",A1:CV300,33,FALSE)=0,0,HLOOKUP("Gs",A1:CV300,33,FALSE)/HLOOKUP("Mins",A1:CV300,33,FALSE)* 90)</f>
        <v>0.12465373961218837</v>
      </c>
      <c r="AX33" s="7850">
        <f>IF(HLOOKUP("Mins",A1:CV300,33,FALSE)=0,0,HLOOKUP("Bonus",A1:CV300,33,FALSE)/HLOOKUP("Mins",A1:CV300,33,FALSE)* 90)</f>
        <v>0.18698060941828257</v>
      </c>
      <c r="AY33" s="7851">
        <f>IF(HLOOKUP("Mins",A1:CV300,33,FALSE)=0,0,HLOOKUP("BPS",A1:CV300,33,FALSE)/HLOOKUP("Mins",A1:CV300,33,FALSE)* 90)</f>
        <v>17.01523545706371</v>
      </c>
      <c r="AZ33" s="7852">
        <f>IF(HLOOKUP("Mins",A1:CV300,33,FALSE)=0,0,HLOOKUP("Base BPS",A1:CV300,33,FALSE)/HLOOKUP("Mins",A1:CV300,33,FALSE)* 90)</f>
        <v>12.901662049861494</v>
      </c>
      <c r="BA33" s="7853">
        <f>IF(HLOOKUP("Mins",A1:CV300,33,FALSE)=0,0,HLOOKUP("PenTchs",A1:CV300,33,FALSE)/HLOOKUP("Mins",A1:CV300,33,FALSE)* 90)</f>
        <v>1.4958448753462605</v>
      </c>
      <c r="BB33" s="7854">
        <f>IF(HLOOKUP("Mins",A1:CV300,33,FALSE)=0,0,HLOOKUP("Shots",A1:CV300,33,FALSE)/HLOOKUP("Mins",A1:CV300,33,FALSE)* 90)</f>
        <v>0.87257617728531855</v>
      </c>
      <c r="BC33" s="7855">
        <f>IF(HLOOKUP("Mins",A1:CV300,33,FALSE)=0,0,HLOOKUP("SIB",A1:CV300,33,FALSE)/HLOOKUP("Mins",A1:CV300,33,FALSE)* 90)</f>
        <v>0.49861495844875348</v>
      </c>
      <c r="BD33" s="7856">
        <f>IF(HLOOKUP("Mins",A1:CV300,33,FALSE)=0,0,HLOOKUP("S6YD",A1:CV300,33,FALSE)/HLOOKUP("Mins",A1:CV300,33,FALSE)* 90)</f>
        <v>0</v>
      </c>
      <c r="BE33" s="7857">
        <f>IF(HLOOKUP("Mins",A1:CV300,33,FALSE)=0,0,HLOOKUP("Headers",A1:CV300,33,FALSE)/HLOOKUP("Mins",A1:CV300,33,FALSE)* 90)</f>
        <v>0</v>
      </c>
      <c r="BF33" s="7858">
        <f>IF(HLOOKUP("Mins",A1:CV300,33,FALSE)=0,0,HLOOKUP("SOT",A1:CV300,33,FALSE)/HLOOKUP("Mins",A1:CV300,33,FALSE)* 90)</f>
        <v>0.18698060941828257</v>
      </c>
      <c r="BG33" s="7859">
        <f>IF(HLOOKUP("Mins",A1:CV300,33,FALSE)=0,0,HLOOKUP("As",A1:CV300,33,FALSE)/HLOOKUP("Mins",A1:CV300,33,FALSE)* 90)</f>
        <v>0</v>
      </c>
      <c r="BH33" s="7860">
        <f>IF(HLOOKUP("Mins",A1:CV300,33,FALSE)=0,0,HLOOKUP("FPL As",A1:CV300,33,FALSE)/HLOOKUP("Mins",A1:CV300,33,FALSE)* 90)</f>
        <v>0</v>
      </c>
      <c r="BI33" s="7861">
        <f>IF(HLOOKUP("Mins",A1:CV300,33,FALSE)=0,0,HLOOKUP("BC Created",A1:CV300,33,FALSE)/HLOOKUP("Mins",A1:CV300,33,FALSE)* 90)</f>
        <v>6.2326869806094184E-2</v>
      </c>
      <c r="BJ33" s="7862">
        <f>IF(HLOOKUP("Mins",A1:CV300,33,FALSE)=0,0,HLOOKUP("KP",A1:CV300,33,FALSE)/HLOOKUP("Mins",A1:CV300,33,FALSE)* 90)</f>
        <v>0.9349030470914127</v>
      </c>
      <c r="BK33" s="7863">
        <f>IF(HLOOKUP("Mins",A1:CV300,33,FALSE)=0,0,HLOOKUP("BC",A1:CV300,33,FALSE)/HLOOKUP("Mins",A1:CV300,33,FALSE)* 90)</f>
        <v>6.2326869806094184E-2</v>
      </c>
      <c r="BL33" s="7864">
        <f>IF(HLOOKUP("Mins",A1:CV300,33,FALSE)=0,0,HLOOKUP("BC Miss",A1:CV300,33,FALSE)/HLOOKUP("Mins",A1:CV300,33,FALSE)* 90)</f>
        <v>0</v>
      </c>
      <c r="BM33" s="7865">
        <f>IF(HLOOKUP("Mins",A1:CV300,33,FALSE)=0,0,HLOOKUP("Gs - BC",A1:CV300,33,FALSE)/HLOOKUP("Mins",A1:CV300,33,FALSE)* 90)</f>
        <v>6.2326869806094184E-2</v>
      </c>
      <c r="BN33" s="7866">
        <f>IF(HLOOKUP("Mins",A1:CV300,33,FALSE)=0,0,HLOOKUP("GIB",A1:CV300,33,FALSE)/HLOOKUP("Mins",A1:CV300,33,FALSE)* 90)</f>
        <v>0.12465373961218837</v>
      </c>
      <c r="BO33" s="7867">
        <f>IF(HLOOKUP("Mins",A1:CV300,33,FALSE)=0,0,HLOOKUP("Gs - Open",A1:CV300,33,FALSE)/HLOOKUP("Mins",A1:CV300,33,FALSE)* 90)</f>
        <v>6.2326869806094184E-2</v>
      </c>
      <c r="BP33" s="7868">
        <f>IF(HLOOKUP("Mins",A1:CV300,33,FALSE)=0,0,HLOOKUP("ICT Index",A1:CV300,33,FALSE)/HLOOKUP("Mins",A1:CV300,33,FALSE)* 90)</f>
        <v>4.1945983379501381</v>
      </c>
      <c r="BQ33" s="7869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  <v>9.4799168975069237E-2</v>
      </c>
      <c r="BR33" s="7870">
        <f>0.0825*HLOOKUP("KP/90",A1:CV300,33,FALSE)</f>
        <v>7.7129501385041557E-2</v>
      </c>
      <c r="BS33" s="7871">
        <f>6*HLOOKUP("xG/90",A1:CV300,33,FALSE)+3*HLOOKUP("xA/90",A1:CV300,33,FALSE)</f>
        <v>0.80018351800554011</v>
      </c>
      <c r="BT33" s="7872">
        <f>HLOOKUP("xPts/90",A1:CV300,33,FALSE)-(6*0.75*(HLOOKUP("PK Gs",A1:CV300,33,FALSE)+HLOOKUP("PK Miss",A1:CV300,33,FALSE))*90/HLOOKUP("Mins",A1:CV300,33,FALSE))</f>
        <v>0.51971260387811635</v>
      </c>
      <c r="BU33" s="7873">
        <f>IF(HLOOKUP("Mins",A1:CV300,33,FALSE)=0,0,HLOOKUP("fsXG",A1:CV300,33,FALSE)/HLOOKUP("Mins",A1:CV300,33,FALSE)* 90)</f>
        <v>8.7257617728531842E-2</v>
      </c>
      <c r="BV33" s="7874">
        <f>IF(HLOOKUP("Mins",A1:CV300,33,FALSE)=0,0,HLOOKUP("fsXA",A1:CV300,33,FALSE)/HLOOKUP("Mins",A1:CV300,33,FALSE)* 90)</f>
        <v>9.0997229916897501E-2</v>
      </c>
      <c r="BW33" s="7875">
        <f>6*HLOOKUP("fsXG/90",A1:CV300,33,FALSE)+3*HLOOKUP("fsXA/90",A1:CV300,33,FALSE)</f>
        <v>0.79653739612188357</v>
      </c>
      <c r="BX33" s="7876">
        <v>8.3242841064929962E-2</v>
      </c>
      <c r="BY33" s="7877">
        <v>4.6993229538202286E-2</v>
      </c>
      <c r="BZ33" s="7878">
        <f>6*HLOOKUP("uXG/90",A1:CV300,33,FALSE)+3*HLOOKUP("uXA/90",A1:CV300,33,FALSE)</f>
        <v>0.64043673500418663</v>
      </c>
    </row>
    <row r="34" spans="1:78" hidden="1" x14ac:dyDescent="0.3">
      <c r="A34" s="7879" t="s">
        <v>197</v>
      </c>
      <c r="B34" s="7880" t="s">
        <v>100</v>
      </c>
      <c r="C34" s="7881">
        <v>4.5999999046325684</v>
      </c>
      <c r="D34" s="7882">
        <v>162</v>
      </c>
      <c r="E34" s="7883">
        <v>2</v>
      </c>
      <c r="F34" s="7884">
        <v>1</v>
      </c>
      <c r="G34" s="7885">
        <v>0</v>
      </c>
      <c r="H34" s="7886">
        <v>0</v>
      </c>
      <c r="I34" s="7887">
        <v>22</v>
      </c>
      <c r="J34" s="7888">
        <f>HLOOKUP("BPS",A1:CV300,34,FALSE)-((-6*HLOOKUP("OG",A1:CV300,34,FALSE))+(-6*HLOOKUP("PK Miss",A1:CV300,34,FALSE))+(9*HLOOKUP("FPL As",A1:CV300,34,FALSE))+(12*HLOOKUP("CS",A1:CV300,34,FALSE))+(12*HLOOKUP("Gs",A1:CV300,34,FALSE)))</f>
        <v>22</v>
      </c>
      <c r="K34" s="7889">
        <v>0</v>
      </c>
      <c r="L34" s="7890">
        <v>0</v>
      </c>
      <c r="M34" s="7891">
        <v>0</v>
      </c>
      <c r="N34" s="7892">
        <v>0</v>
      </c>
      <c r="O34" s="7893">
        <v>0</v>
      </c>
      <c r="P34" s="7894">
        <f>IF(HLOOKUP("Shots",A1:CV300,34,FALSE)=0,0,HLOOKUP("SIB",A1:CV300,34,FALSE)/HLOOKUP("Shots",A1:CV300,34,FALSE))</f>
        <v>0</v>
      </c>
      <c r="Q34" s="7895">
        <v>0</v>
      </c>
      <c r="R34" s="7896">
        <f>IF(HLOOKUP("Shots",A1:CV300,34,FALSE)=0,0,HLOOKUP("S6YD",A1:CV300,34,FALSE)/HLOOKUP("Shots",A1:CV300,34,FALSE))</f>
        <v>0</v>
      </c>
      <c r="S34" s="7897">
        <v>0</v>
      </c>
      <c r="T34" s="7898">
        <f>IF(HLOOKUP("Shots",A1:CV300,34,FALSE)=0,0,HLOOKUP("Headers",A1:CV300,34,FALSE)/HLOOKUP("Shots",A1:CV300,34,FALSE))</f>
        <v>0</v>
      </c>
      <c r="U34" s="7899">
        <v>0</v>
      </c>
      <c r="V34" s="7900">
        <f>IF(HLOOKUP("Shots",A1:CV300,34,FALSE)=0,0,HLOOKUP("SOT",A1:CV300,34,FALSE)/HLOOKUP("Shots",A1:CV300,34,FALSE))</f>
        <v>0</v>
      </c>
      <c r="W34" s="7901">
        <f>IF(HLOOKUP("Shots",A1:CV300,34,FALSE)=0,0,HLOOKUP("Gs",A1:CV300,34,FALSE)/HLOOKUP("Shots",A1:CV300,34,FALSE))</f>
        <v>0</v>
      </c>
      <c r="X34" s="7902">
        <v>0</v>
      </c>
      <c r="Y34" s="7903">
        <v>0</v>
      </c>
      <c r="Z34" s="7904">
        <v>0</v>
      </c>
      <c r="AA34" s="7905">
        <f>IF(HLOOKUP("KP",A1:CV300,34,FALSE)=0,0,HLOOKUP("As",A1:CV300,34,FALSE)/HLOOKUP("KP",A1:CV300,34,FALSE))</f>
        <v>0</v>
      </c>
      <c r="AB34" s="7906">
        <v>4.3</v>
      </c>
      <c r="AC34" s="7907">
        <v>0</v>
      </c>
      <c r="AD34" s="7908">
        <v>0</v>
      </c>
      <c r="AE34" s="7909">
        <v>0</v>
      </c>
      <c r="AF34" s="7910">
        <v>0</v>
      </c>
      <c r="AG34" s="7911">
        <f>IF(HLOOKUP("BC",A1:CV300,34,FALSE)=0,0,HLOOKUP("Gs - BC",A1:CV300,34,FALSE)/HLOOKUP("BC",A1:CV300,34,FALSE))</f>
        <v>0</v>
      </c>
      <c r="AH34" s="7912">
        <f>HLOOKUP("BC",A1:CV300,34,FALSE) - HLOOKUP("BC Miss",A1:CV300,34,FALSE)</f>
        <v>0</v>
      </c>
      <c r="AI34" s="7913">
        <f>IF(HLOOKUP("Gs",A1:CV300,34,FALSE)=0,0,HLOOKUP("Gs - BC",A1:CV300,34,FALSE)/HLOOKUP("Gs",A1:CV300,34,FALSE))</f>
        <v>0</v>
      </c>
      <c r="AJ34" s="7914">
        <v>0</v>
      </c>
      <c r="AK34" s="7915">
        <v>0</v>
      </c>
      <c r="AL34" s="7916">
        <f>HLOOKUP("BC",A1:CV300,34,FALSE) - (HLOOKUP("PK Gs",A1:CV300,34,FALSE) + HLOOKUP("PK Miss",A1:CV300,34,FALSE))</f>
        <v>0</v>
      </c>
      <c r="AM34" s="7917">
        <f>HLOOKUP("BC Miss",A1:CV300,34,FALSE) - HLOOKUP("PK Miss",A1:CV300,34,FALSE)</f>
        <v>0</v>
      </c>
      <c r="AN34" s="7918">
        <f>IF(HLOOKUP("BC - Open",A1:CV300,34,FALSE)=0,0,HLOOKUP("BC - Open Miss",A1:CV300,34,FALSE)/HLOOKUP("BC - Open",A1:CV300,34,FALSE))</f>
        <v>0</v>
      </c>
      <c r="AO34" s="7919">
        <v>0</v>
      </c>
      <c r="AP34" s="7920">
        <f>IF(HLOOKUP("Gs",A1:CV300,34,FALSE)=0,0,HLOOKUP("GIB",A1:CV300,34,FALSE)/HLOOKUP("Gs",A1:CV300,34,FALSE))</f>
        <v>0</v>
      </c>
      <c r="AQ34" s="7921">
        <v>0</v>
      </c>
      <c r="AR34" s="7922">
        <f>IF(HLOOKUP("Gs",A1:CV300,34,FALSE)=0,0,HLOOKUP("Gs - Open",A1:CV300,34,FALSE)/HLOOKUP("Gs",A1:CV300,34,FALSE))</f>
        <v>0</v>
      </c>
      <c r="AS34" s="7923">
        <v>0</v>
      </c>
      <c r="AT34" s="7924">
        <v>0.03</v>
      </c>
      <c r="AU34" s="7925">
        <f>IF(HLOOKUP("Mins",A1:CV300,34,FALSE)=0,0,HLOOKUP("Pts",A1:CV300,34,FALSE)/HLOOKUP("Mins",A1:CV300,34,FALSE)* 90)</f>
        <v>0.55555555555555558</v>
      </c>
      <c r="AV34" s="7926">
        <f>IF(HLOOKUP("Apps",A1:CV300,34,FALSE)=0,0,HLOOKUP("Pts",A1:CV300,34,FALSE)/HLOOKUP("Apps",A1:CV300,34,FALSE)* 1)</f>
        <v>0.5</v>
      </c>
      <c r="AW34" s="7927">
        <f>IF(HLOOKUP("Mins",A1:CV300,34,FALSE)=0,0,HLOOKUP("Gs",A1:CV300,34,FALSE)/HLOOKUP("Mins",A1:CV300,34,FALSE)* 90)</f>
        <v>0</v>
      </c>
      <c r="AX34" s="7928">
        <f>IF(HLOOKUP("Mins",A1:CV300,34,FALSE)=0,0,HLOOKUP("Bonus",A1:CV300,34,FALSE)/HLOOKUP("Mins",A1:CV300,34,FALSE)* 90)</f>
        <v>0</v>
      </c>
      <c r="AY34" s="7929">
        <f>IF(HLOOKUP("Mins",A1:CV300,34,FALSE)=0,0,HLOOKUP("BPS",A1:CV300,34,FALSE)/HLOOKUP("Mins",A1:CV300,34,FALSE)* 90)</f>
        <v>12.222222222222221</v>
      </c>
      <c r="AZ34" s="7930">
        <f>IF(HLOOKUP("Mins",A1:CV300,34,FALSE)=0,0,HLOOKUP("Base BPS",A1:CV300,34,FALSE)/HLOOKUP("Mins",A1:CV300,34,FALSE)* 90)</f>
        <v>12.222222222222221</v>
      </c>
      <c r="BA34" s="7931">
        <f>IF(HLOOKUP("Mins",A1:CV300,34,FALSE)=0,0,HLOOKUP("PenTchs",A1:CV300,34,FALSE)/HLOOKUP("Mins",A1:CV300,34,FALSE)* 90)</f>
        <v>0</v>
      </c>
      <c r="BB34" s="7932">
        <f>IF(HLOOKUP("Mins",A1:CV300,34,FALSE)=0,0,HLOOKUP("Shots",A1:CV300,34,FALSE)/HLOOKUP("Mins",A1:CV300,34,FALSE)* 90)</f>
        <v>0</v>
      </c>
      <c r="BC34" s="7933">
        <f>IF(HLOOKUP("Mins",A1:CV300,34,FALSE)=0,0,HLOOKUP("SIB",A1:CV300,34,FALSE)/HLOOKUP("Mins",A1:CV300,34,FALSE)* 90)</f>
        <v>0</v>
      </c>
      <c r="BD34" s="7934">
        <f>IF(HLOOKUP("Mins",A1:CV300,34,FALSE)=0,0,HLOOKUP("S6YD",A1:CV300,34,FALSE)/HLOOKUP("Mins",A1:CV300,34,FALSE)* 90)</f>
        <v>0</v>
      </c>
      <c r="BE34" s="7935">
        <f>IF(HLOOKUP("Mins",A1:CV300,34,FALSE)=0,0,HLOOKUP("Headers",A1:CV300,34,FALSE)/HLOOKUP("Mins",A1:CV300,34,FALSE)* 90)</f>
        <v>0</v>
      </c>
      <c r="BF34" s="7936">
        <f>IF(HLOOKUP("Mins",A1:CV300,34,FALSE)=0,0,HLOOKUP("SOT",A1:CV300,34,FALSE)/HLOOKUP("Mins",A1:CV300,34,FALSE)* 90)</f>
        <v>0</v>
      </c>
      <c r="BG34" s="7937">
        <f>IF(HLOOKUP("Mins",A1:CV300,34,FALSE)=0,0,HLOOKUP("As",A1:CV300,34,FALSE)/HLOOKUP("Mins",A1:CV300,34,FALSE)* 90)</f>
        <v>0</v>
      </c>
      <c r="BH34" s="7938">
        <f>IF(HLOOKUP("Mins",A1:CV300,34,FALSE)=0,0,HLOOKUP("FPL As",A1:CV300,34,FALSE)/HLOOKUP("Mins",A1:CV300,34,FALSE)* 90)</f>
        <v>0</v>
      </c>
      <c r="BI34" s="7939">
        <f>IF(HLOOKUP("Mins",A1:CV300,34,FALSE)=0,0,HLOOKUP("BC Created",A1:CV300,34,FALSE)/HLOOKUP("Mins",A1:CV300,34,FALSE)* 90)</f>
        <v>0</v>
      </c>
      <c r="BJ34" s="7940">
        <f>IF(HLOOKUP("Mins",A1:CV300,34,FALSE)=0,0,HLOOKUP("KP",A1:CV300,34,FALSE)/HLOOKUP("Mins",A1:CV300,34,FALSE)* 90)</f>
        <v>0</v>
      </c>
      <c r="BK34" s="7941">
        <f>IF(HLOOKUP("Mins",A1:CV300,34,FALSE)=0,0,HLOOKUP("BC",A1:CV300,34,FALSE)/HLOOKUP("Mins",A1:CV300,34,FALSE)* 90)</f>
        <v>0</v>
      </c>
      <c r="BL34" s="7942">
        <f>IF(HLOOKUP("Mins",A1:CV300,34,FALSE)=0,0,HLOOKUP("BC Miss",A1:CV300,34,FALSE)/HLOOKUP("Mins",A1:CV300,34,FALSE)* 90)</f>
        <v>0</v>
      </c>
      <c r="BM34" s="7943">
        <f>IF(HLOOKUP("Mins",A1:CV300,34,FALSE)=0,0,HLOOKUP("Gs - BC",A1:CV300,34,FALSE)/HLOOKUP("Mins",A1:CV300,34,FALSE)* 90)</f>
        <v>0</v>
      </c>
      <c r="BN34" s="7944">
        <f>IF(HLOOKUP("Mins",A1:CV300,34,FALSE)=0,0,HLOOKUP("GIB",A1:CV300,34,FALSE)/HLOOKUP("Mins",A1:CV300,34,FALSE)* 90)</f>
        <v>0</v>
      </c>
      <c r="BO34" s="7945">
        <f>IF(HLOOKUP("Mins",A1:CV300,34,FALSE)=0,0,HLOOKUP("Gs - Open",A1:CV300,34,FALSE)/HLOOKUP("Mins",A1:CV300,34,FALSE)* 90)</f>
        <v>0</v>
      </c>
      <c r="BP34" s="7946">
        <f>IF(HLOOKUP("Mins",A1:CV300,34,FALSE)=0,0,HLOOKUP("ICT Index",A1:CV300,34,FALSE)/HLOOKUP("Mins",A1:CV300,34,FALSE)* 90)</f>
        <v>2.3888888888888888</v>
      </c>
      <c r="BQ34" s="7947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  <v>0</v>
      </c>
      <c r="BR34" s="7948">
        <f>0.0825*HLOOKUP("KP/90",A1:CV300,34,FALSE)</f>
        <v>0</v>
      </c>
      <c r="BS34" s="7949">
        <f>6*HLOOKUP("xG/90",A1:CV300,34,FALSE)+3*HLOOKUP("xA/90",A1:CV300,34,FALSE)</f>
        <v>0</v>
      </c>
      <c r="BT34" s="7950">
        <f>HLOOKUP("xPts/90",A1:CV300,34,FALSE)-(6*0.75*(HLOOKUP("PK Gs",A1:CV300,34,FALSE)+HLOOKUP("PK Miss",A1:CV300,34,FALSE))*90/HLOOKUP("Mins",A1:CV300,34,FALSE))</f>
        <v>0</v>
      </c>
      <c r="BU34" s="7951">
        <f>IF(HLOOKUP("Mins",A1:CV300,34,FALSE)=0,0,HLOOKUP("fsXG",A1:CV300,34,FALSE)/HLOOKUP("Mins",A1:CV300,34,FALSE)* 90)</f>
        <v>0</v>
      </c>
      <c r="BV34" s="7952">
        <f>IF(HLOOKUP("Mins",A1:CV300,34,FALSE)=0,0,HLOOKUP("fsXA",A1:CV300,34,FALSE)/HLOOKUP("Mins",A1:CV300,34,FALSE)* 90)</f>
        <v>1.6666666666666666E-2</v>
      </c>
      <c r="BW34" s="7953">
        <f>6*HLOOKUP("fsXG/90",A1:CV300,34,FALSE)+3*HLOOKUP("fsXA/90",A1:CV300,34,FALSE)</f>
        <v>0.05</v>
      </c>
      <c r="BX34" s="7954">
        <v>0</v>
      </c>
      <c r="BY34" s="7955">
        <v>0</v>
      </c>
      <c r="BZ34" s="7956">
        <f>6*HLOOKUP("uXG/90",A1:CV300,34,FALSE)+3*HLOOKUP("uXA/90",A1:CV300,34,FALSE)</f>
        <v>0</v>
      </c>
    </row>
    <row r="35" spans="1:78" hidden="1" x14ac:dyDescent="0.3">
      <c r="A35" s="7957" t="s">
        <v>198</v>
      </c>
      <c r="B35" s="7958" t="s">
        <v>100</v>
      </c>
      <c r="C35" s="7959">
        <v>4.9000000953674316</v>
      </c>
      <c r="D35" s="7960">
        <v>606</v>
      </c>
      <c r="E35" s="7961">
        <v>11</v>
      </c>
      <c r="F35" s="7962">
        <v>21</v>
      </c>
      <c r="G35" s="7963">
        <v>0</v>
      </c>
      <c r="H35" s="7964">
        <v>0</v>
      </c>
      <c r="I35" s="7965">
        <v>110</v>
      </c>
      <c r="J35" s="7966">
        <f>HLOOKUP("BPS",A1:CV300,35,FALSE)-((-6*HLOOKUP("OG",A1:CV300,35,FALSE))+(-6*HLOOKUP("PK Miss",A1:CV300,35,FALSE))+(9*HLOOKUP("FPL As",A1:CV300,35,FALSE))+(12*HLOOKUP("CS",A1:CV300,35,FALSE))+(12*HLOOKUP("Gs",A1:CV300,35,FALSE)))</f>
        <v>86</v>
      </c>
      <c r="K35" s="7967">
        <v>0</v>
      </c>
      <c r="L35" s="7968">
        <v>2</v>
      </c>
      <c r="M35" s="7969">
        <v>7</v>
      </c>
      <c r="N35" s="7970">
        <v>1</v>
      </c>
      <c r="O35" s="7971">
        <v>1</v>
      </c>
      <c r="P35" s="7972">
        <f>IF(HLOOKUP("Shots",A1:CV300,35,FALSE)=0,0,HLOOKUP("SIB",A1:CV300,35,FALSE)/HLOOKUP("Shots",A1:CV300,35,FALSE))</f>
        <v>1</v>
      </c>
      <c r="Q35" s="7973">
        <v>0</v>
      </c>
      <c r="R35" s="7974">
        <f>IF(HLOOKUP("Shots",A1:CV300,35,FALSE)=0,0,HLOOKUP("S6YD",A1:CV300,35,FALSE)/HLOOKUP("Shots",A1:CV300,35,FALSE))</f>
        <v>0</v>
      </c>
      <c r="S35" s="7975">
        <v>1</v>
      </c>
      <c r="T35" s="7976">
        <f>IF(HLOOKUP("Shots",A1:CV300,35,FALSE)=0,0,HLOOKUP("Headers",A1:CV300,35,FALSE)/HLOOKUP("Shots",A1:CV300,35,FALSE))</f>
        <v>1</v>
      </c>
      <c r="U35" s="7977">
        <v>0</v>
      </c>
      <c r="V35" s="7978">
        <f>IF(HLOOKUP("Shots",A1:CV300,35,FALSE)=0,0,HLOOKUP("SOT",A1:CV300,35,FALSE)/HLOOKUP("Shots",A1:CV300,35,FALSE))</f>
        <v>0</v>
      </c>
      <c r="W35" s="7979">
        <f>IF(HLOOKUP("Shots",A1:CV300,35,FALSE)=0,0,HLOOKUP("Gs",A1:CV300,35,FALSE)/HLOOKUP("Shots",A1:CV300,35,FALSE))</f>
        <v>0</v>
      </c>
      <c r="X35" s="7980">
        <v>0</v>
      </c>
      <c r="Y35" s="7981">
        <v>0</v>
      </c>
      <c r="Z35" s="7982">
        <v>2</v>
      </c>
      <c r="AA35" s="7983">
        <f>IF(HLOOKUP("KP",A1:CV300,35,FALSE)=0,0,HLOOKUP("As",A1:CV300,35,FALSE)/HLOOKUP("KP",A1:CV300,35,FALSE))</f>
        <v>0</v>
      </c>
      <c r="AB35" s="7984">
        <v>16.8</v>
      </c>
      <c r="AC35" s="7985">
        <v>0</v>
      </c>
      <c r="AD35" s="7986">
        <v>0</v>
      </c>
      <c r="AE35" s="7987">
        <v>0</v>
      </c>
      <c r="AF35" s="7988">
        <v>0</v>
      </c>
      <c r="AG35" s="7989">
        <f>IF(HLOOKUP("BC",A1:CV300,35,FALSE)=0,0,HLOOKUP("Gs - BC",A1:CV300,35,FALSE)/HLOOKUP("BC",A1:CV300,35,FALSE))</f>
        <v>0</v>
      </c>
      <c r="AH35" s="7990">
        <f>HLOOKUP("BC",A1:CV300,35,FALSE) - HLOOKUP("BC Miss",A1:CV300,35,FALSE)</f>
        <v>0</v>
      </c>
      <c r="AI35" s="7991">
        <f>IF(HLOOKUP("Gs",A1:CV300,35,FALSE)=0,0,HLOOKUP("Gs - BC",A1:CV300,35,FALSE)/HLOOKUP("Gs",A1:CV300,35,FALSE))</f>
        <v>0</v>
      </c>
      <c r="AJ35" s="7992">
        <v>0</v>
      </c>
      <c r="AK35" s="7993">
        <v>0</v>
      </c>
      <c r="AL35" s="7994">
        <f>HLOOKUP("BC",A1:CV300,35,FALSE) - (HLOOKUP("PK Gs",A1:CV300,35,FALSE) + HLOOKUP("PK Miss",A1:CV300,35,FALSE))</f>
        <v>0</v>
      </c>
      <c r="AM35" s="7995">
        <f>HLOOKUP("BC Miss",A1:CV300,35,FALSE) - HLOOKUP("PK Miss",A1:CV300,35,FALSE)</f>
        <v>0</v>
      </c>
      <c r="AN35" s="7996">
        <f>IF(HLOOKUP("BC - Open",A1:CV300,35,FALSE)=0,0,HLOOKUP("BC - Open Miss",A1:CV300,35,FALSE)/HLOOKUP("BC - Open",A1:CV300,35,FALSE))</f>
        <v>0</v>
      </c>
      <c r="AO35" s="7997">
        <v>0</v>
      </c>
      <c r="AP35" s="7998">
        <f>IF(HLOOKUP("Gs",A1:CV300,35,FALSE)=0,0,HLOOKUP("GIB",A1:CV300,35,FALSE)/HLOOKUP("Gs",A1:CV300,35,FALSE))</f>
        <v>0</v>
      </c>
      <c r="AQ35" s="7999">
        <v>0</v>
      </c>
      <c r="AR35" s="8000">
        <f>IF(HLOOKUP("Gs",A1:CV300,35,FALSE)=0,0,HLOOKUP("Gs - Open",A1:CV300,35,FALSE)/HLOOKUP("Gs",A1:CV300,35,FALSE))</f>
        <v>0</v>
      </c>
      <c r="AS35" s="8001">
        <v>0.05</v>
      </c>
      <c r="AT35" s="8002">
        <v>0.27</v>
      </c>
      <c r="AU35" s="8003">
        <f>IF(HLOOKUP("Mins",A1:CV300,35,FALSE)=0,0,HLOOKUP("Pts",A1:CV300,35,FALSE)/HLOOKUP("Mins",A1:CV300,35,FALSE)* 90)</f>
        <v>3.1188118811881189</v>
      </c>
      <c r="AV35" s="8004">
        <f>IF(HLOOKUP("Apps",A1:CV300,35,FALSE)=0,0,HLOOKUP("Pts",A1:CV300,35,FALSE)/HLOOKUP("Apps",A1:CV300,35,FALSE)* 1)</f>
        <v>1.9090909090909092</v>
      </c>
      <c r="AW35" s="8005">
        <f>IF(HLOOKUP("Mins",A1:CV300,35,FALSE)=0,0,HLOOKUP("Gs",A1:CV300,35,FALSE)/HLOOKUP("Mins",A1:CV300,35,FALSE)* 90)</f>
        <v>0</v>
      </c>
      <c r="AX35" s="8006">
        <f>IF(HLOOKUP("Mins",A1:CV300,35,FALSE)=0,0,HLOOKUP("Bonus",A1:CV300,35,FALSE)/HLOOKUP("Mins",A1:CV300,35,FALSE)* 90)</f>
        <v>0</v>
      </c>
      <c r="AY35" s="8007">
        <f>IF(HLOOKUP("Mins",A1:CV300,35,FALSE)=0,0,HLOOKUP("BPS",A1:CV300,35,FALSE)/HLOOKUP("Mins",A1:CV300,35,FALSE)* 90)</f>
        <v>16.336633663366339</v>
      </c>
      <c r="AZ35" s="8008">
        <f>IF(HLOOKUP("Mins",A1:CV300,35,FALSE)=0,0,HLOOKUP("Base BPS",A1:CV300,35,FALSE)/HLOOKUP("Mins",A1:CV300,35,FALSE)* 90)</f>
        <v>12.772277227722771</v>
      </c>
      <c r="BA35" s="8009">
        <f>IF(HLOOKUP("Mins",A1:CV300,35,FALSE)=0,0,HLOOKUP("PenTchs",A1:CV300,35,FALSE)/HLOOKUP("Mins",A1:CV300,35,FALSE)* 90)</f>
        <v>1.0396039603960396</v>
      </c>
      <c r="BB35" s="8010">
        <f>IF(HLOOKUP("Mins",A1:CV300,35,FALSE)=0,0,HLOOKUP("Shots",A1:CV300,35,FALSE)/HLOOKUP("Mins",A1:CV300,35,FALSE)* 90)</f>
        <v>0.14851485148514851</v>
      </c>
      <c r="BC35" s="8011">
        <f>IF(HLOOKUP("Mins",A1:CV300,35,FALSE)=0,0,HLOOKUP("SIB",A1:CV300,35,FALSE)/HLOOKUP("Mins",A1:CV300,35,FALSE)* 90)</f>
        <v>0.14851485148514851</v>
      </c>
      <c r="BD35" s="8012">
        <f>IF(HLOOKUP("Mins",A1:CV300,35,FALSE)=0,0,HLOOKUP("S6YD",A1:CV300,35,FALSE)/HLOOKUP("Mins",A1:CV300,35,FALSE)* 90)</f>
        <v>0</v>
      </c>
      <c r="BE35" s="8013">
        <f>IF(HLOOKUP("Mins",A1:CV300,35,FALSE)=0,0,HLOOKUP("Headers",A1:CV300,35,FALSE)/HLOOKUP("Mins",A1:CV300,35,FALSE)* 90)</f>
        <v>0.14851485148514851</v>
      </c>
      <c r="BF35" s="8014">
        <f>IF(HLOOKUP("Mins",A1:CV300,35,FALSE)=0,0,HLOOKUP("SOT",A1:CV300,35,FALSE)/HLOOKUP("Mins",A1:CV300,35,FALSE)* 90)</f>
        <v>0</v>
      </c>
      <c r="BG35" s="8015">
        <f>IF(HLOOKUP("Mins",A1:CV300,35,FALSE)=0,0,HLOOKUP("As",A1:CV300,35,FALSE)/HLOOKUP("Mins",A1:CV300,35,FALSE)* 90)</f>
        <v>0</v>
      </c>
      <c r="BH35" s="8016">
        <f>IF(HLOOKUP("Mins",A1:CV300,35,FALSE)=0,0,HLOOKUP("FPL As",A1:CV300,35,FALSE)/HLOOKUP("Mins",A1:CV300,35,FALSE)* 90)</f>
        <v>0</v>
      </c>
      <c r="BI35" s="8017">
        <f>IF(HLOOKUP("Mins",A1:CV300,35,FALSE)=0,0,HLOOKUP("BC Created",A1:CV300,35,FALSE)/HLOOKUP("Mins",A1:CV300,35,FALSE)* 90)</f>
        <v>0</v>
      </c>
      <c r="BJ35" s="8018">
        <f>IF(HLOOKUP("Mins",A1:CV300,35,FALSE)=0,0,HLOOKUP("KP",A1:CV300,35,FALSE)/HLOOKUP("Mins",A1:CV300,35,FALSE)* 90)</f>
        <v>0.29702970297029702</v>
      </c>
      <c r="BK35" s="8019">
        <f>IF(HLOOKUP("Mins",A1:CV300,35,FALSE)=0,0,HLOOKUP("BC",A1:CV300,35,FALSE)/HLOOKUP("Mins",A1:CV300,35,FALSE)* 90)</f>
        <v>0</v>
      </c>
      <c r="BL35" s="8020">
        <f>IF(HLOOKUP("Mins",A1:CV300,35,FALSE)=0,0,HLOOKUP("BC Miss",A1:CV300,35,FALSE)/HLOOKUP("Mins",A1:CV300,35,FALSE)* 90)</f>
        <v>0</v>
      </c>
      <c r="BM35" s="8021">
        <f>IF(HLOOKUP("Mins",A1:CV300,35,FALSE)=0,0,HLOOKUP("Gs - BC",A1:CV300,35,FALSE)/HLOOKUP("Mins",A1:CV300,35,FALSE)* 90)</f>
        <v>0</v>
      </c>
      <c r="BN35" s="8022">
        <f>IF(HLOOKUP("Mins",A1:CV300,35,FALSE)=0,0,HLOOKUP("GIB",A1:CV300,35,FALSE)/HLOOKUP("Mins",A1:CV300,35,FALSE)* 90)</f>
        <v>0</v>
      </c>
      <c r="BO35" s="8023">
        <f>IF(HLOOKUP("Mins",A1:CV300,35,FALSE)=0,0,HLOOKUP("Gs - Open",A1:CV300,35,FALSE)/HLOOKUP("Mins",A1:CV300,35,FALSE)* 90)</f>
        <v>0</v>
      </c>
      <c r="BP35" s="8024">
        <f>IF(HLOOKUP("Mins",A1:CV300,35,FALSE)=0,0,HLOOKUP("ICT Index",A1:CV300,35,FALSE)/HLOOKUP("Mins",A1:CV300,35,FALSE)* 90)</f>
        <v>2.495049504950495</v>
      </c>
      <c r="BQ35" s="8025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  <v>1.3811881188118812E-2</v>
      </c>
      <c r="BR35" s="8026">
        <f>0.0825*HLOOKUP("KP/90",A1:CV300,35,FALSE)</f>
        <v>2.4504950495049506E-2</v>
      </c>
      <c r="BS35" s="8027">
        <f>6*HLOOKUP("xG/90",A1:CV300,35,FALSE)+3*HLOOKUP("xA/90",A1:CV300,35,FALSE)</f>
        <v>0.15638613861386141</v>
      </c>
      <c r="BT35" s="8028">
        <f>HLOOKUP("xPts/90",A1:CV300,35,FALSE)-(6*0.75*(HLOOKUP("PK Gs",A1:CV300,35,FALSE)+HLOOKUP("PK Miss",A1:CV300,35,FALSE))*90/HLOOKUP("Mins",A1:CV300,35,FALSE))</f>
        <v>0.15638613861386141</v>
      </c>
      <c r="BU35" s="8029">
        <f>IF(HLOOKUP("Mins",A1:CV300,35,FALSE)=0,0,HLOOKUP("fsXG",A1:CV300,35,FALSE)/HLOOKUP("Mins",A1:CV300,35,FALSE)* 90)</f>
        <v>7.4257425742574254E-3</v>
      </c>
      <c r="BV35" s="8030">
        <f>IF(HLOOKUP("Mins",A1:CV300,35,FALSE)=0,0,HLOOKUP("fsXA",A1:CV300,35,FALSE)/HLOOKUP("Mins",A1:CV300,35,FALSE)* 90)</f>
        <v>4.00990099009901E-2</v>
      </c>
      <c r="BW35" s="8031">
        <f>6*HLOOKUP("fsXG/90",A1:CV300,35,FALSE)+3*HLOOKUP("fsXA/90",A1:CV300,35,FALSE)</f>
        <v>0.16485148514851483</v>
      </c>
      <c r="BX35" s="8032">
        <v>3.5517760552465916E-3</v>
      </c>
      <c r="BY35" s="8033">
        <v>1.3446900993585587E-2</v>
      </c>
      <c r="BZ35" s="8034">
        <f>6*HLOOKUP("uXG/90",A1:CV300,35,FALSE)+3*HLOOKUP("uXA/90",A1:CV300,35,FALSE)</f>
        <v>6.1651359312236309E-2</v>
      </c>
    </row>
    <row r="36" spans="1:78" hidden="1" x14ac:dyDescent="0.3">
      <c r="A36" s="8035" t="s">
        <v>199</v>
      </c>
      <c r="B36" s="8036" t="s">
        <v>86</v>
      </c>
      <c r="C36" s="8037">
        <v>4.3000001907348633</v>
      </c>
      <c r="D36" s="8038">
        <v>825</v>
      </c>
      <c r="E36" s="8039">
        <v>10</v>
      </c>
      <c r="F36" s="8040">
        <v>21</v>
      </c>
      <c r="G36" s="8041">
        <v>0</v>
      </c>
      <c r="H36" s="8042">
        <v>0</v>
      </c>
      <c r="I36" s="8043">
        <v>150</v>
      </c>
      <c r="J36" s="8044">
        <f>HLOOKUP("BPS",A1:CV300,36,FALSE)-((-6*HLOOKUP("OG",A1:CV300,36,FALSE))+(-6*HLOOKUP("PK Miss",A1:CV300,36,FALSE))+(9*HLOOKUP("FPL As",A1:CV300,36,FALSE))+(12*HLOOKUP("CS",A1:CV300,36,FALSE))+(12*HLOOKUP("Gs",A1:CV300,36,FALSE)))</f>
        <v>117</v>
      </c>
      <c r="K36" s="8045">
        <v>0</v>
      </c>
      <c r="L36" s="8046">
        <v>2</v>
      </c>
      <c r="M36" s="8047">
        <v>8</v>
      </c>
      <c r="N36" s="8048">
        <v>4</v>
      </c>
      <c r="O36" s="8049">
        <v>4</v>
      </c>
      <c r="P36" s="8050">
        <f>IF(HLOOKUP("Shots",A1:CV300,36,FALSE)=0,0,HLOOKUP("SIB",A1:CV300,36,FALSE)/HLOOKUP("Shots",A1:CV300,36,FALSE))</f>
        <v>1</v>
      </c>
      <c r="Q36" s="8051">
        <v>0</v>
      </c>
      <c r="R36" s="8052">
        <f>IF(HLOOKUP("Shots",A1:CV300,36,FALSE)=0,0,HLOOKUP("S6YD",A1:CV300,36,FALSE)/HLOOKUP("Shots",A1:CV300,36,FALSE))</f>
        <v>0</v>
      </c>
      <c r="S36" s="8053">
        <v>3</v>
      </c>
      <c r="T36" s="8054">
        <f>IF(HLOOKUP("Shots",A1:CV300,36,FALSE)=0,0,HLOOKUP("Headers",A1:CV300,36,FALSE)/HLOOKUP("Shots",A1:CV300,36,FALSE))</f>
        <v>0.75</v>
      </c>
      <c r="U36" s="8055">
        <v>1</v>
      </c>
      <c r="V36" s="8056">
        <f>IF(HLOOKUP("Shots",A1:CV300,36,FALSE)=0,0,HLOOKUP("SOT",A1:CV300,36,FALSE)/HLOOKUP("Shots",A1:CV300,36,FALSE))</f>
        <v>0.25</v>
      </c>
      <c r="W36" s="8057">
        <f>IF(HLOOKUP("Shots",A1:CV300,36,FALSE)=0,0,HLOOKUP("Gs",A1:CV300,36,FALSE)/HLOOKUP("Shots",A1:CV300,36,FALSE))</f>
        <v>0</v>
      </c>
      <c r="X36" s="8058">
        <v>1</v>
      </c>
      <c r="Y36" s="8059">
        <v>1</v>
      </c>
      <c r="Z36" s="8060">
        <v>4</v>
      </c>
      <c r="AA36" s="8061">
        <f>IF(HLOOKUP("KP",A1:CV300,36,FALSE)=0,0,HLOOKUP("As",A1:CV300,36,FALSE)/HLOOKUP("KP",A1:CV300,36,FALSE))</f>
        <v>0.25</v>
      </c>
      <c r="AB36" s="8062">
        <v>30.9</v>
      </c>
      <c r="AC36" s="8063">
        <v>8</v>
      </c>
      <c r="AD36" s="8064">
        <v>1</v>
      </c>
      <c r="AE36" s="8065">
        <v>1</v>
      </c>
      <c r="AF36" s="8066">
        <v>1</v>
      </c>
      <c r="AG36" s="8067">
        <f>IF(HLOOKUP("BC",A1:CV300,36,FALSE)=0,0,HLOOKUP("Gs - BC",A1:CV300,36,FALSE)/HLOOKUP("BC",A1:CV300,36,FALSE))</f>
        <v>0</v>
      </c>
      <c r="AH36" s="8068">
        <f>HLOOKUP("BC",A1:CV300,36,FALSE) - HLOOKUP("BC Miss",A1:CV300,36,FALSE)</f>
        <v>0</v>
      </c>
      <c r="AI36" s="8069">
        <f>IF(HLOOKUP("Gs",A1:CV300,36,FALSE)=0,0,HLOOKUP("Gs - BC",A1:CV300,36,FALSE)/HLOOKUP("Gs",A1:CV300,36,FALSE))</f>
        <v>0</v>
      </c>
      <c r="AJ36" s="8070">
        <v>0</v>
      </c>
      <c r="AK36" s="8071">
        <v>0</v>
      </c>
      <c r="AL36" s="8072">
        <f>HLOOKUP("BC",A1:CV300,36,FALSE) - (HLOOKUP("PK Gs",A1:CV300,36,FALSE) + HLOOKUP("PK Miss",A1:CV300,36,FALSE))</f>
        <v>1</v>
      </c>
      <c r="AM36" s="8073">
        <f>HLOOKUP("BC Miss",A1:CV300,36,FALSE) - HLOOKUP("PK Miss",A1:CV300,36,FALSE)</f>
        <v>1</v>
      </c>
      <c r="AN36" s="8074">
        <f>IF(HLOOKUP("BC - Open",A1:CV300,36,FALSE)=0,0,HLOOKUP("BC - Open Miss",A1:CV300,36,FALSE)/HLOOKUP("BC - Open",A1:CV300,36,FALSE))</f>
        <v>1</v>
      </c>
      <c r="AO36" s="8075">
        <v>0</v>
      </c>
      <c r="AP36" s="8076">
        <f>IF(HLOOKUP("Gs",A1:CV300,36,FALSE)=0,0,HLOOKUP("GIB",A1:CV300,36,FALSE)/HLOOKUP("Gs",A1:CV300,36,FALSE))</f>
        <v>0</v>
      </c>
      <c r="AQ36" s="8077">
        <v>0</v>
      </c>
      <c r="AR36" s="8078">
        <f>IF(HLOOKUP("Gs",A1:CV300,36,FALSE)=0,0,HLOOKUP("Gs - Open",A1:CV300,36,FALSE)/HLOOKUP("Gs",A1:CV300,36,FALSE))</f>
        <v>0</v>
      </c>
      <c r="AS36" s="8079">
        <v>0.25</v>
      </c>
      <c r="AT36" s="8080">
        <v>0.04</v>
      </c>
      <c r="AU36" s="8081">
        <f>IF(HLOOKUP("Mins",A1:CV300,36,FALSE)=0,0,HLOOKUP("Pts",A1:CV300,36,FALSE)/HLOOKUP("Mins",A1:CV300,36,FALSE)* 90)</f>
        <v>2.290909090909091</v>
      </c>
      <c r="AV36" s="8082">
        <f>IF(HLOOKUP("Apps",A1:CV300,36,FALSE)=0,0,HLOOKUP("Pts",A1:CV300,36,FALSE)/HLOOKUP("Apps",A1:CV300,36,FALSE)* 1)</f>
        <v>2.1</v>
      </c>
      <c r="AW36" s="8083">
        <f>IF(HLOOKUP("Mins",A1:CV300,36,FALSE)=0,0,HLOOKUP("Gs",A1:CV300,36,FALSE)/HLOOKUP("Mins",A1:CV300,36,FALSE)* 90)</f>
        <v>0</v>
      </c>
      <c r="AX36" s="8084">
        <f>IF(HLOOKUP("Mins",A1:CV300,36,FALSE)=0,0,HLOOKUP("Bonus",A1:CV300,36,FALSE)/HLOOKUP("Mins",A1:CV300,36,FALSE)* 90)</f>
        <v>0</v>
      </c>
      <c r="AY36" s="8085">
        <f>IF(HLOOKUP("Mins",A1:CV300,36,FALSE)=0,0,HLOOKUP("BPS",A1:CV300,36,FALSE)/HLOOKUP("Mins",A1:CV300,36,FALSE)* 90)</f>
        <v>16.363636363636363</v>
      </c>
      <c r="AZ36" s="8086">
        <f>IF(HLOOKUP("Mins",A1:CV300,36,FALSE)=0,0,HLOOKUP("Base BPS",A1:CV300,36,FALSE)/HLOOKUP("Mins",A1:CV300,36,FALSE)* 90)</f>
        <v>12.763636363636364</v>
      </c>
      <c r="BA36" s="8087">
        <f>IF(HLOOKUP("Mins",A1:CV300,36,FALSE)=0,0,HLOOKUP("PenTchs",A1:CV300,36,FALSE)/HLOOKUP("Mins",A1:CV300,36,FALSE)* 90)</f>
        <v>0.87272727272727268</v>
      </c>
      <c r="BB36" s="8088">
        <f>IF(HLOOKUP("Mins",A1:CV300,36,FALSE)=0,0,HLOOKUP("Shots",A1:CV300,36,FALSE)/HLOOKUP("Mins",A1:CV300,36,FALSE)* 90)</f>
        <v>0.43636363636363634</v>
      </c>
      <c r="BC36" s="8089">
        <f>IF(HLOOKUP("Mins",A1:CV300,36,FALSE)=0,0,HLOOKUP("SIB",A1:CV300,36,FALSE)/HLOOKUP("Mins",A1:CV300,36,FALSE)* 90)</f>
        <v>0.43636363636363634</v>
      </c>
      <c r="BD36" s="8090">
        <f>IF(HLOOKUP("Mins",A1:CV300,36,FALSE)=0,0,HLOOKUP("S6YD",A1:CV300,36,FALSE)/HLOOKUP("Mins",A1:CV300,36,FALSE)* 90)</f>
        <v>0</v>
      </c>
      <c r="BE36" s="8091">
        <f>IF(HLOOKUP("Mins",A1:CV300,36,FALSE)=0,0,HLOOKUP("Headers",A1:CV300,36,FALSE)/HLOOKUP("Mins",A1:CV300,36,FALSE)* 90)</f>
        <v>0.32727272727272727</v>
      </c>
      <c r="BF36" s="8092">
        <f>IF(HLOOKUP("Mins",A1:CV300,36,FALSE)=0,0,HLOOKUP("SOT",A1:CV300,36,FALSE)/HLOOKUP("Mins",A1:CV300,36,FALSE)* 90)</f>
        <v>0.10909090909090909</v>
      </c>
      <c r="BG36" s="8093">
        <f>IF(HLOOKUP("Mins",A1:CV300,36,FALSE)=0,0,HLOOKUP("As",A1:CV300,36,FALSE)/HLOOKUP("Mins",A1:CV300,36,FALSE)* 90)</f>
        <v>0.10909090909090909</v>
      </c>
      <c r="BH36" s="8094">
        <f>IF(HLOOKUP("Mins",A1:CV300,36,FALSE)=0,0,HLOOKUP("FPL As",A1:CV300,36,FALSE)/HLOOKUP("Mins",A1:CV300,36,FALSE)* 90)</f>
        <v>0.10909090909090909</v>
      </c>
      <c r="BI36" s="8095">
        <f>IF(HLOOKUP("Mins",A1:CV300,36,FALSE)=0,0,HLOOKUP("BC Created",A1:CV300,36,FALSE)/HLOOKUP("Mins",A1:CV300,36,FALSE)* 90)</f>
        <v>0.10909090909090909</v>
      </c>
      <c r="BJ36" s="8096">
        <f>IF(HLOOKUP("Mins",A1:CV300,36,FALSE)=0,0,HLOOKUP("KP",A1:CV300,36,FALSE)/HLOOKUP("Mins",A1:CV300,36,FALSE)* 90)</f>
        <v>0.43636363636363634</v>
      </c>
      <c r="BK36" s="8097">
        <f>IF(HLOOKUP("Mins",A1:CV300,36,FALSE)=0,0,HLOOKUP("BC",A1:CV300,36,FALSE)/HLOOKUP("Mins",A1:CV300,36,FALSE)* 90)</f>
        <v>0.10909090909090909</v>
      </c>
      <c r="BL36" s="8098">
        <f>IF(HLOOKUP("Mins",A1:CV300,36,FALSE)=0,0,HLOOKUP("BC Miss",A1:CV300,36,FALSE)/HLOOKUP("Mins",A1:CV300,36,FALSE)* 90)</f>
        <v>0.10909090909090909</v>
      </c>
      <c r="BM36" s="8099">
        <f>IF(HLOOKUP("Mins",A1:CV300,36,FALSE)=0,0,HLOOKUP("Gs - BC",A1:CV300,36,FALSE)/HLOOKUP("Mins",A1:CV300,36,FALSE)* 90)</f>
        <v>0</v>
      </c>
      <c r="BN36" s="8100">
        <f>IF(HLOOKUP("Mins",A1:CV300,36,FALSE)=0,0,HLOOKUP("GIB",A1:CV300,36,FALSE)/HLOOKUP("Mins",A1:CV300,36,FALSE)* 90)</f>
        <v>0</v>
      </c>
      <c r="BO36" s="8101">
        <f>IF(HLOOKUP("Mins",A1:CV300,36,FALSE)=0,0,HLOOKUP("Gs - Open",A1:CV300,36,FALSE)/HLOOKUP("Mins",A1:CV300,36,FALSE)* 90)</f>
        <v>0</v>
      </c>
      <c r="BP36" s="8102">
        <f>IF(HLOOKUP("Mins",A1:CV300,36,FALSE)=0,0,HLOOKUP("ICT Index",A1:CV300,36,FALSE)/HLOOKUP("Mins",A1:CV300,36,FALSE)* 90)</f>
        <v>3.3709090909090911</v>
      </c>
      <c r="BQ36" s="8103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  <v>4.0581818181818184E-2</v>
      </c>
      <c r="BR36" s="8104">
        <f>0.0825*HLOOKUP("KP/90",A1:CV300,36,FALSE)</f>
        <v>3.5999999999999997E-2</v>
      </c>
      <c r="BS36" s="8105">
        <f>6*HLOOKUP("xG/90",A1:CV300,36,FALSE)+3*HLOOKUP("xA/90",A1:CV300,36,FALSE)</f>
        <v>0.35149090909090908</v>
      </c>
      <c r="BT36" s="8106">
        <f>HLOOKUP("xPts/90",A1:CV300,36,FALSE)-(6*0.75*(HLOOKUP("PK Gs",A1:CV300,36,FALSE)+HLOOKUP("PK Miss",A1:CV300,36,FALSE))*90/HLOOKUP("Mins",A1:CV300,36,FALSE))</f>
        <v>0.35149090909090908</v>
      </c>
      <c r="BU36" s="8107">
        <f>IF(HLOOKUP("Mins",A1:CV300,36,FALSE)=0,0,HLOOKUP("fsXG",A1:CV300,36,FALSE)/HLOOKUP("Mins",A1:CV300,36,FALSE)* 90)</f>
        <v>2.7272727272727271E-2</v>
      </c>
      <c r="BV36" s="8108">
        <f>IF(HLOOKUP("Mins",A1:CV300,36,FALSE)=0,0,HLOOKUP("fsXA",A1:CV300,36,FALSE)/HLOOKUP("Mins",A1:CV300,36,FALSE)* 90)</f>
        <v>4.3636363636363638E-3</v>
      </c>
      <c r="BW36" s="8109">
        <f>6*HLOOKUP("fsXG/90",A1:CV300,36,FALSE)+3*HLOOKUP("fsXA/90",A1:CV300,36,FALSE)</f>
        <v>0.17672727272727273</v>
      </c>
      <c r="BX36" s="8110">
        <v>5.3573854267597198E-2</v>
      </c>
      <c r="BY36" s="8111">
        <v>3.6080971360206604E-2</v>
      </c>
      <c r="BZ36" s="8112">
        <f>6*HLOOKUP("uXG/90",A1:CV300,36,FALSE)+3*HLOOKUP("uXA/90",A1:CV300,36,FALSE)</f>
        <v>0.429686039686203</v>
      </c>
    </row>
    <row r="37" spans="1:78" hidden="1" x14ac:dyDescent="0.3">
      <c r="A37" s="8113" t="s">
        <v>200</v>
      </c>
      <c r="B37" s="8114" t="s">
        <v>102</v>
      </c>
      <c r="C37" s="8115">
        <v>4.5999999046325684</v>
      </c>
      <c r="D37" s="8116">
        <v>1486</v>
      </c>
      <c r="E37" s="8117">
        <v>18</v>
      </c>
      <c r="F37" s="8118">
        <v>63</v>
      </c>
      <c r="G37" s="8119">
        <v>2</v>
      </c>
      <c r="H37" s="8120">
        <v>6</v>
      </c>
      <c r="I37" s="8121">
        <v>280</v>
      </c>
      <c r="J37" s="8122">
        <f>HLOOKUP("BPS",A1:CV300,37,FALSE)-((-6*HLOOKUP("OG",A1:CV300,37,FALSE))+(-6*HLOOKUP("PK Miss",A1:CV300,37,FALSE))+(9*HLOOKUP("FPL As",A1:CV300,37,FALSE))+(12*HLOOKUP("CS",A1:CV300,37,FALSE))+(12*HLOOKUP("Gs",A1:CV300,37,FALSE)))</f>
        <v>202</v>
      </c>
      <c r="K37" s="8123">
        <v>0</v>
      </c>
      <c r="L37" s="8124">
        <v>3</v>
      </c>
      <c r="M37" s="8125">
        <v>24</v>
      </c>
      <c r="N37" s="8126">
        <v>14</v>
      </c>
      <c r="O37" s="8127">
        <v>9</v>
      </c>
      <c r="P37" s="8128">
        <f>IF(HLOOKUP("Shots",A1:CV300,37,FALSE)=0,0,HLOOKUP("SIB",A1:CV300,37,FALSE)/HLOOKUP("Shots",A1:CV300,37,FALSE))</f>
        <v>0.6428571428571429</v>
      </c>
      <c r="Q37" s="8129">
        <v>0</v>
      </c>
      <c r="R37" s="8130">
        <f>IF(HLOOKUP("Shots",A1:CV300,37,FALSE)=0,0,HLOOKUP("S6YD",A1:CV300,37,FALSE)/HLOOKUP("Shots",A1:CV300,37,FALSE))</f>
        <v>0</v>
      </c>
      <c r="S37" s="8131">
        <v>1</v>
      </c>
      <c r="T37" s="8132">
        <f>IF(HLOOKUP("Shots",A1:CV300,37,FALSE)=0,0,HLOOKUP("Headers",A1:CV300,37,FALSE)/HLOOKUP("Shots",A1:CV300,37,FALSE))</f>
        <v>7.1428571428571425E-2</v>
      </c>
      <c r="U37" s="8133">
        <v>6</v>
      </c>
      <c r="V37" s="8134">
        <f>IF(HLOOKUP("Shots",A1:CV300,37,FALSE)=0,0,HLOOKUP("SOT",A1:CV300,37,FALSE)/HLOOKUP("Shots",A1:CV300,37,FALSE))</f>
        <v>0.42857142857142855</v>
      </c>
      <c r="W37" s="8135">
        <f>IF(HLOOKUP("Shots",A1:CV300,37,FALSE)=0,0,HLOOKUP("Gs",A1:CV300,37,FALSE)/HLOOKUP("Shots",A1:CV300,37,FALSE))</f>
        <v>0.14285714285714285</v>
      </c>
      <c r="X37" s="8136">
        <v>2</v>
      </c>
      <c r="Y37" s="8137">
        <v>2</v>
      </c>
      <c r="Z37" s="8138">
        <v>15</v>
      </c>
      <c r="AA37" s="8139">
        <f>IF(HLOOKUP("KP",A1:CV300,37,FALSE)=0,0,HLOOKUP("As",A1:CV300,37,FALSE)/HLOOKUP("KP",A1:CV300,37,FALSE))</f>
        <v>0.13333333333333333</v>
      </c>
      <c r="AB37" s="8140">
        <v>74.7</v>
      </c>
      <c r="AC37" s="8141">
        <v>22</v>
      </c>
      <c r="AD37" s="8142">
        <v>2</v>
      </c>
      <c r="AE37" s="8143">
        <v>0</v>
      </c>
      <c r="AF37" s="8144">
        <v>0</v>
      </c>
      <c r="AG37" s="8145">
        <f>IF(HLOOKUP("BC",A1:CV300,37,FALSE)=0,0,HLOOKUP("Gs - BC",A1:CV300,37,FALSE)/HLOOKUP("BC",A1:CV300,37,FALSE))</f>
        <v>0</v>
      </c>
      <c r="AH37" s="8146">
        <f>HLOOKUP("BC",A1:CV300,37,FALSE) - HLOOKUP("BC Miss",A1:CV300,37,FALSE)</f>
        <v>0</v>
      </c>
      <c r="AI37" s="8147">
        <f>IF(HLOOKUP("Gs",A1:CV300,37,FALSE)=0,0,HLOOKUP("Gs - BC",A1:CV300,37,FALSE)/HLOOKUP("Gs",A1:CV300,37,FALSE))</f>
        <v>0</v>
      </c>
      <c r="AJ37" s="8148">
        <v>0</v>
      </c>
      <c r="AK37" s="8149">
        <v>0</v>
      </c>
      <c r="AL37" s="8150">
        <f>HLOOKUP("BC",A1:CV300,37,FALSE) - (HLOOKUP("PK Gs",A1:CV300,37,FALSE) + HLOOKUP("PK Miss",A1:CV300,37,FALSE))</f>
        <v>0</v>
      </c>
      <c r="AM37" s="8151">
        <f>HLOOKUP("BC Miss",A1:CV300,37,FALSE) - HLOOKUP("PK Miss",A1:CV300,37,FALSE)</f>
        <v>0</v>
      </c>
      <c r="AN37" s="8152">
        <f>IF(HLOOKUP("BC - Open",A1:CV300,37,FALSE)=0,0,HLOOKUP("BC - Open Miss",A1:CV300,37,FALSE)/HLOOKUP("BC - Open",A1:CV300,37,FALSE))</f>
        <v>0</v>
      </c>
      <c r="AO37" s="8153">
        <v>2</v>
      </c>
      <c r="AP37" s="8154">
        <f>IF(HLOOKUP("Gs",A1:CV300,37,FALSE)=0,0,HLOOKUP("GIB",A1:CV300,37,FALSE)/HLOOKUP("Gs",A1:CV300,37,FALSE))</f>
        <v>1</v>
      </c>
      <c r="AQ37" s="8155">
        <v>2</v>
      </c>
      <c r="AR37" s="8156">
        <f>IF(HLOOKUP("Gs",A1:CV300,37,FALSE)=0,0,HLOOKUP("Gs - Open",A1:CV300,37,FALSE)/HLOOKUP("Gs",A1:CV300,37,FALSE))</f>
        <v>1</v>
      </c>
      <c r="AS37" s="8157">
        <v>0.56000000000000005</v>
      </c>
      <c r="AT37" s="8158">
        <v>0.91</v>
      </c>
      <c r="AU37" s="8159">
        <f>IF(HLOOKUP("Mins",A1:CV300,37,FALSE)=0,0,HLOOKUP("Pts",A1:CV300,37,FALSE)/HLOOKUP("Mins",A1:CV300,37,FALSE)* 90)</f>
        <v>3.8156123822341859</v>
      </c>
      <c r="AV37" s="8160">
        <f>IF(HLOOKUP("Apps",A1:CV300,37,FALSE)=0,0,HLOOKUP("Pts",A1:CV300,37,FALSE)/HLOOKUP("Apps",A1:CV300,37,FALSE)* 1)</f>
        <v>3.5</v>
      </c>
      <c r="AW37" s="8161">
        <f>IF(HLOOKUP("Mins",A1:CV300,37,FALSE)=0,0,HLOOKUP("Gs",A1:CV300,37,FALSE)/HLOOKUP("Mins",A1:CV300,37,FALSE)* 90)</f>
        <v>0.12113055181695828</v>
      </c>
      <c r="AX37" s="8162">
        <f>IF(HLOOKUP("Mins",A1:CV300,37,FALSE)=0,0,HLOOKUP("Bonus",A1:CV300,37,FALSE)/HLOOKUP("Mins",A1:CV300,37,FALSE)* 90)</f>
        <v>0.36339165545087482</v>
      </c>
      <c r="AY37" s="8163">
        <f>IF(HLOOKUP("Mins",A1:CV300,37,FALSE)=0,0,HLOOKUP("BPS",A1:CV300,37,FALSE)/HLOOKUP("Mins",A1:CV300,37,FALSE)* 90)</f>
        <v>16.95827725437416</v>
      </c>
      <c r="AZ37" s="8164">
        <f>IF(HLOOKUP("Mins",A1:CV300,37,FALSE)=0,0,HLOOKUP("Base BPS",A1:CV300,37,FALSE)/HLOOKUP("Mins",A1:CV300,37,FALSE)* 90)</f>
        <v>12.234185733512787</v>
      </c>
      <c r="BA37" s="8165">
        <f>IF(HLOOKUP("Mins",A1:CV300,37,FALSE)=0,0,HLOOKUP("PenTchs",A1:CV300,37,FALSE)/HLOOKUP("Mins",A1:CV300,37,FALSE)* 90)</f>
        <v>1.4535666218034993</v>
      </c>
      <c r="BB37" s="8166">
        <f>IF(HLOOKUP("Mins",A1:CV300,37,FALSE)=0,0,HLOOKUP("Shots",A1:CV300,37,FALSE)/HLOOKUP("Mins",A1:CV300,37,FALSE)* 90)</f>
        <v>0.84791386271870794</v>
      </c>
      <c r="BC37" s="8167">
        <f>IF(HLOOKUP("Mins",A1:CV300,37,FALSE)=0,0,HLOOKUP("SIB",A1:CV300,37,FALSE)/HLOOKUP("Mins",A1:CV300,37,FALSE)* 90)</f>
        <v>0.54508748317631228</v>
      </c>
      <c r="BD37" s="8168">
        <f>IF(HLOOKUP("Mins",A1:CV300,37,FALSE)=0,0,HLOOKUP("S6YD",A1:CV300,37,FALSE)/HLOOKUP("Mins",A1:CV300,37,FALSE)* 90)</f>
        <v>0</v>
      </c>
      <c r="BE37" s="8169">
        <f>IF(HLOOKUP("Mins",A1:CV300,37,FALSE)=0,0,HLOOKUP("Headers",A1:CV300,37,FALSE)/HLOOKUP("Mins",A1:CV300,37,FALSE)* 90)</f>
        <v>6.0565275908479141E-2</v>
      </c>
      <c r="BF37" s="8170">
        <f>IF(HLOOKUP("Mins",A1:CV300,37,FALSE)=0,0,HLOOKUP("SOT",A1:CV300,37,FALSE)/HLOOKUP("Mins",A1:CV300,37,FALSE)* 90)</f>
        <v>0.36339165545087482</v>
      </c>
      <c r="BG37" s="8171">
        <f>IF(HLOOKUP("Mins",A1:CV300,37,FALSE)=0,0,HLOOKUP("As",A1:CV300,37,FALSE)/HLOOKUP("Mins",A1:CV300,37,FALSE)* 90)</f>
        <v>0.12113055181695828</v>
      </c>
      <c r="BH37" s="8172">
        <f>IF(HLOOKUP("Mins",A1:CV300,37,FALSE)=0,0,HLOOKUP("FPL As",A1:CV300,37,FALSE)/HLOOKUP("Mins",A1:CV300,37,FALSE)* 90)</f>
        <v>0.12113055181695828</v>
      </c>
      <c r="BI37" s="8173">
        <f>IF(HLOOKUP("Mins",A1:CV300,37,FALSE)=0,0,HLOOKUP("BC Created",A1:CV300,37,FALSE)/HLOOKUP("Mins",A1:CV300,37,FALSE)* 90)</f>
        <v>0.12113055181695828</v>
      </c>
      <c r="BJ37" s="8174">
        <f>IF(HLOOKUP("Mins",A1:CV300,37,FALSE)=0,0,HLOOKUP("KP",A1:CV300,37,FALSE)/HLOOKUP("Mins",A1:CV300,37,FALSE)* 90)</f>
        <v>0.90847913862718699</v>
      </c>
      <c r="BK37" s="8175">
        <f>IF(HLOOKUP("Mins",A1:CV300,37,FALSE)=0,0,HLOOKUP("BC",A1:CV300,37,FALSE)/HLOOKUP("Mins",A1:CV300,37,FALSE)* 90)</f>
        <v>0</v>
      </c>
      <c r="BL37" s="8176">
        <f>IF(HLOOKUP("Mins",A1:CV300,37,FALSE)=0,0,HLOOKUP("BC Miss",A1:CV300,37,FALSE)/HLOOKUP("Mins",A1:CV300,37,FALSE)* 90)</f>
        <v>0</v>
      </c>
      <c r="BM37" s="8177">
        <f>IF(HLOOKUP("Mins",A1:CV300,37,FALSE)=0,0,HLOOKUP("Gs - BC",A1:CV300,37,FALSE)/HLOOKUP("Mins",A1:CV300,37,FALSE)* 90)</f>
        <v>0</v>
      </c>
      <c r="BN37" s="8178">
        <f>IF(HLOOKUP("Mins",A1:CV300,37,FALSE)=0,0,HLOOKUP("GIB",A1:CV300,37,FALSE)/HLOOKUP("Mins",A1:CV300,37,FALSE)* 90)</f>
        <v>0.12113055181695828</v>
      </c>
      <c r="BO37" s="8179">
        <f>IF(HLOOKUP("Mins",A1:CV300,37,FALSE)=0,0,HLOOKUP("Gs - Open",A1:CV300,37,FALSE)/HLOOKUP("Mins",A1:CV300,37,FALSE)* 90)</f>
        <v>0.12113055181695828</v>
      </c>
      <c r="BP37" s="8180">
        <f>IF(HLOOKUP("Mins",A1:CV300,37,FALSE)=0,0,HLOOKUP("ICT Index",A1:CV300,37,FALSE)/HLOOKUP("Mins",A1:CV300,37,FALSE)* 90)</f>
        <v>4.5242261103633918</v>
      </c>
      <c r="BQ37" s="8181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  <v>5.6749663526244949E-2</v>
      </c>
      <c r="BR37" s="8182">
        <f>0.0825*HLOOKUP("KP/90",A1:CV300,37,FALSE)</f>
        <v>7.4949528936742935E-2</v>
      </c>
      <c r="BS37" s="8183">
        <f>6*HLOOKUP("xG/90",A1:CV300,37,FALSE)+3*HLOOKUP("xA/90",A1:CV300,37,FALSE)</f>
        <v>0.56534656796769855</v>
      </c>
      <c r="BT37" s="8184">
        <f>HLOOKUP("xPts/90",A1:CV300,37,FALSE)-(6*0.75*(HLOOKUP("PK Gs",A1:CV300,37,FALSE)+HLOOKUP("PK Miss",A1:CV300,37,FALSE))*90/HLOOKUP("Mins",A1:CV300,37,FALSE))</f>
        <v>0.56534656796769855</v>
      </c>
      <c r="BU37" s="8185">
        <f>IF(HLOOKUP("Mins",A1:CV300,37,FALSE)=0,0,HLOOKUP("fsXG",A1:CV300,37,FALSE)/HLOOKUP("Mins",A1:CV300,37,FALSE)* 90)</f>
        <v>3.3916554508748323E-2</v>
      </c>
      <c r="BV37" s="8186">
        <f>IF(HLOOKUP("Mins",A1:CV300,37,FALSE)=0,0,HLOOKUP("fsXA",A1:CV300,37,FALSE)/HLOOKUP("Mins",A1:CV300,37,FALSE)* 90)</f>
        <v>5.5114401076716016E-2</v>
      </c>
      <c r="BW37" s="8187">
        <f>6*HLOOKUP("fsXG/90",A1:CV300,37,FALSE)+3*HLOOKUP("fsXA/90",A1:CV300,37,FALSE)</f>
        <v>0.36884253028263803</v>
      </c>
      <c r="BX37" s="8188">
        <v>2.9314041137695313E-2</v>
      </c>
      <c r="BY37" s="8189">
        <v>6.5403759479522705E-2</v>
      </c>
      <c r="BZ37" s="8190">
        <f>6*HLOOKUP("uXG/90",A1:CV300,37,FALSE)+3*HLOOKUP("uXA/90",A1:CV300,37,FALSE)</f>
        <v>0.37209552526473999</v>
      </c>
    </row>
    <row r="38" spans="1:78" hidden="1" x14ac:dyDescent="0.3">
      <c r="A38" s="8191" t="s">
        <v>201</v>
      </c>
      <c r="B38" s="8192" t="s">
        <v>115</v>
      </c>
      <c r="C38" s="8193">
        <v>4</v>
      </c>
      <c r="D38" s="8194">
        <v>58</v>
      </c>
      <c r="E38" s="8195">
        <v>3</v>
      </c>
      <c r="F38" s="8196">
        <v>1</v>
      </c>
      <c r="G38" s="8197">
        <v>0</v>
      </c>
      <c r="H38" s="8198">
        <v>0</v>
      </c>
      <c r="I38" s="8199">
        <v>12</v>
      </c>
      <c r="J38" s="8200">
        <f>HLOOKUP("BPS",A1:CV300,38,FALSE)-((-6*HLOOKUP("OG",A1:CV300,38,FALSE))+(-6*HLOOKUP("PK Miss",A1:CV300,38,FALSE))+(9*HLOOKUP("FPL As",A1:CV300,38,FALSE))+(12*HLOOKUP("CS",A1:CV300,38,FALSE))+(12*HLOOKUP("Gs",A1:CV300,38,FALSE)))</f>
        <v>12</v>
      </c>
      <c r="K38" s="8201">
        <v>0</v>
      </c>
      <c r="L38" s="8202">
        <v>0</v>
      </c>
      <c r="M38" s="8203">
        <v>0</v>
      </c>
      <c r="N38" s="8204">
        <v>0</v>
      </c>
      <c r="O38" s="8205">
        <v>0</v>
      </c>
      <c r="P38" s="8206">
        <f>IF(HLOOKUP("Shots",A1:CV300,38,FALSE)=0,0,HLOOKUP("SIB",A1:CV300,38,FALSE)/HLOOKUP("Shots",A1:CV300,38,FALSE))</f>
        <v>0</v>
      </c>
      <c r="Q38" s="8207">
        <v>0</v>
      </c>
      <c r="R38" s="8208">
        <f>IF(HLOOKUP("Shots",A1:CV300,38,FALSE)=0,0,HLOOKUP("S6YD",A1:CV300,38,FALSE)/HLOOKUP("Shots",A1:CV300,38,FALSE))</f>
        <v>0</v>
      </c>
      <c r="S38" s="8209">
        <v>0</v>
      </c>
      <c r="T38" s="8210">
        <f>IF(HLOOKUP("Shots",A1:CV300,38,FALSE)=0,0,HLOOKUP("Headers",A1:CV300,38,FALSE)/HLOOKUP("Shots",A1:CV300,38,FALSE))</f>
        <v>0</v>
      </c>
      <c r="U38" s="8211">
        <v>0</v>
      </c>
      <c r="V38" s="8212">
        <f>IF(HLOOKUP("Shots",A1:CV300,38,FALSE)=0,0,HLOOKUP("SOT",A1:CV300,38,FALSE)/HLOOKUP("Shots",A1:CV300,38,FALSE))</f>
        <v>0</v>
      </c>
      <c r="W38" s="8213">
        <f>IF(HLOOKUP("Shots",A1:CV300,38,FALSE)=0,0,HLOOKUP("Gs",A1:CV300,38,FALSE)/HLOOKUP("Shots",A1:CV300,38,FALSE))</f>
        <v>0</v>
      </c>
      <c r="X38" s="8214">
        <v>0</v>
      </c>
      <c r="Y38" s="8215">
        <v>0</v>
      </c>
      <c r="Z38" s="8216">
        <v>0</v>
      </c>
      <c r="AA38" s="8217">
        <f>IF(HLOOKUP("KP",A1:CV300,38,FALSE)=0,0,HLOOKUP("As",A1:CV300,38,FALSE)/HLOOKUP("KP",A1:CV300,38,FALSE))</f>
        <v>0</v>
      </c>
      <c r="AB38" s="8218">
        <v>0.9</v>
      </c>
      <c r="AC38" s="8219">
        <v>0</v>
      </c>
      <c r="AD38" s="8220">
        <v>0</v>
      </c>
      <c r="AE38" s="8221">
        <v>0</v>
      </c>
      <c r="AF38" s="8222">
        <v>0</v>
      </c>
      <c r="AG38" s="8223">
        <f>IF(HLOOKUP("BC",A1:CV300,38,FALSE)=0,0,HLOOKUP("Gs - BC",A1:CV300,38,FALSE)/HLOOKUP("BC",A1:CV300,38,FALSE))</f>
        <v>0</v>
      </c>
      <c r="AH38" s="8224">
        <f>HLOOKUP("BC",A1:CV300,38,FALSE) - HLOOKUP("BC Miss",A1:CV300,38,FALSE)</f>
        <v>0</v>
      </c>
      <c r="AI38" s="8225">
        <f>IF(HLOOKUP("Gs",A1:CV300,38,FALSE)=0,0,HLOOKUP("Gs - BC",A1:CV300,38,FALSE)/HLOOKUP("Gs",A1:CV300,38,FALSE))</f>
        <v>0</v>
      </c>
      <c r="AJ38" s="8226">
        <v>0</v>
      </c>
      <c r="AK38" s="8227">
        <v>0</v>
      </c>
      <c r="AL38" s="8228">
        <f>HLOOKUP("BC",A1:CV300,38,FALSE) - (HLOOKUP("PK Gs",A1:CV300,38,FALSE) + HLOOKUP("PK Miss",A1:CV300,38,FALSE))</f>
        <v>0</v>
      </c>
      <c r="AM38" s="8229">
        <f>HLOOKUP("BC Miss",A1:CV300,38,FALSE) - HLOOKUP("PK Miss",A1:CV300,38,FALSE)</f>
        <v>0</v>
      </c>
      <c r="AN38" s="8230">
        <f>IF(HLOOKUP("BC - Open",A1:CV300,38,FALSE)=0,0,HLOOKUP("BC - Open Miss",A1:CV300,38,FALSE)/HLOOKUP("BC - Open",A1:CV300,38,FALSE))</f>
        <v>0</v>
      </c>
      <c r="AO38" s="8231">
        <v>0</v>
      </c>
      <c r="AP38" s="8232">
        <f>IF(HLOOKUP("Gs",A1:CV300,38,FALSE)=0,0,HLOOKUP("GIB",A1:CV300,38,FALSE)/HLOOKUP("Gs",A1:CV300,38,FALSE))</f>
        <v>0</v>
      </c>
      <c r="AQ38" s="8233">
        <v>0</v>
      </c>
      <c r="AR38" s="8234">
        <f>IF(HLOOKUP("Gs",A1:CV300,38,FALSE)=0,0,HLOOKUP("Gs - Open",A1:CV300,38,FALSE)/HLOOKUP("Gs",A1:CV300,38,FALSE))</f>
        <v>0</v>
      </c>
      <c r="AS38" s="8235">
        <v>0</v>
      </c>
      <c r="AT38" s="8236">
        <v>0.02</v>
      </c>
      <c r="AU38" s="8237">
        <f>IF(HLOOKUP("Mins",A1:CV300,38,FALSE)=0,0,HLOOKUP("Pts",A1:CV300,38,FALSE)/HLOOKUP("Mins",A1:CV300,38,FALSE)* 90)</f>
        <v>1.5517241379310345</v>
      </c>
      <c r="AV38" s="8238">
        <f>IF(HLOOKUP("Apps",A1:CV300,38,FALSE)=0,0,HLOOKUP("Pts",A1:CV300,38,FALSE)/HLOOKUP("Apps",A1:CV300,38,FALSE)* 1)</f>
        <v>0.33333333333333331</v>
      </c>
      <c r="AW38" s="8239">
        <f>IF(HLOOKUP("Mins",A1:CV300,38,FALSE)=0,0,HLOOKUP("Gs",A1:CV300,38,FALSE)/HLOOKUP("Mins",A1:CV300,38,FALSE)* 90)</f>
        <v>0</v>
      </c>
      <c r="AX38" s="8240">
        <f>IF(HLOOKUP("Mins",A1:CV300,38,FALSE)=0,0,HLOOKUP("Bonus",A1:CV300,38,FALSE)/HLOOKUP("Mins",A1:CV300,38,FALSE)* 90)</f>
        <v>0</v>
      </c>
      <c r="AY38" s="8241">
        <f>IF(HLOOKUP("Mins",A1:CV300,38,FALSE)=0,0,HLOOKUP("BPS",A1:CV300,38,FALSE)/HLOOKUP("Mins",A1:CV300,38,FALSE)* 90)</f>
        <v>18.620689655172413</v>
      </c>
      <c r="AZ38" s="8242">
        <f>IF(HLOOKUP("Mins",A1:CV300,38,FALSE)=0,0,HLOOKUP("Base BPS",A1:CV300,38,FALSE)/HLOOKUP("Mins",A1:CV300,38,FALSE)* 90)</f>
        <v>18.620689655172413</v>
      </c>
      <c r="BA38" s="8243">
        <f>IF(HLOOKUP("Mins",A1:CV300,38,FALSE)=0,0,HLOOKUP("PenTchs",A1:CV300,38,FALSE)/HLOOKUP("Mins",A1:CV300,38,FALSE)* 90)</f>
        <v>0</v>
      </c>
      <c r="BB38" s="8244">
        <f>IF(HLOOKUP("Mins",A1:CV300,38,FALSE)=0,0,HLOOKUP("Shots",A1:CV300,38,FALSE)/HLOOKUP("Mins",A1:CV300,38,FALSE)* 90)</f>
        <v>0</v>
      </c>
      <c r="BC38" s="8245">
        <f>IF(HLOOKUP("Mins",A1:CV300,38,FALSE)=0,0,HLOOKUP("SIB",A1:CV300,38,FALSE)/HLOOKUP("Mins",A1:CV300,38,FALSE)* 90)</f>
        <v>0</v>
      </c>
      <c r="BD38" s="8246">
        <f>IF(HLOOKUP("Mins",A1:CV300,38,FALSE)=0,0,HLOOKUP("S6YD",A1:CV300,38,FALSE)/HLOOKUP("Mins",A1:CV300,38,FALSE)* 90)</f>
        <v>0</v>
      </c>
      <c r="BE38" s="8247">
        <f>IF(HLOOKUP("Mins",A1:CV300,38,FALSE)=0,0,HLOOKUP("Headers",A1:CV300,38,FALSE)/HLOOKUP("Mins",A1:CV300,38,FALSE)* 90)</f>
        <v>0</v>
      </c>
      <c r="BF38" s="8248">
        <f>IF(HLOOKUP("Mins",A1:CV300,38,FALSE)=0,0,HLOOKUP("SOT",A1:CV300,38,FALSE)/HLOOKUP("Mins",A1:CV300,38,FALSE)* 90)</f>
        <v>0</v>
      </c>
      <c r="BG38" s="8249">
        <f>IF(HLOOKUP("Mins",A1:CV300,38,FALSE)=0,0,HLOOKUP("As",A1:CV300,38,FALSE)/HLOOKUP("Mins",A1:CV300,38,FALSE)* 90)</f>
        <v>0</v>
      </c>
      <c r="BH38" s="8250">
        <f>IF(HLOOKUP("Mins",A1:CV300,38,FALSE)=0,0,HLOOKUP("FPL As",A1:CV300,38,FALSE)/HLOOKUP("Mins",A1:CV300,38,FALSE)* 90)</f>
        <v>0</v>
      </c>
      <c r="BI38" s="8251">
        <f>IF(HLOOKUP("Mins",A1:CV300,38,FALSE)=0,0,HLOOKUP("BC Created",A1:CV300,38,FALSE)/HLOOKUP("Mins",A1:CV300,38,FALSE)* 90)</f>
        <v>0</v>
      </c>
      <c r="BJ38" s="8252">
        <f>IF(HLOOKUP("Mins",A1:CV300,38,FALSE)=0,0,HLOOKUP("KP",A1:CV300,38,FALSE)/HLOOKUP("Mins",A1:CV300,38,FALSE)* 90)</f>
        <v>0</v>
      </c>
      <c r="BK38" s="8253">
        <f>IF(HLOOKUP("Mins",A1:CV300,38,FALSE)=0,0,HLOOKUP("BC",A1:CV300,38,FALSE)/HLOOKUP("Mins",A1:CV300,38,FALSE)* 90)</f>
        <v>0</v>
      </c>
      <c r="BL38" s="8254">
        <f>IF(HLOOKUP("Mins",A1:CV300,38,FALSE)=0,0,HLOOKUP("BC Miss",A1:CV300,38,FALSE)/HLOOKUP("Mins",A1:CV300,38,FALSE)* 90)</f>
        <v>0</v>
      </c>
      <c r="BM38" s="8255">
        <f>IF(HLOOKUP("Mins",A1:CV300,38,FALSE)=0,0,HLOOKUP("Gs - BC",A1:CV300,38,FALSE)/HLOOKUP("Mins",A1:CV300,38,FALSE)* 90)</f>
        <v>0</v>
      </c>
      <c r="BN38" s="8256">
        <f>IF(HLOOKUP("Mins",A1:CV300,38,FALSE)=0,0,HLOOKUP("GIB",A1:CV300,38,FALSE)/HLOOKUP("Mins",A1:CV300,38,FALSE)* 90)</f>
        <v>0</v>
      </c>
      <c r="BO38" s="8257">
        <f>IF(HLOOKUP("Mins",A1:CV300,38,FALSE)=0,0,HLOOKUP("Gs - Open",A1:CV300,38,FALSE)/HLOOKUP("Mins",A1:CV300,38,FALSE)* 90)</f>
        <v>0</v>
      </c>
      <c r="BP38" s="8258">
        <f>IF(HLOOKUP("Mins",A1:CV300,38,FALSE)=0,0,HLOOKUP("ICT Index",A1:CV300,38,FALSE)/HLOOKUP("Mins",A1:CV300,38,FALSE)* 90)</f>
        <v>1.396551724137931</v>
      </c>
      <c r="BQ38" s="8259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  <v>0</v>
      </c>
      <c r="BR38" s="8260">
        <f>0.0825*HLOOKUP("KP/90",A1:CV300,38,FALSE)</f>
        <v>0</v>
      </c>
      <c r="BS38" s="8261">
        <f>6*HLOOKUP("xG/90",A1:CV300,38,FALSE)+3*HLOOKUP("xA/90",A1:CV300,38,FALSE)</f>
        <v>0</v>
      </c>
      <c r="BT38" s="8262">
        <f>HLOOKUP("xPts/90",A1:CV300,38,FALSE)-(6*0.75*(HLOOKUP("PK Gs",A1:CV300,38,FALSE)+HLOOKUP("PK Miss",A1:CV300,38,FALSE))*90/HLOOKUP("Mins",A1:CV300,38,FALSE))</f>
        <v>0</v>
      </c>
      <c r="BU38" s="8263">
        <f>IF(HLOOKUP("Mins",A1:CV300,38,FALSE)=0,0,HLOOKUP("fsXG",A1:CV300,38,FALSE)/HLOOKUP("Mins",A1:CV300,38,FALSE)* 90)</f>
        <v>0</v>
      </c>
      <c r="BV38" s="8264">
        <f>IF(HLOOKUP("Mins",A1:CV300,38,FALSE)=0,0,HLOOKUP("fsXA",A1:CV300,38,FALSE)/HLOOKUP("Mins",A1:CV300,38,FALSE)* 90)</f>
        <v>3.1034482758620693E-2</v>
      </c>
      <c r="BW38" s="8265">
        <f>6*HLOOKUP("fsXG/90",A1:CV300,38,FALSE)+3*HLOOKUP("fsXA/90",A1:CV300,38,FALSE)</f>
        <v>9.3103448275862075E-2</v>
      </c>
      <c r="BX38" s="8266">
        <v>0</v>
      </c>
      <c r="BY38" s="8267">
        <v>0</v>
      </c>
      <c r="BZ38" s="8268">
        <f>6*HLOOKUP("uXG/90",A1:CV300,38,FALSE)+3*HLOOKUP("uXA/90",A1:CV300,38,FALSE)</f>
        <v>0</v>
      </c>
    </row>
    <row r="39" spans="1:78" hidden="1" x14ac:dyDescent="0.3">
      <c r="A39" s="8269" t="s">
        <v>202</v>
      </c>
      <c r="B39" s="8270" t="s">
        <v>102</v>
      </c>
      <c r="C39" s="8271">
        <v>4.4000000953674316</v>
      </c>
      <c r="D39" s="8272">
        <v>421</v>
      </c>
      <c r="E39" s="8273">
        <v>5</v>
      </c>
      <c r="F39" s="8274">
        <v>10</v>
      </c>
      <c r="G39" s="8275">
        <v>0</v>
      </c>
      <c r="H39" s="8276">
        <v>0</v>
      </c>
      <c r="I39" s="8277">
        <v>61</v>
      </c>
      <c r="J39" s="8278">
        <f>HLOOKUP("BPS",A1:CV300,39,FALSE)-((-6*HLOOKUP("OG",A1:CV300,39,FALSE))+(-6*HLOOKUP("PK Miss",A1:CV300,39,FALSE))+(9*HLOOKUP("FPL As",A1:CV300,39,FALSE))+(12*HLOOKUP("CS",A1:CV300,39,FALSE))+(12*HLOOKUP("Gs",A1:CV300,39,FALSE)))</f>
        <v>49</v>
      </c>
      <c r="K39" s="8279">
        <v>0</v>
      </c>
      <c r="L39" s="8280">
        <v>1</v>
      </c>
      <c r="M39" s="8281">
        <v>3</v>
      </c>
      <c r="N39" s="8282">
        <v>2</v>
      </c>
      <c r="O39" s="8283">
        <v>1</v>
      </c>
      <c r="P39" s="8284">
        <f>IF(HLOOKUP("Shots",A1:CV300,39,FALSE)=0,0,HLOOKUP("SIB",A1:CV300,39,FALSE)/HLOOKUP("Shots",A1:CV300,39,FALSE))</f>
        <v>0.5</v>
      </c>
      <c r="Q39" s="8285">
        <v>0</v>
      </c>
      <c r="R39" s="8286">
        <f>IF(HLOOKUP("Shots",A1:CV300,39,FALSE)=0,0,HLOOKUP("S6YD",A1:CV300,39,FALSE)/HLOOKUP("Shots",A1:CV300,39,FALSE))</f>
        <v>0</v>
      </c>
      <c r="S39" s="8287">
        <v>0</v>
      </c>
      <c r="T39" s="8288">
        <f>IF(HLOOKUP("Shots",A1:CV300,39,FALSE)=0,0,HLOOKUP("Headers",A1:CV300,39,FALSE)/HLOOKUP("Shots",A1:CV300,39,FALSE))</f>
        <v>0</v>
      </c>
      <c r="U39" s="8289">
        <v>1</v>
      </c>
      <c r="V39" s="8290">
        <f>IF(HLOOKUP("Shots",A1:CV300,39,FALSE)=0,0,HLOOKUP("SOT",A1:CV300,39,FALSE)/HLOOKUP("Shots",A1:CV300,39,FALSE))</f>
        <v>0.5</v>
      </c>
      <c r="W39" s="8291">
        <f>IF(HLOOKUP("Shots",A1:CV300,39,FALSE)=0,0,HLOOKUP("Gs",A1:CV300,39,FALSE)/HLOOKUP("Shots",A1:CV300,39,FALSE))</f>
        <v>0</v>
      </c>
      <c r="X39" s="8292">
        <v>0</v>
      </c>
      <c r="Y39" s="8293">
        <v>0</v>
      </c>
      <c r="Z39" s="8294">
        <v>1</v>
      </c>
      <c r="AA39" s="8295">
        <f>IF(HLOOKUP("KP",A1:CV300,39,FALSE)=0,0,HLOOKUP("As",A1:CV300,39,FALSE)/HLOOKUP("KP",A1:CV300,39,FALSE))</f>
        <v>0</v>
      </c>
      <c r="AB39" s="8296">
        <v>9.1</v>
      </c>
      <c r="AC39" s="8297">
        <v>0</v>
      </c>
      <c r="AD39" s="8298">
        <v>0</v>
      </c>
      <c r="AE39" s="8299">
        <v>0</v>
      </c>
      <c r="AF39" s="8300">
        <v>0</v>
      </c>
      <c r="AG39" s="8301">
        <f>IF(HLOOKUP("BC",A1:CV300,39,FALSE)=0,0,HLOOKUP("Gs - BC",A1:CV300,39,FALSE)/HLOOKUP("BC",A1:CV300,39,FALSE))</f>
        <v>0</v>
      </c>
      <c r="AH39" s="8302">
        <f>HLOOKUP("BC",A1:CV300,39,FALSE) - HLOOKUP("BC Miss",A1:CV300,39,FALSE)</f>
        <v>0</v>
      </c>
      <c r="AI39" s="8303">
        <f>IF(HLOOKUP("Gs",A1:CV300,39,FALSE)=0,0,HLOOKUP("Gs - BC",A1:CV300,39,FALSE)/HLOOKUP("Gs",A1:CV300,39,FALSE))</f>
        <v>0</v>
      </c>
      <c r="AJ39" s="8304">
        <v>0</v>
      </c>
      <c r="AK39" s="8305">
        <v>0</v>
      </c>
      <c r="AL39" s="8306">
        <f>HLOOKUP("BC",A1:CV300,39,FALSE) - (HLOOKUP("PK Gs",A1:CV300,39,FALSE) + HLOOKUP("PK Miss",A1:CV300,39,FALSE))</f>
        <v>0</v>
      </c>
      <c r="AM39" s="8307">
        <f>HLOOKUP("BC Miss",A1:CV300,39,FALSE) - HLOOKUP("PK Miss",A1:CV300,39,FALSE)</f>
        <v>0</v>
      </c>
      <c r="AN39" s="8308">
        <f>IF(HLOOKUP("BC - Open",A1:CV300,39,FALSE)=0,0,HLOOKUP("BC - Open Miss",A1:CV300,39,FALSE)/HLOOKUP("BC - Open",A1:CV300,39,FALSE))</f>
        <v>0</v>
      </c>
      <c r="AO39" s="8309">
        <v>0</v>
      </c>
      <c r="AP39" s="8310">
        <f>IF(HLOOKUP("Gs",A1:CV300,39,FALSE)=0,0,HLOOKUP("GIB",A1:CV300,39,FALSE)/HLOOKUP("Gs",A1:CV300,39,FALSE))</f>
        <v>0</v>
      </c>
      <c r="AQ39" s="8311">
        <v>0</v>
      </c>
      <c r="AR39" s="8312">
        <f>IF(HLOOKUP("Gs",A1:CV300,39,FALSE)=0,0,HLOOKUP("Gs - Open",A1:CV300,39,FALSE)/HLOOKUP("Gs",A1:CV300,39,FALSE))</f>
        <v>0</v>
      </c>
      <c r="AS39" s="8313">
        <v>7.0000000000000007E-2</v>
      </c>
      <c r="AT39" s="8314">
        <v>0.01</v>
      </c>
      <c r="AU39" s="8315">
        <f>IF(HLOOKUP("Mins",A1:CV300,39,FALSE)=0,0,HLOOKUP("Pts",A1:CV300,39,FALSE)/HLOOKUP("Mins",A1:CV300,39,FALSE)* 90)</f>
        <v>2.1377672209026128</v>
      </c>
      <c r="AV39" s="8316">
        <f>IF(HLOOKUP("Apps",A1:CV300,39,FALSE)=0,0,HLOOKUP("Pts",A1:CV300,39,FALSE)/HLOOKUP("Apps",A1:CV300,39,FALSE)* 1)</f>
        <v>2</v>
      </c>
      <c r="AW39" s="8317">
        <f>IF(HLOOKUP("Mins",A1:CV300,39,FALSE)=0,0,HLOOKUP("Gs",A1:CV300,39,FALSE)/HLOOKUP("Mins",A1:CV300,39,FALSE)* 90)</f>
        <v>0</v>
      </c>
      <c r="AX39" s="8318">
        <f>IF(HLOOKUP("Mins",A1:CV300,39,FALSE)=0,0,HLOOKUP("Bonus",A1:CV300,39,FALSE)/HLOOKUP("Mins",A1:CV300,39,FALSE)* 90)</f>
        <v>0</v>
      </c>
      <c r="AY39" s="8319">
        <f>IF(HLOOKUP("Mins",A1:CV300,39,FALSE)=0,0,HLOOKUP("BPS",A1:CV300,39,FALSE)/HLOOKUP("Mins",A1:CV300,39,FALSE)* 90)</f>
        <v>13.040380047505939</v>
      </c>
      <c r="AZ39" s="8320">
        <f>IF(HLOOKUP("Mins",A1:CV300,39,FALSE)=0,0,HLOOKUP("Base BPS",A1:CV300,39,FALSE)/HLOOKUP("Mins",A1:CV300,39,FALSE)* 90)</f>
        <v>10.475059382422803</v>
      </c>
      <c r="BA39" s="8321">
        <f>IF(HLOOKUP("Mins",A1:CV300,39,FALSE)=0,0,HLOOKUP("PenTchs",A1:CV300,39,FALSE)/HLOOKUP("Mins",A1:CV300,39,FALSE)* 90)</f>
        <v>0.64133016627078387</v>
      </c>
      <c r="BB39" s="8322">
        <f>IF(HLOOKUP("Mins",A1:CV300,39,FALSE)=0,0,HLOOKUP("Shots",A1:CV300,39,FALSE)/HLOOKUP("Mins",A1:CV300,39,FALSE)* 90)</f>
        <v>0.4275534441805226</v>
      </c>
      <c r="BC39" s="8323">
        <f>IF(HLOOKUP("Mins",A1:CV300,39,FALSE)=0,0,HLOOKUP("SIB",A1:CV300,39,FALSE)/HLOOKUP("Mins",A1:CV300,39,FALSE)* 90)</f>
        <v>0.2137767220902613</v>
      </c>
      <c r="BD39" s="8324">
        <f>IF(HLOOKUP("Mins",A1:CV300,39,FALSE)=0,0,HLOOKUP("S6YD",A1:CV300,39,FALSE)/HLOOKUP("Mins",A1:CV300,39,FALSE)* 90)</f>
        <v>0</v>
      </c>
      <c r="BE39" s="8325">
        <f>IF(HLOOKUP("Mins",A1:CV300,39,FALSE)=0,0,HLOOKUP("Headers",A1:CV300,39,FALSE)/HLOOKUP("Mins",A1:CV300,39,FALSE)* 90)</f>
        <v>0</v>
      </c>
      <c r="BF39" s="8326">
        <f>IF(HLOOKUP("Mins",A1:CV300,39,FALSE)=0,0,HLOOKUP("SOT",A1:CV300,39,FALSE)/HLOOKUP("Mins",A1:CV300,39,FALSE)* 90)</f>
        <v>0.2137767220902613</v>
      </c>
      <c r="BG39" s="8327">
        <f>IF(HLOOKUP("Mins",A1:CV300,39,FALSE)=0,0,HLOOKUP("As",A1:CV300,39,FALSE)/HLOOKUP("Mins",A1:CV300,39,FALSE)* 90)</f>
        <v>0</v>
      </c>
      <c r="BH39" s="8328">
        <f>IF(HLOOKUP("Mins",A1:CV300,39,FALSE)=0,0,HLOOKUP("FPL As",A1:CV300,39,FALSE)/HLOOKUP("Mins",A1:CV300,39,FALSE)* 90)</f>
        <v>0</v>
      </c>
      <c r="BI39" s="8329">
        <f>IF(HLOOKUP("Mins",A1:CV300,39,FALSE)=0,0,HLOOKUP("BC Created",A1:CV300,39,FALSE)/HLOOKUP("Mins",A1:CV300,39,FALSE)* 90)</f>
        <v>0</v>
      </c>
      <c r="BJ39" s="8330">
        <f>IF(HLOOKUP("Mins",A1:CV300,39,FALSE)=0,0,HLOOKUP("KP",A1:CV300,39,FALSE)/HLOOKUP("Mins",A1:CV300,39,FALSE)* 90)</f>
        <v>0.2137767220902613</v>
      </c>
      <c r="BK39" s="8331">
        <f>IF(HLOOKUP("Mins",A1:CV300,39,FALSE)=0,0,HLOOKUP("BC",A1:CV300,39,FALSE)/HLOOKUP("Mins",A1:CV300,39,FALSE)* 90)</f>
        <v>0</v>
      </c>
      <c r="BL39" s="8332">
        <f>IF(HLOOKUP("Mins",A1:CV300,39,FALSE)=0,0,HLOOKUP("BC Miss",A1:CV300,39,FALSE)/HLOOKUP("Mins",A1:CV300,39,FALSE)* 90)</f>
        <v>0</v>
      </c>
      <c r="BM39" s="8333">
        <f>IF(HLOOKUP("Mins",A1:CV300,39,FALSE)=0,0,HLOOKUP("Gs - BC",A1:CV300,39,FALSE)/HLOOKUP("Mins",A1:CV300,39,FALSE)* 90)</f>
        <v>0</v>
      </c>
      <c r="BN39" s="8334">
        <f>IF(HLOOKUP("Mins",A1:CV300,39,FALSE)=0,0,HLOOKUP("GIB",A1:CV300,39,FALSE)/HLOOKUP("Mins",A1:CV300,39,FALSE)* 90)</f>
        <v>0</v>
      </c>
      <c r="BO39" s="8335">
        <f>IF(HLOOKUP("Mins",A1:CV300,39,FALSE)=0,0,HLOOKUP("Gs - Open",A1:CV300,39,FALSE)/HLOOKUP("Mins",A1:CV300,39,FALSE)* 90)</f>
        <v>0</v>
      </c>
      <c r="BP39" s="8336">
        <f>IF(HLOOKUP("Mins",A1:CV300,39,FALSE)=0,0,HLOOKUP("ICT Index",A1:CV300,39,FALSE)/HLOOKUP("Mins",A1:CV300,39,FALSE)* 90)</f>
        <v>1.9453681710213775</v>
      </c>
      <c r="BQ39" s="8337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  <v>2.4156769596199522E-2</v>
      </c>
      <c r="BR39" s="8338">
        <f>0.0825*HLOOKUP("KP/90",A1:CV300,39,FALSE)</f>
        <v>1.7636579572446558E-2</v>
      </c>
      <c r="BS39" s="8339">
        <f>6*HLOOKUP("xG/90",A1:CV300,39,FALSE)+3*HLOOKUP("xA/90",A1:CV300,39,FALSE)</f>
        <v>0.19785035629453679</v>
      </c>
      <c r="BT39" s="8340">
        <f>HLOOKUP("xPts/90",A1:CV300,39,FALSE)-(6*0.75*(HLOOKUP("PK Gs",A1:CV300,39,FALSE)+HLOOKUP("PK Miss",A1:CV300,39,FALSE))*90/HLOOKUP("Mins",A1:CV300,39,FALSE))</f>
        <v>0.19785035629453679</v>
      </c>
      <c r="BU39" s="8341">
        <f>IF(HLOOKUP("Mins",A1:CV300,39,FALSE)=0,0,HLOOKUP("fsXG",A1:CV300,39,FALSE)/HLOOKUP("Mins",A1:CV300,39,FALSE)* 90)</f>
        <v>1.496437054631829E-2</v>
      </c>
      <c r="BV39" s="8342">
        <f>IF(HLOOKUP("Mins",A1:CV300,39,FALSE)=0,0,HLOOKUP("fsXA",A1:CV300,39,FALSE)/HLOOKUP("Mins",A1:CV300,39,FALSE)* 90)</f>
        <v>2.1377672209026131E-3</v>
      </c>
      <c r="BW39" s="8343">
        <f>6*HLOOKUP("fsXG/90",A1:CV300,39,FALSE)+3*HLOOKUP("fsXA/90",A1:CV300,39,FALSE)</f>
        <v>9.6199524940617592E-2</v>
      </c>
      <c r="BX39" s="8344">
        <v>1.3288978487253189E-2</v>
      </c>
      <c r="BY39" s="8345">
        <v>1.0904090479016304E-2</v>
      </c>
      <c r="BZ39" s="8346">
        <f>6*HLOOKUP("uXG/90",A1:CV300,39,FALSE)+3*HLOOKUP("uXA/90",A1:CV300,39,FALSE)</f>
        <v>0.11244614236056805</v>
      </c>
    </row>
    <row r="40" spans="1:78" hidden="1" x14ac:dyDescent="0.3">
      <c r="A40" s="8347" t="s">
        <v>203</v>
      </c>
      <c r="B40" s="8348" t="s">
        <v>84</v>
      </c>
      <c r="C40" s="8349">
        <v>5.0999999046325684</v>
      </c>
      <c r="D40" s="8350">
        <v>1839</v>
      </c>
      <c r="E40" s="8351">
        <v>21</v>
      </c>
      <c r="F40" s="8352">
        <v>104</v>
      </c>
      <c r="G40" s="8353">
        <v>3</v>
      </c>
      <c r="H40" s="8354">
        <v>12</v>
      </c>
      <c r="I40" s="8355">
        <v>393</v>
      </c>
      <c r="J40" s="8356">
        <f>HLOOKUP("BPS",A1:CV300,40,FALSE)-((-6*HLOOKUP("OG",A1:CV300,40,FALSE))+(-6*HLOOKUP("PK Miss",A1:CV300,40,FALSE))+(9*HLOOKUP("FPL As",A1:CV300,40,FALSE))+(12*HLOOKUP("CS",A1:CV300,40,FALSE))+(12*HLOOKUP("Gs",A1:CV300,40,FALSE)))</f>
        <v>234</v>
      </c>
      <c r="K40" s="8357">
        <v>0</v>
      </c>
      <c r="L40" s="8358">
        <v>8</v>
      </c>
      <c r="M40" s="8359">
        <v>38</v>
      </c>
      <c r="N40" s="8360">
        <v>30</v>
      </c>
      <c r="O40" s="8361">
        <v>20</v>
      </c>
      <c r="P40" s="8362">
        <f>IF(HLOOKUP("Shots",A1:CV300,40,FALSE)=0,0,HLOOKUP("SIB",A1:CV300,40,FALSE)/HLOOKUP("Shots",A1:CV300,40,FALSE))</f>
        <v>0.66666666666666663</v>
      </c>
      <c r="Q40" s="8363">
        <v>1</v>
      </c>
      <c r="R40" s="8364">
        <f>IF(HLOOKUP("Shots",A1:CV300,40,FALSE)=0,0,HLOOKUP("S6YD",A1:CV300,40,FALSE)/HLOOKUP("Shots",A1:CV300,40,FALSE))</f>
        <v>3.3333333333333333E-2</v>
      </c>
      <c r="S40" s="8365">
        <v>1</v>
      </c>
      <c r="T40" s="8366">
        <f>IF(HLOOKUP("Shots",A1:CV300,40,FALSE)=0,0,HLOOKUP("Headers",A1:CV300,40,FALSE)/HLOOKUP("Shots",A1:CV300,40,FALSE))</f>
        <v>3.3333333333333333E-2</v>
      </c>
      <c r="U40" s="8367">
        <v>6</v>
      </c>
      <c r="V40" s="8368">
        <f>IF(HLOOKUP("Shots",A1:CV300,40,FALSE)=0,0,HLOOKUP("SOT",A1:CV300,40,FALSE)/HLOOKUP("Shots",A1:CV300,40,FALSE))</f>
        <v>0.2</v>
      </c>
      <c r="W40" s="8369">
        <f>IF(HLOOKUP("Shots",A1:CV300,40,FALSE)=0,0,HLOOKUP("Gs",A1:CV300,40,FALSE)/HLOOKUP("Shots",A1:CV300,40,FALSE))</f>
        <v>0.1</v>
      </c>
      <c r="X40" s="8370">
        <v>2</v>
      </c>
      <c r="Y40" s="8371">
        <v>3</v>
      </c>
      <c r="Z40" s="8372">
        <v>17</v>
      </c>
      <c r="AA40" s="8373">
        <f>IF(HLOOKUP("KP",A1:CV300,40,FALSE)=0,0,HLOOKUP("As",A1:CV300,40,FALSE)/HLOOKUP("KP",A1:CV300,40,FALSE))</f>
        <v>0.11764705882352941</v>
      </c>
      <c r="AB40" s="8374">
        <v>97</v>
      </c>
      <c r="AC40" s="8375">
        <v>26</v>
      </c>
      <c r="AD40" s="8376">
        <v>6</v>
      </c>
      <c r="AE40" s="8377">
        <v>7</v>
      </c>
      <c r="AF40" s="8378">
        <v>4</v>
      </c>
      <c r="AG40" s="8379">
        <f>IF(HLOOKUP("BC",A1:CV300,40,FALSE)=0,0,HLOOKUP("Gs - BC",A1:CV300,40,FALSE)/HLOOKUP("BC",A1:CV300,40,FALSE))</f>
        <v>0.42857142857142855</v>
      </c>
      <c r="AH40" s="8380">
        <f>HLOOKUP("BC",A1:CV300,40,FALSE) - HLOOKUP("BC Miss",A1:CV300,40,FALSE)</f>
        <v>3</v>
      </c>
      <c r="AI40" s="8381">
        <f>IF(HLOOKUP("Gs",A1:CV300,40,FALSE)=0,0,HLOOKUP("Gs - BC",A1:CV300,40,FALSE)/HLOOKUP("Gs",A1:CV300,40,FALSE))</f>
        <v>1</v>
      </c>
      <c r="AJ40" s="8382">
        <v>0</v>
      </c>
      <c r="AK40" s="8383">
        <v>0</v>
      </c>
      <c r="AL40" s="8384">
        <f>HLOOKUP("BC",A1:CV300,40,FALSE) - (HLOOKUP("PK Gs",A1:CV300,40,FALSE) + HLOOKUP("PK Miss",A1:CV300,40,FALSE))</f>
        <v>7</v>
      </c>
      <c r="AM40" s="8385">
        <f>HLOOKUP("BC Miss",A1:CV300,40,FALSE) - HLOOKUP("PK Miss",A1:CV300,40,FALSE)</f>
        <v>4</v>
      </c>
      <c r="AN40" s="8386">
        <f>IF(HLOOKUP("BC - Open",A1:CV300,40,FALSE)=0,0,HLOOKUP("BC - Open Miss",A1:CV300,40,FALSE)/HLOOKUP("BC - Open",A1:CV300,40,FALSE))</f>
        <v>0.5714285714285714</v>
      </c>
      <c r="AO40" s="8387">
        <v>3</v>
      </c>
      <c r="AP40" s="8388">
        <f>IF(HLOOKUP("Gs",A1:CV300,40,FALSE)=0,0,HLOOKUP("GIB",A1:CV300,40,FALSE)/HLOOKUP("Gs",A1:CV300,40,FALSE))</f>
        <v>1</v>
      </c>
      <c r="AQ40" s="8389">
        <v>3</v>
      </c>
      <c r="AR40" s="8390">
        <f>IF(HLOOKUP("Gs",A1:CV300,40,FALSE)=0,0,HLOOKUP("Gs - Open",A1:CV300,40,FALSE)/HLOOKUP("Gs",A1:CV300,40,FALSE))</f>
        <v>1</v>
      </c>
      <c r="AS40" s="8391">
        <v>3.52</v>
      </c>
      <c r="AT40" s="8392">
        <v>1.69</v>
      </c>
      <c r="AU40" s="8393">
        <f>IF(HLOOKUP("Mins",A1:CV300,40,FALSE)=0,0,HLOOKUP("Pts",A1:CV300,40,FALSE)/HLOOKUP("Mins",A1:CV300,40,FALSE)* 90)</f>
        <v>5.0897226753670477</v>
      </c>
      <c r="AV40" s="8394">
        <f>IF(HLOOKUP("Apps",A1:CV300,40,FALSE)=0,0,HLOOKUP("Pts",A1:CV300,40,FALSE)/HLOOKUP("Apps",A1:CV300,40,FALSE)* 1)</f>
        <v>4.9523809523809526</v>
      </c>
      <c r="AW40" s="8395">
        <f>IF(HLOOKUP("Mins",A1:CV300,40,FALSE)=0,0,HLOOKUP("Gs",A1:CV300,40,FALSE)/HLOOKUP("Mins",A1:CV300,40,FALSE)* 90)</f>
        <v>0.14681892332789559</v>
      </c>
      <c r="AX40" s="8396">
        <f>IF(HLOOKUP("Mins",A1:CV300,40,FALSE)=0,0,HLOOKUP("Bonus",A1:CV300,40,FALSE)/HLOOKUP("Mins",A1:CV300,40,FALSE)* 90)</f>
        <v>0.58727569331158236</v>
      </c>
      <c r="AY40" s="8397">
        <f>IF(HLOOKUP("Mins",A1:CV300,40,FALSE)=0,0,HLOOKUP("BPS",A1:CV300,40,FALSE)/HLOOKUP("Mins",A1:CV300,40,FALSE)* 90)</f>
        <v>19.233278955954322</v>
      </c>
      <c r="AZ40" s="8398">
        <f>IF(HLOOKUP("Mins",A1:CV300,40,FALSE)=0,0,HLOOKUP("Base BPS",A1:CV300,40,FALSE)/HLOOKUP("Mins",A1:CV300,40,FALSE)* 90)</f>
        <v>11.451876019575858</v>
      </c>
      <c r="BA40" s="8399">
        <f>IF(HLOOKUP("Mins",A1:CV300,40,FALSE)=0,0,HLOOKUP("PenTchs",A1:CV300,40,FALSE)/HLOOKUP("Mins",A1:CV300,40,FALSE)* 90)</f>
        <v>1.8597063621533443</v>
      </c>
      <c r="BB40" s="8400">
        <f>IF(HLOOKUP("Mins",A1:CV300,40,FALSE)=0,0,HLOOKUP("Shots",A1:CV300,40,FALSE)/HLOOKUP("Mins",A1:CV300,40,FALSE)* 90)</f>
        <v>1.4681892332789559</v>
      </c>
      <c r="BC40" s="8401">
        <f>IF(HLOOKUP("Mins",A1:CV300,40,FALSE)=0,0,HLOOKUP("SIB",A1:CV300,40,FALSE)/HLOOKUP("Mins",A1:CV300,40,FALSE)* 90)</f>
        <v>0.97879282218597075</v>
      </c>
      <c r="BD40" s="8402">
        <f>IF(HLOOKUP("Mins",A1:CV300,40,FALSE)=0,0,HLOOKUP("S6YD",A1:CV300,40,FALSE)/HLOOKUP("Mins",A1:CV300,40,FALSE)* 90)</f>
        <v>4.8939641109298528E-2</v>
      </c>
      <c r="BE40" s="8403">
        <f>IF(HLOOKUP("Mins",A1:CV300,40,FALSE)=0,0,HLOOKUP("Headers",A1:CV300,40,FALSE)/HLOOKUP("Mins",A1:CV300,40,FALSE)* 90)</f>
        <v>4.8939641109298528E-2</v>
      </c>
      <c r="BF40" s="8404">
        <f>IF(HLOOKUP("Mins",A1:CV300,40,FALSE)=0,0,HLOOKUP("SOT",A1:CV300,40,FALSE)/HLOOKUP("Mins",A1:CV300,40,FALSE)* 90)</f>
        <v>0.29363784665579118</v>
      </c>
      <c r="BG40" s="8405">
        <f>IF(HLOOKUP("Mins",A1:CV300,40,FALSE)=0,0,HLOOKUP("As",A1:CV300,40,FALSE)/HLOOKUP("Mins",A1:CV300,40,FALSE)* 90)</f>
        <v>9.7879282218597055E-2</v>
      </c>
      <c r="BH40" s="8406">
        <f>IF(HLOOKUP("Mins",A1:CV300,40,FALSE)=0,0,HLOOKUP("FPL As",A1:CV300,40,FALSE)/HLOOKUP("Mins",A1:CV300,40,FALSE)* 90)</f>
        <v>0.14681892332789559</v>
      </c>
      <c r="BI40" s="8407">
        <f>IF(HLOOKUP("Mins",A1:CV300,40,FALSE)=0,0,HLOOKUP("BC Created",A1:CV300,40,FALSE)/HLOOKUP("Mins",A1:CV300,40,FALSE)* 90)</f>
        <v>0.29363784665579118</v>
      </c>
      <c r="BJ40" s="8408">
        <f>IF(HLOOKUP("Mins",A1:CV300,40,FALSE)=0,0,HLOOKUP("KP",A1:CV300,40,FALSE)/HLOOKUP("Mins",A1:CV300,40,FALSE)* 90)</f>
        <v>0.83197389885807493</v>
      </c>
      <c r="BK40" s="8409">
        <f>IF(HLOOKUP("Mins",A1:CV300,40,FALSE)=0,0,HLOOKUP("BC",A1:CV300,40,FALSE)/HLOOKUP("Mins",A1:CV300,40,FALSE)* 90)</f>
        <v>0.34257748776508973</v>
      </c>
      <c r="BL40" s="8410">
        <f>IF(HLOOKUP("Mins",A1:CV300,40,FALSE)=0,0,HLOOKUP("BC Miss",A1:CV300,40,FALSE)/HLOOKUP("Mins",A1:CV300,40,FALSE)* 90)</f>
        <v>0.19575856443719411</v>
      </c>
      <c r="BM40" s="8411">
        <f>IF(HLOOKUP("Mins",A1:CV300,40,FALSE)=0,0,HLOOKUP("Gs - BC",A1:CV300,40,FALSE)/HLOOKUP("Mins",A1:CV300,40,FALSE)* 90)</f>
        <v>0.14681892332789559</v>
      </c>
      <c r="BN40" s="8412">
        <f>IF(HLOOKUP("Mins",A1:CV300,40,FALSE)=0,0,HLOOKUP("GIB",A1:CV300,40,FALSE)/HLOOKUP("Mins",A1:CV300,40,FALSE)* 90)</f>
        <v>0.14681892332789559</v>
      </c>
      <c r="BO40" s="8413">
        <f>IF(HLOOKUP("Mins",A1:CV300,40,FALSE)=0,0,HLOOKUP("Gs - Open",A1:CV300,40,FALSE)/HLOOKUP("Mins",A1:CV300,40,FALSE)* 90)</f>
        <v>0.14681892332789559</v>
      </c>
      <c r="BP40" s="8414">
        <f>IF(HLOOKUP("Mins",A1:CV300,40,FALSE)=0,0,HLOOKUP("ICT Index",A1:CV300,40,FALSE)/HLOOKUP("Mins",A1:CV300,40,FALSE)* 90)</f>
        <v>4.7471451876019577</v>
      </c>
      <c r="BQ40" s="8415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  <v>0.10081566068515499</v>
      </c>
      <c r="BR40" s="8416">
        <f>0.0825*HLOOKUP("KP/90",A1:CV300,40,FALSE)</f>
        <v>6.8637846655791188E-2</v>
      </c>
      <c r="BS40" s="8417">
        <f>6*HLOOKUP("xG/90",A1:CV300,40,FALSE)+3*HLOOKUP("xA/90",A1:CV300,40,FALSE)</f>
        <v>0.81080750407830338</v>
      </c>
      <c r="BT40" s="8418">
        <f>HLOOKUP("xPts/90",A1:CV300,40,FALSE)-(6*0.75*(HLOOKUP("PK Gs",A1:CV300,40,FALSE)+HLOOKUP("PK Miss",A1:CV300,40,FALSE))*90/HLOOKUP("Mins",A1:CV300,40,FALSE))</f>
        <v>0.81080750407830338</v>
      </c>
      <c r="BU40" s="8419">
        <f>IF(HLOOKUP("Mins",A1:CV300,40,FALSE)=0,0,HLOOKUP("fsXG",A1:CV300,40,FALSE)/HLOOKUP("Mins",A1:CV300,40,FALSE)* 90)</f>
        <v>0.17226753670473083</v>
      </c>
      <c r="BV40" s="8420">
        <f>IF(HLOOKUP("Mins",A1:CV300,40,FALSE)=0,0,HLOOKUP("fsXA",A1:CV300,40,FALSE)/HLOOKUP("Mins",A1:CV300,40,FALSE)* 90)</f>
        <v>8.2707993474714511E-2</v>
      </c>
      <c r="BW40" s="8421">
        <f>6*HLOOKUP("fsXG/90",A1:CV300,40,FALSE)+3*HLOOKUP("fsXA/90",A1:CV300,40,FALSE)</f>
        <v>1.2817292006525285</v>
      </c>
      <c r="BX40" s="8422">
        <v>0.19523979723453522</v>
      </c>
      <c r="BY40" s="8423">
        <v>0.13703779876232147</v>
      </c>
      <c r="BZ40" s="8424">
        <f>6*HLOOKUP("uXG/90",A1:CV300,40,FALSE)+3*HLOOKUP("uXA/90",A1:CV300,40,FALSE)</f>
        <v>1.5825521796941757</v>
      </c>
    </row>
    <row r="41" spans="1:78" hidden="1" x14ac:dyDescent="0.3">
      <c r="A41" s="8425" t="s">
        <v>204</v>
      </c>
      <c r="B41" s="8426" t="s">
        <v>89</v>
      </c>
      <c r="C41" s="8427">
        <v>5.3000001907348633</v>
      </c>
      <c r="D41" s="8428">
        <v>1440</v>
      </c>
      <c r="E41" s="8429">
        <v>17</v>
      </c>
      <c r="F41" s="8430">
        <v>25</v>
      </c>
      <c r="G41" s="8431">
        <v>0</v>
      </c>
      <c r="H41" s="8432">
        <v>0</v>
      </c>
      <c r="I41" s="8433">
        <v>244</v>
      </c>
      <c r="J41" s="8434">
        <f>HLOOKUP("BPS",A1:CV300,41,FALSE)-((-6*HLOOKUP("OG",A1:CV300,41,FALSE))+(-6*HLOOKUP("PK Miss",A1:CV300,41,FALSE))+(9*HLOOKUP("FPL As",A1:CV300,41,FALSE))+(12*HLOOKUP("CS",A1:CV300,41,FALSE))+(12*HLOOKUP("Gs",A1:CV300,41,FALSE)))</f>
        <v>232</v>
      </c>
      <c r="K41" s="8435">
        <v>0</v>
      </c>
      <c r="L41" s="8436">
        <v>1</v>
      </c>
      <c r="M41" s="8437">
        <v>8</v>
      </c>
      <c r="N41" s="8438">
        <v>3</v>
      </c>
      <c r="O41" s="8439">
        <v>3</v>
      </c>
      <c r="P41" s="8440">
        <f>IF(HLOOKUP("Shots",A1:CV300,41,FALSE)=0,0,HLOOKUP("SIB",A1:CV300,41,FALSE)/HLOOKUP("Shots",A1:CV300,41,FALSE))</f>
        <v>1</v>
      </c>
      <c r="Q41" s="8441">
        <v>0</v>
      </c>
      <c r="R41" s="8442">
        <f>IF(HLOOKUP("Shots",A1:CV300,41,FALSE)=0,0,HLOOKUP("S6YD",A1:CV300,41,FALSE)/HLOOKUP("Shots",A1:CV300,41,FALSE))</f>
        <v>0</v>
      </c>
      <c r="S41" s="8443">
        <v>1</v>
      </c>
      <c r="T41" s="8444">
        <f>IF(HLOOKUP("Shots",A1:CV300,41,FALSE)=0,0,HLOOKUP("Headers",A1:CV300,41,FALSE)/HLOOKUP("Shots",A1:CV300,41,FALSE))</f>
        <v>0.33333333333333331</v>
      </c>
      <c r="U41" s="8445">
        <v>2</v>
      </c>
      <c r="V41" s="8446">
        <f>IF(HLOOKUP("Shots",A1:CV300,41,FALSE)=0,0,HLOOKUP("SOT",A1:CV300,41,FALSE)/HLOOKUP("Shots",A1:CV300,41,FALSE))</f>
        <v>0.66666666666666663</v>
      </c>
      <c r="W41" s="8447">
        <f>IF(HLOOKUP("Shots",A1:CV300,41,FALSE)=0,0,HLOOKUP("Gs",A1:CV300,41,FALSE)/HLOOKUP("Shots",A1:CV300,41,FALSE))</f>
        <v>0</v>
      </c>
      <c r="X41" s="8448">
        <v>0</v>
      </c>
      <c r="Y41" s="8449">
        <v>0</v>
      </c>
      <c r="Z41" s="8450">
        <v>1</v>
      </c>
      <c r="AA41" s="8451">
        <f>IF(HLOOKUP("KP",A1:CV300,41,FALSE)=0,0,HLOOKUP("As",A1:CV300,41,FALSE)/HLOOKUP("KP",A1:CV300,41,FALSE))</f>
        <v>0</v>
      </c>
      <c r="AB41" s="8452">
        <v>40.799999999999997</v>
      </c>
      <c r="AC41" s="8453">
        <v>0</v>
      </c>
      <c r="AD41" s="8454">
        <v>0</v>
      </c>
      <c r="AE41" s="8455">
        <v>1</v>
      </c>
      <c r="AF41" s="8456">
        <v>1</v>
      </c>
      <c r="AG41" s="8457">
        <f>IF(HLOOKUP("BC",A1:CV300,41,FALSE)=0,0,HLOOKUP("Gs - BC",A1:CV300,41,FALSE)/HLOOKUP("BC",A1:CV300,41,FALSE))</f>
        <v>0</v>
      </c>
      <c r="AH41" s="8458">
        <f>HLOOKUP("BC",A1:CV300,41,FALSE) - HLOOKUP("BC Miss",A1:CV300,41,FALSE)</f>
        <v>0</v>
      </c>
      <c r="AI41" s="8459">
        <f>IF(HLOOKUP("Gs",A1:CV300,41,FALSE)=0,0,HLOOKUP("Gs - BC",A1:CV300,41,FALSE)/HLOOKUP("Gs",A1:CV300,41,FALSE))</f>
        <v>0</v>
      </c>
      <c r="AJ41" s="8460">
        <v>0</v>
      </c>
      <c r="AK41" s="8461">
        <v>0</v>
      </c>
      <c r="AL41" s="8462">
        <f>HLOOKUP("BC",A1:CV300,41,FALSE) - (HLOOKUP("PK Gs",A1:CV300,41,FALSE) + HLOOKUP("PK Miss",A1:CV300,41,FALSE))</f>
        <v>1</v>
      </c>
      <c r="AM41" s="8463">
        <f>HLOOKUP("BC Miss",A1:CV300,41,FALSE) - HLOOKUP("PK Miss",A1:CV300,41,FALSE)</f>
        <v>1</v>
      </c>
      <c r="AN41" s="8464">
        <f>IF(HLOOKUP("BC - Open",A1:CV300,41,FALSE)=0,0,HLOOKUP("BC - Open Miss",A1:CV300,41,FALSE)/HLOOKUP("BC - Open",A1:CV300,41,FALSE))</f>
        <v>1</v>
      </c>
      <c r="AO41" s="8465">
        <v>0</v>
      </c>
      <c r="AP41" s="8466">
        <f>IF(HLOOKUP("Gs",A1:CV300,41,FALSE)=0,0,HLOOKUP("GIB",A1:CV300,41,FALSE)/HLOOKUP("Gs",A1:CV300,41,FALSE))</f>
        <v>0</v>
      </c>
      <c r="AQ41" s="8467">
        <v>0</v>
      </c>
      <c r="AR41" s="8468">
        <f>IF(HLOOKUP("Gs",A1:CV300,41,FALSE)=0,0,HLOOKUP("Gs - Open",A1:CV300,41,FALSE)/HLOOKUP("Gs",A1:CV300,41,FALSE))</f>
        <v>0</v>
      </c>
      <c r="AS41" s="8469">
        <v>0.43</v>
      </c>
      <c r="AT41" s="8470">
        <v>0.09</v>
      </c>
      <c r="AU41" s="8471">
        <f>IF(HLOOKUP("Mins",A1:CV300,41,FALSE)=0,0,HLOOKUP("Pts",A1:CV300,41,FALSE)/HLOOKUP("Mins",A1:CV300,41,FALSE)* 90)</f>
        <v>1.5625</v>
      </c>
      <c r="AV41" s="8472">
        <f>IF(HLOOKUP("Apps",A1:CV300,41,FALSE)=0,0,HLOOKUP("Pts",A1:CV300,41,FALSE)/HLOOKUP("Apps",A1:CV300,41,FALSE)* 1)</f>
        <v>1.4705882352941178</v>
      </c>
      <c r="AW41" s="8473">
        <f>IF(HLOOKUP("Mins",A1:CV300,41,FALSE)=0,0,HLOOKUP("Gs",A1:CV300,41,FALSE)/HLOOKUP("Mins",A1:CV300,41,FALSE)* 90)</f>
        <v>0</v>
      </c>
      <c r="AX41" s="8474">
        <f>IF(HLOOKUP("Mins",A1:CV300,41,FALSE)=0,0,HLOOKUP("Bonus",A1:CV300,41,FALSE)/HLOOKUP("Mins",A1:CV300,41,FALSE)* 90)</f>
        <v>0</v>
      </c>
      <c r="AY41" s="8475">
        <f>IF(HLOOKUP("Mins",A1:CV300,41,FALSE)=0,0,HLOOKUP("BPS",A1:CV300,41,FALSE)/HLOOKUP("Mins",A1:CV300,41,FALSE)* 90)</f>
        <v>15.25</v>
      </c>
      <c r="AZ41" s="8476">
        <f>IF(HLOOKUP("Mins",A1:CV300,41,FALSE)=0,0,HLOOKUP("Base BPS",A1:CV300,41,FALSE)/HLOOKUP("Mins",A1:CV300,41,FALSE)* 90)</f>
        <v>14.500000000000002</v>
      </c>
      <c r="BA41" s="8477">
        <f>IF(HLOOKUP("Mins",A1:CV300,41,FALSE)=0,0,HLOOKUP("PenTchs",A1:CV300,41,FALSE)/HLOOKUP("Mins",A1:CV300,41,FALSE)* 90)</f>
        <v>0.5</v>
      </c>
      <c r="BB41" s="8478">
        <f>IF(HLOOKUP("Mins",A1:CV300,41,FALSE)=0,0,HLOOKUP("Shots",A1:CV300,41,FALSE)/HLOOKUP("Mins",A1:CV300,41,FALSE)* 90)</f>
        <v>0.1875</v>
      </c>
      <c r="BC41" s="8479">
        <f>IF(HLOOKUP("Mins",A1:CV300,41,FALSE)=0,0,HLOOKUP("SIB",A1:CV300,41,FALSE)/HLOOKUP("Mins",A1:CV300,41,FALSE)* 90)</f>
        <v>0.1875</v>
      </c>
      <c r="BD41" s="8480">
        <f>IF(HLOOKUP("Mins",A1:CV300,41,FALSE)=0,0,HLOOKUP("S6YD",A1:CV300,41,FALSE)/HLOOKUP("Mins",A1:CV300,41,FALSE)* 90)</f>
        <v>0</v>
      </c>
      <c r="BE41" s="8481">
        <f>IF(HLOOKUP("Mins",A1:CV300,41,FALSE)=0,0,HLOOKUP("Headers",A1:CV300,41,FALSE)/HLOOKUP("Mins",A1:CV300,41,FALSE)* 90)</f>
        <v>6.25E-2</v>
      </c>
      <c r="BF41" s="8482">
        <f>IF(HLOOKUP("Mins",A1:CV300,41,FALSE)=0,0,HLOOKUP("SOT",A1:CV300,41,FALSE)/HLOOKUP("Mins",A1:CV300,41,FALSE)* 90)</f>
        <v>0.125</v>
      </c>
      <c r="BG41" s="8483">
        <f>IF(HLOOKUP("Mins",A1:CV300,41,FALSE)=0,0,HLOOKUP("As",A1:CV300,41,FALSE)/HLOOKUP("Mins",A1:CV300,41,FALSE)* 90)</f>
        <v>0</v>
      </c>
      <c r="BH41" s="8484">
        <f>IF(HLOOKUP("Mins",A1:CV300,41,FALSE)=0,0,HLOOKUP("FPL As",A1:CV300,41,FALSE)/HLOOKUP("Mins",A1:CV300,41,FALSE)* 90)</f>
        <v>0</v>
      </c>
      <c r="BI41" s="8485">
        <f>IF(HLOOKUP("Mins",A1:CV300,41,FALSE)=0,0,HLOOKUP("BC Created",A1:CV300,41,FALSE)/HLOOKUP("Mins",A1:CV300,41,FALSE)* 90)</f>
        <v>0</v>
      </c>
      <c r="BJ41" s="8486">
        <f>IF(HLOOKUP("Mins",A1:CV300,41,FALSE)=0,0,HLOOKUP("KP",A1:CV300,41,FALSE)/HLOOKUP("Mins",A1:CV300,41,FALSE)* 90)</f>
        <v>6.25E-2</v>
      </c>
      <c r="BK41" s="8487">
        <f>IF(HLOOKUP("Mins",A1:CV300,41,FALSE)=0,0,HLOOKUP("BC",A1:CV300,41,FALSE)/HLOOKUP("Mins",A1:CV300,41,FALSE)* 90)</f>
        <v>6.25E-2</v>
      </c>
      <c r="BL41" s="8488">
        <f>IF(HLOOKUP("Mins",A1:CV300,41,FALSE)=0,0,HLOOKUP("BC Miss",A1:CV300,41,FALSE)/HLOOKUP("Mins",A1:CV300,41,FALSE)* 90)</f>
        <v>6.25E-2</v>
      </c>
      <c r="BM41" s="8489">
        <f>IF(HLOOKUP("Mins",A1:CV300,41,FALSE)=0,0,HLOOKUP("Gs - BC",A1:CV300,41,FALSE)/HLOOKUP("Mins",A1:CV300,41,FALSE)* 90)</f>
        <v>0</v>
      </c>
      <c r="BN41" s="8490">
        <f>IF(HLOOKUP("Mins",A1:CV300,41,FALSE)=0,0,HLOOKUP("GIB",A1:CV300,41,FALSE)/HLOOKUP("Mins",A1:CV300,41,FALSE)* 90)</f>
        <v>0</v>
      </c>
      <c r="BO41" s="8491">
        <f>IF(HLOOKUP("Mins",A1:CV300,41,FALSE)=0,0,HLOOKUP("Gs - Open",A1:CV300,41,FALSE)/HLOOKUP("Mins",A1:CV300,41,FALSE)* 90)</f>
        <v>0</v>
      </c>
      <c r="BP41" s="8492">
        <f>IF(HLOOKUP("Mins",A1:CV300,41,FALSE)=0,0,HLOOKUP("ICT Index",A1:CV300,41,FALSE)/HLOOKUP("Mins",A1:CV300,41,FALSE)* 90)</f>
        <v>2.5499999999999998</v>
      </c>
      <c r="BQ41" s="8493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  <v>1.7437500000000002E-2</v>
      </c>
      <c r="BR41" s="8494">
        <f>0.0825*HLOOKUP("KP/90",A1:CV300,41,FALSE)</f>
        <v>5.1562500000000002E-3</v>
      </c>
      <c r="BS41" s="8495">
        <f>6*HLOOKUP("xG/90",A1:CV300,41,FALSE)+3*HLOOKUP("xA/90",A1:CV300,41,FALSE)</f>
        <v>0.12009375000000001</v>
      </c>
      <c r="BT41" s="8496">
        <f>HLOOKUP("xPts/90",A1:CV300,41,FALSE)-(6*0.75*(HLOOKUP("PK Gs",A1:CV300,41,FALSE)+HLOOKUP("PK Miss",A1:CV300,41,FALSE))*90/HLOOKUP("Mins",A1:CV300,41,FALSE))</f>
        <v>0.12009375000000001</v>
      </c>
      <c r="BU41" s="8497">
        <f>IF(HLOOKUP("Mins",A1:CV300,41,FALSE)=0,0,HLOOKUP("fsXG",A1:CV300,41,FALSE)/HLOOKUP("Mins",A1:CV300,41,FALSE)* 90)</f>
        <v>2.6875E-2</v>
      </c>
      <c r="BV41" s="8498">
        <f>IF(HLOOKUP("Mins",A1:CV300,41,FALSE)=0,0,HLOOKUP("fsXA",A1:CV300,41,FALSE)/HLOOKUP("Mins",A1:CV300,41,FALSE)* 90)</f>
        <v>5.6249999999999998E-3</v>
      </c>
      <c r="BW41" s="8499">
        <f>6*HLOOKUP("fsXG/90",A1:CV300,41,FALSE)+3*HLOOKUP("fsXA/90",A1:CV300,41,FALSE)</f>
        <v>0.17812500000000001</v>
      </c>
      <c r="BX41" s="8500">
        <v>3.459819033741951E-2</v>
      </c>
      <c r="BY41" s="8501">
        <v>2.2649115417152643E-3</v>
      </c>
      <c r="BZ41" s="8502">
        <f>6*HLOOKUP("uXG/90",A1:CV300,41,FALSE)+3*HLOOKUP("uXA/90",A1:CV300,41,FALSE)</f>
        <v>0.21438387664966285</v>
      </c>
    </row>
    <row r="42" spans="1:78" hidden="1" x14ac:dyDescent="0.3">
      <c r="A42" s="8503" t="s">
        <v>205</v>
      </c>
      <c r="B42" s="8504" t="s">
        <v>107</v>
      </c>
      <c r="C42" s="8505">
        <v>5</v>
      </c>
      <c r="D42" s="8506">
        <v>1253</v>
      </c>
      <c r="E42" s="8507">
        <v>14</v>
      </c>
      <c r="F42" s="8508">
        <v>45</v>
      </c>
      <c r="G42" s="8509">
        <v>1</v>
      </c>
      <c r="H42" s="8510">
        <v>4</v>
      </c>
      <c r="I42" s="8511">
        <v>219</v>
      </c>
      <c r="J42" s="8512">
        <f>HLOOKUP("BPS",A1:CV300,42,FALSE)-((-6*HLOOKUP("OG",A1:CV300,42,FALSE))+(-6*HLOOKUP("PK Miss",A1:CV300,42,FALSE))+(9*HLOOKUP("FPL As",A1:CV300,42,FALSE))+(12*HLOOKUP("CS",A1:CV300,42,FALSE))+(12*HLOOKUP("Gs",A1:CV300,42,FALSE)))</f>
        <v>162</v>
      </c>
      <c r="K42" s="8513">
        <v>0</v>
      </c>
      <c r="L42" s="8514">
        <v>3</v>
      </c>
      <c r="M42" s="8515">
        <v>17</v>
      </c>
      <c r="N42" s="8516">
        <v>7</v>
      </c>
      <c r="O42" s="8517">
        <v>6</v>
      </c>
      <c r="P42" s="8518">
        <f>IF(HLOOKUP("Shots",A1:CV300,42,FALSE)=0,0,HLOOKUP("SIB",A1:CV300,42,FALSE)/HLOOKUP("Shots",A1:CV300,42,FALSE))</f>
        <v>0.8571428571428571</v>
      </c>
      <c r="Q42" s="8519">
        <v>1</v>
      </c>
      <c r="R42" s="8520">
        <f>IF(HLOOKUP("Shots",A1:CV300,42,FALSE)=0,0,HLOOKUP("S6YD",A1:CV300,42,FALSE)/HLOOKUP("Shots",A1:CV300,42,FALSE))</f>
        <v>0.14285714285714285</v>
      </c>
      <c r="S42" s="8521">
        <v>6</v>
      </c>
      <c r="T42" s="8522">
        <f>IF(HLOOKUP("Shots",A1:CV300,42,FALSE)=0,0,HLOOKUP("Headers",A1:CV300,42,FALSE)/HLOOKUP("Shots",A1:CV300,42,FALSE))</f>
        <v>0.8571428571428571</v>
      </c>
      <c r="U42" s="8523">
        <v>2</v>
      </c>
      <c r="V42" s="8524">
        <f>IF(HLOOKUP("Shots",A1:CV300,42,FALSE)=0,0,HLOOKUP("SOT",A1:CV300,42,FALSE)/HLOOKUP("Shots",A1:CV300,42,FALSE))</f>
        <v>0.2857142857142857</v>
      </c>
      <c r="W42" s="8525">
        <f>IF(HLOOKUP("Shots",A1:CV300,42,FALSE)=0,0,HLOOKUP("Gs",A1:CV300,42,FALSE)/HLOOKUP("Shots",A1:CV300,42,FALSE))</f>
        <v>0.14285714285714285</v>
      </c>
      <c r="X42" s="8526">
        <v>1</v>
      </c>
      <c r="Y42" s="8527">
        <v>1</v>
      </c>
      <c r="Z42" s="8528">
        <v>2</v>
      </c>
      <c r="AA42" s="8529">
        <f>IF(HLOOKUP("KP",A1:CV300,42,FALSE)=0,0,HLOOKUP("As",A1:CV300,42,FALSE)/HLOOKUP("KP",A1:CV300,42,FALSE))</f>
        <v>0.5</v>
      </c>
      <c r="AB42" s="8530">
        <v>43.6</v>
      </c>
      <c r="AC42" s="8531">
        <v>17</v>
      </c>
      <c r="AD42" s="8532">
        <v>0</v>
      </c>
      <c r="AE42" s="8533">
        <v>1</v>
      </c>
      <c r="AF42" s="8534">
        <v>1</v>
      </c>
      <c r="AG42" s="8535">
        <f>IF(HLOOKUP("BC",A1:CV300,42,FALSE)=0,0,HLOOKUP("Gs - BC",A1:CV300,42,FALSE)/HLOOKUP("BC",A1:CV300,42,FALSE))</f>
        <v>0</v>
      </c>
      <c r="AH42" s="8536">
        <f>HLOOKUP("BC",A1:CV300,42,FALSE) - HLOOKUP("BC Miss",A1:CV300,42,FALSE)</f>
        <v>0</v>
      </c>
      <c r="AI42" s="8537">
        <f>IF(HLOOKUP("Gs",A1:CV300,42,FALSE)=0,0,HLOOKUP("Gs - BC",A1:CV300,42,FALSE)/HLOOKUP("Gs",A1:CV300,42,FALSE))</f>
        <v>0</v>
      </c>
      <c r="AJ42" s="8538">
        <v>0</v>
      </c>
      <c r="AK42" s="8539">
        <v>0</v>
      </c>
      <c r="AL42" s="8540">
        <f>HLOOKUP("BC",A1:CV300,42,FALSE) - (HLOOKUP("PK Gs",A1:CV300,42,FALSE) + HLOOKUP("PK Miss",A1:CV300,42,FALSE))</f>
        <v>1</v>
      </c>
      <c r="AM42" s="8541">
        <f>HLOOKUP("BC Miss",A1:CV300,42,FALSE) - HLOOKUP("PK Miss",A1:CV300,42,FALSE)</f>
        <v>1</v>
      </c>
      <c r="AN42" s="8542">
        <f>IF(HLOOKUP("BC - Open",A1:CV300,42,FALSE)=0,0,HLOOKUP("BC - Open Miss",A1:CV300,42,FALSE)/HLOOKUP("BC - Open",A1:CV300,42,FALSE))</f>
        <v>1</v>
      </c>
      <c r="AO42" s="8543">
        <v>1</v>
      </c>
      <c r="AP42" s="8544">
        <f>IF(HLOOKUP("Gs",A1:CV300,42,FALSE)=0,0,HLOOKUP("GIB",A1:CV300,42,FALSE)/HLOOKUP("Gs",A1:CV300,42,FALSE))</f>
        <v>1</v>
      </c>
      <c r="AQ42" s="8545">
        <v>0</v>
      </c>
      <c r="AR42" s="8546">
        <f>IF(HLOOKUP("Gs",A1:CV300,42,FALSE)=0,0,HLOOKUP("Gs - Open",A1:CV300,42,FALSE)/HLOOKUP("Gs",A1:CV300,42,FALSE))</f>
        <v>0</v>
      </c>
      <c r="AS42" s="8547">
        <v>1.49</v>
      </c>
      <c r="AT42" s="8548">
        <v>0.09</v>
      </c>
      <c r="AU42" s="8549">
        <f>IF(HLOOKUP("Mins",A1:CV300,42,FALSE)=0,0,HLOOKUP("Pts",A1:CV300,42,FALSE)/HLOOKUP("Mins",A1:CV300,42,FALSE)* 90)</f>
        <v>3.2322426177174779</v>
      </c>
      <c r="AV42" s="8550">
        <f>IF(HLOOKUP("Apps",A1:CV300,42,FALSE)=0,0,HLOOKUP("Pts",A1:CV300,42,FALSE)/HLOOKUP("Apps",A1:CV300,42,FALSE)* 1)</f>
        <v>3.2142857142857144</v>
      </c>
      <c r="AW42" s="8551">
        <f>IF(HLOOKUP("Mins",A1:CV300,42,FALSE)=0,0,HLOOKUP("Gs",A1:CV300,42,FALSE)/HLOOKUP("Mins",A1:CV300,42,FALSE)* 90)</f>
        <v>7.1827613727055067E-2</v>
      </c>
      <c r="AX42" s="8552">
        <f>IF(HLOOKUP("Mins",A1:CV300,42,FALSE)=0,0,HLOOKUP("Bonus",A1:CV300,42,FALSE)/HLOOKUP("Mins",A1:CV300,42,FALSE)* 90)</f>
        <v>0.28731045490822027</v>
      </c>
      <c r="AY42" s="8553">
        <f>IF(HLOOKUP("Mins",A1:CV300,42,FALSE)=0,0,HLOOKUP("BPS",A1:CV300,42,FALSE)/HLOOKUP("Mins",A1:CV300,42,FALSE)* 90)</f>
        <v>15.730247406225059</v>
      </c>
      <c r="AZ42" s="8554">
        <f>IF(HLOOKUP("Mins",A1:CV300,42,FALSE)=0,0,HLOOKUP("Base BPS",A1:CV300,42,FALSE)/HLOOKUP("Mins",A1:CV300,42,FALSE)* 90)</f>
        <v>11.636073423782921</v>
      </c>
      <c r="BA42" s="8555">
        <f>IF(HLOOKUP("Mins",A1:CV300,42,FALSE)=0,0,HLOOKUP("PenTchs",A1:CV300,42,FALSE)/HLOOKUP("Mins",A1:CV300,42,FALSE)* 90)</f>
        <v>1.2210694333599361</v>
      </c>
      <c r="BB42" s="8556">
        <f>IF(HLOOKUP("Mins",A1:CV300,42,FALSE)=0,0,HLOOKUP("Shots",A1:CV300,42,FALSE)/HLOOKUP("Mins",A1:CV300,42,FALSE)* 90)</f>
        <v>0.5027932960893855</v>
      </c>
      <c r="BC42" s="8557">
        <f>IF(HLOOKUP("Mins",A1:CV300,42,FALSE)=0,0,HLOOKUP("SIB",A1:CV300,42,FALSE)/HLOOKUP("Mins",A1:CV300,42,FALSE)* 90)</f>
        <v>0.4309656823623304</v>
      </c>
      <c r="BD42" s="8558">
        <f>IF(HLOOKUP("Mins",A1:CV300,42,FALSE)=0,0,HLOOKUP("S6YD",A1:CV300,42,FALSE)/HLOOKUP("Mins",A1:CV300,42,FALSE)* 90)</f>
        <v>7.1827613727055067E-2</v>
      </c>
      <c r="BE42" s="8559">
        <f>IF(HLOOKUP("Mins",A1:CV300,42,FALSE)=0,0,HLOOKUP("Headers",A1:CV300,42,FALSE)/HLOOKUP("Mins",A1:CV300,42,FALSE)* 90)</f>
        <v>0.4309656823623304</v>
      </c>
      <c r="BF42" s="8560">
        <f>IF(HLOOKUP("Mins",A1:CV300,42,FALSE)=0,0,HLOOKUP("SOT",A1:CV300,42,FALSE)/HLOOKUP("Mins",A1:CV300,42,FALSE)* 90)</f>
        <v>0.14365522745411013</v>
      </c>
      <c r="BG42" s="8561">
        <f>IF(HLOOKUP("Mins",A1:CV300,42,FALSE)=0,0,HLOOKUP("As",A1:CV300,42,FALSE)/HLOOKUP("Mins",A1:CV300,42,FALSE)* 90)</f>
        <v>7.1827613727055067E-2</v>
      </c>
      <c r="BH42" s="8562">
        <f>IF(HLOOKUP("Mins",A1:CV300,42,FALSE)=0,0,HLOOKUP("FPL As",A1:CV300,42,FALSE)/HLOOKUP("Mins",A1:CV300,42,FALSE)* 90)</f>
        <v>7.1827613727055067E-2</v>
      </c>
      <c r="BI42" s="8563">
        <f>IF(HLOOKUP("Mins",A1:CV300,42,FALSE)=0,0,HLOOKUP("BC Created",A1:CV300,42,FALSE)/HLOOKUP("Mins",A1:CV300,42,FALSE)* 90)</f>
        <v>0</v>
      </c>
      <c r="BJ42" s="8564">
        <f>IF(HLOOKUP("Mins",A1:CV300,42,FALSE)=0,0,HLOOKUP("KP",A1:CV300,42,FALSE)/HLOOKUP("Mins",A1:CV300,42,FALSE)* 90)</f>
        <v>0.14365522745411013</v>
      </c>
      <c r="BK42" s="8565">
        <f>IF(HLOOKUP("Mins",A1:CV300,42,FALSE)=0,0,HLOOKUP("BC",A1:CV300,42,FALSE)/HLOOKUP("Mins",A1:CV300,42,FALSE)* 90)</f>
        <v>7.1827613727055067E-2</v>
      </c>
      <c r="BL42" s="8566">
        <f>IF(HLOOKUP("Mins",A1:CV300,42,FALSE)=0,0,HLOOKUP("BC Miss",A1:CV300,42,FALSE)/HLOOKUP("Mins",A1:CV300,42,FALSE)* 90)</f>
        <v>7.1827613727055067E-2</v>
      </c>
      <c r="BM42" s="8567">
        <f>IF(HLOOKUP("Mins",A1:CV300,42,FALSE)=0,0,HLOOKUP("Gs - BC",A1:CV300,42,FALSE)/HLOOKUP("Mins",A1:CV300,42,FALSE)* 90)</f>
        <v>0</v>
      </c>
      <c r="BN42" s="8568">
        <f>IF(HLOOKUP("Mins",A1:CV300,42,FALSE)=0,0,HLOOKUP("GIB",A1:CV300,42,FALSE)/HLOOKUP("Mins",A1:CV300,42,FALSE)* 90)</f>
        <v>7.1827613727055067E-2</v>
      </c>
      <c r="BO42" s="8569">
        <f>IF(HLOOKUP("Mins",A1:CV300,42,FALSE)=0,0,HLOOKUP("Gs - Open",A1:CV300,42,FALSE)/HLOOKUP("Mins",A1:CV300,42,FALSE)* 90)</f>
        <v>0</v>
      </c>
      <c r="BP42" s="8570">
        <f>IF(HLOOKUP("Mins",A1:CV300,42,FALSE)=0,0,HLOOKUP("ICT Index",A1:CV300,42,FALSE)/HLOOKUP("Mins",A1:CV300,42,FALSE)* 90)</f>
        <v>3.1316839584996012</v>
      </c>
      <c r="BQ42" s="8571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  <v>4.1516360734237832E-2</v>
      </c>
      <c r="BR42" s="8572">
        <f>0.0825*HLOOKUP("KP/90",A1:CV300,42,FALSE)</f>
        <v>1.1851556264964086E-2</v>
      </c>
      <c r="BS42" s="8573">
        <f>6*HLOOKUP("xG/90",A1:CV300,42,FALSE)+3*HLOOKUP("xA/90",A1:CV300,42,FALSE)</f>
        <v>0.28465283320031926</v>
      </c>
      <c r="BT42" s="8574">
        <f>HLOOKUP("xPts/90",A1:CV300,42,FALSE)-(6*0.75*(HLOOKUP("PK Gs",A1:CV300,42,FALSE)+HLOOKUP("PK Miss",A1:CV300,42,FALSE))*90/HLOOKUP("Mins",A1:CV300,42,FALSE))</f>
        <v>0.28465283320031926</v>
      </c>
      <c r="BU42" s="8575">
        <f>IF(HLOOKUP("Mins",A1:CV300,42,FALSE)=0,0,HLOOKUP("fsXG",A1:CV300,42,FALSE)/HLOOKUP("Mins",A1:CV300,42,FALSE)* 90)</f>
        <v>0.10702314445331204</v>
      </c>
      <c r="BV42" s="8576">
        <f>IF(HLOOKUP("Mins",A1:CV300,42,FALSE)=0,0,HLOOKUP("fsXA",A1:CV300,42,FALSE)/HLOOKUP("Mins",A1:CV300,42,FALSE)* 90)</f>
        <v>6.4644852354349552E-3</v>
      </c>
      <c r="BW42" s="8577">
        <f>6*HLOOKUP("fsXG/90",A1:CV300,42,FALSE)+3*HLOOKUP("fsXA/90",A1:CV300,42,FALSE)</f>
        <v>0.6615323224261771</v>
      </c>
      <c r="BX42" s="8578">
        <v>4.5812025666236877E-2</v>
      </c>
      <c r="BY42" s="8579">
        <v>8.5299834609031677E-3</v>
      </c>
      <c r="BZ42" s="8580">
        <f>6*HLOOKUP("uXG/90",A1:CV300,42,FALSE)+3*HLOOKUP("uXA/90",A1:CV300,42,FALSE)</f>
        <v>0.30046210438013077</v>
      </c>
    </row>
    <row r="43" spans="1:78" hidden="1" x14ac:dyDescent="0.3">
      <c r="A43" s="8581" t="s">
        <v>206</v>
      </c>
      <c r="B43" s="8582" t="s">
        <v>113</v>
      </c>
      <c r="C43" s="8583">
        <v>4.5</v>
      </c>
      <c r="D43" s="8584">
        <v>1440</v>
      </c>
      <c r="E43" s="8585">
        <v>16</v>
      </c>
      <c r="F43" s="8586">
        <v>59</v>
      </c>
      <c r="G43" s="8587">
        <v>2</v>
      </c>
      <c r="H43" s="8588">
        <v>0</v>
      </c>
      <c r="I43" s="8589">
        <v>284</v>
      </c>
      <c r="J43" s="8590">
        <f>HLOOKUP("BPS",A1:CV300,43,FALSE)-((-6*HLOOKUP("OG",A1:CV300,43,FALSE))+(-6*HLOOKUP("PK Miss",A1:CV300,43,FALSE))+(9*HLOOKUP("FPL As",A1:CV300,43,FALSE))+(12*HLOOKUP("CS",A1:CV300,43,FALSE))+(12*HLOOKUP("Gs",A1:CV300,43,FALSE)))</f>
        <v>188</v>
      </c>
      <c r="K43" s="8591">
        <v>0</v>
      </c>
      <c r="L43" s="8592">
        <v>6</v>
      </c>
      <c r="M43" s="8593">
        <v>16</v>
      </c>
      <c r="N43" s="8594">
        <v>8</v>
      </c>
      <c r="O43" s="8595">
        <v>8</v>
      </c>
      <c r="P43" s="8596">
        <f>IF(HLOOKUP("Shots",A1:CV300,43,FALSE)=0,0,HLOOKUP("SIB",A1:CV300,43,FALSE)/HLOOKUP("Shots",A1:CV300,43,FALSE))</f>
        <v>1</v>
      </c>
      <c r="Q43" s="8597">
        <v>1</v>
      </c>
      <c r="R43" s="8598">
        <f>IF(HLOOKUP("Shots",A1:CV300,43,FALSE)=0,0,HLOOKUP("S6YD",A1:CV300,43,FALSE)/HLOOKUP("Shots",A1:CV300,43,FALSE))</f>
        <v>0.125</v>
      </c>
      <c r="S43" s="8599">
        <v>4</v>
      </c>
      <c r="T43" s="8600">
        <f>IF(HLOOKUP("Shots",A1:CV300,43,FALSE)=0,0,HLOOKUP("Headers",A1:CV300,43,FALSE)/HLOOKUP("Shots",A1:CV300,43,FALSE))</f>
        <v>0.5</v>
      </c>
      <c r="U43" s="8601">
        <v>4</v>
      </c>
      <c r="V43" s="8602">
        <f>IF(HLOOKUP("Shots",A1:CV300,43,FALSE)=0,0,HLOOKUP("SOT",A1:CV300,43,FALSE)/HLOOKUP("Shots",A1:CV300,43,FALSE))</f>
        <v>0.5</v>
      </c>
      <c r="W43" s="8603">
        <f>IF(HLOOKUP("Shots",A1:CV300,43,FALSE)=0,0,HLOOKUP("Gs",A1:CV300,43,FALSE)/HLOOKUP("Shots",A1:CV300,43,FALSE))</f>
        <v>0.25</v>
      </c>
      <c r="X43" s="8604">
        <v>0</v>
      </c>
      <c r="Y43" s="8605">
        <v>0</v>
      </c>
      <c r="Z43" s="8606">
        <v>1</v>
      </c>
      <c r="AA43" s="8607">
        <f>IF(HLOOKUP("KP",A1:CV300,43,FALSE)=0,0,HLOOKUP("As",A1:CV300,43,FALSE)/HLOOKUP("KP",A1:CV300,43,FALSE))</f>
        <v>0</v>
      </c>
      <c r="AB43" s="8608">
        <v>50.4</v>
      </c>
      <c r="AC43" s="8609">
        <v>10</v>
      </c>
      <c r="AD43" s="8610">
        <v>0</v>
      </c>
      <c r="AE43" s="8611">
        <v>0</v>
      </c>
      <c r="AF43" s="8612">
        <v>0</v>
      </c>
      <c r="AG43" s="8613">
        <f>IF(HLOOKUP("BC",A1:CV300,43,FALSE)=0,0,HLOOKUP("Gs - BC",A1:CV300,43,FALSE)/HLOOKUP("BC",A1:CV300,43,FALSE))</f>
        <v>0</v>
      </c>
      <c r="AH43" s="8614">
        <f>HLOOKUP("BC",A1:CV300,43,FALSE) - HLOOKUP("BC Miss",A1:CV300,43,FALSE)</f>
        <v>0</v>
      </c>
      <c r="AI43" s="8615">
        <f>IF(HLOOKUP("Gs",A1:CV300,43,FALSE)=0,0,HLOOKUP("Gs - BC",A1:CV300,43,FALSE)/HLOOKUP("Gs",A1:CV300,43,FALSE))</f>
        <v>0</v>
      </c>
      <c r="AJ43" s="8616">
        <v>0</v>
      </c>
      <c r="AK43" s="8617">
        <v>0</v>
      </c>
      <c r="AL43" s="8618">
        <f>HLOOKUP("BC",A1:CV300,43,FALSE) - (HLOOKUP("PK Gs",A1:CV300,43,FALSE) + HLOOKUP("PK Miss",A1:CV300,43,FALSE))</f>
        <v>0</v>
      </c>
      <c r="AM43" s="8619">
        <f>HLOOKUP("BC Miss",A1:CV300,43,FALSE) - HLOOKUP("PK Miss",A1:CV300,43,FALSE)</f>
        <v>0</v>
      </c>
      <c r="AN43" s="8620">
        <f>IF(HLOOKUP("BC - Open",A1:CV300,43,FALSE)=0,0,HLOOKUP("BC - Open Miss",A1:CV300,43,FALSE)/HLOOKUP("BC - Open",A1:CV300,43,FALSE))</f>
        <v>0</v>
      </c>
      <c r="AO43" s="8621">
        <v>2</v>
      </c>
      <c r="AP43" s="8622">
        <f>IF(HLOOKUP("Gs",A1:CV300,43,FALSE)=0,0,HLOOKUP("GIB",A1:CV300,43,FALSE)/HLOOKUP("Gs",A1:CV300,43,FALSE))</f>
        <v>1</v>
      </c>
      <c r="AQ43" s="8623">
        <v>0</v>
      </c>
      <c r="AR43" s="8624">
        <f>IF(HLOOKUP("Gs",A1:CV300,43,FALSE)=0,0,HLOOKUP("Gs - Open",A1:CV300,43,FALSE)/HLOOKUP("Gs",A1:CV300,43,FALSE))</f>
        <v>0</v>
      </c>
      <c r="AS43" s="8625">
        <v>1.2</v>
      </c>
      <c r="AT43" s="8626">
        <v>0.09</v>
      </c>
      <c r="AU43" s="8627">
        <f>IF(HLOOKUP("Mins",A1:CV300,43,FALSE)=0,0,HLOOKUP("Pts",A1:CV300,43,FALSE)/HLOOKUP("Mins",A1:CV300,43,FALSE)* 90)</f>
        <v>3.6875</v>
      </c>
      <c r="AV43" s="8628">
        <f>IF(HLOOKUP("Apps",A1:CV300,43,FALSE)=0,0,HLOOKUP("Pts",A1:CV300,43,FALSE)/HLOOKUP("Apps",A1:CV300,43,FALSE)* 1)</f>
        <v>3.6875</v>
      </c>
      <c r="AW43" s="8629">
        <f>IF(HLOOKUP("Mins",A1:CV300,43,FALSE)=0,0,HLOOKUP("Gs",A1:CV300,43,FALSE)/HLOOKUP("Mins",A1:CV300,43,FALSE)* 90)</f>
        <v>0.125</v>
      </c>
      <c r="AX43" s="8630">
        <f>IF(HLOOKUP("Mins",A1:CV300,43,FALSE)=0,0,HLOOKUP("Bonus",A1:CV300,43,FALSE)/HLOOKUP("Mins",A1:CV300,43,FALSE)* 90)</f>
        <v>0</v>
      </c>
      <c r="AY43" s="8631">
        <f>IF(HLOOKUP("Mins",A1:CV300,43,FALSE)=0,0,HLOOKUP("BPS",A1:CV300,43,FALSE)/HLOOKUP("Mins",A1:CV300,43,FALSE)* 90)</f>
        <v>17.75</v>
      </c>
      <c r="AZ43" s="8632">
        <f>IF(HLOOKUP("Mins",A1:CV300,43,FALSE)=0,0,HLOOKUP("Base BPS",A1:CV300,43,FALSE)/HLOOKUP("Mins",A1:CV300,43,FALSE)* 90)</f>
        <v>11.75</v>
      </c>
      <c r="BA43" s="8633">
        <f>IF(HLOOKUP("Mins",A1:CV300,43,FALSE)=0,0,HLOOKUP("PenTchs",A1:CV300,43,FALSE)/HLOOKUP("Mins",A1:CV300,43,FALSE)* 90)</f>
        <v>1</v>
      </c>
      <c r="BB43" s="8634">
        <f>IF(HLOOKUP("Mins",A1:CV300,43,FALSE)=0,0,HLOOKUP("Shots",A1:CV300,43,FALSE)/HLOOKUP("Mins",A1:CV300,43,FALSE)* 90)</f>
        <v>0.5</v>
      </c>
      <c r="BC43" s="8635">
        <f>IF(HLOOKUP("Mins",A1:CV300,43,FALSE)=0,0,HLOOKUP("SIB",A1:CV300,43,FALSE)/HLOOKUP("Mins",A1:CV300,43,FALSE)* 90)</f>
        <v>0.5</v>
      </c>
      <c r="BD43" s="8636">
        <f>IF(HLOOKUP("Mins",A1:CV300,43,FALSE)=0,0,HLOOKUP("S6YD",A1:CV300,43,FALSE)/HLOOKUP("Mins",A1:CV300,43,FALSE)* 90)</f>
        <v>6.25E-2</v>
      </c>
      <c r="BE43" s="8637">
        <f>IF(HLOOKUP("Mins",A1:CV300,43,FALSE)=0,0,HLOOKUP("Headers",A1:CV300,43,FALSE)/HLOOKUP("Mins",A1:CV300,43,FALSE)* 90)</f>
        <v>0.25</v>
      </c>
      <c r="BF43" s="8638">
        <f>IF(HLOOKUP("Mins",A1:CV300,43,FALSE)=0,0,HLOOKUP("SOT",A1:CV300,43,FALSE)/HLOOKUP("Mins",A1:CV300,43,FALSE)* 90)</f>
        <v>0.25</v>
      </c>
      <c r="BG43" s="8639">
        <f>IF(HLOOKUP("Mins",A1:CV300,43,FALSE)=0,0,HLOOKUP("As",A1:CV300,43,FALSE)/HLOOKUP("Mins",A1:CV300,43,FALSE)* 90)</f>
        <v>0</v>
      </c>
      <c r="BH43" s="8640">
        <f>IF(HLOOKUP("Mins",A1:CV300,43,FALSE)=0,0,HLOOKUP("FPL As",A1:CV300,43,FALSE)/HLOOKUP("Mins",A1:CV300,43,FALSE)* 90)</f>
        <v>0</v>
      </c>
      <c r="BI43" s="8641">
        <f>IF(HLOOKUP("Mins",A1:CV300,43,FALSE)=0,0,HLOOKUP("BC Created",A1:CV300,43,FALSE)/HLOOKUP("Mins",A1:CV300,43,FALSE)* 90)</f>
        <v>0</v>
      </c>
      <c r="BJ43" s="8642">
        <f>IF(HLOOKUP("Mins",A1:CV300,43,FALSE)=0,0,HLOOKUP("KP",A1:CV300,43,FALSE)/HLOOKUP("Mins",A1:CV300,43,FALSE)* 90)</f>
        <v>6.25E-2</v>
      </c>
      <c r="BK43" s="8643">
        <f>IF(HLOOKUP("Mins",A1:CV300,43,FALSE)=0,0,HLOOKUP("BC",A1:CV300,43,FALSE)/HLOOKUP("Mins",A1:CV300,43,FALSE)* 90)</f>
        <v>0</v>
      </c>
      <c r="BL43" s="8644">
        <f>IF(HLOOKUP("Mins",A1:CV300,43,FALSE)=0,0,HLOOKUP("BC Miss",A1:CV300,43,FALSE)/HLOOKUP("Mins",A1:CV300,43,FALSE)* 90)</f>
        <v>0</v>
      </c>
      <c r="BM43" s="8645">
        <f>IF(HLOOKUP("Mins",A1:CV300,43,FALSE)=0,0,HLOOKUP("Gs - BC",A1:CV300,43,FALSE)/HLOOKUP("Mins",A1:CV300,43,FALSE)* 90)</f>
        <v>0</v>
      </c>
      <c r="BN43" s="8646">
        <f>IF(HLOOKUP("Mins",A1:CV300,43,FALSE)=0,0,HLOOKUP("GIB",A1:CV300,43,FALSE)/HLOOKUP("Mins",A1:CV300,43,FALSE)* 90)</f>
        <v>0.125</v>
      </c>
      <c r="BO43" s="8647">
        <f>IF(HLOOKUP("Mins",A1:CV300,43,FALSE)=0,0,HLOOKUP("Gs - Open",A1:CV300,43,FALSE)/HLOOKUP("Mins",A1:CV300,43,FALSE)* 90)</f>
        <v>0</v>
      </c>
      <c r="BP43" s="8648">
        <f>IF(HLOOKUP("Mins",A1:CV300,43,FALSE)=0,0,HLOOKUP("ICT Index",A1:CV300,43,FALSE)/HLOOKUP("Mins",A1:CV300,43,FALSE)* 90)</f>
        <v>3.1499999999999995</v>
      </c>
      <c r="BQ43" s="8649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  <v>4.65E-2</v>
      </c>
      <c r="BR43" s="8650">
        <f>0.0825*HLOOKUP("KP/90",A1:CV300,43,FALSE)</f>
        <v>5.1562500000000002E-3</v>
      </c>
      <c r="BS43" s="8651">
        <f>6*HLOOKUP("xG/90",A1:CV300,43,FALSE)+3*HLOOKUP("xA/90",A1:CV300,43,FALSE)</f>
        <v>0.29446875</v>
      </c>
      <c r="BT43" s="8652">
        <f>HLOOKUP("xPts/90",A1:CV300,43,FALSE)-(6*0.75*(HLOOKUP("PK Gs",A1:CV300,43,FALSE)+HLOOKUP("PK Miss",A1:CV300,43,FALSE))*90/HLOOKUP("Mins",A1:CV300,43,FALSE))</f>
        <v>0.29446875</v>
      </c>
      <c r="BU43" s="8653">
        <f>IF(HLOOKUP("Mins",A1:CV300,43,FALSE)=0,0,HLOOKUP("fsXG",A1:CV300,43,FALSE)/HLOOKUP("Mins",A1:CV300,43,FALSE)* 90)</f>
        <v>7.4999999999999997E-2</v>
      </c>
      <c r="BV43" s="8654">
        <f>IF(HLOOKUP("Mins",A1:CV300,43,FALSE)=0,0,HLOOKUP("fsXA",A1:CV300,43,FALSE)/HLOOKUP("Mins",A1:CV300,43,FALSE)* 90)</f>
        <v>5.6249999999999998E-3</v>
      </c>
      <c r="BW43" s="8655">
        <f>6*HLOOKUP("fsXG/90",A1:CV300,43,FALSE)+3*HLOOKUP("fsXA/90",A1:CV300,43,FALSE)</f>
        <v>0.46687499999999993</v>
      </c>
      <c r="BX43" s="8656">
        <v>3.7159163504838943E-2</v>
      </c>
      <c r="BY43" s="8657">
        <v>3.196086036041379E-3</v>
      </c>
      <c r="BZ43" s="8658">
        <f>6*HLOOKUP("uXG/90",A1:CV300,43,FALSE)+3*HLOOKUP("uXA/90",A1:CV300,43,FALSE)</f>
        <v>0.2325432391371578</v>
      </c>
    </row>
    <row r="44" spans="1:78" hidden="1" x14ac:dyDescent="0.3">
      <c r="A44" s="8659" t="s">
        <v>207</v>
      </c>
      <c r="B44" s="8660" t="s">
        <v>100</v>
      </c>
      <c r="C44" s="8661">
        <v>5</v>
      </c>
      <c r="D44" s="8662">
        <v>1980</v>
      </c>
      <c r="E44" s="8663">
        <v>22</v>
      </c>
      <c r="F44" s="8664">
        <v>53</v>
      </c>
      <c r="G44" s="8665">
        <v>0</v>
      </c>
      <c r="H44" s="8666">
        <v>2</v>
      </c>
      <c r="I44" s="8667">
        <v>352</v>
      </c>
      <c r="J44" s="8668">
        <f>HLOOKUP("BPS",A1:CV300,44,FALSE)-((-6*HLOOKUP("OG",A1:CV300,44,FALSE))+(-6*HLOOKUP("PK Miss",A1:CV300,44,FALSE))+(9*HLOOKUP("FPL As",A1:CV300,44,FALSE))+(12*HLOOKUP("CS",A1:CV300,44,FALSE))+(12*HLOOKUP("Gs",A1:CV300,44,FALSE)))</f>
        <v>304</v>
      </c>
      <c r="K44" s="8669">
        <v>0</v>
      </c>
      <c r="L44" s="8670">
        <v>4</v>
      </c>
      <c r="M44" s="8671">
        <v>0</v>
      </c>
      <c r="N44" s="8672">
        <v>0</v>
      </c>
      <c r="O44" s="8673">
        <v>0</v>
      </c>
      <c r="P44" s="8674">
        <f>IF(HLOOKUP("Shots",A1:CV300,44,FALSE)=0,0,HLOOKUP("SIB",A1:CV300,44,FALSE)/HLOOKUP("Shots",A1:CV300,44,FALSE))</f>
        <v>0</v>
      </c>
      <c r="Q44" s="8675">
        <v>0</v>
      </c>
      <c r="R44" s="8676">
        <f>IF(HLOOKUP("Shots",A1:CV300,44,FALSE)=0,0,HLOOKUP("S6YD",A1:CV300,44,FALSE)/HLOOKUP("Shots",A1:CV300,44,FALSE))</f>
        <v>0</v>
      </c>
      <c r="S44" s="8677">
        <v>0</v>
      </c>
      <c r="T44" s="8678">
        <f>IF(HLOOKUP("Shots",A1:CV300,44,FALSE)=0,0,HLOOKUP("Headers",A1:CV300,44,FALSE)/HLOOKUP("Shots",A1:CV300,44,FALSE))</f>
        <v>0</v>
      </c>
      <c r="U44" s="8679">
        <v>0</v>
      </c>
      <c r="V44" s="8680">
        <f>IF(HLOOKUP("Shots",A1:CV300,44,FALSE)=0,0,HLOOKUP("SOT",A1:CV300,44,FALSE)/HLOOKUP("Shots",A1:CV300,44,FALSE))</f>
        <v>0</v>
      </c>
      <c r="W44" s="8681">
        <f>IF(HLOOKUP("Shots",A1:CV300,44,FALSE)=0,0,HLOOKUP("Gs",A1:CV300,44,FALSE)/HLOOKUP("Shots",A1:CV300,44,FALSE))</f>
        <v>0</v>
      </c>
      <c r="X44" s="8682">
        <v>0</v>
      </c>
      <c r="Y44" s="8683">
        <v>0</v>
      </c>
      <c r="Z44" s="8684">
        <v>4</v>
      </c>
      <c r="AA44" s="8685">
        <f>IF(HLOOKUP("KP",A1:CV300,44,FALSE)=0,0,HLOOKUP("As",A1:CV300,44,FALSE)/HLOOKUP("KP",A1:CV300,44,FALSE))</f>
        <v>0</v>
      </c>
      <c r="AB44" s="8686">
        <v>38.5</v>
      </c>
      <c r="AC44" s="8687">
        <v>0</v>
      </c>
      <c r="AD44" s="8688">
        <v>1</v>
      </c>
      <c r="AE44" s="8689">
        <v>0</v>
      </c>
      <c r="AF44" s="8690">
        <v>0</v>
      </c>
      <c r="AG44" s="8691">
        <f>IF(HLOOKUP("BC",A1:CV300,44,FALSE)=0,0,HLOOKUP("Gs - BC",A1:CV300,44,FALSE)/HLOOKUP("BC",A1:CV300,44,FALSE))</f>
        <v>0</v>
      </c>
      <c r="AH44" s="8692">
        <f>HLOOKUP("BC",A1:CV300,44,FALSE) - HLOOKUP("BC Miss",A1:CV300,44,FALSE)</f>
        <v>0</v>
      </c>
      <c r="AI44" s="8693">
        <f>IF(HLOOKUP("Gs",A1:CV300,44,FALSE)=0,0,HLOOKUP("Gs - BC",A1:CV300,44,FALSE)/HLOOKUP("Gs",A1:CV300,44,FALSE))</f>
        <v>0</v>
      </c>
      <c r="AJ44" s="8694">
        <v>0</v>
      </c>
      <c r="AK44" s="8695">
        <v>0</v>
      </c>
      <c r="AL44" s="8696">
        <f>HLOOKUP("BC",A1:CV300,44,FALSE) - (HLOOKUP("PK Gs",A1:CV300,44,FALSE) + HLOOKUP("PK Miss",A1:CV300,44,FALSE))</f>
        <v>0</v>
      </c>
      <c r="AM44" s="8697">
        <f>HLOOKUP("BC Miss",A1:CV300,44,FALSE) - HLOOKUP("PK Miss",A1:CV300,44,FALSE)</f>
        <v>0</v>
      </c>
      <c r="AN44" s="8698">
        <f>IF(HLOOKUP("BC - Open",A1:CV300,44,FALSE)=0,0,HLOOKUP("BC - Open Miss",A1:CV300,44,FALSE)/HLOOKUP("BC - Open",A1:CV300,44,FALSE))</f>
        <v>0</v>
      </c>
      <c r="AO44" s="8699">
        <v>0</v>
      </c>
      <c r="AP44" s="8700">
        <f>IF(HLOOKUP("Gs",A1:CV300,44,FALSE)=0,0,HLOOKUP("GIB",A1:CV300,44,FALSE)/HLOOKUP("Gs",A1:CV300,44,FALSE))</f>
        <v>0</v>
      </c>
      <c r="AQ44" s="8701">
        <v>0</v>
      </c>
      <c r="AR44" s="8702">
        <f>IF(HLOOKUP("Gs",A1:CV300,44,FALSE)=0,0,HLOOKUP("Gs - Open",A1:CV300,44,FALSE)/HLOOKUP("Gs",A1:CV300,44,FALSE))</f>
        <v>0</v>
      </c>
      <c r="AS44" s="8703">
        <v>0</v>
      </c>
      <c r="AT44" s="8704">
        <v>0.52</v>
      </c>
      <c r="AU44" s="8705">
        <f>IF(HLOOKUP("Mins",A1:CV300,44,FALSE)=0,0,HLOOKUP("Pts",A1:CV300,44,FALSE)/HLOOKUP("Mins",A1:CV300,44,FALSE)* 90)</f>
        <v>2.4090909090909092</v>
      </c>
      <c r="AV44" s="8706">
        <f>IF(HLOOKUP("Apps",A1:CV300,44,FALSE)=0,0,HLOOKUP("Pts",A1:CV300,44,FALSE)/HLOOKUP("Apps",A1:CV300,44,FALSE)* 1)</f>
        <v>2.4090909090909092</v>
      </c>
      <c r="AW44" s="8707">
        <f>IF(HLOOKUP("Mins",A1:CV300,44,FALSE)=0,0,HLOOKUP("Gs",A1:CV300,44,FALSE)/HLOOKUP("Mins",A1:CV300,44,FALSE)* 90)</f>
        <v>0</v>
      </c>
      <c r="AX44" s="8708">
        <f>IF(HLOOKUP("Mins",A1:CV300,44,FALSE)=0,0,HLOOKUP("Bonus",A1:CV300,44,FALSE)/HLOOKUP("Mins",A1:CV300,44,FALSE)* 90)</f>
        <v>9.0909090909090912E-2</v>
      </c>
      <c r="AY44" s="8709">
        <f>IF(HLOOKUP("Mins",A1:CV300,44,FALSE)=0,0,HLOOKUP("BPS",A1:CV300,44,FALSE)/HLOOKUP("Mins",A1:CV300,44,FALSE)* 90)</f>
        <v>16</v>
      </c>
      <c r="AZ44" s="8710">
        <f>IF(HLOOKUP("Mins",A1:CV300,44,FALSE)=0,0,HLOOKUP("Base BPS",A1:CV300,44,FALSE)/HLOOKUP("Mins",A1:CV300,44,FALSE)* 90)</f>
        <v>13.818181818181817</v>
      </c>
      <c r="BA44" s="8711">
        <f>IF(HLOOKUP("Mins",A1:CV300,44,FALSE)=0,0,HLOOKUP("PenTchs",A1:CV300,44,FALSE)/HLOOKUP("Mins",A1:CV300,44,FALSE)* 90)</f>
        <v>0</v>
      </c>
      <c r="BB44" s="8712">
        <f>IF(HLOOKUP("Mins",A1:CV300,44,FALSE)=0,0,HLOOKUP("Shots",A1:CV300,44,FALSE)/HLOOKUP("Mins",A1:CV300,44,FALSE)* 90)</f>
        <v>0</v>
      </c>
      <c r="BC44" s="8713">
        <f>IF(HLOOKUP("Mins",A1:CV300,44,FALSE)=0,0,HLOOKUP("SIB",A1:CV300,44,FALSE)/HLOOKUP("Mins",A1:CV300,44,FALSE)* 90)</f>
        <v>0</v>
      </c>
      <c r="BD44" s="8714">
        <f>IF(HLOOKUP("Mins",A1:CV300,44,FALSE)=0,0,HLOOKUP("S6YD",A1:CV300,44,FALSE)/HLOOKUP("Mins",A1:CV300,44,FALSE)* 90)</f>
        <v>0</v>
      </c>
      <c r="BE44" s="8715">
        <f>IF(HLOOKUP("Mins",A1:CV300,44,FALSE)=0,0,HLOOKUP("Headers",A1:CV300,44,FALSE)/HLOOKUP("Mins",A1:CV300,44,FALSE)* 90)</f>
        <v>0</v>
      </c>
      <c r="BF44" s="8716">
        <f>IF(HLOOKUP("Mins",A1:CV300,44,FALSE)=0,0,HLOOKUP("SOT",A1:CV300,44,FALSE)/HLOOKUP("Mins",A1:CV300,44,FALSE)* 90)</f>
        <v>0</v>
      </c>
      <c r="BG44" s="8717">
        <f>IF(HLOOKUP("Mins",A1:CV300,44,FALSE)=0,0,HLOOKUP("As",A1:CV300,44,FALSE)/HLOOKUP("Mins",A1:CV300,44,FALSE)* 90)</f>
        <v>0</v>
      </c>
      <c r="BH44" s="8718">
        <f>IF(HLOOKUP("Mins",A1:CV300,44,FALSE)=0,0,HLOOKUP("FPL As",A1:CV300,44,FALSE)/HLOOKUP("Mins",A1:CV300,44,FALSE)* 90)</f>
        <v>0</v>
      </c>
      <c r="BI44" s="8719">
        <f>IF(HLOOKUP("Mins",A1:CV300,44,FALSE)=0,0,HLOOKUP("BC Created",A1:CV300,44,FALSE)/HLOOKUP("Mins",A1:CV300,44,FALSE)* 90)</f>
        <v>4.5454545454545456E-2</v>
      </c>
      <c r="BJ44" s="8720">
        <f>IF(HLOOKUP("Mins",A1:CV300,44,FALSE)=0,0,HLOOKUP("KP",A1:CV300,44,FALSE)/HLOOKUP("Mins",A1:CV300,44,FALSE)* 90)</f>
        <v>0.18181818181818182</v>
      </c>
      <c r="BK44" s="8721">
        <f>IF(HLOOKUP("Mins",A1:CV300,44,FALSE)=0,0,HLOOKUP("BC",A1:CV300,44,FALSE)/HLOOKUP("Mins",A1:CV300,44,FALSE)* 90)</f>
        <v>0</v>
      </c>
      <c r="BL44" s="8722">
        <f>IF(HLOOKUP("Mins",A1:CV300,44,FALSE)=0,0,HLOOKUP("BC Miss",A1:CV300,44,FALSE)/HLOOKUP("Mins",A1:CV300,44,FALSE)* 90)</f>
        <v>0</v>
      </c>
      <c r="BM44" s="8723">
        <f>IF(HLOOKUP("Mins",A1:CV300,44,FALSE)=0,0,HLOOKUP("Gs - BC",A1:CV300,44,FALSE)/HLOOKUP("Mins",A1:CV300,44,FALSE)* 90)</f>
        <v>0</v>
      </c>
      <c r="BN44" s="8724">
        <f>IF(HLOOKUP("Mins",A1:CV300,44,FALSE)=0,0,HLOOKUP("GIB",A1:CV300,44,FALSE)/HLOOKUP("Mins",A1:CV300,44,FALSE)* 90)</f>
        <v>0</v>
      </c>
      <c r="BO44" s="8725">
        <f>IF(HLOOKUP("Mins",A1:CV300,44,FALSE)=0,0,HLOOKUP("Gs - Open",A1:CV300,44,FALSE)/HLOOKUP("Mins",A1:CV300,44,FALSE)* 90)</f>
        <v>0</v>
      </c>
      <c r="BP44" s="8726">
        <f>IF(HLOOKUP("Mins",A1:CV300,44,FALSE)=0,0,HLOOKUP("ICT Index",A1:CV300,44,FALSE)/HLOOKUP("Mins",A1:CV300,44,FALSE)* 90)</f>
        <v>1.75</v>
      </c>
      <c r="BQ44" s="8727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  <v>0</v>
      </c>
      <c r="BR44" s="8728">
        <f>0.0825*HLOOKUP("KP/90",A1:CV300,44,FALSE)</f>
        <v>1.5000000000000001E-2</v>
      </c>
      <c r="BS44" s="8729">
        <f>6*HLOOKUP("xG/90",A1:CV300,44,FALSE)+3*HLOOKUP("xA/90",A1:CV300,44,FALSE)</f>
        <v>4.5000000000000005E-2</v>
      </c>
      <c r="BT44" s="8730">
        <f>HLOOKUP("xPts/90",A1:CV300,44,FALSE)-(6*0.75*(HLOOKUP("PK Gs",A1:CV300,44,FALSE)+HLOOKUP("PK Miss",A1:CV300,44,FALSE))*90/HLOOKUP("Mins",A1:CV300,44,FALSE))</f>
        <v>4.5000000000000005E-2</v>
      </c>
      <c r="BU44" s="8731">
        <f>IF(HLOOKUP("Mins",A1:CV300,44,FALSE)=0,0,HLOOKUP("fsXG",A1:CV300,44,FALSE)/HLOOKUP("Mins",A1:CV300,44,FALSE)* 90)</f>
        <v>0</v>
      </c>
      <c r="BV44" s="8732">
        <f>IF(HLOOKUP("Mins",A1:CV300,44,FALSE)=0,0,HLOOKUP("fsXA",A1:CV300,44,FALSE)/HLOOKUP("Mins",A1:CV300,44,FALSE)* 90)</f>
        <v>2.3636363636363639E-2</v>
      </c>
      <c r="BW44" s="8733">
        <f>6*HLOOKUP("fsXG/90",A1:CV300,44,FALSE)+3*HLOOKUP("fsXA/90",A1:CV300,44,FALSE)</f>
        <v>7.0909090909090922E-2</v>
      </c>
      <c r="BX44" s="8734">
        <v>0</v>
      </c>
      <c r="BY44" s="8735">
        <v>2.1857010200619698E-2</v>
      </c>
      <c r="BZ44" s="8736">
        <f>6*HLOOKUP("uXG/90",A1:CV300,44,FALSE)+3*HLOOKUP("uXA/90",A1:CV300,44,FALSE)</f>
        <v>6.5571030601859093E-2</v>
      </c>
    </row>
    <row r="45" spans="1:78" hidden="1" x14ac:dyDescent="0.3">
      <c r="A45" s="8737" t="s">
        <v>208</v>
      </c>
      <c r="B45" s="8738" t="s">
        <v>151</v>
      </c>
      <c r="C45" s="8739">
        <v>5.3000001907348633</v>
      </c>
      <c r="D45" s="8740">
        <v>1890</v>
      </c>
      <c r="E45" s="8741">
        <v>21</v>
      </c>
      <c r="F45" s="8742">
        <v>57</v>
      </c>
      <c r="G45" s="8743">
        <v>1</v>
      </c>
      <c r="H45" s="8744">
        <v>4</v>
      </c>
      <c r="I45" s="8745">
        <v>330</v>
      </c>
      <c r="J45" s="8746">
        <f>HLOOKUP("BPS",A1:CV300,45,FALSE)-((-6*HLOOKUP("OG",A1:CV300,45,FALSE))+(-6*HLOOKUP("PK Miss",A1:CV300,45,FALSE))+(9*HLOOKUP("FPL As",A1:CV300,45,FALSE))+(12*HLOOKUP("CS",A1:CV300,45,FALSE))+(12*HLOOKUP("Gs",A1:CV300,45,FALSE)))</f>
        <v>276</v>
      </c>
      <c r="K45" s="8747">
        <v>1</v>
      </c>
      <c r="L45" s="8748">
        <v>4</v>
      </c>
      <c r="M45" s="8749">
        <v>6</v>
      </c>
      <c r="N45" s="8750">
        <v>3</v>
      </c>
      <c r="O45" s="8751">
        <v>3</v>
      </c>
      <c r="P45" s="8752">
        <f>IF(HLOOKUP("Shots",A1:CV300,45,FALSE)=0,0,HLOOKUP("SIB",A1:CV300,45,FALSE)/HLOOKUP("Shots",A1:CV300,45,FALSE))</f>
        <v>1</v>
      </c>
      <c r="Q45" s="8753">
        <v>1</v>
      </c>
      <c r="R45" s="8754">
        <f>IF(HLOOKUP("Shots",A1:CV300,45,FALSE)=0,0,HLOOKUP("S6YD",A1:CV300,45,FALSE)/HLOOKUP("Shots",A1:CV300,45,FALSE))</f>
        <v>0.33333333333333331</v>
      </c>
      <c r="S45" s="8755">
        <v>1</v>
      </c>
      <c r="T45" s="8756">
        <f>IF(HLOOKUP("Shots",A1:CV300,45,FALSE)=0,0,HLOOKUP("Headers",A1:CV300,45,FALSE)/HLOOKUP("Shots",A1:CV300,45,FALSE))</f>
        <v>0.33333333333333331</v>
      </c>
      <c r="U45" s="8757">
        <v>1</v>
      </c>
      <c r="V45" s="8758">
        <f>IF(HLOOKUP("Shots",A1:CV300,45,FALSE)=0,0,HLOOKUP("SOT",A1:CV300,45,FALSE)/HLOOKUP("Shots",A1:CV300,45,FALSE))</f>
        <v>0.33333333333333331</v>
      </c>
      <c r="W45" s="8759">
        <f>IF(HLOOKUP("Shots",A1:CV300,45,FALSE)=0,0,HLOOKUP("Gs",A1:CV300,45,FALSE)/HLOOKUP("Shots",A1:CV300,45,FALSE))</f>
        <v>0.33333333333333331</v>
      </c>
      <c r="X45" s="8760">
        <v>0</v>
      </c>
      <c r="Y45" s="8761">
        <v>0</v>
      </c>
      <c r="Z45" s="8762">
        <v>3</v>
      </c>
      <c r="AA45" s="8763">
        <f>IF(HLOOKUP("KP",A1:CV300,45,FALSE)=0,0,HLOOKUP("As",A1:CV300,45,FALSE)/HLOOKUP("KP",A1:CV300,45,FALSE))</f>
        <v>0</v>
      </c>
      <c r="AB45" s="8764">
        <v>46.4</v>
      </c>
      <c r="AC45" s="8765">
        <v>3</v>
      </c>
      <c r="AD45" s="8766">
        <v>0</v>
      </c>
      <c r="AE45" s="8767">
        <v>0</v>
      </c>
      <c r="AF45" s="8768">
        <v>0</v>
      </c>
      <c r="AG45" s="8769">
        <f>IF(HLOOKUP("BC",A1:CV300,45,FALSE)=0,0,HLOOKUP("Gs - BC",A1:CV300,45,FALSE)/HLOOKUP("BC",A1:CV300,45,FALSE))</f>
        <v>0</v>
      </c>
      <c r="AH45" s="8770">
        <f>HLOOKUP("BC",A1:CV300,45,FALSE) - HLOOKUP("BC Miss",A1:CV300,45,FALSE)</f>
        <v>0</v>
      </c>
      <c r="AI45" s="8771">
        <f>IF(HLOOKUP("Gs",A1:CV300,45,FALSE)=0,0,HLOOKUP("Gs - BC",A1:CV300,45,FALSE)/HLOOKUP("Gs",A1:CV300,45,FALSE))</f>
        <v>0</v>
      </c>
      <c r="AJ45" s="8772">
        <v>0</v>
      </c>
      <c r="AK45" s="8773">
        <v>0</v>
      </c>
      <c r="AL45" s="8774">
        <f>HLOOKUP("BC",A1:CV300,45,FALSE) - (HLOOKUP("PK Gs",A1:CV300,45,FALSE) + HLOOKUP("PK Miss",A1:CV300,45,FALSE))</f>
        <v>0</v>
      </c>
      <c r="AM45" s="8775">
        <f>HLOOKUP("BC Miss",A1:CV300,45,FALSE) - HLOOKUP("PK Miss",A1:CV300,45,FALSE)</f>
        <v>0</v>
      </c>
      <c r="AN45" s="8776">
        <f>IF(HLOOKUP("BC - Open",A1:CV300,45,FALSE)=0,0,HLOOKUP("BC - Open Miss",A1:CV300,45,FALSE)/HLOOKUP("BC - Open",A1:CV300,45,FALSE))</f>
        <v>0</v>
      </c>
      <c r="AO45" s="8777">
        <v>1</v>
      </c>
      <c r="AP45" s="8778">
        <f>IF(HLOOKUP("Gs",A1:CV300,45,FALSE)=0,0,HLOOKUP("GIB",A1:CV300,45,FALSE)/HLOOKUP("Gs",A1:CV300,45,FALSE))</f>
        <v>1</v>
      </c>
      <c r="AQ45" s="8779">
        <v>0</v>
      </c>
      <c r="AR45" s="8780">
        <f>IF(HLOOKUP("Gs",A1:CV300,45,FALSE)=0,0,HLOOKUP("Gs - Open",A1:CV300,45,FALSE)/HLOOKUP("Gs",A1:CV300,45,FALSE))</f>
        <v>0</v>
      </c>
      <c r="AS45" s="8781">
        <v>0.19</v>
      </c>
      <c r="AT45" s="8782">
        <v>0.42</v>
      </c>
      <c r="AU45" s="8783">
        <f>IF(HLOOKUP("Mins",A1:CV300,45,FALSE)=0,0,HLOOKUP("Pts",A1:CV300,45,FALSE)/HLOOKUP("Mins",A1:CV300,45,FALSE)* 90)</f>
        <v>2.7142857142857144</v>
      </c>
      <c r="AV45" s="8784">
        <f>IF(HLOOKUP("Apps",A1:CV300,45,FALSE)=0,0,HLOOKUP("Pts",A1:CV300,45,FALSE)/HLOOKUP("Apps",A1:CV300,45,FALSE)* 1)</f>
        <v>2.7142857142857144</v>
      </c>
      <c r="AW45" s="8785">
        <f>IF(HLOOKUP("Mins",A1:CV300,45,FALSE)=0,0,HLOOKUP("Gs",A1:CV300,45,FALSE)/HLOOKUP("Mins",A1:CV300,45,FALSE)* 90)</f>
        <v>4.7619047619047623E-2</v>
      </c>
      <c r="AX45" s="8786">
        <f>IF(HLOOKUP("Mins",A1:CV300,45,FALSE)=0,0,HLOOKUP("Bonus",A1:CV300,45,FALSE)/HLOOKUP("Mins",A1:CV300,45,FALSE)* 90)</f>
        <v>0.19047619047619049</v>
      </c>
      <c r="AY45" s="8787">
        <f>IF(HLOOKUP("Mins",A1:CV300,45,FALSE)=0,0,HLOOKUP("BPS",A1:CV300,45,FALSE)/HLOOKUP("Mins",A1:CV300,45,FALSE)* 90)</f>
        <v>15.714285714285714</v>
      </c>
      <c r="AZ45" s="8788">
        <f>IF(HLOOKUP("Mins",A1:CV300,45,FALSE)=0,0,HLOOKUP("Base BPS",A1:CV300,45,FALSE)/HLOOKUP("Mins",A1:CV300,45,FALSE)* 90)</f>
        <v>13.142857142857144</v>
      </c>
      <c r="BA45" s="8789">
        <f>IF(HLOOKUP("Mins",A1:CV300,45,FALSE)=0,0,HLOOKUP("PenTchs",A1:CV300,45,FALSE)/HLOOKUP("Mins",A1:CV300,45,FALSE)* 90)</f>
        <v>0.2857142857142857</v>
      </c>
      <c r="BB45" s="8790">
        <f>IF(HLOOKUP("Mins",A1:CV300,45,FALSE)=0,0,HLOOKUP("Shots",A1:CV300,45,FALSE)/HLOOKUP("Mins",A1:CV300,45,FALSE)* 90)</f>
        <v>0.14285714285714285</v>
      </c>
      <c r="BC45" s="8791">
        <f>IF(HLOOKUP("Mins",A1:CV300,45,FALSE)=0,0,HLOOKUP("SIB",A1:CV300,45,FALSE)/HLOOKUP("Mins",A1:CV300,45,FALSE)* 90)</f>
        <v>0.14285714285714285</v>
      </c>
      <c r="BD45" s="8792">
        <f>IF(HLOOKUP("Mins",A1:CV300,45,FALSE)=0,0,HLOOKUP("S6YD",A1:CV300,45,FALSE)/HLOOKUP("Mins",A1:CV300,45,FALSE)* 90)</f>
        <v>4.7619047619047623E-2</v>
      </c>
      <c r="BE45" s="8793">
        <f>IF(HLOOKUP("Mins",A1:CV300,45,FALSE)=0,0,HLOOKUP("Headers",A1:CV300,45,FALSE)/HLOOKUP("Mins",A1:CV300,45,FALSE)* 90)</f>
        <v>4.7619047619047623E-2</v>
      </c>
      <c r="BF45" s="8794">
        <f>IF(HLOOKUP("Mins",A1:CV300,45,FALSE)=0,0,HLOOKUP("SOT",A1:CV300,45,FALSE)/HLOOKUP("Mins",A1:CV300,45,FALSE)* 90)</f>
        <v>4.7619047619047623E-2</v>
      </c>
      <c r="BG45" s="8795">
        <f>IF(HLOOKUP("Mins",A1:CV300,45,FALSE)=0,0,HLOOKUP("As",A1:CV300,45,FALSE)/HLOOKUP("Mins",A1:CV300,45,FALSE)* 90)</f>
        <v>0</v>
      </c>
      <c r="BH45" s="8796">
        <f>IF(HLOOKUP("Mins",A1:CV300,45,FALSE)=0,0,HLOOKUP("FPL As",A1:CV300,45,FALSE)/HLOOKUP("Mins",A1:CV300,45,FALSE)* 90)</f>
        <v>0</v>
      </c>
      <c r="BI45" s="8797">
        <f>IF(HLOOKUP("Mins",A1:CV300,45,FALSE)=0,0,HLOOKUP("BC Created",A1:CV300,45,FALSE)/HLOOKUP("Mins",A1:CV300,45,FALSE)* 90)</f>
        <v>0</v>
      </c>
      <c r="BJ45" s="8798">
        <f>IF(HLOOKUP("Mins",A1:CV300,45,FALSE)=0,0,HLOOKUP("KP",A1:CV300,45,FALSE)/HLOOKUP("Mins",A1:CV300,45,FALSE)* 90)</f>
        <v>0.14285714285714285</v>
      </c>
      <c r="BK45" s="8799">
        <f>IF(HLOOKUP("Mins",A1:CV300,45,FALSE)=0,0,HLOOKUP("BC",A1:CV300,45,FALSE)/HLOOKUP("Mins",A1:CV300,45,FALSE)* 90)</f>
        <v>0</v>
      </c>
      <c r="BL45" s="8800">
        <f>IF(HLOOKUP("Mins",A1:CV300,45,FALSE)=0,0,HLOOKUP("BC Miss",A1:CV300,45,FALSE)/HLOOKUP("Mins",A1:CV300,45,FALSE)* 90)</f>
        <v>0</v>
      </c>
      <c r="BM45" s="8801">
        <f>IF(HLOOKUP("Mins",A1:CV300,45,FALSE)=0,0,HLOOKUP("Gs - BC",A1:CV300,45,FALSE)/HLOOKUP("Mins",A1:CV300,45,FALSE)* 90)</f>
        <v>0</v>
      </c>
      <c r="BN45" s="8802">
        <f>IF(HLOOKUP("Mins",A1:CV300,45,FALSE)=0,0,HLOOKUP("GIB",A1:CV300,45,FALSE)/HLOOKUP("Mins",A1:CV300,45,FALSE)* 90)</f>
        <v>4.7619047619047623E-2</v>
      </c>
      <c r="BO45" s="8803">
        <f>IF(HLOOKUP("Mins",A1:CV300,45,FALSE)=0,0,HLOOKUP("Gs - Open",A1:CV300,45,FALSE)/HLOOKUP("Mins",A1:CV300,45,FALSE)* 90)</f>
        <v>0</v>
      </c>
      <c r="BP45" s="8804">
        <f>IF(HLOOKUP("Mins",A1:CV300,45,FALSE)=0,0,HLOOKUP("ICT Index",A1:CV300,45,FALSE)/HLOOKUP("Mins",A1:CV300,45,FALSE)* 90)</f>
        <v>2.2095238095238092</v>
      </c>
      <c r="BQ45" s="8805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  <v>1.3285714285714286E-2</v>
      </c>
      <c r="BR45" s="8806">
        <f>0.0825*HLOOKUP("KP/90",A1:CV300,45,FALSE)</f>
        <v>1.1785714285714285E-2</v>
      </c>
      <c r="BS45" s="8807">
        <f>6*HLOOKUP("xG/90",A1:CV300,45,FALSE)+3*HLOOKUP("xA/90",A1:CV300,45,FALSE)</f>
        <v>0.11507142857142856</v>
      </c>
      <c r="BT45" s="8808">
        <f>HLOOKUP("xPts/90",A1:CV300,45,FALSE)-(6*0.75*(HLOOKUP("PK Gs",A1:CV300,45,FALSE)+HLOOKUP("PK Miss",A1:CV300,45,FALSE))*90/HLOOKUP("Mins",A1:CV300,45,FALSE))</f>
        <v>0.11507142857142856</v>
      </c>
      <c r="BU45" s="8809">
        <f>IF(HLOOKUP("Mins",A1:CV300,45,FALSE)=0,0,HLOOKUP("fsXG",A1:CV300,45,FALSE)/HLOOKUP("Mins",A1:CV300,45,FALSE)* 90)</f>
        <v>9.0476190476190474E-3</v>
      </c>
      <c r="BV45" s="8810">
        <f>IF(HLOOKUP("Mins",A1:CV300,45,FALSE)=0,0,HLOOKUP("fsXA",A1:CV300,45,FALSE)/HLOOKUP("Mins",A1:CV300,45,FALSE)* 90)</f>
        <v>1.9999999999999997E-2</v>
      </c>
      <c r="BW45" s="8811">
        <f>6*HLOOKUP("fsXG/90",A1:CV300,45,FALSE)+3*HLOOKUP("fsXA/90",A1:CV300,45,FALSE)</f>
        <v>0.11428571428571427</v>
      </c>
      <c r="BX45" s="8812">
        <v>6.3361194916069508E-3</v>
      </c>
      <c r="BY45" s="8813">
        <v>1.715254969894886E-2</v>
      </c>
      <c r="BZ45" s="8814">
        <f>6*HLOOKUP("uXG/90",A1:CV300,45,FALSE)+3*HLOOKUP("uXA/90",A1:CV300,45,FALSE)</f>
        <v>8.9474366046488285E-2</v>
      </c>
    </row>
    <row r="46" spans="1:78" hidden="1" x14ac:dyDescent="0.3">
      <c r="A46" s="8815" t="s">
        <v>209</v>
      </c>
      <c r="B46" s="8816" t="s">
        <v>91</v>
      </c>
      <c r="C46" s="8817">
        <v>4.3000001907348633</v>
      </c>
      <c r="D46" s="8818">
        <v>1800</v>
      </c>
      <c r="E46" s="8819">
        <v>20</v>
      </c>
      <c r="F46" s="8820">
        <v>27</v>
      </c>
      <c r="G46" s="8821">
        <v>0</v>
      </c>
      <c r="H46" s="8822">
        <v>1</v>
      </c>
      <c r="I46" s="8823">
        <v>252</v>
      </c>
      <c r="J46" s="8824">
        <f>HLOOKUP("BPS",A1:CV300,46,FALSE)-((-6*HLOOKUP("OG",A1:CV300,46,FALSE))+(-6*HLOOKUP("PK Miss",A1:CV300,46,FALSE))+(9*HLOOKUP("FPL As",A1:CV300,46,FALSE))+(12*HLOOKUP("CS",A1:CV300,46,FALSE))+(12*HLOOKUP("Gs",A1:CV300,46,FALSE)))</f>
        <v>228</v>
      </c>
      <c r="K46" s="8825">
        <v>0</v>
      </c>
      <c r="L46" s="8826">
        <v>2</v>
      </c>
      <c r="M46" s="8827">
        <v>25</v>
      </c>
      <c r="N46" s="8828">
        <v>11</v>
      </c>
      <c r="O46" s="8829">
        <v>8</v>
      </c>
      <c r="P46" s="8830">
        <f>IF(HLOOKUP("Shots",A1:CV300,46,FALSE)=0,0,HLOOKUP("SIB",A1:CV300,46,FALSE)/HLOOKUP("Shots",A1:CV300,46,FALSE))</f>
        <v>0.72727272727272729</v>
      </c>
      <c r="Q46" s="8831">
        <v>0</v>
      </c>
      <c r="R46" s="8832">
        <f>IF(HLOOKUP("Shots",A1:CV300,46,FALSE)=0,0,HLOOKUP("S6YD",A1:CV300,46,FALSE)/HLOOKUP("Shots",A1:CV300,46,FALSE))</f>
        <v>0</v>
      </c>
      <c r="S46" s="8833">
        <v>0</v>
      </c>
      <c r="T46" s="8834">
        <f>IF(HLOOKUP("Shots",A1:CV300,46,FALSE)=0,0,HLOOKUP("Headers",A1:CV300,46,FALSE)/HLOOKUP("Shots",A1:CV300,46,FALSE))</f>
        <v>0</v>
      </c>
      <c r="U46" s="8835">
        <v>2</v>
      </c>
      <c r="V46" s="8836">
        <f>IF(HLOOKUP("Shots",A1:CV300,46,FALSE)=0,0,HLOOKUP("SOT",A1:CV300,46,FALSE)/HLOOKUP("Shots",A1:CV300,46,FALSE))</f>
        <v>0.18181818181818182</v>
      </c>
      <c r="W46" s="8837">
        <f>IF(HLOOKUP("Shots",A1:CV300,46,FALSE)=0,0,HLOOKUP("Gs",A1:CV300,46,FALSE)/HLOOKUP("Shots",A1:CV300,46,FALSE))</f>
        <v>0</v>
      </c>
      <c r="X46" s="8838">
        <v>0</v>
      </c>
      <c r="Y46" s="8839">
        <v>0</v>
      </c>
      <c r="Z46" s="8840">
        <v>15</v>
      </c>
      <c r="AA46" s="8841">
        <f>IF(HLOOKUP("KP",A1:CV300,46,FALSE)=0,0,HLOOKUP("As",A1:CV300,46,FALSE)/HLOOKUP("KP",A1:CV300,46,FALSE))</f>
        <v>0</v>
      </c>
      <c r="AB46" s="8842">
        <v>69.099999999999994</v>
      </c>
      <c r="AC46" s="8843">
        <v>0</v>
      </c>
      <c r="AD46" s="8844">
        <v>6</v>
      </c>
      <c r="AE46" s="8845">
        <v>0</v>
      </c>
      <c r="AF46" s="8846">
        <v>0</v>
      </c>
      <c r="AG46" s="8847">
        <f>IF(HLOOKUP("BC",A1:CV300,46,FALSE)=0,0,HLOOKUP("Gs - BC",A1:CV300,46,FALSE)/HLOOKUP("BC",A1:CV300,46,FALSE))</f>
        <v>0</v>
      </c>
      <c r="AH46" s="8848">
        <f>HLOOKUP("BC",A1:CV300,46,FALSE) - HLOOKUP("BC Miss",A1:CV300,46,FALSE)</f>
        <v>0</v>
      </c>
      <c r="AI46" s="8849">
        <f>IF(HLOOKUP("Gs",A1:CV300,46,FALSE)=0,0,HLOOKUP("Gs - BC",A1:CV300,46,FALSE)/HLOOKUP("Gs",A1:CV300,46,FALSE))</f>
        <v>0</v>
      </c>
      <c r="AJ46" s="8850">
        <v>0</v>
      </c>
      <c r="AK46" s="8851">
        <v>0</v>
      </c>
      <c r="AL46" s="8852">
        <f>HLOOKUP("BC",A1:CV300,46,FALSE) - (HLOOKUP("PK Gs",A1:CV300,46,FALSE) + HLOOKUP("PK Miss",A1:CV300,46,FALSE))</f>
        <v>0</v>
      </c>
      <c r="AM46" s="8853">
        <f>HLOOKUP("BC Miss",A1:CV300,46,FALSE) - HLOOKUP("PK Miss",A1:CV300,46,FALSE)</f>
        <v>0</v>
      </c>
      <c r="AN46" s="8854">
        <f>IF(HLOOKUP("BC - Open",A1:CV300,46,FALSE)=0,0,HLOOKUP("BC - Open Miss",A1:CV300,46,FALSE)/HLOOKUP("BC - Open",A1:CV300,46,FALSE))</f>
        <v>0</v>
      </c>
      <c r="AO46" s="8855">
        <v>0</v>
      </c>
      <c r="AP46" s="8856">
        <f>IF(HLOOKUP("Gs",A1:CV300,46,FALSE)=0,0,HLOOKUP("GIB",A1:CV300,46,FALSE)/HLOOKUP("Gs",A1:CV300,46,FALSE))</f>
        <v>0</v>
      </c>
      <c r="AQ46" s="8857">
        <v>0</v>
      </c>
      <c r="AR46" s="8858">
        <f>IF(HLOOKUP("Gs",A1:CV300,46,FALSE)=0,0,HLOOKUP("Gs - Open",A1:CV300,46,FALSE)/HLOOKUP("Gs",A1:CV300,46,FALSE))</f>
        <v>0</v>
      </c>
      <c r="AS46" s="8859">
        <v>0.45</v>
      </c>
      <c r="AT46" s="8860">
        <v>1.81</v>
      </c>
      <c r="AU46" s="8861">
        <f>IF(HLOOKUP("Mins",A1:CV300,46,FALSE)=0,0,HLOOKUP("Pts",A1:CV300,46,FALSE)/HLOOKUP("Mins",A1:CV300,46,FALSE)* 90)</f>
        <v>1.3499999999999999</v>
      </c>
      <c r="AV46" s="8862">
        <f>IF(HLOOKUP("Apps",A1:CV300,46,FALSE)=0,0,HLOOKUP("Pts",A1:CV300,46,FALSE)/HLOOKUP("Apps",A1:CV300,46,FALSE)* 1)</f>
        <v>1.35</v>
      </c>
      <c r="AW46" s="8863">
        <f>IF(HLOOKUP("Mins",A1:CV300,46,FALSE)=0,0,HLOOKUP("Gs",A1:CV300,46,FALSE)/HLOOKUP("Mins",A1:CV300,46,FALSE)* 90)</f>
        <v>0</v>
      </c>
      <c r="AX46" s="8864">
        <f>IF(HLOOKUP("Mins",A1:CV300,46,FALSE)=0,0,HLOOKUP("Bonus",A1:CV300,46,FALSE)/HLOOKUP("Mins",A1:CV300,46,FALSE)* 90)</f>
        <v>0.05</v>
      </c>
      <c r="AY46" s="8865">
        <f>IF(HLOOKUP("Mins",A1:CV300,46,FALSE)=0,0,HLOOKUP("BPS",A1:CV300,46,FALSE)/HLOOKUP("Mins",A1:CV300,46,FALSE)* 90)</f>
        <v>12.600000000000001</v>
      </c>
      <c r="AZ46" s="8866">
        <f>IF(HLOOKUP("Mins",A1:CV300,46,FALSE)=0,0,HLOOKUP("Base BPS",A1:CV300,46,FALSE)/HLOOKUP("Mins",A1:CV300,46,FALSE)* 90)</f>
        <v>11.4</v>
      </c>
      <c r="BA46" s="8867">
        <f>IF(HLOOKUP("Mins",A1:CV300,46,FALSE)=0,0,HLOOKUP("PenTchs",A1:CV300,46,FALSE)/HLOOKUP("Mins",A1:CV300,46,FALSE)* 90)</f>
        <v>1.25</v>
      </c>
      <c r="BB46" s="8868">
        <f>IF(HLOOKUP("Mins",A1:CV300,46,FALSE)=0,0,HLOOKUP("Shots",A1:CV300,46,FALSE)/HLOOKUP("Mins",A1:CV300,46,FALSE)* 90)</f>
        <v>0.55000000000000004</v>
      </c>
      <c r="BC46" s="8869">
        <f>IF(HLOOKUP("Mins",A1:CV300,46,FALSE)=0,0,HLOOKUP("SIB",A1:CV300,46,FALSE)/HLOOKUP("Mins",A1:CV300,46,FALSE)* 90)</f>
        <v>0.4</v>
      </c>
      <c r="BD46" s="8870">
        <f>IF(HLOOKUP("Mins",A1:CV300,46,FALSE)=0,0,HLOOKUP("S6YD",A1:CV300,46,FALSE)/HLOOKUP("Mins",A1:CV300,46,FALSE)* 90)</f>
        <v>0</v>
      </c>
      <c r="BE46" s="8871">
        <f>IF(HLOOKUP("Mins",A1:CV300,46,FALSE)=0,0,HLOOKUP("Headers",A1:CV300,46,FALSE)/HLOOKUP("Mins",A1:CV300,46,FALSE)* 90)</f>
        <v>0</v>
      </c>
      <c r="BF46" s="8872">
        <f>IF(HLOOKUP("Mins",A1:CV300,46,FALSE)=0,0,HLOOKUP("SOT",A1:CV300,46,FALSE)/HLOOKUP("Mins",A1:CV300,46,FALSE)* 90)</f>
        <v>0.1</v>
      </c>
      <c r="BG46" s="8873">
        <f>IF(HLOOKUP("Mins",A1:CV300,46,FALSE)=0,0,HLOOKUP("As",A1:CV300,46,FALSE)/HLOOKUP("Mins",A1:CV300,46,FALSE)* 90)</f>
        <v>0</v>
      </c>
      <c r="BH46" s="8874">
        <f>IF(HLOOKUP("Mins",A1:CV300,46,FALSE)=0,0,HLOOKUP("FPL As",A1:CV300,46,FALSE)/HLOOKUP("Mins",A1:CV300,46,FALSE)* 90)</f>
        <v>0</v>
      </c>
      <c r="BI46" s="8875">
        <f>IF(HLOOKUP("Mins",A1:CV300,46,FALSE)=0,0,HLOOKUP("BC Created",A1:CV300,46,FALSE)/HLOOKUP("Mins",A1:CV300,46,FALSE)* 90)</f>
        <v>0.30000000000000004</v>
      </c>
      <c r="BJ46" s="8876">
        <f>IF(HLOOKUP("Mins",A1:CV300,46,FALSE)=0,0,HLOOKUP("KP",A1:CV300,46,FALSE)/HLOOKUP("Mins",A1:CV300,46,FALSE)* 90)</f>
        <v>0.75</v>
      </c>
      <c r="BK46" s="8877">
        <f>IF(HLOOKUP("Mins",A1:CV300,46,FALSE)=0,0,HLOOKUP("BC",A1:CV300,46,FALSE)/HLOOKUP("Mins",A1:CV300,46,FALSE)* 90)</f>
        <v>0</v>
      </c>
      <c r="BL46" s="8878">
        <f>IF(HLOOKUP("Mins",A1:CV300,46,FALSE)=0,0,HLOOKUP("BC Miss",A1:CV300,46,FALSE)/HLOOKUP("Mins",A1:CV300,46,FALSE)* 90)</f>
        <v>0</v>
      </c>
      <c r="BM46" s="8879">
        <f>IF(HLOOKUP("Mins",A1:CV300,46,FALSE)=0,0,HLOOKUP("Gs - BC",A1:CV300,46,FALSE)/HLOOKUP("Mins",A1:CV300,46,FALSE)* 90)</f>
        <v>0</v>
      </c>
      <c r="BN46" s="8880">
        <f>IF(HLOOKUP("Mins",A1:CV300,46,FALSE)=0,0,HLOOKUP("GIB",A1:CV300,46,FALSE)/HLOOKUP("Mins",A1:CV300,46,FALSE)* 90)</f>
        <v>0</v>
      </c>
      <c r="BO46" s="8881">
        <f>IF(HLOOKUP("Mins",A1:CV300,46,FALSE)=0,0,HLOOKUP("Gs - Open",A1:CV300,46,FALSE)/HLOOKUP("Mins",A1:CV300,46,FALSE)* 90)</f>
        <v>0</v>
      </c>
      <c r="BP46" s="8882">
        <f>IF(HLOOKUP("Mins",A1:CV300,46,FALSE)=0,0,HLOOKUP("ICT Index",A1:CV300,46,FALSE)/HLOOKUP("Mins",A1:CV300,46,FALSE)* 90)</f>
        <v>3.4550000000000001</v>
      </c>
      <c r="BQ46" s="8883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  <v>4.0200000000000007E-2</v>
      </c>
      <c r="BR46" s="8884">
        <f>0.0825*HLOOKUP("KP/90",A1:CV300,46,FALSE)</f>
        <v>6.1874999999999999E-2</v>
      </c>
      <c r="BS46" s="8885">
        <f>6*HLOOKUP("xG/90",A1:CV300,46,FALSE)+3*HLOOKUP("xA/90",A1:CV300,46,FALSE)</f>
        <v>0.42682500000000001</v>
      </c>
      <c r="BT46" s="8886">
        <f>HLOOKUP("xPts/90",A1:CV300,46,FALSE)-(6*0.75*(HLOOKUP("PK Gs",A1:CV300,46,FALSE)+HLOOKUP("PK Miss",A1:CV300,46,FALSE))*90/HLOOKUP("Mins",A1:CV300,46,FALSE))</f>
        <v>0.42682500000000001</v>
      </c>
      <c r="BU46" s="8887">
        <f>IF(HLOOKUP("Mins",A1:CV300,46,FALSE)=0,0,HLOOKUP("fsXG",A1:CV300,46,FALSE)/HLOOKUP("Mins",A1:CV300,46,FALSE)* 90)</f>
        <v>2.2499999999999999E-2</v>
      </c>
      <c r="BV46" s="8888">
        <f>IF(HLOOKUP("Mins",A1:CV300,46,FALSE)=0,0,HLOOKUP("fsXA",A1:CV300,46,FALSE)/HLOOKUP("Mins",A1:CV300,46,FALSE)* 90)</f>
        <v>9.0499999999999997E-2</v>
      </c>
      <c r="BW46" s="8889">
        <f>6*HLOOKUP("fsXG/90",A1:CV300,46,FALSE)+3*HLOOKUP("fsXA/90",A1:CV300,46,FALSE)</f>
        <v>0.40649999999999997</v>
      </c>
      <c r="BX46" s="8890">
        <v>2.3421673104166985E-2</v>
      </c>
      <c r="BY46" s="8891">
        <v>0.14251972734928131</v>
      </c>
      <c r="BZ46" s="8892">
        <f>6*HLOOKUP("uXG/90",A1:CV300,46,FALSE)+3*HLOOKUP("uXA/90",A1:CV300,46,FALSE)</f>
        <v>0.56808922067284584</v>
      </c>
    </row>
    <row r="47" spans="1:78" hidden="1" x14ac:dyDescent="0.3">
      <c r="A47" s="8893" t="s">
        <v>210</v>
      </c>
      <c r="B47" s="8894" t="s">
        <v>147</v>
      </c>
      <c r="C47" s="8895">
        <v>5.5</v>
      </c>
      <c r="D47" s="8896">
        <v>918</v>
      </c>
      <c r="E47" s="8897">
        <v>12</v>
      </c>
      <c r="F47" s="8898">
        <v>18</v>
      </c>
      <c r="G47" s="8899">
        <v>0</v>
      </c>
      <c r="H47" s="8900">
        <v>0</v>
      </c>
      <c r="I47" s="8901">
        <v>167</v>
      </c>
      <c r="J47" s="8902">
        <f>HLOOKUP("BPS",A1:CV300,47,FALSE)-((-6*HLOOKUP("OG",A1:CV300,47,FALSE))+(-6*HLOOKUP("PK Miss",A1:CV300,47,FALSE))+(9*HLOOKUP("FPL As",A1:CV300,47,FALSE))+(12*HLOOKUP("CS",A1:CV300,47,FALSE))+(12*HLOOKUP("Gs",A1:CV300,47,FALSE)))</f>
        <v>155</v>
      </c>
      <c r="K47" s="8903">
        <v>0</v>
      </c>
      <c r="L47" s="8904">
        <v>1</v>
      </c>
      <c r="M47" s="8905">
        <v>19</v>
      </c>
      <c r="N47" s="8906">
        <v>11</v>
      </c>
      <c r="O47" s="8907">
        <v>7</v>
      </c>
      <c r="P47" s="8908">
        <f>IF(HLOOKUP("Shots",A1:CV300,47,FALSE)=0,0,HLOOKUP("SIB",A1:CV300,47,FALSE)/HLOOKUP("Shots",A1:CV300,47,FALSE))</f>
        <v>0.63636363636363635</v>
      </c>
      <c r="Q47" s="8909">
        <v>1</v>
      </c>
      <c r="R47" s="8910">
        <f>IF(HLOOKUP("Shots",A1:CV300,47,FALSE)=0,0,HLOOKUP("S6YD",A1:CV300,47,FALSE)/HLOOKUP("Shots",A1:CV300,47,FALSE))</f>
        <v>9.0909090909090912E-2</v>
      </c>
      <c r="S47" s="8911">
        <v>1</v>
      </c>
      <c r="T47" s="8912">
        <f>IF(HLOOKUP("Shots",A1:CV300,47,FALSE)=0,0,HLOOKUP("Headers",A1:CV300,47,FALSE)/HLOOKUP("Shots",A1:CV300,47,FALSE))</f>
        <v>9.0909090909090912E-2</v>
      </c>
      <c r="U47" s="8913">
        <v>7</v>
      </c>
      <c r="V47" s="8914">
        <f>IF(HLOOKUP("Shots",A1:CV300,47,FALSE)=0,0,HLOOKUP("SOT",A1:CV300,47,FALSE)/HLOOKUP("Shots",A1:CV300,47,FALSE))</f>
        <v>0.63636363636363635</v>
      </c>
      <c r="W47" s="8915">
        <f>IF(HLOOKUP("Shots",A1:CV300,47,FALSE)=0,0,HLOOKUP("Gs",A1:CV300,47,FALSE)/HLOOKUP("Shots",A1:CV300,47,FALSE))</f>
        <v>0</v>
      </c>
      <c r="X47" s="8916">
        <v>0</v>
      </c>
      <c r="Y47" s="8917">
        <v>0</v>
      </c>
      <c r="Z47" s="8918">
        <v>14</v>
      </c>
      <c r="AA47" s="8919">
        <f>IF(HLOOKUP("KP",A1:CV300,47,FALSE)=0,0,HLOOKUP("As",A1:CV300,47,FALSE)/HLOOKUP("KP",A1:CV300,47,FALSE))</f>
        <v>0</v>
      </c>
      <c r="AB47" s="8920">
        <v>59.7</v>
      </c>
      <c r="AC47" s="8921">
        <v>0</v>
      </c>
      <c r="AD47" s="8922">
        <v>2</v>
      </c>
      <c r="AE47" s="8923">
        <v>2</v>
      </c>
      <c r="AF47" s="8924">
        <v>2</v>
      </c>
      <c r="AG47" s="8925">
        <f>IF(HLOOKUP("BC",A1:CV300,47,FALSE)=0,0,HLOOKUP("Gs - BC",A1:CV300,47,FALSE)/HLOOKUP("BC",A1:CV300,47,FALSE))</f>
        <v>0</v>
      </c>
      <c r="AH47" s="8926">
        <f>HLOOKUP("BC",A1:CV300,47,FALSE) - HLOOKUP("BC Miss",A1:CV300,47,FALSE)</f>
        <v>0</v>
      </c>
      <c r="AI47" s="8927">
        <f>IF(HLOOKUP("Gs",A1:CV300,47,FALSE)=0,0,HLOOKUP("Gs - BC",A1:CV300,47,FALSE)/HLOOKUP("Gs",A1:CV300,47,FALSE))</f>
        <v>0</v>
      </c>
      <c r="AJ47" s="8928">
        <v>0</v>
      </c>
      <c r="AK47" s="8929">
        <v>0</v>
      </c>
      <c r="AL47" s="8930">
        <f>HLOOKUP("BC",A1:CV300,47,FALSE) - (HLOOKUP("PK Gs",A1:CV300,47,FALSE) + HLOOKUP("PK Miss",A1:CV300,47,FALSE))</f>
        <v>2</v>
      </c>
      <c r="AM47" s="8931">
        <f>HLOOKUP("BC Miss",A1:CV300,47,FALSE) - HLOOKUP("PK Miss",A1:CV300,47,FALSE)</f>
        <v>2</v>
      </c>
      <c r="AN47" s="8932">
        <f>IF(HLOOKUP("BC - Open",A1:CV300,47,FALSE)=0,0,HLOOKUP("BC - Open Miss",A1:CV300,47,FALSE)/HLOOKUP("BC - Open",A1:CV300,47,FALSE))</f>
        <v>1</v>
      </c>
      <c r="AO47" s="8933">
        <v>0</v>
      </c>
      <c r="AP47" s="8934">
        <f>IF(HLOOKUP("Gs",A1:CV300,47,FALSE)=0,0,HLOOKUP("GIB",A1:CV300,47,FALSE)/HLOOKUP("Gs",A1:CV300,47,FALSE))</f>
        <v>0</v>
      </c>
      <c r="AQ47" s="8935">
        <v>0</v>
      </c>
      <c r="AR47" s="8936">
        <f>IF(HLOOKUP("Gs",A1:CV300,47,FALSE)=0,0,HLOOKUP("Gs - Open",A1:CV300,47,FALSE)/HLOOKUP("Gs",A1:CV300,47,FALSE))</f>
        <v>0</v>
      </c>
      <c r="AS47" s="8937">
        <v>1.05</v>
      </c>
      <c r="AT47" s="8938">
        <v>0.92</v>
      </c>
      <c r="AU47" s="8939">
        <f>IF(HLOOKUP("Mins",A1:CV300,47,FALSE)=0,0,HLOOKUP("Pts",A1:CV300,47,FALSE)/HLOOKUP("Mins",A1:CV300,47,FALSE)* 90)</f>
        <v>1.7647058823529411</v>
      </c>
      <c r="AV47" s="8940">
        <f>IF(HLOOKUP("Apps",A1:CV300,47,FALSE)=0,0,HLOOKUP("Pts",A1:CV300,47,FALSE)/HLOOKUP("Apps",A1:CV300,47,FALSE)* 1)</f>
        <v>1.5</v>
      </c>
      <c r="AW47" s="8941">
        <f>IF(HLOOKUP("Mins",A1:CV300,47,FALSE)=0,0,HLOOKUP("Gs",A1:CV300,47,FALSE)/HLOOKUP("Mins",A1:CV300,47,FALSE)* 90)</f>
        <v>0</v>
      </c>
      <c r="AX47" s="8942">
        <f>IF(HLOOKUP("Mins",A1:CV300,47,FALSE)=0,0,HLOOKUP("Bonus",A1:CV300,47,FALSE)/HLOOKUP("Mins",A1:CV300,47,FALSE)* 90)</f>
        <v>0</v>
      </c>
      <c r="AY47" s="8943">
        <f>IF(HLOOKUP("Mins",A1:CV300,47,FALSE)=0,0,HLOOKUP("BPS",A1:CV300,47,FALSE)/HLOOKUP("Mins",A1:CV300,47,FALSE)* 90)</f>
        <v>16.372549019607842</v>
      </c>
      <c r="AZ47" s="8944">
        <f>IF(HLOOKUP("Mins",A1:CV300,47,FALSE)=0,0,HLOOKUP("Base BPS",A1:CV300,47,FALSE)/HLOOKUP("Mins",A1:CV300,47,FALSE)* 90)</f>
        <v>15.196078431372548</v>
      </c>
      <c r="BA47" s="8945">
        <f>IF(HLOOKUP("Mins",A1:CV300,47,FALSE)=0,0,HLOOKUP("PenTchs",A1:CV300,47,FALSE)/HLOOKUP("Mins",A1:CV300,47,FALSE)* 90)</f>
        <v>1.8627450980392157</v>
      </c>
      <c r="BB47" s="8946">
        <f>IF(HLOOKUP("Mins",A1:CV300,47,FALSE)=0,0,HLOOKUP("Shots",A1:CV300,47,FALSE)/HLOOKUP("Mins",A1:CV300,47,FALSE)* 90)</f>
        <v>1.0784313725490196</v>
      </c>
      <c r="BC47" s="8947">
        <f>IF(HLOOKUP("Mins",A1:CV300,47,FALSE)=0,0,HLOOKUP("SIB",A1:CV300,47,FALSE)/HLOOKUP("Mins",A1:CV300,47,FALSE)* 90)</f>
        <v>0.68627450980392157</v>
      </c>
      <c r="BD47" s="8948">
        <f>IF(HLOOKUP("Mins",A1:CV300,47,FALSE)=0,0,HLOOKUP("S6YD",A1:CV300,47,FALSE)/HLOOKUP("Mins",A1:CV300,47,FALSE)* 90)</f>
        <v>9.8039215686274522E-2</v>
      </c>
      <c r="BE47" s="8949">
        <f>IF(HLOOKUP("Mins",A1:CV300,47,FALSE)=0,0,HLOOKUP("Headers",A1:CV300,47,FALSE)/HLOOKUP("Mins",A1:CV300,47,FALSE)* 90)</f>
        <v>9.8039215686274522E-2</v>
      </c>
      <c r="BF47" s="8950">
        <f>IF(HLOOKUP("Mins",A1:CV300,47,FALSE)=0,0,HLOOKUP("SOT",A1:CV300,47,FALSE)/HLOOKUP("Mins",A1:CV300,47,FALSE)* 90)</f>
        <v>0.68627450980392157</v>
      </c>
      <c r="BG47" s="8951">
        <f>IF(HLOOKUP("Mins",A1:CV300,47,FALSE)=0,0,HLOOKUP("As",A1:CV300,47,FALSE)/HLOOKUP("Mins",A1:CV300,47,FALSE)* 90)</f>
        <v>0</v>
      </c>
      <c r="BH47" s="8952">
        <f>IF(HLOOKUP("Mins",A1:CV300,47,FALSE)=0,0,HLOOKUP("FPL As",A1:CV300,47,FALSE)/HLOOKUP("Mins",A1:CV300,47,FALSE)* 90)</f>
        <v>0</v>
      </c>
      <c r="BI47" s="8953">
        <f>IF(HLOOKUP("Mins",A1:CV300,47,FALSE)=0,0,HLOOKUP("BC Created",A1:CV300,47,FALSE)/HLOOKUP("Mins",A1:CV300,47,FALSE)* 90)</f>
        <v>0.19607843137254904</v>
      </c>
      <c r="BJ47" s="8954">
        <f>IF(HLOOKUP("Mins",A1:CV300,47,FALSE)=0,0,HLOOKUP("KP",A1:CV300,47,FALSE)/HLOOKUP("Mins",A1:CV300,47,FALSE)* 90)</f>
        <v>1.3725490196078431</v>
      </c>
      <c r="BK47" s="8955">
        <f>IF(HLOOKUP("Mins",A1:CV300,47,FALSE)=0,0,HLOOKUP("BC",A1:CV300,47,FALSE)/HLOOKUP("Mins",A1:CV300,47,FALSE)* 90)</f>
        <v>0.19607843137254904</v>
      </c>
      <c r="BL47" s="8956">
        <f>IF(HLOOKUP("Mins",A1:CV300,47,FALSE)=0,0,HLOOKUP("BC Miss",A1:CV300,47,FALSE)/HLOOKUP("Mins",A1:CV300,47,FALSE)* 90)</f>
        <v>0.19607843137254904</v>
      </c>
      <c r="BM47" s="8957">
        <f>IF(HLOOKUP("Mins",A1:CV300,47,FALSE)=0,0,HLOOKUP("Gs - BC",A1:CV300,47,FALSE)/HLOOKUP("Mins",A1:CV300,47,FALSE)* 90)</f>
        <v>0</v>
      </c>
      <c r="BN47" s="8958">
        <f>IF(HLOOKUP("Mins",A1:CV300,47,FALSE)=0,0,HLOOKUP("GIB",A1:CV300,47,FALSE)/HLOOKUP("Mins",A1:CV300,47,FALSE)* 90)</f>
        <v>0</v>
      </c>
      <c r="BO47" s="8959">
        <f>IF(HLOOKUP("Mins",A1:CV300,47,FALSE)=0,0,HLOOKUP("Gs - Open",A1:CV300,47,FALSE)/HLOOKUP("Mins",A1:CV300,47,FALSE)* 90)</f>
        <v>0</v>
      </c>
      <c r="BP47" s="8960">
        <f>IF(HLOOKUP("Mins",A1:CV300,47,FALSE)=0,0,HLOOKUP("ICT Index",A1:CV300,47,FALSE)/HLOOKUP("Mins",A1:CV300,47,FALSE)* 90)</f>
        <v>5.8529411764705888</v>
      </c>
      <c r="BQ47" s="8961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  <v>7.1666666666666656E-2</v>
      </c>
      <c r="BR47" s="8962">
        <f>0.0825*HLOOKUP("KP/90",A1:CV300,47,FALSE)</f>
        <v>0.11323529411764706</v>
      </c>
      <c r="BS47" s="8963">
        <f>6*HLOOKUP("xG/90",A1:CV300,47,FALSE)+3*HLOOKUP("xA/90",A1:CV300,47,FALSE)</f>
        <v>0.76970588235294113</v>
      </c>
      <c r="BT47" s="8964">
        <f>HLOOKUP("xPts/90",A1:CV300,47,FALSE)-(6*0.75*(HLOOKUP("PK Gs",A1:CV300,47,FALSE)+HLOOKUP("PK Miss",A1:CV300,47,FALSE))*90/HLOOKUP("Mins",A1:CV300,47,FALSE))</f>
        <v>0.76970588235294113</v>
      </c>
      <c r="BU47" s="8965">
        <f>IF(HLOOKUP("Mins",A1:CV300,47,FALSE)=0,0,HLOOKUP("fsXG",A1:CV300,47,FALSE)/HLOOKUP("Mins",A1:CV300,47,FALSE)* 90)</f>
        <v>0.10294117647058824</v>
      </c>
      <c r="BV47" s="8966">
        <f>IF(HLOOKUP("Mins",A1:CV300,47,FALSE)=0,0,HLOOKUP("fsXA",A1:CV300,47,FALSE)/HLOOKUP("Mins",A1:CV300,47,FALSE)* 90)</f>
        <v>9.0196078431372562E-2</v>
      </c>
      <c r="BW47" s="8967">
        <f>6*HLOOKUP("fsXG/90",A1:CV300,47,FALSE)+3*HLOOKUP("fsXA/90",A1:CV300,47,FALSE)</f>
        <v>0.88823529411764712</v>
      </c>
      <c r="BX47" s="8968">
        <v>0.10034048557281494</v>
      </c>
      <c r="BY47" s="8969">
        <v>0.13614028692245483</v>
      </c>
      <c r="BZ47" s="8970">
        <f>6*HLOOKUP("uXG/90",A1:CV300,47,FALSE)+3*HLOOKUP("uXA/90",A1:CV300,47,FALSE)</f>
        <v>1.0104637742042542</v>
      </c>
    </row>
    <row r="48" spans="1:78" hidden="1" x14ac:dyDescent="0.3">
      <c r="A48" s="8971" t="s">
        <v>211</v>
      </c>
      <c r="B48" s="8972" t="s">
        <v>79</v>
      </c>
      <c r="C48" s="8973">
        <v>5.1999998092651367</v>
      </c>
      <c r="D48" s="8974">
        <v>170</v>
      </c>
      <c r="E48" s="8975">
        <v>3</v>
      </c>
      <c r="F48" s="8976">
        <v>6</v>
      </c>
      <c r="G48" s="8977">
        <v>0</v>
      </c>
      <c r="H48" s="8978">
        <v>0</v>
      </c>
      <c r="I48" s="8979">
        <v>35</v>
      </c>
      <c r="J48" s="8980">
        <f>HLOOKUP("BPS",A1:CV300,48,FALSE)-((-6*HLOOKUP("OG",A1:CV300,48,FALSE))+(-6*HLOOKUP("PK Miss",A1:CV300,48,FALSE))+(9*HLOOKUP("FPL As",A1:CV300,48,FALSE))+(12*HLOOKUP("CS",A1:CV300,48,FALSE))+(12*HLOOKUP("Gs",A1:CV300,48,FALSE)))</f>
        <v>26</v>
      </c>
      <c r="K48" s="8981">
        <v>0</v>
      </c>
      <c r="L48" s="8982">
        <v>0</v>
      </c>
      <c r="M48" s="8983">
        <v>3</v>
      </c>
      <c r="N48" s="8984">
        <v>2</v>
      </c>
      <c r="O48" s="8985">
        <v>2</v>
      </c>
      <c r="P48" s="8986">
        <f>IF(HLOOKUP("Shots",A1:CV300,48,FALSE)=0,0,HLOOKUP("SIB",A1:CV300,48,FALSE)/HLOOKUP("Shots",A1:CV300,48,FALSE))</f>
        <v>1</v>
      </c>
      <c r="Q48" s="8987">
        <v>1</v>
      </c>
      <c r="R48" s="8988">
        <f>IF(HLOOKUP("Shots",A1:CV300,48,FALSE)=0,0,HLOOKUP("S6YD",A1:CV300,48,FALSE)/HLOOKUP("Shots",A1:CV300,48,FALSE))</f>
        <v>0.5</v>
      </c>
      <c r="S48" s="8989">
        <v>1</v>
      </c>
      <c r="T48" s="8990">
        <f>IF(HLOOKUP("Shots",A1:CV300,48,FALSE)=0,0,HLOOKUP("Headers",A1:CV300,48,FALSE)/HLOOKUP("Shots",A1:CV300,48,FALSE))</f>
        <v>0.5</v>
      </c>
      <c r="U48" s="8991">
        <v>0</v>
      </c>
      <c r="V48" s="8992">
        <f>IF(HLOOKUP("Shots",A1:CV300,48,FALSE)=0,0,HLOOKUP("SOT",A1:CV300,48,FALSE)/HLOOKUP("Shots",A1:CV300,48,FALSE))</f>
        <v>0</v>
      </c>
      <c r="W48" s="8993">
        <f>IF(HLOOKUP("Shots",A1:CV300,48,FALSE)=0,0,HLOOKUP("Gs",A1:CV300,48,FALSE)/HLOOKUP("Shots",A1:CV300,48,FALSE))</f>
        <v>0</v>
      </c>
      <c r="X48" s="8994">
        <v>0</v>
      </c>
      <c r="Y48" s="8995">
        <v>1</v>
      </c>
      <c r="Z48" s="8996">
        <v>0</v>
      </c>
      <c r="AA48" s="8997">
        <f>IF(HLOOKUP("KP",A1:CV300,48,FALSE)=0,0,HLOOKUP("As",A1:CV300,48,FALSE)/HLOOKUP("KP",A1:CV300,48,FALSE))</f>
        <v>0</v>
      </c>
      <c r="AB48" s="8998">
        <v>8.9</v>
      </c>
      <c r="AC48" s="8999">
        <v>50</v>
      </c>
      <c r="AD48" s="9000">
        <v>0</v>
      </c>
      <c r="AE48" s="9001">
        <v>0</v>
      </c>
      <c r="AF48" s="9002">
        <v>0</v>
      </c>
      <c r="AG48" s="9003">
        <f>IF(HLOOKUP("BC",A1:CV300,48,FALSE)=0,0,HLOOKUP("Gs - BC",A1:CV300,48,FALSE)/HLOOKUP("BC",A1:CV300,48,FALSE))</f>
        <v>0</v>
      </c>
      <c r="AH48" s="9004">
        <f>HLOOKUP("BC",A1:CV300,48,FALSE) - HLOOKUP("BC Miss",A1:CV300,48,FALSE)</f>
        <v>0</v>
      </c>
      <c r="AI48" s="9005">
        <f>IF(HLOOKUP("Gs",A1:CV300,48,FALSE)=0,0,HLOOKUP("Gs - BC",A1:CV300,48,FALSE)/HLOOKUP("Gs",A1:CV300,48,FALSE))</f>
        <v>0</v>
      </c>
      <c r="AJ48" s="9006">
        <v>0</v>
      </c>
      <c r="AK48" s="9007">
        <v>0</v>
      </c>
      <c r="AL48" s="9008">
        <f>HLOOKUP("BC",A1:CV300,48,FALSE) - (HLOOKUP("PK Gs",A1:CV300,48,FALSE) + HLOOKUP("PK Miss",A1:CV300,48,FALSE))</f>
        <v>0</v>
      </c>
      <c r="AM48" s="9009">
        <f>HLOOKUP("BC Miss",A1:CV300,48,FALSE) - HLOOKUP("PK Miss",A1:CV300,48,FALSE)</f>
        <v>0</v>
      </c>
      <c r="AN48" s="9010">
        <f>IF(HLOOKUP("BC - Open",A1:CV300,48,FALSE)=0,0,HLOOKUP("BC - Open Miss",A1:CV300,48,FALSE)/HLOOKUP("BC - Open",A1:CV300,48,FALSE))</f>
        <v>0</v>
      </c>
      <c r="AO48" s="9011">
        <v>0</v>
      </c>
      <c r="AP48" s="9012">
        <f>IF(HLOOKUP("Gs",A1:CV300,48,FALSE)=0,0,HLOOKUP("GIB",A1:CV300,48,FALSE)/HLOOKUP("Gs",A1:CV300,48,FALSE))</f>
        <v>0</v>
      </c>
      <c r="AQ48" s="9013">
        <v>0</v>
      </c>
      <c r="AR48" s="9014">
        <f>IF(HLOOKUP("Gs",A1:CV300,48,FALSE)=0,0,HLOOKUP("Gs - Open",A1:CV300,48,FALSE)/HLOOKUP("Gs",A1:CV300,48,FALSE))</f>
        <v>0</v>
      </c>
      <c r="AS48" s="9015">
        <v>0.4</v>
      </c>
      <c r="AT48" s="9016">
        <v>0.01</v>
      </c>
      <c r="AU48" s="9017">
        <f>IF(HLOOKUP("Mins",A1:CV300,48,FALSE)=0,0,HLOOKUP("Pts",A1:CV300,48,FALSE)/HLOOKUP("Mins",A1:CV300,48,FALSE)* 90)</f>
        <v>3.1764705882352939</v>
      </c>
      <c r="AV48" s="9018">
        <f>IF(HLOOKUP("Apps",A1:CV300,48,FALSE)=0,0,HLOOKUP("Pts",A1:CV300,48,FALSE)/HLOOKUP("Apps",A1:CV300,48,FALSE)* 1)</f>
        <v>2</v>
      </c>
      <c r="AW48" s="9019">
        <f>IF(HLOOKUP("Mins",A1:CV300,48,FALSE)=0,0,HLOOKUP("Gs",A1:CV300,48,FALSE)/HLOOKUP("Mins",A1:CV300,48,FALSE)* 90)</f>
        <v>0</v>
      </c>
      <c r="AX48" s="9020">
        <f>IF(HLOOKUP("Mins",A1:CV300,48,FALSE)=0,0,HLOOKUP("Bonus",A1:CV300,48,FALSE)/HLOOKUP("Mins",A1:CV300,48,FALSE)* 90)</f>
        <v>0</v>
      </c>
      <c r="AY48" s="9021">
        <f>IF(HLOOKUP("Mins",A1:CV300,48,FALSE)=0,0,HLOOKUP("BPS",A1:CV300,48,FALSE)/HLOOKUP("Mins",A1:CV300,48,FALSE)* 90)</f>
        <v>18.52941176470588</v>
      </c>
      <c r="AZ48" s="9022">
        <f>IF(HLOOKUP("Mins",A1:CV300,48,FALSE)=0,0,HLOOKUP("Base BPS",A1:CV300,48,FALSE)/HLOOKUP("Mins",A1:CV300,48,FALSE)* 90)</f>
        <v>13.764705882352942</v>
      </c>
      <c r="BA48" s="9023">
        <f>IF(HLOOKUP("Mins",A1:CV300,48,FALSE)=0,0,HLOOKUP("PenTchs",A1:CV300,48,FALSE)/HLOOKUP("Mins",A1:CV300,48,FALSE)* 90)</f>
        <v>1.588235294117647</v>
      </c>
      <c r="BB48" s="9024">
        <f>IF(HLOOKUP("Mins",A1:CV300,48,FALSE)=0,0,HLOOKUP("Shots",A1:CV300,48,FALSE)/HLOOKUP("Mins",A1:CV300,48,FALSE)* 90)</f>
        <v>1.0588235294117647</v>
      </c>
      <c r="BC48" s="9025">
        <f>IF(HLOOKUP("Mins",A1:CV300,48,FALSE)=0,0,HLOOKUP("SIB",A1:CV300,48,FALSE)/HLOOKUP("Mins",A1:CV300,48,FALSE)* 90)</f>
        <v>1.0588235294117647</v>
      </c>
      <c r="BD48" s="9026">
        <f>IF(HLOOKUP("Mins",A1:CV300,48,FALSE)=0,0,HLOOKUP("S6YD",A1:CV300,48,FALSE)/HLOOKUP("Mins",A1:CV300,48,FALSE)* 90)</f>
        <v>0.52941176470588236</v>
      </c>
      <c r="BE48" s="9027">
        <f>IF(HLOOKUP("Mins",A1:CV300,48,FALSE)=0,0,HLOOKUP("Headers",A1:CV300,48,FALSE)/HLOOKUP("Mins",A1:CV300,48,FALSE)* 90)</f>
        <v>0.52941176470588236</v>
      </c>
      <c r="BF48" s="9028">
        <f>IF(HLOOKUP("Mins",A1:CV300,48,FALSE)=0,0,HLOOKUP("SOT",A1:CV300,48,FALSE)/HLOOKUP("Mins",A1:CV300,48,FALSE)* 90)</f>
        <v>0</v>
      </c>
      <c r="BG48" s="9029">
        <f>IF(HLOOKUP("Mins",A1:CV300,48,FALSE)=0,0,HLOOKUP("As",A1:CV300,48,FALSE)/HLOOKUP("Mins",A1:CV300,48,FALSE)* 90)</f>
        <v>0</v>
      </c>
      <c r="BH48" s="9030">
        <f>IF(HLOOKUP("Mins",A1:CV300,48,FALSE)=0,0,HLOOKUP("FPL As",A1:CV300,48,FALSE)/HLOOKUP("Mins",A1:CV300,48,FALSE)* 90)</f>
        <v>0.52941176470588236</v>
      </c>
      <c r="BI48" s="9031">
        <f>IF(HLOOKUP("Mins",A1:CV300,48,FALSE)=0,0,HLOOKUP("BC Created",A1:CV300,48,FALSE)/HLOOKUP("Mins",A1:CV300,48,FALSE)* 90)</f>
        <v>0</v>
      </c>
      <c r="BJ48" s="9032">
        <f>IF(HLOOKUP("Mins",A1:CV300,48,FALSE)=0,0,HLOOKUP("KP",A1:CV300,48,FALSE)/HLOOKUP("Mins",A1:CV300,48,FALSE)* 90)</f>
        <v>0</v>
      </c>
      <c r="BK48" s="9033">
        <f>IF(HLOOKUP("Mins",A1:CV300,48,FALSE)=0,0,HLOOKUP("BC",A1:CV300,48,FALSE)/HLOOKUP("Mins",A1:CV300,48,FALSE)* 90)</f>
        <v>0</v>
      </c>
      <c r="BL48" s="9034">
        <f>IF(HLOOKUP("Mins",A1:CV300,48,FALSE)=0,0,HLOOKUP("BC Miss",A1:CV300,48,FALSE)/HLOOKUP("Mins",A1:CV300,48,FALSE)* 90)</f>
        <v>0</v>
      </c>
      <c r="BM48" s="9035">
        <f>IF(HLOOKUP("Mins",A1:CV300,48,FALSE)=0,0,HLOOKUP("Gs - BC",A1:CV300,48,FALSE)/HLOOKUP("Mins",A1:CV300,48,FALSE)* 90)</f>
        <v>0</v>
      </c>
      <c r="BN48" s="9036">
        <f>IF(HLOOKUP("Mins",A1:CV300,48,FALSE)=0,0,HLOOKUP("GIB",A1:CV300,48,FALSE)/HLOOKUP("Mins",A1:CV300,48,FALSE)* 90)</f>
        <v>0</v>
      </c>
      <c r="BO48" s="9037">
        <f>IF(HLOOKUP("Mins",A1:CV300,48,FALSE)=0,0,HLOOKUP("Gs - Open",A1:CV300,48,FALSE)/HLOOKUP("Mins",A1:CV300,48,FALSE)* 90)</f>
        <v>0</v>
      </c>
      <c r="BP48" s="9038">
        <f>IF(HLOOKUP("Mins",A1:CV300,48,FALSE)=0,0,HLOOKUP("ICT Index",A1:CV300,48,FALSE)/HLOOKUP("Mins",A1:CV300,48,FALSE)* 90)</f>
        <v>4.7117647058823531</v>
      </c>
      <c r="BQ48" s="9039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  <v>9.8470588235294115E-2</v>
      </c>
      <c r="BR48" s="9040">
        <f>0.0825*HLOOKUP("KP/90",A1:CV300,48,FALSE)</f>
        <v>0</v>
      </c>
      <c r="BS48" s="9041">
        <f>6*HLOOKUP("xG/90",A1:CV300,48,FALSE)+3*HLOOKUP("xA/90",A1:CV300,48,FALSE)</f>
        <v>0.59082352941176475</v>
      </c>
      <c r="BT48" s="9042">
        <f>HLOOKUP("xPts/90",A1:CV300,48,FALSE)-(6*0.75*(HLOOKUP("PK Gs",A1:CV300,48,FALSE)+HLOOKUP("PK Miss",A1:CV300,48,FALSE))*90/HLOOKUP("Mins",A1:CV300,48,FALSE))</f>
        <v>0.59082352941176475</v>
      </c>
      <c r="BU48" s="9043">
        <f>IF(HLOOKUP("Mins",A1:CV300,48,FALSE)=0,0,HLOOKUP("fsXG",A1:CV300,48,FALSE)/HLOOKUP("Mins",A1:CV300,48,FALSE)* 90)</f>
        <v>0.21176470588235297</v>
      </c>
      <c r="BV48" s="9044">
        <f>IF(HLOOKUP("Mins",A1:CV300,48,FALSE)=0,0,HLOOKUP("fsXA",A1:CV300,48,FALSE)/HLOOKUP("Mins",A1:CV300,48,FALSE)* 90)</f>
        <v>5.2941176470588233E-3</v>
      </c>
      <c r="BW48" s="9045">
        <f>6*HLOOKUP("fsXG/90",A1:CV300,48,FALSE)+3*HLOOKUP("fsXA/90",A1:CV300,48,FALSE)</f>
        <v>1.2864705882352943</v>
      </c>
      <c r="BX48" s="9046">
        <v>8.8346011936664581E-2</v>
      </c>
      <c r="BY48" s="9047">
        <v>0</v>
      </c>
      <c r="BZ48" s="9048">
        <f>6*HLOOKUP("uXG/90",A1:CV300,48,FALSE)+3*HLOOKUP("uXA/90",A1:CV300,48,FALSE)</f>
        <v>0.53007607161998749</v>
      </c>
    </row>
    <row r="49" spans="1:78" hidden="1" x14ac:dyDescent="0.3">
      <c r="A49" s="9049" t="s">
        <v>212</v>
      </c>
      <c r="B49" s="9050" t="s">
        <v>118</v>
      </c>
      <c r="C49" s="9051">
        <v>5.4000000953674316</v>
      </c>
      <c r="D49" s="9052">
        <v>1121</v>
      </c>
      <c r="E49" s="9053">
        <v>14</v>
      </c>
      <c r="F49" s="9054">
        <v>57</v>
      </c>
      <c r="G49" s="9055">
        <v>0</v>
      </c>
      <c r="H49" s="9056">
        <v>9</v>
      </c>
      <c r="I49" s="9057">
        <v>270</v>
      </c>
      <c r="J49" s="9058">
        <f>HLOOKUP("BPS",A1:CV300,49,FALSE)-((-6*HLOOKUP("OG",A1:CV300,49,FALSE))+(-6*HLOOKUP("PK Miss",A1:CV300,49,FALSE))+(9*HLOOKUP("FPL As",A1:CV300,49,FALSE))+(12*HLOOKUP("CS",A1:CV300,49,FALSE))+(12*HLOOKUP("Gs",A1:CV300,49,FALSE)))</f>
        <v>186</v>
      </c>
      <c r="K49" s="9059">
        <v>0</v>
      </c>
      <c r="L49" s="9060">
        <v>4</v>
      </c>
      <c r="M49" s="9061">
        <v>14</v>
      </c>
      <c r="N49" s="9062">
        <v>7</v>
      </c>
      <c r="O49" s="9063">
        <v>2</v>
      </c>
      <c r="P49" s="9064">
        <f>IF(HLOOKUP("Shots",A1:CV300,49,FALSE)=0,0,HLOOKUP("SIB",A1:CV300,49,FALSE)/HLOOKUP("Shots",A1:CV300,49,FALSE))</f>
        <v>0.2857142857142857</v>
      </c>
      <c r="Q49" s="9065">
        <v>0</v>
      </c>
      <c r="R49" s="9066">
        <f>IF(HLOOKUP("Shots",A1:CV300,49,FALSE)=0,0,HLOOKUP("S6YD",A1:CV300,49,FALSE)/HLOOKUP("Shots",A1:CV300,49,FALSE))</f>
        <v>0</v>
      </c>
      <c r="S49" s="9067">
        <v>0</v>
      </c>
      <c r="T49" s="9068">
        <f>IF(HLOOKUP("Shots",A1:CV300,49,FALSE)=0,0,HLOOKUP("Headers",A1:CV300,49,FALSE)/HLOOKUP("Shots",A1:CV300,49,FALSE))</f>
        <v>0</v>
      </c>
      <c r="U49" s="9069">
        <v>1</v>
      </c>
      <c r="V49" s="9070">
        <f>IF(HLOOKUP("Shots",A1:CV300,49,FALSE)=0,0,HLOOKUP("SOT",A1:CV300,49,FALSE)/HLOOKUP("Shots",A1:CV300,49,FALSE))</f>
        <v>0.14285714285714285</v>
      </c>
      <c r="W49" s="9071">
        <f>IF(HLOOKUP("Shots",A1:CV300,49,FALSE)=0,0,HLOOKUP("Gs",A1:CV300,49,FALSE)/HLOOKUP("Shots",A1:CV300,49,FALSE))</f>
        <v>0</v>
      </c>
      <c r="X49" s="9072">
        <v>4</v>
      </c>
      <c r="Y49" s="9073">
        <v>4</v>
      </c>
      <c r="Z49" s="9074">
        <v>13</v>
      </c>
      <c r="AA49" s="9075">
        <f>IF(HLOOKUP("KP",A1:CV300,49,FALSE)=0,0,HLOOKUP("As",A1:CV300,49,FALSE)/HLOOKUP("KP",A1:CV300,49,FALSE))</f>
        <v>0.30769230769230771</v>
      </c>
      <c r="AB49" s="9076">
        <v>60.5</v>
      </c>
      <c r="AC49" s="9077">
        <v>24</v>
      </c>
      <c r="AD49" s="9078">
        <v>4</v>
      </c>
      <c r="AE49" s="9079">
        <v>0</v>
      </c>
      <c r="AF49" s="9080">
        <v>0</v>
      </c>
      <c r="AG49" s="9081">
        <f>IF(HLOOKUP("BC",A1:CV300,49,FALSE)=0,0,HLOOKUP("Gs - BC",A1:CV300,49,FALSE)/HLOOKUP("BC",A1:CV300,49,FALSE))</f>
        <v>0</v>
      </c>
      <c r="AH49" s="9082">
        <f>HLOOKUP("BC",A1:CV300,49,FALSE) - HLOOKUP("BC Miss",A1:CV300,49,FALSE)</f>
        <v>0</v>
      </c>
      <c r="AI49" s="9083">
        <f>IF(HLOOKUP("Gs",A1:CV300,49,FALSE)=0,0,HLOOKUP("Gs - BC",A1:CV300,49,FALSE)/HLOOKUP("Gs",A1:CV300,49,FALSE))</f>
        <v>0</v>
      </c>
      <c r="AJ49" s="9084">
        <v>0</v>
      </c>
      <c r="AK49" s="9085">
        <v>0</v>
      </c>
      <c r="AL49" s="9086">
        <f>HLOOKUP("BC",A1:CV300,49,FALSE) - (HLOOKUP("PK Gs",A1:CV300,49,FALSE) + HLOOKUP("PK Miss",A1:CV300,49,FALSE))</f>
        <v>0</v>
      </c>
      <c r="AM49" s="9087">
        <f>HLOOKUP("BC Miss",A1:CV300,49,FALSE) - HLOOKUP("PK Miss",A1:CV300,49,FALSE)</f>
        <v>0</v>
      </c>
      <c r="AN49" s="9088">
        <f>IF(HLOOKUP("BC - Open",A1:CV300,49,FALSE)=0,0,HLOOKUP("BC - Open Miss",A1:CV300,49,FALSE)/HLOOKUP("BC - Open",A1:CV300,49,FALSE))</f>
        <v>0</v>
      </c>
      <c r="AO49" s="9089">
        <v>0</v>
      </c>
      <c r="AP49" s="9090">
        <f>IF(HLOOKUP("Gs",A1:CV300,49,FALSE)=0,0,HLOOKUP("GIB",A1:CV300,49,FALSE)/HLOOKUP("Gs",A1:CV300,49,FALSE))</f>
        <v>0</v>
      </c>
      <c r="AQ49" s="9091">
        <v>0</v>
      </c>
      <c r="AR49" s="9092">
        <f>IF(HLOOKUP("Gs",A1:CV300,49,FALSE)=0,0,HLOOKUP("Gs - Open",A1:CV300,49,FALSE)/HLOOKUP("Gs",A1:CV300,49,FALSE))</f>
        <v>0</v>
      </c>
      <c r="AS49" s="9093">
        <v>0.22</v>
      </c>
      <c r="AT49" s="9094">
        <v>1.22</v>
      </c>
      <c r="AU49" s="9095">
        <f>IF(HLOOKUP("Mins",A1:CV300,49,FALSE)=0,0,HLOOKUP("Pts",A1:CV300,49,FALSE)/HLOOKUP("Mins",A1:CV300,49,FALSE)* 90)</f>
        <v>4.5762711864406782</v>
      </c>
      <c r="AV49" s="9096">
        <f>IF(HLOOKUP("Apps",A1:CV300,49,FALSE)=0,0,HLOOKUP("Pts",A1:CV300,49,FALSE)/HLOOKUP("Apps",A1:CV300,49,FALSE)* 1)</f>
        <v>4.0714285714285712</v>
      </c>
      <c r="AW49" s="9097">
        <f>IF(HLOOKUP("Mins",A1:CV300,49,FALSE)=0,0,HLOOKUP("Gs",A1:CV300,49,FALSE)/HLOOKUP("Mins",A1:CV300,49,FALSE)* 90)</f>
        <v>0</v>
      </c>
      <c r="AX49" s="9098">
        <f>IF(HLOOKUP("Mins",A1:CV300,49,FALSE)=0,0,HLOOKUP("Bonus",A1:CV300,49,FALSE)/HLOOKUP("Mins",A1:CV300,49,FALSE)* 90)</f>
        <v>0.72256913470115969</v>
      </c>
      <c r="AY49" s="9099">
        <f>IF(HLOOKUP("Mins",A1:CV300,49,FALSE)=0,0,HLOOKUP("BPS",A1:CV300,49,FALSE)/HLOOKUP("Mins",A1:CV300,49,FALSE)* 90)</f>
        <v>21.677074041034789</v>
      </c>
      <c r="AZ49" s="9100">
        <f>IF(HLOOKUP("Mins",A1:CV300,49,FALSE)=0,0,HLOOKUP("Base BPS",A1:CV300,49,FALSE)/HLOOKUP("Mins",A1:CV300,49,FALSE)* 90)</f>
        <v>14.933095450490633</v>
      </c>
      <c r="BA49" s="9101">
        <f>IF(HLOOKUP("Mins",A1:CV300,49,FALSE)=0,0,HLOOKUP("PenTchs",A1:CV300,49,FALSE)/HLOOKUP("Mins",A1:CV300,49,FALSE)* 90)</f>
        <v>1.1239964317573594</v>
      </c>
      <c r="BB49" s="9102">
        <f>IF(HLOOKUP("Mins",A1:CV300,49,FALSE)=0,0,HLOOKUP("Shots",A1:CV300,49,FALSE)/HLOOKUP("Mins",A1:CV300,49,FALSE)* 90)</f>
        <v>0.56199821587867971</v>
      </c>
      <c r="BC49" s="9103">
        <f>IF(HLOOKUP("Mins",A1:CV300,49,FALSE)=0,0,HLOOKUP("SIB",A1:CV300,49,FALSE)/HLOOKUP("Mins",A1:CV300,49,FALSE)* 90)</f>
        <v>0.16057091882247992</v>
      </c>
      <c r="BD49" s="9104">
        <f>IF(HLOOKUP("Mins",A1:CV300,49,FALSE)=0,0,HLOOKUP("S6YD",A1:CV300,49,FALSE)/HLOOKUP("Mins",A1:CV300,49,FALSE)* 90)</f>
        <v>0</v>
      </c>
      <c r="BE49" s="9105">
        <f>IF(HLOOKUP("Mins",A1:CV300,49,FALSE)=0,0,HLOOKUP("Headers",A1:CV300,49,FALSE)/HLOOKUP("Mins",A1:CV300,49,FALSE)* 90)</f>
        <v>0</v>
      </c>
      <c r="BF49" s="9106">
        <f>IF(HLOOKUP("Mins",A1:CV300,49,FALSE)=0,0,HLOOKUP("SOT",A1:CV300,49,FALSE)/HLOOKUP("Mins",A1:CV300,49,FALSE)* 90)</f>
        <v>8.0285459411239962E-2</v>
      </c>
      <c r="BG49" s="9107">
        <f>IF(HLOOKUP("Mins",A1:CV300,49,FALSE)=0,0,HLOOKUP("As",A1:CV300,49,FALSE)/HLOOKUP("Mins",A1:CV300,49,FALSE)* 90)</f>
        <v>0.32114183764495985</v>
      </c>
      <c r="BH49" s="9108">
        <f>IF(HLOOKUP("Mins",A1:CV300,49,FALSE)=0,0,HLOOKUP("FPL As",A1:CV300,49,FALSE)/HLOOKUP("Mins",A1:CV300,49,FALSE)* 90)</f>
        <v>0.32114183764495985</v>
      </c>
      <c r="BI49" s="9109">
        <f>IF(HLOOKUP("Mins",A1:CV300,49,FALSE)=0,0,HLOOKUP("BC Created",A1:CV300,49,FALSE)/HLOOKUP("Mins",A1:CV300,49,FALSE)* 90)</f>
        <v>0.32114183764495985</v>
      </c>
      <c r="BJ49" s="9110">
        <f>IF(HLOOKUP("Mins",A1:CV300,49,FALSE)=0,0,HLOOKUP("KP",A1:CV300,49,FALSE)/HLOOKUP("Mins",A1:CV300,49,FALSE)* 90)</f>
        <v>1.0437109723461195</v>
      </c>
      <c r="BK49" s="9111">
        <f>IF(HLOOKUP("Mins",A1:CV300,49,FALSE)=0,0,HLOOKUP("BC",A1:CV300,49,FALSE)/HLOOKUP("Mins",A1:CV300,49,FALSE)* 90)</f>
        <v>0</v>
      </c>
      <c r="BL49" s="9112">
        <f>IF(HLOOKUP("Mins",A1:CV300,49,FALSE)=0,0,HLOOKUP("BC Miss",A1:CV300,49,FALSE)/HLOOKUP("Mins",A1:CV300,49,FALSE)* 90)</f>
        <v>0</v>
      </c>
      <c r="BM49" s="9113">
        <f>IF(HLOOKUP("Mins",A1:CV300,49,FALSE)=0,0,HLOOKUP("Gs - BC",A1:CV300,49,FALSE)/HLOOKUP("Mins",A1:CV300,49,FALSE)* 90)</f>
        <v>0</v>
      </c>
      <c r="BN49" s="9114">
        <f>IF(HLOOKUP("Mins",A1:CV300,49,FALSE)=0,0,HLOOKUP("GIB",A1:CV300,49,FALSE)/HLOOKUP("Mins",A1:CV300,49,FALSE)* 90)</f>
        <v>0</v>
      </c>
      <c r="BO49" s="9115">
        <f>IF(HLOOKUP("Mins",A1:CV300,49,FALSE)=0,0,HLOOKUP("Gs - Open",A1:CV300,49,FALSE)/HLOOKUP("Mins",A1:CV300,49,FALSE)* 90)</f>
        <v>0</v>
      </c>
      <c r="BP49" s="9116">
        <f>IF(HLOOKUP("Mins",A1:CV300,49,FALSE)=0,0,HLOOKUP("ICT Index",A1:CV300,49,FALSE)/HLOOKUP("Mins",A1:CV300,49,FALSE)* 90)</f>
        <v>4.8572702943800179</v>
      </c>
      <c r="BQ49" s="9117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  <v>2.2961641391614634E-2</v>
      </c>
      <c r="BR49" s="9118">
        <f>0.0825*HLOOKUP("KP/90",A1:CV300,49,FALSE)</f>
        <v>8.6106155218554872E-2</v>
      </c>
      <c r="BS49" s="9119">
        <f>6*HLOOKUP("xG/90",A1:CV300,49,FALSE)+3*HLOOKUP("xA/90",A1:CV300,49,FALSE)</f>
        <v>0.39608831400535244</v>
      </c>
      <c r="BT49" s="9120">
        <f>HLOOKUP("xPts/90",A1:CV300,49,FALSE)-(6*0.75*(HLOOKUP("PK Gs",A1:CV300,49,FALSE)+HLOOKUP("PK Miss",A1:CV300,49,FALSE))*90/HLOOKUP("Mins",A1:CV300,49,FALSE))</f>
        <v>0.39608831400535244</v>
      </c>
      <c r="BU49" s="9121">
        <f>IF(HLOOKUP("Mins",A1:CV300,49,FALSE)=0,0,HLOOKUP("fsXG",A1:CV300,49,FALSE)/HLOOKUP("Mins",A1:CV300,49,FALSE)* 90)</f>
        <v>1.7662801070472793E-2</v>
      </c>
      <c r="BV49" s="9122">
        <f>IF(HLOOKUP("Mins",A1:CV300,49,FALSE)=0,0,HLOOKUP("fsXA",A1:CV300,49,FALSE)/HLOOKUP("Mins",A1:CV300,49,FALSE)* 90)</f>
        <v>9.7948260481712748E-2</v>
      </c>
      <c r="BW49" s="9123">
        <f>6*HLOOKUP("fsXG/90",A1:CV300,49,FALSE)+3*HLOOKUP("fsXA/90",A1:CV300,49,FALSE)</f>
        <v>0.399821587867975</v>
      </c>
      <c r="BX49" s="9124">
        <v>1.6760127618908882E-2</v>
      </c>
      <c r="BY49" s="9125">
        <v>0.1739133894443512</v>
      </c>
      <c r="BZ49" s="9126">
        <f>6*HLOOKUP("uXG/90",A1:CV300,49,FALSE)+3*HLOOKUP("uXA/90",A1:CV300,49,FALSE)</f>
        <v>0.62230093404650688</v>
      </c>
    </row>
    <row r="50" spans="1:78" x14ac:dyDescent="0.3">
      <c r="A50" s="9127" t="s">
        <v>213</v>
      </c>
      <c r="B50" s="9128" t="s">
        <v>109</v>
      </c>
      <c r="C50" s="9129">
        <v>4.4000000953674316</v>
      </c>
      <c r="D50" s="9130">
        <v>1476</v>
      </c>
      <c r="E50" s="9131">
        <v>17</v>
      </c>
      <c r="F50" s="9132">
        <v>51</v>
      </c>
      <c r="G50" s="9133">
        <v>3</v>
      </c>
      <c r="H50" s="9134">
        <v>5</v>
      </c>
      <c r="I50" s="9135">
        <v>294</v>
      </c>
      <c r="J50" s="9136">
        <f>HLOOKUP("BPS",A1:CV300,50,FALSE)-((-6*HLOOKUP("OG",A1:CV300,50,FALSE))+(-6*HLOOKUP("PK Miss",A1:CV300,50,FALSE))+(9*HLOOKUP("FPL As",A1:CV300,50,FALSE))+(12*HLOOKUP("CS",A1:CV300,50,FALSE))+(12*HLOOKUP("Gs",A1:CV300,50,FALSE)))</f>
        <v>240</v>
      </c>
      <c r="K50" s="9137">
        <v>1</v>
      </c>
      <c r="L50" s="9138">
        <v>2</v>
      </c>
      <c r="M50" s="9139">
        <v>19</v>
      </c>
      <c r="N50" s="9140">
        <v>13</v>
      </c>
      <c r="O50" s="9141">
        <v>10</v>
      </c>
      <c r="P50" s="9142">
        <f>IF(HLOOKUP("Shots",A1:CV300,50,FALSE)=0,0,HLOOKUP("SIB",A1:CV300,50,FALSE)/HLOOKUP("Shots",A1:CV300,50,FALSE))</f>
        <v>0.76923076923076927</v>
      </c>
      <c r="Q50" s="9143">
        <v>1</v>
      </c>
      <c r="R50" s="9144">
        <f>IF(HLOOKUP("Shots",A1:CV300,50,FALSE)=0,0,HLOOKUP("S6YD",A1:CV300,50,FALSE)/HLOOKUP("Shots",A1:CV300,50,FALSE))</f>
        <v>7.6923076923076927E-2</v>
      </c>
      <c r="S50" s="9145">
        <v>9</v>
      </c>
      <c r="T50" s="9146">
        <f>IF(HLOOKUP("Shots",A1:CV300,50,FALSE)=0,0,HLOOKUP("Headers",A1:CV300,50,FALSE)/HLOOKUP("Shots",A1:CV300,50,FALSE))</f>
        <v>0.69230769230769229</v>
      </c>
      <c r="U50" s="9147">
        <v>6</v>
      </c>
      <c r="V50" s="9148">
        <f>IF(HLOOKUP("Shots",A1:CV300,50,FALSE)=0,0,HLOOKUP("SOT",A1:CV300,50,FALSE)/HLOOKUP("Shots",A1:CV300,50,FALSE))</f>
        <v>0.46153846153846156</v>
      </c>
      <c r="W50" s="9149">
        <f>IF(HLOOKUP("Shots",A1:CV300,50,FALSE)=0,0,HLOOKUP("Gs",A1:CV300,50,FALSE)/HLOOKUP("Shots",A1:CV300,50,FALSE))</f>
        <v>0.23076923076923078</v>
      </c>
      <c r="X50" s="9150">
        <v>0</v>
      </c>
      <c r="Y50" s="9151">
        <v>0</v>
      </c>
      <c r="Z50" s="9152">
        <v>7</v>
      </c>
      <c r="AA50" s="9153">
        <f>IF(HLOOKUP("KP",A1:CV300,50,FALSE)=0,0,HLOOKUP("As",A1:CV300,50,FALSE)/HLOOKUP("KP",A1:CV300,50,FALSE))</f>
        <v>0</v>
      </c>
      <c r="AB50" s="9154">
        <v>68.900000000000006</v>
      </c>
      <c r="AC50" s="9155">
        <v>19</v>
      </c>
      <c r="AD50" s="9156">
        <v>1</v>
      </c>
      <c r="AE50" s="9157">
        <v>1</v>
      </c>
      <c r="AF50" s="9158">
        <v>0</v>
      </c>
      <c r="AG50" s="9159">
        <f>IF(HLOOKUP("BC",A1:CV300,50,FALSE)=0,0,HLOOKUP("Gs - BC",A1:CV300,50,FALSE)/HLOOKUP("BC",A1:CV300,50,FALSE))</f>
        <v>1</v>
      </c>
      <c r="AH50" s="9160">
        <f>HLOOKUP("BC",A1:CV300,50,FALSE) - HLOOKUP("BC Miss",A1:CV300,50,FALSE)</f>
        <v>1</v>
      </c>
      <c r="AI50" s="9161">
        <f>IF(HLOOKUP("Gs",A1:CV300,50,FALSE)=0,0,HLOOKUP("Gs - BC",A1:CV300,50,FALSE)/HLOOKUP("Gs",A1:CV300,50,FALSE))</f>
        <v>0.33333333333333331</v>
      </c>
      <c r="AJ50" s="9162">
        <v>0</v>
      </c>
      <c r="AK50" s="9163">
        <v>0</v>
      </c>
      <c r="AL50" s="9164">
        <f>HLOOKUP("BC",A1:CV300,50,FALSE) - (HLOOKUP("PK Gs",A1:CV300,50,FALSE) + HLOOKUP("PK Miss",A1:CV300,50,FALSE))</f>
        <v>1</v>
      </c>
      <c r="AM50" s="9165">
        <f>HLOOKUP("BC Miss",A1:CV300,50,FALSE) - HLOOKUP("PK Miss",A1:CV300,50,FALSE)</f>
        <v>0</v>
      </c>
      <c r="AN50" s="9166">
        <f>IF(HLOOKUP("BC - Open",A1:CV300,50,FALSE)=0,0,HLOOKUP("BC - Open Miss",A1:CV300,50,FALSE)/HLOOKUP("BC - Open",A1:CV300,50,FALSE))</f>
        <v>0</v>
      </c>
      <c r="AO50" s="9167">
        <v>3</v>
      </c>
      <c r="AP50" s="9168">
        <f>IF(HLOOKUP("Gs",A1:CV300,50,FALSE)=0,0,HLOOKUP("GIB",A1:CV300,50,FALSE)/HLOOKUP("Gs",A1:CV300,50,FALSE))</f>
        <v>1</v>
      </c>
      <c r="AQ50" s="9169">
        <v>0</v>
      </c>
      <c r="AR50" s="9170">
        <f>IF(HLOOKUP("Gs",A1:CV300,50,FALSE)=0,0,HLOOKUP("Gs - Open",A1:CV300,50,FALSE)/HLOOKUP("Gs",A1:CV300,50,FALSE))</f>
        <v>0</v>
      </c>
      <c r="AS50" s="9171">
        <v>0.97</v>
      </c>
      <c r="AT50" s="9172">
        <v>0.55000000000000004</v>
      </c>
      <c r="AU50" s="9173">
        <f>IF(HLOOKUP("Mins",A1:CV300,50,FALSE)=0,0,HLOOKUP("Pts",A1:CV300,50,FALSE)/HLOOKUP("Mins",A1:CV300,50,FALSE)* 90)</f>
        <v>3.1097560975609757</v>
      </c>
      <c r="AV50" s="9174">
        <f>IF(HLOOKUP("Apps",A1:CV300,50,FALSE)=0,0,HLOOKUP("Pts",A1:CV300,50,FALSE)/HLOOKUP("Apps",A1:CV300,50,FALSE)* 1)</f>
        <v>3</v>
      </c>
      <c r="AW50" s="9175">
        <f>IF(HLOOKUP("Mins",A1:CV300,50,FALSE)=0,0,HLOOKUP("Gs",A1:CV300,50,FALSE)/HLOOKUP("Mins",A1:CV300,50,FALSE)* 90)</f>
        <v>0.18292682926829271</v>
      </c>
      <c r="AX50" s="9176">
        <f>IF(HLOOKUP("Mins",A1:CV300,50,FALSE)=0,0,HLOOKUP("Bonus",A1:CV300,50,FALSE)/HLOOKUP("Mins",A1:CV300,50,FALSE)* 90)</f>
        <v>0.3048780487804878</v>
      </c>
      <c r="AY50" s="9177">
        <f>IF(HLOOKUP("Mins",A1:CV300,50,FALSE)=0,0,HLOOKUP("BPS",A1:CV300,50,FALSE)/HLOOKUP("Mins",A1:CV300,50,FALSE)* 90)</f>
        <v>17.926829268292682</v>
      </c>
      <c r="AZ50" s="9178">
        <f>IF(HLOOKUP("Mins",A1:CV300,50,FALSE)=0,0,HLOOKUP("Base BPS",A1:CV300,50,FALSE)/HLOOKUP("Mins",A1:CV300,50,FALSE)* 90)</f>
        <v>14.634146341463413</v>
      </c>
      <c r="BA50" s="9179">
        <f>IF(HLOOKUP("Mins",A1:CV300,50,FALSE)=0,0,HLOOKUP("PenTchs",A1:CV300,50,FALSE)/HLOOKUP("Mins",A1:CV300,50,FALSE)* 90)</f>
        <v>1.1585365853658538</v>
      </c>
      <c r="BB50" s="9180">
        <f>IF(HLOOKUP("Mins",A1:CV300,50,FALSE)=0,0,HLOOKUP("Shots",A1:CV300,50,FALSE)/HLOOKUP("Mins",A1:CV300,50,FALSE)* 90)</f>
        <v>0.79268292682926822</v>
      </c>
      <c r="BC50" s="9181">
        <f>IF(HLOOKUP("Mins",A1:CV300,50,FALSE)=0,0,HLOOKUP("SIB",A1:CV300,50,FALSE)/HLOOKUP("Mins",A1:CV300,50,FALSE)* 90)</f>
        <v>0.6097560975609756</v>
      </c>
      <c r="BD50" s="9182">
        <f>IF(HLOOKUP("Mins",A1:CV300,50,FALSE)=0,0,HLOOKUP("S6YD",A1:CV300,50,FALSE)/HLOOKUP("Mins",A1:CV300,50,FALSE)* 90)</f>
        <v>6.097560975609756E-2</v>
      </c>
      <c r="BE50" s="9183">
        <f>IF(HLOOKUP("Mins",A1:CV300,50,FALSE)=0,0,HLOOKUP("Headers",A1:CV300,50,FALSE)/HLOOKUP("Mins",A1:CV300,50,FALSE)* 90)</f>
        <v>0.54878048780487809</v>
      </c>
      <c r="BF50" s="9184">
        <f>IF(HLOOKUP("Mins",A1:CV300,50,FALSE)=0,0,HLOOKUP("SOT",A1:CV300,50,FALSE)/HLOOKUP("Mins",A1:CV300,50,FALSE)* 90)</f>
        <v>0.36585365853658541</v>
      </c>
      <c r="BG50" s="9185">
        <f>IF(HLOOKUP("Mins",A1:CV300,50,FALSE)=0,0,HLOOKUP("As",A1:CV300,50,FALSE)/HLOOKUP("Mins",A1:CV300,50,FALSE)* 90)</f>
        <v>0</v>
      </c>
      <c r="BH50" s="9186">
        <f>IF(HLOOKUP("Mins",A1:CV300,50,FALSE)=0,0,HLOOKUP("FPL As",A1:CV300,50,FALSE)/HLOOKUP("Mins",A1:CV300,50,FALSE)* 90)</f>
        <v>0</v>
      </c>
      <c r="BI50" s="9187">
        <f>IF(HLOOKUP("Mins",A1:CV300,50,FALSE)=0,0,HLOOKUP("BC Created",A1:CV300,50,FALSE)/HLOOKUP("Mins",A1:CV300,50,FALSE)* 90)</f>
        <v>6.097560975609756E-2</v>
      </c>
      <c r="BJ50" s="9188">
        <f>IF(HLOOKUP("Mins",A1:CV300,50,FALSE)=0,0,HLOOKUP("KP",A1:CV300,50,FALSE)/HLOOKUP("Mins",A1:CV300,50,FALSE)* 90)</f>
        <v>0.42682926829268292</v>
      </c>
      <c r="BK50" s="9189">
        <f>IF(HLOOKUP("Mins",A1:CV300,50,FALSE)=0,0,HLOOKUP("BC",A1:CV300,50,FALSE)/HLOOKUP("Mins",A1:CV300,50,FALSE)* 90)</f>
        <v>6.097560975609756E-2</v>
      </c>
      <c r="BL50" s="9190">
        <f>IF(HLOOKUP("Mins",A1:CV300,50,FALSE)=0,0,HLOOKUP("BC Miss",A1:CV300,50,FALSE)/HLOOKUP("Mins",A1:CV300,50,FALSE)* 90)</f>
        <v>0</v>
      </c>
      <c r="BM50" s="9191">
        <f>IF(HLOOKUP("Mins",A1:CV300,50,FALSE)=0,0,HLOOKUP("Gs - BC",A1:CV300,50,FALSE)/HLOOKUP("Mins",A1:CV300,50,FALSE)* 90)</f>
        <v>6.097560975609756E-2</v>
      </c>
      <c r="BN50" s="9192">
        <f>IF(HLOOKUP("Mins",A1:CV300,50,FALSE)=0,0,HLOOKUP("GIB",A1:CV300,50,FALSE)/HLOOKUP("Mins",A1:CV300,50,FALSE)* 90)</f>
        <v>0.18292682926829271</v>
      </c>
      <c r="BO50" s="9193">
        <f>IF(HLOOKUP("Mins",A1:CV300,50,FALSE)=0,0,HLOOKUP("Gs - Open",A1:CV300,50,FALSE)/HLOOKUP("Mins",A1:CV300,50,FALSE)* 90)</f>
        <v>0</v>
      </c>
      <c r="BP50" s="9194">
        <f>IF(HLOOKUP("Mins",A1:CV300,50,FALSE)=0,0,HLOOKUP("ICT Index",A1:CV300,50,FALSE)/HLOOKUP("Mins",A1:CV300,50,FALSE)* 90)</f>
        <v>4.2012195121951219</v>
      </c>
      <c r="BQ50" s="9195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  <v>6.0365853658536583E-2</v>
      </c>
      <c r="BR50" s="9196">
        <f>0.0825*HLOOKUP("KP/90",A1:CV300,50,FALSE)</f>
        <v>3.5213414634146345E-2</v>
      </c>
      <c r="BS50" s="9197">
        <f>6*HLOOKUP("xG/90",A1:CV300,50,FALSE)+3*HLOOKUP("xA/90",A1:CV300,50,FALSE)</f>
        <v>0.46783536585365854</v>
      </c>
      <c r="BT50" s="9198">
        <f>HLOOKUP("xPts/90",A1:CV300,50,FALSE)-(6*0.75*(HLOOKUP("PK Gs",A1:CV300,50,FALSE)+HLOOKUP("PK Miss",A1:CV300,50,FALSE))*90/HLOOKUP("Mins",A1:CV300,50,FALSE))</f>
        <v>0.46783536585365854</v>
      </c>
      <c r="BU50" s="9199">
        <f>IF(HLOOKUP("Mins",A1:CV300,50,FALSE)=0,0,HLOOKUP("fsXG",A1:CV300,50,FALSE)/HLOOKUP("Mins",A1:CV300,50,FALSE)* 90)</f>
        <v>5.9146341463414631E-2</v>
      </c>
      <c r="BV50" s="9200">
        <f>IF(HLOOKUP("Mins",A1:CV300,50,FALSE)=0,0,HLOOKUP("fsXA",A1:CV300,50,FALSE)/HLOOKUP("Mins",A1:CV300,50,FALSE)* 90)</f>
        <v>3.3536585365853661E-2</v>
      </c>
      <c r="BW50" s="9201">
        <f>6*HLOOKUP("fsXG/90",A1:CV300,50,FALSE)+3*HLOOKUP("fsXA/90",A1:CV300,50,FALSE)</f>
        <v>0.45548780487804874</v>
      </c>
      <c r="BX50" s="9202">
        <v>5.8965291827917099E-2</v>
      </c>
      <c r="BY50" s="9203">
        <v>2.2880304604768753E-2</v>
      </c>
      <c r="BZ50" s="9204">
        <f>6*HLOOKUP("uXG/90",A1:CV300,50,FALSE)+3*HLOOKUP("uXA/90",A1:CV300,50,FALSE)</f>
        <v>0.42243266478180885</v>
      </c>
    </row>
    <row r="51" spans="1:78" hidden="1" x14ac:dyDescent="0.3">
      <c r="A51" s="9205" t="s">
        <v>214</v>
      </c>
      <c r="B51" s="9206" t="s">
        <v>96</v>
      </c>
      <c r="C51" s="9207">
        <v>4.1999998092651367</v>
      </c>
      <c r="D51" s="9208">
        <v>1170</v>
      </c>
      <c r="E51" s="9209">
        <v>13</v>
      </c>
      <c r="F51" s="9210">
        <v>29</v>
      </c>
      <c r="G51" s="9211">
        <v>0</v>
      </c>
      <c r="H51" s="9212">
        <v>0</v>
      </c>
      <c r="I51" s="9213">
        <v>191</v>
      </c>
      <c r="J51" s="9214">
        <f>HLOOKUP("BPS",A1:CV300,51,FALSE)-((-6*HLOOKUP("OG",A1:CV300,51,FALSE))+(-6*HLOOKUP("PK Miss",A1:CV300,51,FALSE))+(9*HLOOKUP("FPL As",A1:CV300,51,FALSE))+(12*HLOOKUP("CS",A1:CV300,51,FALSE))+(12*HLOOKUP("Gs",A1:CV300,51,FALSE)))</f>
        <v>146</v>
      </c>
      <c r="K51" s="9215">
        <v>0</v>
      </c>
      <c r="L51" s="9216">
        <v>3</v>
      </c>
      <c r="M51" s="9217">
        <v>7</v>
      </c>
      <c r="N51" s="9218">
        <v>1</v>
      </c>
      <c r="O51" s="9219">
        <v>0</v>
      </c>
      <c r="P51" s="9220">
        <f>IF(HLOOKUP("Shots",A1:CV300,51,FALSE)=0,0,HLOOKUP("SIB",A1:CV300,51,FALSE)/HLOOKUP("Shots",A1:CV300,51,FALSE))</f>
        <v>0</v>
      </c>
      <c r="Q51" s="9221">
        <v>0</v>
      </c>
      <c r="R51" s="9222">
        <f>IF(HLOOKUP("Shots",A1:CV300,51,FALSE)=0,0,HLOOKUP("S6YD",A1:CV300,51,FALSE)/HLOOKUP("Shots",A1:CV300,51,FALSE))</f>
        <v>0</v>
      </c>
      <c r="S51" s="9223">
        <v>0</v>
      </c>
      <c r="T51" s="9224">
        <f>IF(HLOOKUP("Shots",A1:CV300,51,FALSE)=0,0,HLOOKUP("Headers",A1:CV300,51,FALSE)/HLOOKUP("Shots",A1:CV300,51,FALSE))</f>
        <v>0</v>
      </c>
      <c r="U51" s="9225">
        <v>0</v>
      </c>
      <c r="V51" s="9226">
        <f>IF(HLOOKUP("Shots",A1:CV300,51,FALSE)=0,0,HLOOKUP("SOT",A1:CV300,51,FALSE)/HLOOKUP("Shots",A1:CV300,51,FALSE))</f>
        <v>0</v>
      </c>
      <c r="W51" s="9227">
        <f>IF(HLOOKUP("Shots",A1:CV300,51,FALSE)=0,0,HLOOKUP("Gs",A1:CV300,51,FALSE)/HLOOKUP("Shots",A1:CV300,51,FALSE))</f>
        <v>0</v>
      </c>
      <c r="X51" s="9228">
        <v>1</v>
      </c>
      <c r="Y51" s="9229">
        <v>1</v>
      </c>
      <c r="Z51" s="9230">
        <v>11</v>
      </c>
      <c r="AA51" s="9231">
        <f>IF(HLOOKUP("KP",A1:CV300,51,FALSE)=0,0,HLOOKUP("As",A1:CV300,51,FALSE)/HLOOKUP("KP",A1:CV300,51,FALSE))</f>
        <v>9.0909090909090912E-2</v>
      </c>
      <c r="AB51" s="9232">
        <v>43.3</v>
      </c>
      <c r="AC51" s="9233">
        <v>7</v>
      </c>
      <c r="AD51" s="9234">
        <v>2</v>
      </c>
      <c r="AE51" s="9235">
        <v>0</v>
      </c>
      <c r="AF51" s="9236">
        <v>0</v>
      </c>
      <c r="AG51" s="9237">
        <f>IF(HLOOKUP("BC",A1:CV300,51,FALSE)=0,0,HLOOKUP("Gs - BC",A1:CV300,51,FALSE)/HLOOKUP("BC",A1:CV300,51,FALSE))</f>
        <v>0</v>
      </c>
      <c r="AH51" s="9238">
        <f>HLOOKUP("BC",A1:CV300,51,FALSE) - HLOOKUP("BC Miss",A1:CV300,51,FALSE)</f>
        <v>0</v>
      </c>
      <c r="AI51" s="9239">
        <f>IF(HLOOKUP("Gs",A1:CV300,51,FALSE)=0,0,HLOOKUP("Gs - BC",A1:CV300,51,FALSE)/HLOOKUP("Gs",A1:CV300,51,FALSE))</f>
        <v>0</v>
      </c>
      <c r="AJ51" s="9240">
        <v>0</v>
      </c>
      <c r="AK51" s="9241">
        <v>0</v>
      </c>
      <c r="AL51" s="9242">
        <f>HLOOKUP("BC",A1:CV300,51,FALSE) - (HLOOKUP("PK Gs",A1:CV300,51,FALSE) + HLOOKUP("PK Miss",A1:CV300,51,FALSE))</f>
        <v>0</v>
      </c>
      <c r="AM51" s="9243">
        <f>HLOOKUP("BC Miss",A1:CV300,51,FALSE) - HLOOKUP("PK Miss",A1:CV300,51,FALSE)</f>
        <v>0</v>
      </c>
      <c r="AN51" s="9244">
        <f>IF(HLOOKUP("BC - Open",A1:CV300,51,FALSE)=0,0,HLOOKUP("BC - Open Miss",A1:CV300,51,FALSE)/HLOOKUP("BC - Open",A1:CV300,51,FALSE))</f>
        <v>0</v>
      </c>
      <c r="AO51" s="9245">
        <v>0</v>
      </c>
      <c r="AP51" s="9246">
        <f>IF(HLOOKUP("Gs",A1:CV300,51,FALSE)=0,0,HLOOKUP("GIB",A1:CV300,51,FALSE)/HLOOKUP("Gs",A1:CV300,51,FALSE))</f>
        <v>0</v>
      </c>
      <c r="AQ51" s="9247">
        <v>0</v>
      </c>
      <c r="AR51" s="9248">
        <f>IF(HLOOKUP("Gs",A1:CV300,51,FALSE)=0,0,HLOOKUP("Gs - Open",A1:CV300,51,FALSE)/HLOOKUP("Gs",A1:CV300,51,FALSE))</f>
        <v>0</v>
      </c>
      <c r="AS51" s="9249">
        <v>0.03</v>
      </c>
      <c r="AT51" s="9250">
        <v>0.92</v>
      </c>
      <c r="AU51" s="9251">
        <f>IF(HLOOKUP("Mins",A1:CV300,51,FALSE)=0,0,HLOOKUP("Pts",A1:CV300,51,FALSE)/HLOOKUP("Mins",A1:CV300,51,FALSE)* 90)</f>
        <v>2.2307692307692308</v>
      </c>
      <c r="AV51" s="9252">
        <f>IF(HLOOKUP("Apps",A1:CV300,51,FALSE)=0,0,HLOOKUP("Pts",A1:CV300,51,FALSE)/HLOOKUP("Apps",A1:CV300,51,FALSE)* 1)</f>
        <v>2.2307692307692308</v>
      </c>
      <c r="AW51" s="9253">
        <f>IF(HLOOKUP("Mins",A1:CV300,51,FALSE)=0,0,HLOOKUP("Gs",A1:CV300,51,FALSE)/HLOOKUP("Mins",A1:CV300,51,FALSE)* 90)</f>
        <v>0</v>
      </c>
      <c r="AX51" s="9254">
        <f>IF(HLOOKUP("Mins",A1:CV300,51,FALSE)=0,0,HLOOKUP("Bonus",A1:CV300,51,FALSE)/HLOOKUP("Mins",A1:CV300,51,FALSE)* 90)</f>
        <v>0</v>
      </c>
      <c r="AY51" s="9255">
        <f>IF(HLOOKUP("Mins",A1:CV300,51,FALSE)=0,0,HLOOKUP("BPS",A1:CV300,51,FALSE)/HLOOKUP("Mins",A1:CV300,51,FALSE)* 90)</f>
        <v>14.692307692307693</v>
      </c>
      <c r="AZ51" s="9256">
        <f>IF(HLOOKUP("Mins",A1:CV300,51,FALSE)=0,0,HLOOKUP("Base BPS",A1:CV300,51,FALSE)/HLOOKUP("Mins",A1:CV300,51,FALSE)* 90)</f>
        <v>11.23076923076923</v>
      </c>
      <c r="BA51" s="9257">
        <f>IF(HLOOKUP("Mins",A1:CV300,51,FALSE)=0,0,HLOOKUP("PenTchs",A1:CV300,51,FALSE)/HLOOKUP("Mins",A1:CV300,51,FALSE)* 90)</f>
        <v>0.53846153846153855</v>
      </c>
      <c r="BB51" s="9258">
        <f>IF(HLOOKUP("Mins",A1:CV300,51,FALSE)=0,0,HLOOKUP("Shots",A1:CV300,51,FALSE)/HLOOKUP("Mins",A1:CV300,51,FALSE)* 90)</f>
        <v>7.6923076923076927E-2</v>
      </c>
      <c r="BC51" s="9259">
        <f>IF(HLOOKUP("Mins",A1:CV300,51,FALSE)=0,0,HLOOKUP("SIB",A1:CV300,51,FALSE)/HLOOKUP("Mins",A1:CV300,51,FALSE)* 90)</f>
        <v>0</v>
      </c>
      <c r="BD51" s="9260">
        <f>IF(HLOOKUP("Mins",A1:CV300,51,FALSE)=0,0,HLOOKUP("S6YD",A1:CV300,51,FALSE)/HLOOKUP("Mins",A1:CV300,51,FALSE)* 90)</f>
        <v>0</v>
      </c>
      <c r="BE51" s="9261">
        <f>IF(HLOOKUP("Mins",A1:CV300,51,FALSE)=0,0,HLOOKUP("Headers",A1:CV300,51,FALSE)/HLOOKUP("Mins",A1:CV300,51,FALSE)* 90)</f>
        <v>0</v>
      </c>
      <c r="BF51" s="9262">
        <f>IF(HLOOKUP("Mins",A1:CV300,51,FALSE)=0,0,HLOOKUP("SOT",A1:CV300,51,FALSE)/HLOOKUP("Mins",A1:CV300,51,FALSE)* 90)</f>
        <v>0</v>
      </c>
      <c r="BG51" s="9263">
        <f>IF(HLOOKUP("Mins",A1:CV300,51,FALSE)=0,0,HLOOKUP("As",A1:CV300,51,FALSE)/HLOOKUP("Mins",A1:CV300,51,FALSE)* 90)</f>
        <v>7.6923076923076927E-2</v>
      </c>
      <c r="BH51" s="9264">
        <f>IF(HLOOKUP("Mins",A1:CV300,51,FALSE)=0,0,HLOOKUP("FPL As",A1:CV300,51,FALSE)/HLOOKUP("Mins",A1:CV300,51,FALSE)* 90)</f>
        <v>7.6923076923076927E-2</v>
      </c>
      <c r="BI51" s="9265">
        <f>IF(HLOOKUP("Mins",A1:CV300,51,FALSE)=0,0,HLOOKUP("BC Created",A1:CV300,51,FALSE)/HLOOKUP("Mins",A1:CV300,51,FALSE)* 90)</f>
        <v>0.15384615384615385</v>
      </c>
      <c r="BJ51" s="9266">
        <f>IF(HLOOKUP("Mins",A1:CV300,51,FALSE)=0,0,HLOOKUP("KP",A1:CV300,51,FALSE)/HLOOKUP("Mins",A1:CV300,51,FALSE)* 90)</f>
        <v>0.84615384615384615</v>
      </c>
      <c r="BK51" s="9267">
        <f>IF(HLOOKUP("Mins",A1:CV300,51,FALSE)=0,0,HLOOKUP("BC",A1:CV300,51,FALSE)/HLOOKUP("Mins",A1:CV300,51,FALSE)* 90)</f>
        <v>0</v>
      </c>
      <c r="BL51" s="9268">
        <f>IF(HLOOKUP("Mins",A1:CV300,51,FALSE)=0,0,HLOOKUP("BC Miss",A1:CV300,51,FALSE)/HLOOKUP("Mins",A1:CV300,51,FALSE)* 90)</f>
        <v>0</v>
      </c>
      <c r="BM51" s="9269">
        <f>IF(HLOOKUP("Mins",A1:CV300,51,FALSE)=0,0,HLOOKUP("Gs - BC",A1:CV300,51,FALSE)/HLOOKUP("Mins",A1:CV300,51,FALSE)* 90)</f>
        <v>0</v>
      </c>
      <c r="BN51" s="9270">
        <f>IF(HLOOKUP("Mins",A1:CV300,51,FALSE)=0,0,HLOOKUP("GIB",A1:CV300,51,FALSE)/HLOOKUP("Mins",A1:CV300,51,FALSE)* 90)</f>
        <v>0</v>
      </c>
      <c r="BO51" s="9271">
        <f>IF(HLOOKUP("Mins",A1:CV300,51,FALSE)=0,0,HLOOKUP("Gs - Open",A1:CV300,51,FALSE)/HLOOKUP("Mins",A1:CV300,51,FALSE)* 90)</f>
        <v>0</v>
      </c>
      <c r="BP51" s="9272">
        <f>IF(HLOOKUP("Mins",A1:CV300,51,FALSE)=0,0,HLOOKUP("ICT Index",A1:CV300,51,FALSE)/HLOOKUP("Mins",A1:CV300,51,FALSE)* 90)</f>
        <v>3.3307692307692305</v>
      </c>
      <c r="BQ51" s="9273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  <v>1.5384615384615387E-3</v>
      </c>
      <c r="BR51" s="9274">
        <f>0.0825*HLOOKUP("KP/90",A1:CV300,51,FALSE)</f>
        <v>6.9807692307692307E-2</v>
      </c>
      <c r="BS51" s="9275">
        <f>6*HLOOKUP("xG/90",A1:CV300,51,FALSE)+3*HLOOKUP("xA/90",A1:CV300,51,FALSE)</f>
        <v>0.21865384615384617</v>
      </c>
      <c r="BT51" s="9276">
        <f>HLOOKUP("xPts/90",A1:CV300,51,FALSE)-(6*0.75*(HLOOKUP("PK Gs",A1:CV300,51,FALSE)+HLOOKUP("PK Miss",A1:CV300,51,FALSE))*90/HLOOKUP("Mins",A1:CV300,51,FALSE))</f>
        <v>0.21865384615384617</v>
      </c>
      <c r="BU51" s="9277">
        <f>IF(HLOOKUP("Mins",A1:CV300,51,FALSE)=0,0,HLOOKUP("fsXG",A1:CV300,51,FALSE)/HLOOKUP("Mins",A1:CV300,51,FALSE)* 90)</f>
        <v>2.3076923076923075E-3</v>
      </c>
      <c r="BV51" s="9278">
        <f>IF(HLOOKUP("Mins",A1:CV300,51,FALSE)=0,0,HLOOKUP("fsXA",A1:CV300,51,FALSE)/HLOOKUP("Mins",A1:CV300,51,FALSE)* 90)</f>
        <v>7.0769230769230765E-2</v>
      </c>
      <c r="BW51" s="9279">
        <f>6*HLOOKUP("fsXG/90",A1:CV300,51,FALSE)+3*HLOOKUP("fsXA/90",A1:CV300,51,FALSE)</f>
        <v>0.22615384615384615</v>
      </c>
      <c r="BX51" s="9280">
        <v>1.0956464102491736E-3</v>
      </c>
      <c r="BY51" s="9281">
        <v>9.8049983382225037E-2</v>
      </c>
      <c r="BZ51" s="9282">
        <f>6*HLOOKUP("uXG/90",A1:CV300,51,FALSE)+3*HLOOKUP("uXA/90",A1:CV300,51,FALSE)</f>
        <v>0.30072382860817015</v>
      </c>
    </row>
    <row r="52" spans="1:78" hidden="1" x14ac:dyDescent="0.3">
      <c r="A52" s="9283" t="s">
        <v>215</v>
      </c>
      <c r="B52" s="9284" t="s">
        <v>81</v>
      </c>
      <c r="C52" s="9285">
        <v>5.6999998092651367</v>
      </c>
      <c r="D52" s="9286">
        <v>1610</v>
      </c>
      <c r="E52" s="9287">
        <v>18</v>
      </c>
      <c r="F52" s="9288">
        <v>76</v>
      </c>
      <c r="G52" s="9289">
        <v>1</v>
      </c>
      <c r="H52" s="9290">
        <v>3</v>
      </c>
      <c r="I52" s="9291">
        <v>348</v>
      </c>
      <c r="J52" s="9292">
        <f>HLOOKUP("BPS",A1:CV300,52,FALSE)-((-6*HLOOKUP("OG",A1:CV300,52,FALSE))+(-6*HLOOKUP("PK Miss",A1:CV300,52,FALSE))+(9*HLOOKUP("FPL As",A1:CV300,52,FALSE))+(12*HLOOKUP("CS",A1:CV300,52,FALSE))+(12*HLOOKUP("Gs",A1:CV300,52,FALSE)))</f>
        <v>225</v>
      </c>
      <c r="K52" s="9293">
        <v>0</v>
      </c>
      <c r="L52" s="9294">
        <v>7</v>
      </c>
      <c r="M52" s="9295">
        <v>30</v>
      </c>
      <c r="N52" s="9296">
        <v>8</v>
      </c>
      <c r="O52" s="9297">
        <v>2</v>
      </c>
      <c r="P52" s="9298">
        <f>IF(HLOOKUP("Shots",A1:CV300,52,FALSE)=0,0,HLOOKUP("SIB",A1:CV300,52,FALSE)/HLOOKUP("Shots",A1:CV300,52,FALSE))</f>
        <v>0.25</v>
      </c>
      <c r="Q52" s="9299">
        <v>1</v>
      </c>
      <c r="R52" s="9300">
        <f>IF(HLOOKUP("Shots",A1:CV300,52,FALSE)=0,0,HLOOKUP("S6YD",A1:CV300,52,FALSE)/HLOOKUP("Shots",A1:CV300,52,FALSE))</f>
        <v>0.125</v>
      </c>
      <c r="S52" s="9301">
        <v>0</v>
      </c>
      <c r="T52" s="9302">
        <f>IF(HLOOKUP("Shots",A1:CV300,52,FALSE)=0,0,HLOOKUP("Headers",A1:CV300,52,FALSE)/HLOOKUP("Shots",A1:CV300,52,FALSE))</f>
        <v>0</v>
      </c>
      <c r="U52" s="9303">
        <v>3</v>
      </c>
      <c r="V52" s="9304">
        <f>IF(HLOOKUP("Shots",A1:CV300,52,FALSE)=0,0,HLOOKUP("SOT",A1:CV300,52,FALSE)/HLOOKUP("Shots",A1:CV300,52,FALSE))</f>
        <v>0.375</v>
      </c>
      <c r="W52" s="9305">
        <f>IF(HLOOKUP("Shots",A1:CV300,52,FALSE)=0,0,HLOOKUP("Gs",A1:CV300,52,FALSE)/HLOOKUP("Shots",A1:CV300,52,FALSE))</f>
        <v>0.125</v>
      </c>
      <c r="X52" s="9306">
        <v>3</v>
      </c>
      <c r="Y52" s="9307">
        <v>3</v>
      </c>
      <c r="Z52" s="9308">
        <v>23</v>
      </c>
      <c r="AA52" s="9309">
        <f>IF(HLOOKUP("KP",A1:CV300,52,FALSE)=0,0,HLOOKUP("As",A1:CV300,52,FALSE)/HLOOKUP("KP",A1:CV300,52,FALSE))</f>
        <v>0.13043478260869565</v>
      </c>
      <c r="AB52" s="9310">
        <v>82.8</v>
      </c>
      <c r="AC52" s="9311">
        <v>10</v>
      </c>
      <c r="AD52" s="9312">
        <v>5</v>
      </c>
      <c r="AE52" s="9313">
        <v>2</v>
      </c>
      <c r="AF52" s="9314">
        <v>1</v>
      </c>
      <c r="AG52" s="9315">
        <f>IF(HLOOKUP("BC",A1:CV300,52,FALSE)=0,0,HLOOKUP("Gs - BC",A1:CV300,52,FALSE)/HLOOKUP("BC",A1:CV300,52,FALSE))</f>
        <v>0.5</v>
      </c>
      <c r="AH52" s="9316">
        <f>HLOOKUP("BC",A1:CV300,52,FALSE) - HLOOKUP("BC Miss",A1:CV300,52,FALSE)</f>
        <v>1</v>
      </c>
      <c r="AI52" s="9317">
        <f>IF(HLOOKUP("Gs",A1:CV300,52,FALSE)=0,0,HLOOKUP("Gs - BC",A1:CV300,52,FALSE)/HLOOKUP("Gs",A1:CV300,52,FALSE))</f>
        <v>1</v>
      </c>
      <c r="AJ52" s="9318">
        <v>0</v>
      </c>
      <c r="AK52" s="9319">
        <v>0</v>
      </c>
      <c r="AL52" s="9320">
        <f>HLOOKUP("BC",A1:CV300,52,FALSE) - (HLOOKUP("PK Gs",A1:CV300,52,FALSE) + HLOOKUP("PK Miss",A1:CV300,52,FALSE))</f>
        <v>2</v>
      </c>
      <c r="AM52" s="9321">
        <f>HLOOKUP("BC Miss",A1:CV300,52,FALSE) - HLOOKUP("PK Miss",A1:CV300,52,FALSE)</f>
        <v>1</v>
      </c>
      <c r="AN52" s="9322">
        <f>IF(HLOOKUP("BC - Open",A1:CV300,52,FALSE)=0,0,HLOOKUP("BC - Open Miss",A1:CV300,52,FALSE)/HLOOKUP("BC - Open",A1:CV300,52,FALSE))</f>
        <v>0.5</v>
      </c>
      <c r="AO52" s="9323">
        <v>1</v>
      </c>
      <c r="AP52" s="9324">
        <f>IF(HLOOKUP("Gs",A1:CV300,52,FALSE)=0,0,HLOOKUP("GIB",A1:CV300,52,FALSE)/HLOOKUP("Gs",A1:CV300,52,FALSE))</f>
        <v>1</v>
      </c>
      <c r="AQ52" s="9325">
        <v>1</v>
      </c>
      <c r="AR52" s="9326">
        <f>IF(HLOOKUP("Gs",A1:CV300,52,FALSE)=0,0,HLOOKUP("Gs - Open",A1:CV300,52,FALSE)/HLOOKUP("Gs",A1:CV300,52,FALSE))</f>
        <v>1</v>
      </c>
      <c r="AS52" s="9327">
        <v>0.61</v>
      </c>
      <c r="AT52" s="9328">
        <v>2.1</v>
      </c>
      <c r="AU52" s="9329">
        <f>IF(HLOOKUP("Mins",A1:CV300,52,FALSE)=0,0,HLOOKUP("Pts",A1:CV300,52,FALSE)/HLOOKUP("Mins",A1:CV300,52,FALSE)* 90)</f>
        <v>4.2484472049689446</v>
      </c>
      <c r="AV52" s="9330">
        <f>IF(HLOOKUP("Apps",A1:CV300,52,FALSE)=0,0,HLOOKUP("Pts",A1:CV300,52,FALSE)/HLOOKUP("Apps",A1:CV300,52,FALSE)* 1)</f>
        <v>4.2222222222222223</v>
      </c>
      <c r="AW52" s="9331">
        <f>IF(HLOOKUP("Mins",A1:CV300,52,FALSE)=0,0,HLOOKUP("Gs",A1:CV300,52,FALSE)/HLOOKUP("Mins",A1:CV300,52,FALSE)* 90)</f>
        <v>5.5900621118012424E-2</v>
      </c>
      <c r="AX52" s="9332">
        <f>IF(HLOOKUP("Mins",A1:CV300,52,FALSE)=0,0,HLOOKUP("Bonus",A1:CV300,52,FALSE)/HLOOKUP("Mins",A1:CV300,52,FALSE)* 90)</f>
        <v>0.16770186335403725</v>
      </c>
      <c r="AY52" s="9333">
        <f>IF(HLOOKUP("Mins",A1:CV300,52,FALSE)=0,0,HLOOKUP("BPS",A1:CV300,52,FALSE)/HLOOKUP("Mins",A1:CV300,52,FALSE)* 90)</f>
        <v>19.453416149068321</v>
      </c>
      <c r="AZ52" s="9334">
        <f>IF(HLOOKUP("Mins",A1:CV300,52,FALSE)=0,0,HLOOKUP("Base BPS",A1:CV300,52,FALSE)/HLOOKUP("Mins",A1:CV300,52,FALSE)* 90)</f>
        <v>12.577639751552795</v>
      </c>
      <c r="BA52" s="9335">
        <f>IF(HLOOKUP("Mins",A1:CV300,52,FALSE)=0,0,HLOOKUP("PenTchs",A1:CV300,52,FALSE)/HLOOKUP("Mins",A1:CV300,52,FALSE)* 90)</f>
        <v>1.6770186335403727</v>
      </c>
      <c r="BB52" s="9336">
        <f>IF(HLOOKUP("Mins",A1:CV300,52,FALSE)=0,0,HLOOKUP("Shots",A1:CV300,52,FALSE)/HLOOKUP("Mins",A1:CV300,52,FALSE)* 90)</f>
        <v>0.44720496894409939</v>
      </c>
      <c r="BC52" s="9337">
        <f>IF(HLOOKUP("Mins",A1:CV300,52,FALSE)=0,0,HLOOKUP("SIB",A1:CV300,52,FALSE)/HLOOKUP("Mins",A1:CV300,52,FALSE)* 90)</f>
        <v>0.11180124223602485</v>
      </c>
      <c r="BD52" s="9338">
        <f>IF(HLOOKUP("Mins",A1:CV300,52,FALSE)=0,0,HLOOKUP("S6YD",A1:CV300,52,FALSE)/HLOOKUP("Mins",A1:CV300,52,FALSE)* 90)</f>
        <v>5.5900621118012424E-2</v>
      </c>
      <c r="BE52" s="9339">
        <f>IF(HLOOKUP("Mins",A1:CV300,52,FALSE)=0,0,HLOOKUP("Headers",A1:CV300,52,FALSE)/HLOOKUP("Mins",A1:CV300,52,FALSE)* 90)</f>
        <v>0</v>
      </c>
      <c r="BF52" s="9340">
        <f>IF(HLOOKUP("Mins",A1:CV300,52,FALSE)=0,0,HLOOKUP("SOT",A1:CV300,52,FALSE)/HLOOKUP("Mins",A1:CV300,52,FALSE)* 90)</f>
        <v>0.16770186335403725</v>
      </c>
      <c r="BG52" s="9341">
        <f>IF(HLOOKUP("Mins",A1:CV300,52,FALSE)=0,0,HLOOKUP("As",A1:CV300,52,FALSE)/HLOOKUP("Mins",A1:CV300,52,FALSE)* 90)</f>
        <v>0.16770186335403725</v>
      </c>
      <c r="BH52" s="9342">
        <f>IF(HLOOKUP("Mins",A1:CV300,52,FALSE)=0,0,HLOOKUP("FPL As",A1:CV300,52,FALSE)/HLOOKUP("Mins",A1:CV300,52,FALSE)* 90)</f>
        <v>0.16770186335403725</v>
      </c>
      <c r="BI52" s="9343">
        <f>IF(HLOOKUP("Mins",A1:CV300,52,FALSE)=0,0,HLOOKUP("BC Created",A1:CV300,52,FALSE)/HLOOKUP("Mins",A1:CV300,52,FALSE)* 90)</f>
        <v>0.27950310559006208</v>
      </c>
      <c r="BJ52" s="9344">
        <f>IF(HLOOKUP("Mins",A1:CV300,52,FALSE)=0,0,HLOOKUP("KP",A1:CV300,52,FALSE)/HLOOKUP("Mins",A1:CV300,52,FALSE)* 90)</f>
        <v>1.2857142857142856</v>
      </c>
      <c r="BK52" s="9345">
        <f>IF(HLOOKUP("Mins",A1:CV300,52,FALSE)=0,0,HLOOKUP("BC",A1:CV300,52,FALSE)/HLOOKUP("Mins",A1:CV300,52,FALSE)* 90)</f>
        <v>0.11180124223602485</v>
      </c>
      <c r="BL52" s="9346">
        <f>IF(HLOOKUP("Mins",A1:CV300,52,FALSE)=0,0,HLOOKUP("BC Miss",A1:CV300,52,FALSE)/HLOOKUP("Mins",A1:CV300,52,FALSE)* 90)</f>
        <v>5.5900621118012424E-2</v>
      </c>
      <c r="BM52" s="9347">
        <f>IF(HLOOKUP("Mins",A1:CV300,52,FALSE)=0,0,HLOOKUP("Gs - BC",A1:CV300,52,FALSE)/HLOOKUP("Mins",A1:CV300,52,FALSE)* 90)</f>
        <v>5.5900621118012424E-2</v>
      </c>
      <c r="BN52" s="9348">
        <f>IF(HLOOKUP("Mins",A1:CV300,52,FALSE)=0,0,HLOOKUP("GIB",A1:CV300,52,FALSE)/HLOOKUP("Mins",A1:CV300,52,FALSE)* 90)</f>
        <v>5.5900621118012424E-2</v>
      </c>
      <c r="BO52" s="9349">
        <f>IF(HLOOKUP("Mins",A1:CV300,52,FALSE)=0,0,HLOOKUP("Gs - Open",A1:CV300,52,FALSE)/HLOOKUP("Mins",A1:CV300,52,FALSE)* 90)</f>
        <v>5.5900621118012424E-2</v>
      </c>
      <c r="BP52" s="9350">
        <f>IF(HLOOKUP("Mins",A1:CV300,52,FALSE)=0,0,HLOOKUP("ICT Index",A1:CV300,52,FALSE)/HLOOKUP("Mins",A1:CV300,52,FALSE)* 90)</f>
        <v>4.6285714285714281</v>
      </c>
      <c r="BQ52" s="9351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  <v>1.7105590062111802E-2</v>
      </c>
      <c r="BR52" s="9352">
        <f>0.0825*HLOOKUP("KP/90",A1:CV300,52,FALSE)</f>
        <v>0.10607142857142857</v>
      </c>
      <c r="BS52" s="9353">
        <f>6*HLOOKUP("xG/90",A1:CV300,52,FALSE)+3*HLOOKUP("xA/90",A1:CV300,52,FALSE)</f>
        <v>0.42084782608695648</v>
      </c>
      <c r="BT52" s="9354">
        <f>HLOOKUP("xPts/90",A1:CV300,52,FALSE)-(6*0.75*(HLOOKUP("PK Gs",A1:CV300,52,FALSE)+HLOOKUP("PK Miss",A1:CV300,52,FALSE))*90/HLOOKUP("Mins",A1:CV300,52,FALSE))</f>
        <v>0.42084782608695648</v>
      </c>
      <c r="BU52" s="9355">
        <f>IF(HLOOKUP("Mins",A1:CV300,52,FALSE)=0,0,HLOOKUP("fsXG",A1:CV300,52,FALSE)/HLOOKUP("Mins",A1:CV300,52,FALSE)* 90)</f>
        <v>3.409937888198758E-2</v>
      </c>
      <c r="BV52" s="9356">
        <f>IF(HLOOKUP("Mins",A1:CV300,52,FALSE)=0,0,HLOOKUP("fsXA",A1:CV300,52,FALSE)/HLOOKUP("Mins",A1:CV300,52,FALSE)* 90)</f>
        <v>0.1173913043478261</v>
      </c>
      <c r="BW52" s="9357">
        <f>6*HLOOKUP("fsXG/90",A1:CV300,52,FALSE)+3*HLOOKUP("fsXA/90",A1:CV300,52,FALSE)</f>
        <v>0.55677018633540376</v>
      </c>
      <c r="BX52" s="9358">
        <v>4.0207013487815857E-2</v>
      </c>
      <c r="BY52" s="9359">
        <v>0.1434953361749649</v>
      </c>
      <c r="BZ52" s="9360">
        <f>6*HLOOKUP("uXG/90",A1:CV300,52,FALSE)+3*HLOOKUP("uXA/90",A1:CV300,52,FALSE)</f>
        <v>0.67172808945178986</v>
      </c>
    </row>
    <row r="53" spans="1:78" hidden="1" x14ac:dyDescent="0.3">
      <c r="A53" s="9361" t="s">
        <v>216</v>
      </c>
      <c r="B53" s="9362" t="s">
        <v>91</v>
      </c>
      <c r="C53" s="9363">
        <v>4.4000000953674316</v>
      </c>
      <c r="D53" s="9364">
        <v>1490</v>
      </c>
      <c r="E53" s="9365">
        <v>17</v>
      </c>
      <c r="F53" s="9366">
        <v>21</v>
      </c>
      <c r="G53" s="9367">
        <v>0</v>
      </c>
      <c r="H53" s="9368">
        <v>0</v>
      </c>
      <c r="I53" s="9369">
        <v>266</v>
      </c>
      <c r="J53" s="9370">
        <f>HLOOKUP("BPS",A1:CV300,53,FALSE)-((-6*HLOOKUP("OG",A1:CV300,53,FALSE))+(-6*HLOOKUP("PK Miss",A1:CV300,53,FALSE))+(9*HLOOKUP("FPL As",A1:CV300,53,FALSE))+(12*HLOOKUP("CS",A1:CV300,53,FALSE))+(12*HLOOKUP("Gs",A1:CV300,53,FALSE)))</f>
        <v>254</v>
      </c>
      <c r="K53" s="9371">
        <v>0</v>
      </c>
      <c r="L53" s="9372">
        <v>1</v>
      </c>
      <c r="M53" s="9373">
        <v>6</v>
      </c>
      <c r="N53" s="9374">
        <v>7</v>
      </c>
      <c r="O53" s="9375">
        <v>3</v>
      </c>
      <c r="P53" s="9376">
        <f>IF(HLOOKUP("Shots",A1:CV300,53,FALSE)=0,0,HLOOKUP("SIB",A1:CV300,53,FALSE)/HLOOKUP("Shots",A1:CV300,53,FALSE))</f>
        <v>0.42857142857142855</v>
      </c>
      <c r="Q53" s="9377">
        <v>0</v>
      </c>
      <c r="R53" s="9378">
        <f>IF(HLOOKUP("Shots",A1:CV300,53,FALSE)=0,0,HLOOKUP("S6YD",A1:CV300,53,FALSE)/HLOOKUP("Shots",A1:CV300,53,FALSE))</f>
        <v>0</v>
      </c>
      <c r="S53" s="9379">
        <v>3</v>
      </c>
      <c r="T53" s="9380">
        <f>IF(HLOOKUP("Shots",A1:CV300,53,FALSE)=0,0,HLOOKUP("Headers",A1:CV300,53,FALSE)/HLOOKUP("Shots",A1:CV300,53,FALSE))</f>
        <v>0.42857142857142855</v>
      </c>
      <c r="U53" s="9381">
        <v>2</v>
      </c>
      <c r="V53" s="9382">
        <f>IF(HLOOKUP("Shots",A1:CV300,53,FALSE)=0,0,HLOOKUP("SOT",A1:CV300,53,FALSE)/HLOOKUP("Shots",A1:CV300,53,FALSE))</f>
        <v>0.2857142857142857</v>
      </c>
      <c r="W53" s="9383">
        <f>IF(HLOOKUP("Shots",A1:CV300,53,FALSE)=0,0,HLOOKUP("Gs",A1:CV300,53,FALSE)/HLOOKUP("Shots",A1:CV300,53,FALSE))</f>
        <v>0</v>
      </c>
      <c r="X53" s="9384">
        <v>0</v>
      </c>
      <c r="Y53" s="9385">
        <v>0</v>
      </c>
      <c r="Z53" s="9386">
        <v>0</v>
      </c>
      <c r="AA53" s="9387">
        <f>IF(HLOOKUP("KP",A1:CV300,53,FALSE)=0,0,HLOOKUP("As",A1:CV300,53,FALSE)/HLOOKUP("KP",A1:CV300,53,FALSE))</f>
        <v>0</v>
      </c>
      <c r="AB53" s="9388">
        <v>42</v>
      </c>
      <c r="AC53" s="9389">
        <v>0</v>
      </c>
      <c r="AD53" s="9390">
        <v>0</v>
      </c>
      <c r="AE53" s="9391">
        <v>0</v>
      </c>
      <c r="AF53" s="9392">
        <v>0</v>
      </c>
      <c r="AG53" s="9393">
        <f>IF(HLOOKUP("BC",A1:CV300,53,FALSE)=0,0,HLOOKUP("Gs - BC",A1:CV300,53,FALSE)/HLOOKUP("BC",A1:CV300,53,FALSE))</f>
        <v>0</v>
      </c>
      <c r="AH53" s="9394">
        <f>HLOOKUP("BC",A1:CV300,53,FALSE) - HLOOKUP("BC Miss",A1:CV300,53,FALSE)</f>
        <v>0</v>
      </c>
      <c r="AI53" s="9395">
        <f>IF(HLOOKUP("Gs",A1:CV300,53,FALSE)=0,0,HLOOKUP("Gs - BC",A1:CV300,53,FALSE)/HLOOKUP("Gs",A1:CV300,53,FALSE))</f>
        <v>0</v>
      </c>
      <c r="AJ53" s="9396">
        <v>0</v>
      </c>
      <c r="AK53" s="9397">
        <v>0</v>
      </c>
      <c r="AL53" s="9398">
        <f>HLOOKUP("BC",A1:CV300,53,FALSE) - (HLOOKUP("PK Gs",A1:CV300,53,FALSE) + HLOOKUP("PK Miss",A1:CV300,53,FALSE))</f>
        <v>0</v>
      </c>
      <c r="AM53" s="9399">
        <f>HLOOKUP("BC Miss",A1:CV300,53,FALSE) - HLOOKUP("PK Miss",A1:CV300,53,FALSE)</f>
        <v>0</v>
      </c>
      <c r="AN53" s="9400">
        <f>IF(HLOOKUP("BC - Open",A1:CV300,53,FALSE)=0,0,HLOOKUP("BC - Open Miss",A1:CV300,53,FALSE)/HLOOKUP("BC - Open",A1:CV300,53,FALSE))</f>
        <v>0</v>
      </c>
      <c r="AO53" s="9401">
        <v>0</v>
      </c>
      <c r="AP53" s="9402">
        <f>IF(HLOOKUP("Gs",A1:CV300,53,FALSE)=0,0,HLOOKUP("GIB",A1:CV300,53,FALSE)/HLOOKUP("Gs",A1:CV300,53,FALSE))</f>
        <v>0</v>
      </c>
      <c r="AQ53" s="9403">
        <v>0</v>
      </c>
      <c r="AR53" s="9404">
        <f>IF(HLOOKUP("Gs",A1:CV300,53,FALSE)=0,0,HLOOKUP("Gs - Open",A1:CV300,53,FALSE)/HLOOKUP("Gs",A1:CV300,53,FALSE))</f>
        <v>0</v>
      </c>
      <c r="AS53" s="9405">
        <v>0.42</v>
      </c>
      <c r="AT53" s="9406">
        <v>0.36</v>
      </c>
      <c r="AU53" s="9407">
        <f>IF(HLOOKUP("Mins",A1:CV300,53,FALSE)=0,0,HLOOKUP("Pts",A1:CV300,53,FALSE)/HLOOKUP("Mins",A1:CV300,53,FALSE)* 90)</f>
        <v>1.2684563758389262</v>
      </c>
      <c r="AV53" s="9408">
        <f>IF(HLOOKUP("Apps",A1:CV300,53,FALSE)=0,0,HLOOKUP("Pts",A1:CV300,53,FALSE)/HLOOKUP("Apps",A1:CV300,53,FALSE)* 1)</f>
        <v>1.2352941176470589</v>
      </c>
      <c r="AW53" s="9409">
        <f>IF(HLOOKUP("Mins",A1:CV300,53,FALSE)=0,0,HLOOKUP("Gs",A1:CV300,53,FALSE)/HLOOKUP("Mins",A1:CV300,53,FALSE)* 90)</f>
        <v>0</v>
      </c>
      <c r="AX53" s="9410">
        <f>IF(HLOOKUP("Mins",A1:CV300,53,FALSE)=0,0,HLOOKUP("Bonus",A1:CV300,53,FALSE)/HLOOKUP("Mins",A1:CV300,53,FALSE)* 90)</f>
        <v>0</v>
      </c>
      <c r="AY53" s="9411">
        <f>IF(HLOOKUP("Mins",A1:CV300,53,FALSE)=0,0,HLOOKUP("BPS",A1:CV300,53,FALSE)/HLOOKUP("Mins",A1:CV300,53,FALSE)* 90)</f>
        <v>16.067114093959731</v>
      </c>
      <c r="AZ53" s="9412">
        <f>IF(HLOOKUP("Mins",A1:CV300,53,FALSE)=0,0,HLOOKUP("Base BPS",A1:CV300,53,FALSE)/HLOOKUP("Mins",A1:CV300,53,FALSE)* 90)</f>
        <v>15.34228187919463</v>
      </c>
      <c r="BA53" s="9413">
        <f>IF(HLOOKUP("Mins",A1:CV300,53,FALSE)=0,0,HLOOKUP("PenTchs",A1:CV300,53,FALSE)/HLOOKUP("Mins",A1:CV300,53,FALSE)* 90)</f>
        <v>0.36241610738255037</v>
      </c>
      <c r="BB53" s="9414">
        <f>IF(HLOOKUP("Mins",A1:CV300,53,FALSE)=0,0,HLOOKUP("Shots",A1:CV300,53,FALSE)/HLOOKUP("Mins",A1:CV300,53,FALSE)* 90)</f>
        <v>0.42281879194630867</v>
      </c>
      <c r="BC53" s="9415">
        <f>IF(HLOOKUP("Mins",A1:CV300,53,FALSE)=0,0,HLOOKUP("SIB",A1:CV300,53,FALSE)/HLOOKUP("Mins",A1:CV300,53,FALSE)* 90)</f>
        <v>0.18120805369127518</v>
      </c>
      <c r="BD53" s="9416">
        <f>IF(HLOOKUP("Mins",A1:CV300,53,FALSE)=0,0,HLOOKUP("S6YD",A1:CV300,53,FALSE)/HLOOKUP("Mins",A1:CV300,53,FALSE)* 90)</f>
        <v>0</v>
      </c>
      <c r="BE53" s="9417">
        <f>IF(HLOOKUP("Mins",A1:CV300,53,FALSE)=0,0,HLOOKUP("Headers",A1:CV300,53,FALSE)/HLOOKUP("Mins",A1:CV300,53,FALSE)* 90)</f>
        <v>0.18120805369127518</v>
      </c>
      <c r="BF53" s="9418">
        <f>IF(HLOOKUP("Mins",A1:CV300,53,FALSE)=0,0,HLOOKUP("SOT",A1:CV300,53,FALSE)/HLOOKUP("Mins",A1:CV300,53,FALSE)* 90)</f>
        <v>0.12080536912751677</v>
      </c>
      <c r="BG53" s="9419">
        <f>IF(HLOOKUP("Mins",A1:CV300,53,FALSE)=0,0,HLOOKUP("As",A1:CV300,53,FALSE)/HLOOKUP("Mins",A1:CV300,53,FALSE)* 90)</f>
        <v>0</v>
      </c>
      <c r="BH53" s="9420">
        <f>IF(HLOOKUP("Mins",A1:CV300,53,FALSE)=0,0,HLOOKUP("FPL As",A1:CV300,53,FALSE)/HLOOKUP("Mins",A1:CV300,53,FALSE)* 90)</f>
        <v>0</v>
      </c>
      <c r="BI53" s="9421">
        <f>IF(HLOOKUP("Mins",A1:CV300,53,FALSE)=0,0,HLOOKUP("BC Created",A1:CV300,53,FALSE)/HLOOKUP("Mins",A1:CV300,53,FALSE)* 90)</f>
        <v>0</v>
      </c>
      <c r="BJ53" s="9422">
        <f>IF(HLOOKUP("Mins",A1:CV300,53,FALSE)=0,0,HLOOKUP("KP",A1:CV300,53,FALSE)/HLOOKUP("Mins",A1:CV300,53,FALSE)* 90)</f>
        <v>0</v>
      </c>
      <c r="BK53" s="9423">
        <f>IF(HLOOKUP("Mins",A1:CV300,53,FALSE)=0,0,HLOOKUP("BC",A1:CV300,53,FALSE)/HLOOKUP("Mins",A1:CV300,53,FALSE)* 90)</f>
        <v>0</v>
      </c>
      <c r="BL53" s="9424">
        <f>IF(HLOOKUP("Mins",A1:CV300,53,FALSE)=0,0,HLOOKUP("BC Miss",A1:CV300,53,FALSE)/HLOOKUP("Mins",A1:CV300,53,FALSE)* 90)</f>
        <v>0</v>
      </c>
      <c r="BM53" s="9425">
        <f>IF(HLOOKUP("Mins",A1:CV300,53,FALSE)=0,0,HLOOKUP("Gs - BC",A1:CV300,53,FALSE)/HLOOKUP("Mins",A1:CV300,53,FALSE)* 90)</f>
        <v>0</v>
      </c>
      <c r="BN53" s="9426">
        <f>IF(HLOOKUP("Mins",A1:CV300,53,FALSE)=0,0,HLOOKUP("GIB",A1:CV300,53,FALSE)/HLOOKUP("Mins",A1:CV300,53,FALSE)* 90)</f>
        <v>0</v>
      </c>
      <c r="BO53" s="9427">
        <f>IF(HLOOKUP("Mins",A1:CV300,53,FALSE)=0,0,HLOOKUP("Gs - Open",A1:CV300,53,FALSE)/HLOOKUP("Mins",A1:CV300,53,FALSE)* 90)</f>
        <v>0</v>
      </c>
      <c r="BP53" s="9428">
        <f>IF(HLOOKUP("Mins",A1:CV300,53,FALSE)=0,0,HLOOKUP("ICT Index",A1:CV300,53,FALSE)/HLOOKUP("Mins",A1:CV300,53,FALSE)* 90)</f>
        <v>2.5369127516778525</v>
      </c>
      <c r="BQ53" s="9429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  <v>2.1684563758389265E-2</v>
      </c>
      <c r="BR53" s="9430">
        <f>0.0825*HLOOKUP("KP/90",A1:CV300,53,FALSE)</f>
        <v>0</v>
      </c>
      <c r="BS53" s="9431">
        <f>6*HLOOKUP("xG/90",A1:CV300,53,FALSE)+3*HLOOKUP("xA/90",A1:CV300,53,FALSE)</f>
        <v>0.1301073825503356</v>
      </c>
      <c r="BT53" s="9432">
        <f>HLOOKUP("xPts/90",A1:CV300,53,FALSE)-(6*0.75*(HLOOKUP("PK Gs",A1:CV300,53,FALSE)+HLOOKUP("PK Miss",A1:CV300,53,FALSE))*90/HLOOKUP("Mins",A1:CV300,53,FALSE))</f>
        <v>0.1301073825503356</v>
      </c>
      <c r="BU53" s="9433">
        <f>IF(HLOOKUP("Mins",A1:CV300,53,FALSE)=0,0,HLOOKUP("fsXG",A1:CV300,53,FALSE)/HLOOKUP("Mins",A1:CV300,53,FALSE)* 90)</f>
        <v>2.5369127516778521E-2</v>
      </c>
      <c r="BV53" s="9434">
        <f>IF(HLOOKUP("Mins",A1:CV300,53,FALSE)=0,0,HLOOKUP("fsXA",A1:CV300,53,FALSE)/HLOOKUP("Mins",A1:CV300,53,FALSE)* 90)</f>
        <v>2.1744966442953019E-2</v>
      </c>
      <c r="BW53" s="9435">
        <f>6*HLOOKUP("fsXG/90",A1:CV300,53,FALSE)+3*HLOOKUP("fsXA/90",A1:CV300,53,FALSE)</f>
        <v>0.21744966442953018</v>
      </c>
      <c r="BX53" s="9436">
        <v>1.262507401406765E-2</v>
      </c>
      <c r="BY53" s="9437">
        <v>0</v>
      </c>
      <c r="BZ53" s="9438">
        <f>6*HLOOKUP("uXG/90",A1:CV300,53,FALSE)+3*HLOOKUP("uXA/90",A1:CV300,53,FALSE)</f>
        <v>7.5750444084405899E-2</v>
      </c>
    </row>
    <row r="54" spans="1:78" hidden="1" x14ac:dyDescent="0.3">
      <c r="A54" s="9439" t="s">
        <v>217</v>
      </c>
      <c r="B54" s="9440" t="s">
        <v>89</v>
      </c>
      <c r="C54" s="9441">
        <v>5.3000001907348633</v>
      </c>
      <c r="D54" s="9442">
        <v>1890</v>
      </c>
      <c r="E54" s="9443">
        <v>21</v>
      </c>
      <c r="F54" s="9444">
        <v>44</v>
      </c>
      <c r="G54" s="9445">
        <v>0</v>
      </c>
      <c r="H54" s="9446">
        <v>1</v>
      </c>
      <c r="I54" s="9447">
        <v>350</v>
      </c>
      <c r="J54" s="9448">
        <f>HLOOKUP("BPS",A1:CV300,54,FALSE)-((-6*HLOOKUP("OG",A1:CV300,54,FALSE))+(-6*HLOOKUP("PK Miss",A1:CV300,54,FALSE))+(9*HLOOKUP("FPL As",A1:CV300,54,FALSE))+(12*HLOOKUP("CS",A1:CV300,54,FALSE))+(12*HLOOKUP("Gs",A1:CV300,54,FALSE)))</f>
        <v>308</v>
      </c>
      <c r="K54" s="9449">
        <v>0</v>
      </c>
      <c r="L54" s="9450">
        <v>2</v>
      </c>
      <c r="M54" s="9451">
        <v>16</v>
      </c>
      <c r="N54" s="9452">
        <v>8</v>
      </c>
      <c r="O54" s="9453">
        <v>8</v>
      </c>
      <c r="P54" s="9454">
        <f>IF(HLOOKUP("Shots",A1:CV300,54,FALSE)=0,0,HLOOKUP("SIB",A1:CV300,54,FALSE)/HLOOKUP("Shots",A1:CV300,54,FALSE))</f>
        <v>1</v>
      </c>
      <c r="Q54" s="9455">
        <v>1</v>
      </c>
      <c r="R54" s="9456">
        <f>IF(HLOOKUP("Shots",A1:CV300,54,FALSE)=0,0,HLOOKUP("S6YD",A1:CV300,54,FALSE)/HLOOKUP("Shots",A1:CV300,54,FALSE))</f>
        <v>0.125</v>
      </c>
      <c r="S54" s="9457">
        <v>6</v>
      </c>
      <c r="T54" s="9458">
        <f>IF(HLOOKUP("Shots",A1:CV300,54,FALSE)=0,0,HLOOKUP("Headers",A1:CV300,54,FALSE)/HLOOKUP("Shots",A1:CV300,54,FALSE))</f>
        <v>0.75</v>
      </c>
      <c r="U54" s="9459">
        <v>1</v>
      </c>
      <c r="V54" s="9460">
        <f>IF(HLOOKUP("Shots",A1:CV300,54,FALSE)=0,0,HLOOKUP("SOT",A1:CV300,54,FALSE)/HLOOKUP("Shots",A1:CV300,54,FALSE))</f>
        <v>0.125</v>
      </c>
      <c r="W54" s="9461">
        <f>IF(HLOOKUP("Shots",A1:CV300,54,FALSE)=0,0,HLOOKUP("Gs",A1:CV300,54,FALSE)/HLOOKUP("Shots",A1:CV300,54,FALSE))</f>
        <v>0</v>
      </c>
      <c r="X54" s="9462">
        <v>2</v>
      </c>
      <c r="Y54" s="9463">
        <v>2</v>
      </c>
      <c r="Z54" s="9464">
        <v>9</v>
      </c>
      <c r="AA54" s="9465">
        <f>IF(HLOOKUP("KP",A1:CV300,54,FALSE)=0,0,HLOOKUP("As",A1:CV300,54,FALSE)/HLOOKUP("KP",A1:CV300,54,FALSE))</f>
        <v>0.22222222222222221</v>
      </c>
      <c r="AB54" s="9466">
        <v>74.900000000000006</v>
      </c>
      <c r="AC54" s="9467">
        <v>6</v>
      </c>
      <c r="AD54" s="9468">
        <v>2</v>
      </c>
      <c r="AE54" s="9469">
        <v>0</v>
      </c>
      <c r="AF54" s="9470">
        <v>0</v>
      </c>
      <c r="AG54" s="9471">
        <f>IF(HLOOKUP("BC",A1:CV300,54,FALSE)=0,0,HLOOKUP("Gs - BC",A1:CV300,54,FALSE)/HLOOKUP("BC",A1:CV300,54,FALSE))</f>
        <v>0</v>
      </c>
      <c r="AH54" s="9472">
        <f>HLOOKUP("BC",A1:CV300,54,FALSE) - HLOOKUP("BC Miss",A1:CV300,54,FALSE)</f>
        <v>0</v>
      </c>
      <c r="AI54" s="9473">
        <f>IF(HLOOKUP("Gs",A1:CV300,54,FALSE)=0,0,HLOOKUP("Gs - BC",A1:CV300,54,FALSE)/HLOOKUP("Gs",A1:CV300,54,FALSE))</f>
        <v>0</v>
      </c>
      <c r="AJ54" s="9474">
        <v>0</v>
      </c>
      <c r="AK54" s="9475">
        <v>0</v>
      </c>
      <c r="AL54" s="9476">
        <f>HLOOKUP("BC",A1:CV300,54,FALSE) - (HLOOKUP("PK Gs",A1:CV300,54,FALSE) + HLOOKUP("PK Miss",A1:CV300,54,FALSE))</f>
        <v>0</v>
      </c>
      <c r="AM54" s="9477">
        <f>HLOOKUP("BC Miss",A1:CV300,54,FALSE) - HLOOKUP("PK Miss",A1:CV300,54,FALSE)</f>
        <v>0</v>
      </c>
      <c r="AN54" s="9478">
        <f>IF(HLOOKUP("BC - Open",A1:CV300,54,FALSE)=0,0,HLOOKUP("BC - Open Miss",A1:CV300,54,FALSE)/HLOOKUP("BC - Open",A1:CV300,54,FALSE))</f>
        <v>0</v>
      </c>
      <c r="AO54" s="9479">
        <v>0</v>
      </c>
      <c r="AP54" s="9480">
        <f>IF(HLOOKUP("Gs",A1:CV300,54,FALSE)=0,0,HLOOKUP("GIB",A1:CV300,54,FALSE)/HLOOKUP("Gs",A1:CV300,54,FALSE))</f>
        <v>0</v>
      </c>
      <c r="AQ54" s="9481">
        <v>0</v>
      </c>
      <c r="AR54" s="9482">
        <f>IF(HLOOKUP("Gs",A1:CV300,54,FALSE)=0,0,HLOOKUP("Gs - Open",A1:CV300,54,FALSE)/HLOOKUP("Gs",A1:CV300,54,FALSE))</f>
        <v>0</v>
      </c>
      <c r="AS54" s="9483">
        <v>0.36</v>
      </c>
      <c r="AT54" s="9484">
        <v>1.21</v>
      </c>
      <c r="AU54" s="9485">
        <f>IF(HLOOKUP("Mins",A1:CV300,54,FALSE)=0,0,HLOOKUP("Pts",A1:CV300,54,FALSE)/HLOOKUP("Mins",A1:CV300,54,FALSE)* 90)</f>
        <v>2.0952380952380953</v>
      </c>
      <c r="AV54" s="9486">
        <f>IF(HLOOKUP("Apps",A1:CV300,54,FALSE)=0,0,HLOOKUP("Pts",A1:CV300,54,FALSE)/HLOOKUP("Apps",A1:CV300,54,FALSE)* 1)</f>
        <v>2.0952380952380953</v>
      </c>
      <c r="AW54" s="9487">
        <f>IF(HLOOKUP("Mins",A1:CV300,54,FALSE)=0,0,HLOOKUP("Gs",A1:CV300,54,FALSE)/HLOOKUP("Mins",A1:CV300,54,FALSE)* 90)</f>
        <v>0</v>
      </c>
      <c r="AX54" s="9488">
        <f>IF(HLOOKUP("Mins",A1:CV300,54,FALSE)=0,0,HLOOKUP("Bonus",A1:CV300,54,FALSE)/HLOOKUP("Mins",A1:CV300,54,FALSE)* 90)</f>
        <v>4.7619047619047623E-2</v>
      </c>
      <c r="AY54" s="9489">
        <f>IF(HLOOKUP("Mins",A1:CV300,54,FALSE)=0,0,HLOOKUP("BPS",A1:CV300,54,FALSE)/HLOOKUP("Mins",A1:CV300,54,FALSE)* 90)</f>
        <v>16.666666666666664</v>
      </c>
      <c r="AZ54" s="9490">
        <f>IF(HLOOKUP("Mins",A1:CV300,54,FALSE)=0,0,HLOOKUP("Base BPS",A1:CV300,54,FALSE)/HLOOKUP("Mins",A1:CV300,54,FALSE)* 90)</f>
        <v>14.666666666666668</v>
      </c>
      <c r="BA54" s="9491">
        <f>IF(HLOOKUP("Mins",A1:CV300,54,FALSE)=0,0,HLOOKUP("PenTchs",A1:CV300,54,FALSE)/HLOOKUP("Mins",A1:CV300,54,FALSE)* 90)</f>
        <v>0.76190476190476197</v>
      </c>
      <c r="BB54" s="9492">
        <f>IF(HLOOKUP("Mins",A1:CV300,54,FALSE)=0,0,HLOOKUP("Shots",A1:CV300,54,FALSE)/HLOOKUP("Mins",A1:CV300,54,FALSE)* 90)</f>
        <v>0.38095238095238099</v>
      </c>
      <c r="BC54" s="9493">
        <f>IF(HLOOKUP("Mins",A1:CV300,54,FALSE)=0,0,HLOOKUP("SIB",A1:CV300,54,FALSE)/HLOOKUP("Mins",A1:CV300,54,FALSE)* 90)</f>
        <v>0.38095238095238099</v>
      </c>
      <c r="BD54" s="9494">
        <f>IF(HLOOKUP("Mins",A1:CV300,54,FALSE)=0,0,HLOOKUP("S6YD",A1:CV300,54,FALSE)/HLOOKUP("Mins",A1:CV300,54,FALSE)* 90)</f>
        <v>4.7619047619047623E-2</v>
      </c>
      <c r="BE54" s="9495">
        <f>IF(HLOOKUP("Mins",A1:CV300,54,FALSE)=0,0,HLOOKUP("Headers",A1:CV300,54,FALSE)/HLOOKUP("Mins",A1:CV300,54,FALSE)* 90)</f>
        <v>0.2857142857142857</v>
      </c>
      <c r="BF54" s="9496">
        <f>IF(HLOOKUP("Mins",A1:CV300,54,FALSE)=0,0,HLOOKUP("SOT",A1:CV300,54,FALSE)/HLOOKUP("Mins",A1:CV300,54,FALSE)* 90)</f>
        <v>4.7619047619047623E-2</v>
      </c>
      <c r="BG54" s="9497">
        <f>IF(HLOOKUP("Mins",A1:CV300,54,FALSE)=0,0,HLOOKUP("As",A1:CV300,54,FALSE)/HLOOKUP("Mins",A1:CV300,54,FALSE)* 90)</f>
        <v>9.5238095238095247E-2</v>
      </c>
      <c r="BH54" s="9498">
        <f>IF(HLOOKUP("Mins",A1:CV300,54,FALSE)=0,0,HLOOKUP("FPL As",A1:CV300,54,FALSE)/HLOOKUP("Mins",A1:CV300,54,FALSE)* 90)</f>
        <v>9.5238095238095247E-2</v>
      </c>
      <c r="BI54" s="9499">
        <f>IF(HLOOKUP("Mins",A1:CV300,54,FALSE)=0,0,HLOOKUP("BC Created",A1:CV300,54,FALSE)/HLOOKUP("Mins",A1:CV300,54,FALSE)* 90)</f>
        <v>9.5238095238095247E-2</v>
      </c>
      <c r="BJ54" s="9500">
        <f>IF(HLOOKUP("Mins",A1:CV300,54,FALSE)=0,0,HLOOKUP("KP",A1:CV300,54,FALSE)/HLOOKUP("Mins",A1:CV300,54,FALSE)* 90)</f>
        <v>0.4285714285714286</v>
      </c>
      <c r="BK54" s="9501">
        <f>IF(HLOOKUP("Mins",A1:CV300,54,FALSE)=0,0,HLOOKUP("BC",A1:CV300,54,FALSE)/HLOOKUP("Mins",A1:CV300,54,FALSE)* 90)</f>
        <v>0</v>
      </c>
      <c r="BL54" s="9502">
        <f>IF(HLOOKUP("Mins",A1:CV300,54,FALSE)=0,0,HLOOKUP("BC Miss",A1:CV300,54,FALSE)/HLOOKUP("Mins",A1:CV300,54,FALSE)* 90)</f>
        <v>0</v>
      </c>
      <c r="BM54" s="9503">
        <f>IF(HLOOKUP("Mins",A1:CV300,54,FALSE)=0,0,HLOOKUP("Gs - BC",A1:CV300,54,FALSE)/HLOOKUP("Mins",A1:CV300,54,FALSE)* 90)</f>
        <v>0</v>
      </c>
      <c r="BN54" s="9504">
        <f>IF(HLOOKUP("Mins",A1:CV300,54,FALSE)=0,0,HLOOKUP("GIB",A1:CV300,54,FALSE)/HLOOKUP("Mins",A1:CV300,54,FALSE)* 90)</f>
        <v>0</v>
      </c>
      <c r="BO54" s="9505">
        <f>IF(HLOOKUP("Mins",A1:CV300,54,FALSE)=0,0,HLOOKUP("Gs - Open",A1:CV300,54,FALSE)/HLOOKUP("Mins",A1:CV300,54,FALSE)* 90)</f>
        <v>0</v>
      </c>
      <c r="BP54" s="9506">
        <f>IF(HLOOKUP("Mins",A1:CV300,54,FALSE)=0,0,HLOOKUP("ICT Index",A1:CV300,54,FALSE)/HLOOKUP("Mins",A1:CV300,54,FALSE)* 90)</f>
        <v>3.5666666666666669</v>
      </c>
      <c r="BQ54" s="9507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  <v>3.5428571428571427E-2</v>
      </c>
      <c r="BR54" s="9508">
        <f>0.0825*HLOOKUP("KP/90",A1:CV300,54,FALSE)</f>
        <v>3.5357142857142865E-2</v>
      </c>
      <c r="BS54" s="9509">
        <f>6*HLOOKUP("xG/90",A1:CV300,54,FALSE)+3*HLOOKUP("xA/90",A1:CV300,54,FALSE)</f>
        <v>0.31864285714285717</v>
      </c>
      <c r="BT54" s="9510">
        <f>HLOOKUP("xPts/90",A1:CV300,54,FALSE)-(6*0.75*(HLOOKUP("PK Gs",A1:CV300,54,FALSE)+HLOOKUP("PK Miss",A1:CV300,54,FALSE))*90/HLOOKUP("Mins",A1:CV300,54,FALSE))</f>
        <v>0.31864285714285717</v>
      </c>
      <c r="BU54" s="9511">
        <f>IF(HLOOKUP("Mins",A1:CV300,54,FALSE)=0,0,HLOOKUP("fsXG",A1:CV300,54,FALSE)/HLOOKUP("Mins",A1:CV300,54,FALSE)* 90)</f>
        <v>1.7142857142857144E-2</v>
      </c>
      <c r="BV54" s="9512">
        <f>IF(HLOOKUP("Mins",A1:CV300,54,FALSE)=0,0,HLOOKUP("fsXA",A1:CV300,54,FALSE)/HLOOKUP("Mins",A1:CV300,54,FALSE)* 90)</f>
        <v>5.7619047619047618E-2</v>
      </c>
      <c r="BW54" s="9513">
        <f>6*HLOOKUP("fsXG/90",A1:CV300,54,FALSE)+3*HLOOKUP("fsXA/90",A1:CV300,54,FALSE)</f>
        <v>0.27571428571428569</v>
      </c>
      <c r="BX54" s="9514">
        <v>8.6030447855591774E-3</v>
      </c>
      <c r="BY54" s="9515">
        <v>5.4143544286489487E-2</v>
      </c>
      <c r="BZ54" s="9516">
        <f>6*HLOOKUP("uXG/90",A1:CV300,54,FALSE)+3*HLOOKUP("uXA/90",A1:CV300,54,FALSE)</f>
        <v>0.21404890157282352</v>
      </c>
    </row>
    <row r="55" spans="1:78" hidden="1" x14ac:dyDescent="0.3">
      <c r="A55" s="9517" t="s">
        <v>218</v>
      </c>
      <c r="B55" s="9518" t="s">
        <v>147</v>
      </c>
      <c r="C55" s="9519">
        <v>5</v>
      </c>
      <c r="D55" s="9520">
        <v>602</v>
      </c>
      <c r="E55" s="9521">
        <v>11</v>
      </c>
      <c r="F55" s="9522">
        <v>31</v>
      </c>
      <c r="G55" s="9523">
        <v>0</v>
      </c>
      <c r="H55" s="9524">
        <v>3</v>
      </c>
      <c r="I55" s="9525">
        <v>168</v>
      </c>
      <c r="J55" s="9526">
        <f>HLOOKUP("BPS",A1:CV300,55,FALSE)-((-6*HLOOKUP("OG",A1:CV300,55,FALSE))+(-6*HLOOKUP("PK Miss",A1:CV300,55,FALSE))+(9*HLOOKUP("FPL As",A1:CV300,55,FALSE))+(12*HLOOKUP("CS",A1:CV300,55,FALSE))+(12*HLOOKUP("Gs",A1:CV300,55,FALSE)))</f>
        <v>126</v>
      </c>
      <c r="K55" s="9527">
        <v>0</v>
      </c>
      <c r="L55" s="9528">
        <v>2</v>
      </c>
      <c r="M55" s="9529">
        <v>11</v>
      </c>
      <c r="N55" s="9530">
        <v>9</v>
      </c>
      <c r="O55" s="9531">
        <v>4</v>
      </c>
      <c r="P55" s="9532">
        <f>IF(HLOOKUP("Shots",A1:CV300,55,FALSE)=0,0,HLOOKUP("SIB",A1:CV300,55,FALSE)/HLOOKUP("Shots",A1:CV300,55,FALSE))</f>
        <v>0.44444444444444442</v>
      </c>
      <c r="Q55" s="9533">
        <v>0</v>
      </c>
      <c r="R55" s="9534">
        <f>IF(HLOOKUP("Shots",A1:CV300,55,FALSE)=0,0,HLOOKUP("S6YD",A1:CV300,55,FALSE)/HLOOKUP("Shots",A1:CV300,55,FALSE))</f>
        <v>0</v>
      </c>
      <c r="S55" s="9535">
        <v>0</v>
      </c>
      <c r="T55" s="9536">
        <f>IF(HLOOKUP("Shots",A1:CV300,55,FALSE)=0,0,HLOOKUP("Headers",A1:CV300,55,FALSE)/HLOOKUP("Shots",A1:CV300,55,FALSE))</f>
        <v>0</v>
      </c>
      <c r="U55" s="9537">
        <v>1</v>
      </c>
      <c r="V55" s="9538">
        <f>IF(HLOOKUP("Shots",A1:CV300,55,FALSE)=0,0,HLOOKUP("SOT",A1:CV300,55,FALSE)/HLOOKUP("Shots",A1:CV300,55,FALSE))</f>
        <v>0.1111111111111111</v>
      </c>
      <c r="W55" s="9539">
        <f>IF(HLOOKUP("Shots",A1:CV300,55,FALSE)=0,0,HLOOKUP("Gs",A1:CV300,55,FALSE)/HLOOKUP("Shots",A1:CV300,55,FALSE))</f>
        <v>0</v>
      </c>
      <c r="X55" s="9540">
        <v>2</v>
      </c>
      <c r="Y55" s="9541">
        <v>2</v>
      </c>
      <c r="Z55" s="9542">
        <v>7</v>
      </c>
      <c r="AA55" s="9543">
        <f>IF(HLOOKUP("KP",A1:CV300,55,FALSE)=0,0,HLOOKUP("As",A1:CV300,55,FALSE)/HLOOKUP("KP",A1:CV300,55,FALSE))</f>
        <v>0.2857142857142857</v>
      </c>
      <c r="AB55" s="9544">
        <v>37.200000000000003</v>
      </c>
      <c r="AC55" s="9545">
        <v>22</v>
      </c>
      <c r="AD55" s="9546">
        <v>1</v>
      </c>
      <c r="AE55" s="9547">
        <v>0</v>
      </c>
      <c r="AF55" s="9548">
        <v>0</v>
      </c>
      <c r="AG55" s="9549">
        <f>IF(HLOOKUP("BC",A1:CV300,55,FALSE)=0,0,HLOOKUP("Gs - BC",A1:CV300,55,FALSE)/HLOOKUP("BC",A1:CV300,55,FALSE))</f>
        <v>0</v>
      </c>
      <c r="AH55" s="9550">
        <f>HLOOKUP("BC",A1:CV300,55,FALSE) - HLOOKUP("BC Miss",A1:CV300,55,FALSE)</f>
        <v>0</v>
      </c>
      <c r="AI55" s="9551">
        <f>IF(HLOOKUP("Gs",A1:CV300,55,FALSE)=0,0,HLOOKUP("Gs - BC",A1:CV300,55,FALSE)/HLOOKUP("Gs",A1:CV300,55,FALSE))</f>
        <v>0</v>
      </c>
      <c r="AJ55" s="9552">
        <v>0</v>
      </c>
      <c r="AK55" s="9553">
        <v>0</v>
      </c>
      <c r="AL55" s="9554">
        <f>HLOOKUP("BC",A1:CV300,55,FALSE) - (HLOOKUP("PK Gs",A1:CV300,55,FALSE) + HLOOKUP("PK Miss",A1:CV300,55,FALSE))</f>
        <v>0</v>
      </c>
      <c r="AM55" s="9555">
        <f>HLOOKUP("BC Miss",A1:CV300,55,FALSE) - HLOOKUP("PK Miss",A1:CV300,55,FALSE)</f>
        <v>0</v>
      </c>
      <c r="AN55" s="9556">
        <f>IF(HLOOKUP("BC - Open",A1:CV300,55,FALSE)=0,0,HLOOKUP("BC - Open Miss",A1:CV300,55,FALSE)/HLOOKUP("BC - Open",A1:CV300,55,FALSE))</f>
        <v>0</v>
      </c>
      <c r="AO55" s="9557">
        <v>0</v>
      </c>
      <c r="AP55" s="9558">
        <f>IF(HLOOKUP("Gs",A1:CV300,55,FALSE)=0,0,HLOOKUP("GIB",A1:CV300,55,FALSE)/HLOOKUP("Gs",A1:CV300,55,FALSE))</f>
        <v>0</v>
      </c>
      <c r="AQ55" s="9559">
        <v>0</v>
      </c>
      <c r="AR55" s="9560">
        <f>IF(HLOOKUP("Gs",A1:CV300,55,FALSE)=0,0,HLOOKUP("Gs - Open",A1:CV300,55,FALSE)/HLOOKUP("Gs",A1:CV300,55,FALSE))</f>
        <v>0</v>
      </c>
      <c r="AS55" s="9561">
        <v>0.42</v>
      </c>
      <c r="AT55" s="9562">
        <v>1.04</v>
      </c>
      <c r="AU55" s="9563">
        <f>IF(HLOOKUP("Mins",A1:CV300,55,FALSE)=0,0,HLOOKUP("Pts",A1:CV300,55,FALSE)/HLOOKUP("Mins",A1:CV300,55,FALSE)* 90)</f>
        <v>4.6345514950166109</v>
      </c>
      <c r="AV55" s="9564">
        <f>IF(HLOOKUP("Apps",A1:CV300,55,FALSE)=0,0,HLOOKUP("Pts",A1:CV300,55,FALSE)/HLOOKUP("Apps",A1:CV300,55,FALSE)* 1)</f>
        <v>2.8181818181818183</v>
      </c>
      <c r="AW55" s="9565">
        <f>IF(HLOOKUP("Mins",A1:CV300,55,FALSE)=0,0,HLOOKUP("Gs",A1:CV300,55,FALSE)/HLOOKUP("Mins",A1:CV300,55,FALSE)* 90)</f>
        <v>0</v>
      </c>
      <c r="AX55" s="9566">
        <f>IF(HLOOKUP("Mins",A1:CV300,55,FALSE)=0,0,HLOOKUP("Bonus",A1:CV300,55,FALSE)/HLOOKUP("Mins",A1:CV300,55,FALSE)* 90)</f>
        <v>0.44850498338870431</v>
      </c>
      <c r="AY55" s="9567">
        <f>IF(HLOOKUP("Mins",A1:CV300,55,FALSE)=0,0,HLOOKUP("BPS",A1:CV300,55,FALSE)/HLOOKUP("Mins",A1:CV300,55,FALSE)* 90)</f>
        <v>25.11627906976744</v>
      </c>
      <c r="AZ55" s="9568">
        <f>IF(HLOOKUP("Mins",A1:CV300,55,FALSE)=0,0,HLOOKUP("Base BPS",A1:CV300,55,FALSE)/HLOOKUP("Mins",A1:CV300,55,FALSE)* 90)</f>
        <v>18.837209302325583</v>
      </c>
      <c r="BA55" s="9569">
        <f>IF(HLOOKUP("Mins",A1:CV300,55,FALSE)=0,0,HLOOKUP("PenTchs",A1:CV300,55,FALSE)/HLOOKUP("Mins",A1:CV300,55,FALSE)* 90)</f>
        <v>1.6445182724252494</v>
      </c>
      <c r="BB55" s="9570">
        <f>IF(HLOOKUP("Mins",A1:CV300,55,FALSE)=0,0,HLOOKUP("Shots",A1:CV300,55,FALSE)/HLOOKUP("Mins",A1:CV300,55,FALSE)* 90)</f>
        <v>1.345514950166113</v>
      </c>
      <c r="BC55" s="9571">
        <f>IF(HLOOKUP("Mins",A1:CV300,55,FALSE)=0,0,HLOOKUP("SIB",A1:CV300,55,FALSE)/HLOOKUP("Mins",A1:CV300,55,FALSE)* 90)</f>
        <v>0.59800664451827246</v>
      </c>
      <c r="BD55" s="9572">
        <f>IF(HLOOKUP("Mins",A1:CV300,55,FALSE)=0,0,HLOOKUP("S6YD",A1:CV300,55,FALSE)/HLOOKUP("Mins",A1:CV300,55,FALSE)* 90)</f>
        <v>0</v>
      </c>
      <c r="BE55" s="9573">
        <f>IF(HLOOKUP("Mins",A1:CV300,55,FALSE)=0,0,HLOOKUP("Headers",A1:CV300,55,FALSE)/HLOOKUP("Mins",A1:CV300,55,FALSE)* 90)</f>
        <v>0</v>
      </c>
      <c r="BF55" s="9574">
        <f>IF(HLOOKUP("Mins",A1:CV300,55,FALSE)=0,0,HLOOKUP("SOT",A1:CV300,55,FALSE)/HLOOKUP("Mins",A1:CV300,55,FALSE)* 90)</f>
        <v>0.14950166112956811</v>
      </c>
      <c r="BG55" s="9575">
        <f>IF(HLOOKUP("Mins",A1:CV300,55,FALSE)=0,0,HLOOKUP("As",A1:CV300,55,FALSE)/HLOOKUP("Mins",A1:CV300,55,FALSE)* 90)</f>
        <v>0.29900332225913623</v>
      </c>
      <c r="BH55" s="9576">
        <f>IF(HLOOKUP("Mins",A1:CV300,55,FALSE)=0,0,HLOOKUP("FPL As",A1:CV300,55,FALSE)/HLOOKUP("Mins",A1:CV300,55,FALSE)* 90)</f>
        <v>0.29900332225913623</v>
      </c>
      <c r="BI55" s="9577">
        <f>IF(HLOOKUP("Mins",A1:CV300,55,FALSE)=0,0,HLOOKUP("BC Created",A1:CV300,55,FALSE)/HLOOKUP("Mins",A1:CV300,55,FALSE)* 90)</f>
        <v>0.14950166112956811</v>
      </c>
      <c r="BJ55" s="9578">
        <f>IF(HLOOKUP("Mins",A1:CV300,55,FALSE)=0,0,HLOOKUP("KP",A1:CV300,55,FALSE)/HLOOKUP("Mins",A1:CV300,55,FALSE)* 90)</f>
        <v>1.0465116279069768</v>
      </c>
      <c r="BK55" s="9579">
        <f>IF(HLOOKUP("Mins",A1:CV300,55,FALSE)=0,0,HLOOKUP("BC",A1:CV300,55,FALSE)/HLOOKUP("Mins",A1:CV300,55,FALSE)* 90)</f>
        <v>0</v>
      </c>
      <c r="BL55" s="9580">
        <f>IF(HLOOKUP("Mins",A1:CV300,55,FALSE)=0,0,HLOOKUP("BC Miss",A1:CV300,55,FALSE)/HLOOKUP("Mins",A1:CV300,55,FALSE)* 90)</f>
        <v>0</v>
      </c>
      <c r="BM55" s="9581">
        <f>IF(HLOOKUP("Mins",A1:CV300,55,FALSE)=0,0,HLOOKUP("Gs - BC",A1:CV300,55,FALSE)/HLOOKUP("Mins",A1:CV300,55,FALSE)* 90)</f>
        <v>0</v>
      </c>
      <c r="BN55" s="9582">
        <f>IF(HLOOKUP("Mins",A1:CV300,55,FALSE)=0,0,HLOOKUP("GIB",A1:CV300,55,FALSE)/HLOOKUP("Mins",A1:CV300,55,FALSE)* 90)</f>
        <v>0</v>
      </c>
      <c r="BO55" s="9583">
        <f>IF(HLOOKUP("Mins",A1:CV300,55,FALSE)=0,0,HLOOKUP("Gs - Open",A1:CV300,55,FALSE)/HLOOKUP("Mins",A1:CV300,55,FALSE)* 90)</f>
        <v>0</v>
      </c>
      <c r="BP55" s="9584">
        <f>IF(HLOOKUP("Mins",A1:CV300,55,FALSE)=0,0,HLOOKUP("ICT Index",A1:CV300,55,FALSE)/HLOOKUP("Mins",A1:CV300,55,FALSE)* 90)</f>
        <v>5.5614617940199338</v>
      </c>
      <c r="BQ55" s="9585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  <v>7.0564784053156138E-2</v>
      </c>
      <c r="BR55" s="9586">
        <f>0.0825*HLOOKUP("KP/90",A1:CV300,55,FALSE)</f>
        <v>8.6337209302325593E-2</v>
      </c>
      <c r="BS55" s="9587">
        <f>6*HLOOKUP("xG/90",A1:CV300,55,FALSE)+3*HLOOKUP("xA/90",A1:CV300,55,FALSE)</f>
        <v>0.68240033222591356</v>
      </c>
      <c r="BT55" s="9588">
        <f>HLOOKUP("xPts/90",A1:CV300,55,FALSE)-(6*0.75*(HLOOKUP("PK Gs",A1:CV300,55,FALSE)+HLOOKUP("PK Miss",A1:CV300,55,FALSE))*90/HLOOKUP("Mins",A1:CV300,55,FALSE))</f>
        <v>0.68240033222591356</v>
      </c>
      <c r="BU55" s="9589">
        <f>IF(HLOOKUP("Mins",A1:CV300,55,FALSE)=0,0,HLOOKUP("fsXG",A1:CV300,55,FALSE)/HLOOKUP("Mins",A1:CV300,55,FALSE)* 90)</f>
        <v>6.2790697674418611E-2</v>
      </c>
      <c r="BV55" s="9590">
        <f>IF(HLOOKUP("Mins",A1:CV300,55,FALSE)=0,0,HLOOKUP("fsXA",A1:CV300,55,FALSE)/HLOOKUP("Mins",A1:CV300,55,FALSE)* 90)</f>
        <v>0.15548172757475082</v>
      </c>
      <c r="BW55" s="9591">
        <f>6*HLOOKUP("fsXG/90",A1:CV300,55,FALSE)+3*HLOOKUP("fsXA/90",A1:CV300,55,FALSE)</f>
        <v>0.84318936877076411</v>
      </c>
      <c r="BX55" s="9592">
        <v>7.9101033508777618E-2</v>
      </c>
      <c r="BY55" s="9593">
        <v>0.14403605461120605</v>
      </c>
      <c r="BZ55" s="9594">
        <f>6*HLOOKUP("uXG/90",A1:CV300,55,FALSE)+3*HLOOKUP("uXA/90",A1:CV300,55,FALSE)</f>
        <v>0.90671436488628387</v>
      </c>
    </row>
    <row r="56" spans="1:78" hidden="1" x14ac:dyDescent="0.3">
      <c r="A56" s="9595" t="s">
        <v>219</v>
      </c>
      <c r="B56" s="9596" t="s">
        <v>113</v>
      </c>
      <c r="C56" s="9597">
        <v>4.1999998092651367</v>
      </c>
      <c r="D56" s="9598">
        <v>379</v>
      </c>
      <c r="E56" s="9599">
        <v>7</v>
      </c>
      <c r="F56" s="9600">
        <v>8</v>
      </c>
      <c r="G56" s="9601">
        <v>0</v>
      </c>
      <c r="H56" s="9602">
        <v>0</v>
      </c>
      <c r="I56" s="9603">
        <v>64</v>
      </c>
      <c r="J56" s="9604">
        <f>HLOOKUP("BPS",A1:CV300,56,FALSE)-((-6*HLOOKUP("OG",A1:CV300,56,FALSE))+(-6*HLOOKUP("PK Miss",A1:CV300,56,FALSE))+(9*HLOOKUP("FPL As",A1:CV300,56,FALSE))+(12*HLOOKUP("CS",A1:CV300,56,FALSE))+(12*HLOOKUP("Gs",A1:CV300,56,FALSE)))</f>
        <v>64</v>
      </c>
      <c r="K56" s="9605">
        <v>0</v>
      </c>
      <c r="L56" s="9606">
        <v>0</v>
      </c>
      <c r="M56" s="9607">
        <v>5</v>
      </c>
      <c r="N56" s="9608">
        <v>0</v>
      </c>
      <c r="O56" s="9609">
        <v>0</v>
      </c>
      <c r="P56" s="9610">
        <f>IF(HLOOKUP("Shots",A1:CV300,56,FALSE)=0,0,HLOOKUP("SIB",A1:CV300,56,FALSE)/HLOOKUP("Shots",A1:CV300,56,FALSE))</f>
        <v>0</v>
      </c>
      <c r="Q56" s="9611">
        <v>0</v>
      </c>
      <c r="R56" s="9612">
        <f>IF(HLOOKUP("Shots",A1:CV300,56,FALSE)=0,0,HLOOKUP("S6YD",A1:CV300,56,FALSE)/HLOOKUP("Shots",A1:CV300,56,FALSE))</f>
        <v>0</v>
      </c>
      <c r="S56" s="9613">
        <v>0</v>
      </c>
      <c r="T56" s="9614">
        <f>IF(HLOOKUP("Shots",A1:CV300,56,FALSE)=0,0,HLOOKUP("Headers",A1:CV300,56,FALSE)/HLOOKUP("Shots",A1:CV300,56,FALSE))</f>
        <v>0</v>
      </c>
      <c r="U56" s="9615">
        <v>0</v>
      </c>
      <c r="V56" s="9616">
        <f>IF(HLOOKUP("Shots",A1:CV300,56,FALSE)=0,0,HLOOKUP("SOT",A1:CV300,56,FALSE)/HLOOKUP("Shots",A1:CV300,56,FALSE))</f>
        <v>0</v>
      </c>
      <c r="W56" s="9617">
        <f>IF(HLOOKUP("Shots",A1:CV300,56,FALSE)=0,0,HLOOKUP("Gs",A1:CV300,56,FALSE)/HLOOKUP("Shots",A1:CV300,56,FALSE))</f>
        <v>0</v>
      </c>
      <c r="X56" s="9618">
        <v>0</v>
      </c>
      <c r="Y56" s="9619">
        <v>0</v>
      </c>
      <c r="Z56" s="9620">
        <v>1</v>
      </c>
      <c r="AA56" s="9621">
        <f>IF(HLOOKUP("KP",A1:CV300,56,FALSE)=0,0,HLOOKUP("As",A1:CV300,56,FALSE)/HLOOKUP("KP",A1:CV300,56,FALSE))</f>
        <v>0</v>
      </c>
      <c r="AB56" s="9622">
        <v>11.1</v>
      </c>
      <c r="AC56" s="9623">
        <v>0</v>
      </c>
      <c r="AD56" s="9624">
        <v>0</v>
      </c>
      <c r="AE56" s="9625">
        <v>0</v>
      </c>
      <c r="AF56" s="9626">
        <v>0</v>
      </c>
      <c r="AG56" s="9627">
        <f>IF(HLOOKUP("BC",A1:CV300,56,FALSE)=0,0,HLOOKUP("Gs - BC",A1:CV300,56,FALSE)/HLOOKUP("BC",A1:CV300,56,FALSE))</f>
        <v>0</v>
      </c>
      <c r="AH56" s="9628">
        <f>HLOOKUP("BC",A1:CV300,56,FALSE) - HLOOKUP("BC Miss",A1:CV300,56,FALSE)</f>
        <v>0</v>
      </c>
      <c r="AI56" s="9629">
        <f>IF(HLOOKUP("Gs",A1:CV300,56,FALSE)=0,0,HLOOKUP("Gs - BC",A1:CV300,56,FALSE)/HLOOKUP("Gs",A1:CV300,56,FALSE))</f>
        <v>0</v>
      </c>
      <c r="AJ56" s="9630">
        <v>0</v>
      </c>
      <c r="AK56" s="9631">
        <v>0</v>
      </c>
      <c r="AL56" s="9632">
        <f>HLOOKUP("BC",A1:CV300,56,FALSE) - (HLOOKUP("PK Gs",A1:CV300,56,FALSE) + HLOOKUP("PK Miss",A1:CV300,56,FALSE))</f>
        <v>0</v>
      </c>
      <c r="AM56" s="9633">
        <f>HLOOKUP("BC Miss",A1:CV300,56,FALSE) - HLOOKUP("PK Miss",A1:CV300,56,FALSE)</f>
        <v>0</v>
      </c>
      <c r="AN56" s="9634">
        <f>IF(HLOOKUP("BC - Open",A1:CV300,56,FALSE)=0,0,HLOOKUP("BC - Open Miss",A1:CV300,56,FALSE)/HLOOKUP("BC - Open",A1:CV300,56,FALSE))</f>
        <v>0</v>
      </c>
      <c r="AO56" s="9635">
        <v>0</v>
      </c>
      <c r="AP56" s="9636">
        <f>IF(HLOOKUP("Gs",A1:CV300,56,FALSE)=0,0,HLOOKUP("GIB",A1:CV300,56,FALSE)/HLOOKUP("Gs",A1:CV300,56,FALSE))</f>
        <v>0</v>
      </c>
      <c r="AQ56" s="9637">
        <v>0</v>
      </c>
      <c r="AR56" s="9638">
        <f>IF(HLOOKUP("Gs",A1:CV300,56,FALSE)=0,0,HLOOKUP("Gs - Open",A1:CV300,56,FALSE)/HLOOKUP("Gs",A1:CV300,56,FALSE))</f>
        <v>0</v>
      </c>
      <c r="AS56" s="9639">
        <v>0</v>
      </c>
      <c r="AT56" s="9640">
        <v>0.2</v>
      </c>
      <c r="AU56" s="9641">
        <f>IF(HLOOKUP("Mins",A1:CV300,56,FALSE)=0,0,HLOOKUP("Pts",A1:CV300,56,FALSE)/HLOOKUP("Mins",A1:CV300,56,FALSE)* 90)</f>
        <v>1.8997361477572559</v>
      </c>
      <c r="AV56" s="9642">
        <f>IF(HLOOKUP("Apps",A1:CV300,56,FALSE)=0,0,HLOOKUP("Pts",A1:CV300,56,FALSE)/HLOOKUP("Apps",A1:CV300,56,FALSE)* 1)</f>
        <v>1.1428571428571428</v>
      </c>
      <c r="AW56" s="9643">
        <f>IF(HLOOKUP("Mins",A1:CV300,56,FALSE)=0,0,HLOOKUP("Gs",A1:CV300,56,FALSE)/HLOOKUP("Mins",A1:CV300,56,FALSE)* 90)</f>
        <v>0</v>
      </c>
      <c r="AX56" s="9644">
        <f>IF(HLOOKUP("Mins",A1:CV300,56,FALSE)=0,0,HLOOKUP("Bonus",A1:CV300,56,FALSE)/HLOOKUP("Mins",A1:CV300,56,FALSE)* 90)</f>
        <v>0</v>
      </c>
      <c r="AY56" s="9645">
        <f>IF(HLOOKUP("Mins",A1:CV300,56,FALSE)=0,0,HLOOKUP("BPS",A1:CV300,56,FALSE)/HLOOKUP("Mins",A1:CV300,56,FALSE)* 90)</f>
        <v>15.197889182058047</v>
      </c>
      <c r="AZ56" s="9646">
        <f>IF(HLOOKUP("Mins",A1:CV300,56,FALSE)=0,0,HLOOKUP("Base BPS",A1:CV300,56,FALSE)/HLOOKUP("Mins",A1:CV300,56,FALSE)* 90)</f>
        <v>15.197889182058047</v>
      </c>
      <c r="BA56" s="9647">
        <f>IF(HLOOKUP("Mins",A1:CV300,56,FALSE)=0,0,HLOOKUP("PenTchs",A1:CV300,56,FALSE)/HLOOKUP("Mins",A1:CV300,56,FALSE)* 90)</f>
        <v>1.187335092348285</v>
      </c>
      <c r="BB56" s="9648">
        <f>IF(HLOOKUP("Mins",A1:CV300,56,FALSE)=0,0,HLOOKUP("Shots",A1:CV300,56,FALSE)/HLOOKUP("Mins",A1:CV300,56,FALSE)* 90)</f>
        <v>0</v>
      </c>
      <c r="BC56" s="9649">
        <f>IF(HLOOKUP("Mins",A1:CV300,56,FALSE)=0,0,HLOOKUP("SIB",A1:CV300,56,FALSE)/HLOOKUP("Mins",A1:CV300,56,FALSE)* 90)</f>
        <v>0</v>
      </c>
      <c r="BD56" s="9650">
        <f>IF(HLOOKUP("Mins",A1:CV300,56,FALSE)=0,0,HLOOKUP("S6YD",A1:CV300,56,FALSE)/HLOOKUP("Mins",A1:CV300,56,FALSE)* 90)</f>
        <v>0</v>
      </c>
      <c r="BE56" s="9651">
        <f>IF(HLOOKUP("Mins",A1:CV300,56,FALSE)=0,0,HLOOKUP("Headers",A1:CV300,56,FALSE)/HLOOKUP("Mins",A1:CV300,56,FALSE)* 90)</f>
        <v>0</v>
      </c>
      <c r="BF56" s="9652">
        <f>IF(HLOOKUP("Mins",A1:CV300,56,FALSE)=0,0,HLOOKUP("SOT",A1:CV300,56,FALSE)/HLOOKUP("Mins",A1:CV300,56,FALSE)* 90)</f>
        <v>0</v>
      </c>
      <c r="BG56" s="9653">
        <f>IF(HLOOKUP("Mins",A1:CV300,56,FALSE)=0,0,HLOOKUP("As",A1:CV300,56,FALSE)/HLOOKUP("Mins",A1:CV300,56,FALSE)* 90)</f>
        <v>0</v>
      </c>
      <c r="BH56" s="9654">
        <f>IF(HLOOKUP("Mins",A1:CV300,56,FALSE)=0,0,HLOOKUP("FPL As",A1:CV300,56,FALSE)/HLOOKUP("Mins",A1:CV300,56,FALSE)* 90)</f>
        <v>0</v>
      </c>
      <c r="BI56" s="9655">
        <f>IF(HLOOKUP("Mins",A1:CV300,56,FALSE)=0,0,HLOOKUP("BC Created",A1:CV300,56,FALSE)/HLOOKUP("Mins",A1:CV300,56,FALSE)* 90)</f>
        <v>0</v>
      </c>
      <c r="BJ56" s="9656">
        <f>IF(HLOOKUP("Mins",A1:CV300,56,FALSE)=0,0,HLOOKUP("KP",A1:CV300,56,FALSE)/HLOOKUP("Mins",A1:CV300,56,FALSE)* 90)</f>
        <v>0.23746701846965698</v>
      </c>
      <c r="BK56" s="9657">
        <f>IF(HLOOKUP("Mins",A1:CV300,56,FALSE)=0,0,HLOOKUP("BC",A1:CV300,56,FALSE)/HLOOKUP("Mins",A1:CV300,56,FALSE)* 90)</f>
        <v>0</v>
      </c>
      <c r="BL56" s="9658">
        <f>IF(HLOOKUP("Mins",A1:CV300,56,FALSE)=0,0,HLOOKUP("BC Miss",A1:CV300,56,FALSE)/HLOOKUP("Mins",A1:CV300,56,FALSE)* 90)</f>
        <v>0</v>
      </c>
      <c r="BM56" s="9659">
        <f>IF(HLOOKUP("Mins",A1:CV300,56,FALSE)=0,0,HLOOKUP("Gs - BC",A1:CV300,56,FALSE)/HLOOKUP("Mins",A1:CV300,56,FALSE)* 90)</f>
        <v>0</v>
      </c>
      <c r="BN56" s="9660">
        <f>IF(HLOOKUP("Mins",A1:CV300,56,FALSE)=0,0,HLOOKUP("GIB",A1:CV300,56,FALSE)/HLOOKUP("Mins",A1:CV300,56,FALSE)* 90)</f>
        <v>0</v>
      </c>
      <c r="BO56" s="9661">
        <f>IF(HLOOKUP("Mins",A1:CV300,56,FALSE)=0,0,HLOOKUP("Gs - Open",A1:CV300,56,FALSE)/HLOOKUP("Mins",A1:CV300,56,FALSE)* 90)</f>
        <v>0</v>
      </c>
      <c r="BP56" s="9662">
        <f>IF(HLOOKUP("Mins",A1:CV300,56,FALSE)=0,0,HLOOKUP("ICT Index",A1:CV300,56,FALSE)/HLOOKUP("Mins",A1:CV300,56,FALSE)* 90)</f>
        <v>2.6358839050131926</v>
      </c>
      <c r="BQ56" s="9663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  <v>0</v>
      </c>
      <c r="BR56" s="9664">
        <f>0.0825*HLOOKUP("KP/90",A1:CV300,56,FALSE)</f>
        <v>1.9591029023746702E-2</v>
      </c>
      <c r="BS56" s="9665">
        <f>6*HLOOKUP("xG/90",A1:CV300,56,FALSE)+3*HLOOKUP("xA/90",A1:CV300,56,FALSE)</f>
        <v>5.8773087071240106E-2</v>
      </c>
      <c r="BT56" s="9666">
        <f>HLOOKUP("xPts/90",A1:CV300,56,FALSE)-(6*0.75*(HLOOKUP("PK Gs",A1:CV300,56,FALSE)+HLOOKUP("PK Miss",A1:CV300,56,FALSE))*90/HLOOKUP("Mins",A1:CV300,56,FALSE))</f>
        <v>5.8773087071240106E-2</v>
      </c>
      <c r="BU56" s="9667">
        <f>IF(HLOOKUP("Mins",A1:CV300,56,FALSE)=0,0,HLOOKUP("fsXG",A1:CV300,56,FALSE)/HLOOKUP("Mins",A1:CV300,56,FALSE)* 90)</f>
        <v>0</v>
      </c>
      <c r="BV56" s="9668">
        <f>IF(HLOOKUP("Mins",A1:CV300,56,FALSE)=0,0,HLOOKUP("fsXA",A1:CV300,56,FALSE)/HLOOKUP("Mins",A1:CV300,56,FALSE)* 90)</f>
        <v>4.7493403693931395E-2</v>
      </c>
      <c r="BW56" s="9669">
        <f>6*HLOOKUP("fsXG/90",A1:CV300,56,FALSE)+3*HLOOKUP("fsXA/90",A1:CV300,56,FALSE)</f>
        <v>0.14248021108179418</v>
      </c>
      <c r="BX56" s="9670">
        <v>0</v>
      </c>
      <c r="BY56" s="9671">
        <v>1.8280999734997749E-2</v>
      </c>
      <c r="BZ56" s="9672">
        <f>6*HLOOKUP("uXG/90",A1:CV300,56,FALSE)+3*HLOOKUP("uXA/90",A1:CV300,56,FALSE)</f>
        <v>5.4842999204993248E-2</v>
      </c>
    </row>
    <row r="57" spans="1:78" hidden="1" x14ac:dyDescent="0.3">
      <c r="A57" s="9673" t="s">
        <v>220</v>
      </c>
      <c r="B57" s="9674" t="s">
        <v>91</v>
      </c>
      <c r="C57" s="9675">
        <v>4.4000000953674316</v>
      </c>
      <c r="D57" s="9676">
        <v>997</v>
      </c>
      <c r="E57" s="9677">
        <v>13</v>
      </c>
      <c r="F57" s="9678">
        <v>16</v>
      </c>
      <c r="G57" s="9679">
        <v>0</v>
      </c>
      <c r="H57" s="9680">
        <v>0</v>
      </c>
      <c r="I57" s="9681">
        <v>140</v>
      </c>
      <c r="J57" s="9682">
        <f>HLOOKUP("BPS",A1:CV300,57,FALSE)-((-6*HLOOKUP("OG",A1:CV300,57,FALSE))+(-6*HLOOKUP("PK Miss",A1:CV300,57,FALSE))+(9*HLOOKUP("FPL As",A1:CV300,57,FALSE))+(12*HLOOKUP("CS",A1:CV300,57,FALSE))+(12*HLOOKUP("Gs",A1:CV300,57,FALSE)))</f>
        <v>128</v>
      </c>
      <c r="K57" s="9683">
        <v>0</v>
      </c>
      <c r="L57" s="9684">
        <v>1</v>
      </c>
      <c r="M57" s="9685">
        <v>28</v>
      </c>
      <c r="N57" s="9686">
        <v>11</v>
      </c>
      <c r="O57" s="9687">
        <v>10</v>
      </c>
      <c r="P57" s="9688">
        <f>IF(HLOOKUP("Shots",A1:CV300,57,FALSE)=0,0,HLOOKUP("SIB",A1:CV300,57,FALSE)/HLOOKUP("Shots",A1:CV300,57,FALSE))</f>
        <v>0.90909090909090906</v>
      </c>
      <c r="Q57" s="9689">
        <v>2</v>
      </c>
      <c r="R57" s="9690">
        <f>IF(HLOOKUP("Shots",A1:CV300,57,FALSE)=0,0,HLOOKUP("S6YD",A1:CV300,57,FALSE)/HLOOKUP("Shots",A1:CV300,57,FALSE))</f>
        <v>0.18181818181818182</v>
      </c>
      <c r="S57" s="9691">
        <v>5</v>
      </c>
      <c r="T57" s="9692">
        <f>IF(HLOOKUP("Shots",A1:CV300,57,FALSE)=0,0,HLOOKUP("Headers",A1:CV300,57,FALSE)/HLOOKUP("Shots",A1:CV300,57,FALSE))</f>
        <v>0.45454545454545453</v>
      </c>
      <c r="U57" s="9693">
        <v>1</v>
      </c>
      <c r="V57" s="9694">
        <f>IF(HLOOKUP("Shots",A1:CV300,57,FALSE)=0,0,HLOOKUP("SOT",A1:CV300,57,FALSE)/HLOOKUP("Shots",A1:CV300,57,FALSE))</f>
        <v>9.0909090909090912E-2</v>
      </c>
      <c r="W57" s="9695">
        <f>IF(HLOOKUP("Shots",A1:CV300,57,FALSE)=0,0,HLOOKUP("Gs",A1:CV300,57,FALSE)/HLOOKUP("Shots",A1:CV300,57,FALSE))</f>
        <v>0</v>
      </c>
      <c r="X57" s="9696">
        <v>0</v>
      </c>
      <c r="Y57" s="9697">
        <v>0</v>
      </c>
      <c r="Z57" s="9698">
        <v>3</v>
      </c>
      <c r="AA57" s="9699">
        <f>IF(HLOOKUP("KP",A1:CV300,57,FALSE)=0,0,HLOOKUP("As",A1:CV300,57,FALSE)/HLOOKUP("KP",A1:CV300,57,FALSE))</f>
        <v>0</v>
      </c>
      <c r="AB57" s="9700">
        <v>43.7</v>
      </c>
      <c r="AC57" s="9701">
        <v>0</v>
      </c>
      <c r="AD57" s="9702">
        <v>0</v>
      </c>
      <c r="AE57" s="9703">
        <v>3</v>
      </c>
      <c r="AF57" s="9704">
        <v>3</v>
      </c>
      <c r="AG57" s="9705">
        <f>IF(HLOOKUP("BC",A1:CV300,57,FALSE)=0,0,HLOOKUP("Gs - BC",A1:CV300,57,FALSE)/HLOOKUP("BC",A1:CV300,57,FALSE))</f>
        <v>0</v>
      </c>
      <c r="AH57" s="9706">
        <f>HLOOKUP("BC",A1:CV300,57,FALSE) - HLOOKUP("BC Miss",A1:CV300,57,FALSE)</f>
        <v>0</v>
      </c>
      <c r="AI57" s="9707">
        <f>IF(HLOOKUP("Gs",A1:CV300,57,FALSE)=0,0,HLOOKUP("Gs - BC",A1:CV300,57,FALSE)/HLOOKUP("Gs",A1:CV300,57,FALSE))</f>
        <v>0</v>
      </c>
      <c r="AJ57" s="9708">
        <v>0</v>
      </c>
      <c r="AK57" s="9709">
        <v>0</v>
      </c>
      <c r="AL57" s="9710">
        <f>HLOOKUP("BC",A1:CV300,57,FALSE) - (HLOOKUP("PK Gs",A1:CV300,57,FALSE) + HLOOKUP("PK Miss",A1:CV300,57,FALSE))</f>
        <v>3</v>
      </c>
      <c r="AM57" s="9711">
        <f>HLOOKUP("BC Miss",A1:CV300,57,FALSE) - HLOOKUP("PK Miss",A1:CV300,57,FALSE)</f>
        <v>3</v>
      </c>
      <c r="AN57" s="9712">
        <f>IF(HLOOKUP("BC - Open",A1:CV300,57,FALSE)=0,0,HLOOKUP("BC - Open Miss",A1:CV300,57,FALSE)/HLOOKUP("BC - Open",A1:CV300,57,FALSE))</f>
        <v>1</v>
      </c>
      <c r="AO57" s="9713">
        <v>0</v>
      </c>
      <c r="AP57" s="9714">
        <f>IF(HLOOKUP("Gs",A1:CV300,57,FALSE)=0,0,HLOOKUP("GIB",A1:CV300,57,FALSE)/HLOOKUP("Gs",A1:CV300,57,FALSE))</f>
        <v>0</v>
      </c>
      <c r="AQ57" s="9715">
        <v>0</v>
      </c>
      <c r="AR57" s="9716">
        <f>IF(HLOOKUP("Gs",A1:CV300,57,FALSE)=0,0,HLOOKUP("Gs - Open",A1:CV300,57,FALSE)/HLOOKUP("Gs",A1:CV300,57,FALSE))</f>
        <v>0</v>
      </c>
      <c r="AS57" s="9717">
        <v>1.02</v>
      </c>
      <c r="AT57" s="9718">
        <v>0.39</v>
      </c>
      <c r="AU57" s="9719">
        <f>IF(HLOOKUP("Mins",A1:CV300,57,FALSE)=0,0,HLOOKUP("Pts",A1:CV300,57,FALSE)/HLOOKUP("Mins",A1:CV300,57,FALSE)* 90)</f>
        <v>1.4443329989969911</v>
      </c>
      <c r="AV57" s="9720">
        <f>IF(HLOOKUP("Apps",A1:CV300,57,FALSE)=0,0,HLOOKUP("Pts",A1:CV300,57,FALSE)/HLOOKUP("Apps",A1:CV300,57,FALSE)* 1)</f>
        <v>1.2307692307692308</v>
      </c>
      <c r="AW57" s="9721">
        <f>IF(HLOOKUP("Mins",A1:CV300,57,FALSE)=0,0,HLOOKUP("Gs",A1:CV300,57,FALSE)/HLOOKUP("Mins",A1:CV300,57,FALSE)* 90)</f>
        <v>0</v>
      </c>
      <c r="AX57" s="9722">
        <f>IF(HLOOKUP("Mins",A1:CV300,57,FALSE)=0,0,HLOOKUP("Bonus",A1:CV300,57,FALSE)/HLOOKUP("Mins",A1:CV300,57,FALSE)* 90)</f>
        <v>0</v>
      </c>
      <c r="AY57" s="9723">
        <f>IF(HLOOKUP("Mins",A1:CV300,57,FALSE)=0,0,HLOOKUP("BPS",A1:CV300,57,FALSE)/HLOOKUP("Mins",A1:CV300,57,FALSE)* 90)</f>
        <v>12.637913741223672</v>
      </c>
      <c r="AZ57" s="9724">
        <f>IF(HLOOKUP("Mins",A1:CV300,57,FALSE)=0,0,HLOOKUP("Base BPS",A1:CV300,57,FALSE)/HLOOKUP("Mins",A1:CV300,57,FALSE)* 90)</f>
        <v>11.554663991975929</v>
      </c>
      <c r="BA57" s="9725">
        <f>IF(HLOOKUP("Mins",A1:CV300,57,FALSE)=0,0,HLOOKUP("PenTchs",A1:CV300,57,FALSE)/HLOOKUP("Mins",A1:CV300,57,FALSE)* 90)</f>
        <v>2.5275827482447344</v>
      </c>
      <c r="BB57" s="9726">
        <f>IF(HLOOKUP("Mins",A1:CV300,57,FALSE)=0,0,HLOOKUP("Shots",A1:CV300,57,FALSE)/HLOOKUP("Mins",A1:CV300,57,FALSE)* 90)</f>
        <v>0.99297893681043137</v>
      </c>
      <c r="BC57" s="9727">
        <f>IF(HLOOKUP("Mins",A1:CV300,57,FALSE)=0,0,HLOOKUP("SIB",A1:CV300,57,FALSE)/HLOOKUP("Mins",A1:CV300,57,FALSE)* 90)</f>
        <v>0.90270812437311931</v>
      </c>
      <c r="BD57" s="9728">
        <f>IF(HLOOKUP("Mins",A1:CV300,57,FALSE)=0,0,HLOOKUP("S6YD",A1:CV300,57,FALSE)/HLOOKUP("Mins",A1:CV300,57,FALSE)* 90)</f>
        <v>0.18054162487462388</v>
      </c>
      <c r="BE57" s="9729">
        <f>IF(HLOOKUP("Mins",A1:CV300,57,FALSE)=0,0,HLOOKUP("Headers",A1:CV300,57,FALSE)/HLOOKUP("Mins",A1:CV300,57,FALSE)* 90)</f>
        <v>0.45135406218655966</v>
      </c>
      <c r="BF57" s="9730">
        <f>IF(HLOOKUP("Mins",A1:CV300,57,FALSE)=0,0,HLOOKUP("SOT",A1:CV300,57,FALSE)/HLOOKUP("Mins",A1:CV300,57,FALSE)* 90)</f>
        <v>9.0270812437311942E-2</v>
      </c>
      <c r="BG57" s="9731">
        <f>IF(HLOOKUP("Mins",A1:CV300,57,FALSE)=0,0,HLOOKUP("As",A1:CV300,57,FALSE)/HLOOKUP("Mins",A1:CV300,57,FALSE)* 90)</f>
        <v>0</v>
      </c>
      <c r="BH57" s="9732">
        <f>IF(HLOOKUP("Mins",A1:CV300,57,FALSE)=0,0,HLOOKUP("FPL As",A1:CV300,57,FALSE)/HLOOKUP("Mins",A1:CV300,57,FALSE)* 90)</f>
        <v>0</v>
      </c>
      <c r="BI57" s="9733">
        <f>IF(HLOOKUP("Mins",A1:CV300,57,FALSE)=0,0,HLOOKUP("BC Created",A1:CV300,57,FALSE)/HLOOKUP("Mins",A1:CV300,57,FALSE)* 90)</f>
        <v>0</v>
      </c>
      <c r="BJ57" s="9734">
        <f>IF(HLOOKUP("Mins",A1:CV300,57,FALSE)=0,0,HLOOKUP("KP",A1:CV300,57,FALSE)/HLOOKUP("Mins",A1:CV300,57,FALSE)* 90)</f>
        <v>0.27081243731193577</v>
      </c>
      <c r="BK57" s="9735">
        <f>IF(HLOOKUP("Mins",A1:CV300,57,FALSE)=0,0,HLOOKUP("BC",A1:CV300,57,FALSE)/HLOOKUP("Mins",A1:CV300,57,FALSE)* 90)</f>
        <v>0.27081243731193577</v>
      </c>
      <c r="BL57" s="9736">
        <f>IF(HLOOKUP("Mins",A1:CV300,57,FALSE)=0,0,HLOOKUP("BC Miss",A1:CV300,57,FALSE)/HLOOKUP("Mins",A1:CV300,57,FALSE)* 90)</f>
        <v>0.27081243731193577</v>
      </c>
      <c r="BM57" s="9737">
        <f>IF(HLOOKUP("Mins",A1:CV300,57,FALSE)=0,0,HLOOKUP("Gs - BC",A1:CV300,57,FALSE)/HLOOKUP("Mins",A1:CV300,57,FALSE)* 90)</f>
        <v>0</v>
      </c>
      <c r="BN57" s="9738">
        <f>IF(HLOOKUP("Mins",A1:CV300,57,FALSE)=0,0,HLOOKUP("GIB",A1:CV300,57,FALSE)/HLOOKUP("Mins",A1:CV300,57,FALSE)* 90)</f>
        <v>0</v>
      </c>
      <c r="BO57" s="9739">
        <f>IF(HLOOKUP("Mins",A1:CV300,57,FALSE)=0,0,HLOOKUP("Gs - Open",A1:CV300,57,FALSE)/HLOOKUP("Mins",A1:CV300,57,FALSE)* 90)</f>
        <v>0</v>
      </c>
      <c r="BP57" s="9740">
        <f>IF(HLOOKUP("Mins",A1:CV300,57,FALSE)=0,0,HLOOKUP("ICT Index",A1:CV300,57,FALSE)/HLOOKUP("Mins",A1:CV300,57,FALSE)* 90)</f>
        <v>3.9448345035105321</v>
      </c>
      <c r="BQ57" s="9741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  <v>8.5757271815446331E-2</v>
      </c>
      <c r="BR57" s="9742">
        <f>0.0825*HLOOKUP("KP/90",A1:CV300,57,FALSE)</f>
        <v>2.2342026078234701E-2</v>
      </c>
      <c r="BS57" s="9743">
        <f>6*HLOOKUP("xG/90",A1:CV300,57,FALSE)+3*HLOOKUP("xA/90",A1:CV300,57,FALSE)</f>
        <v>0.58156970912738204</v>
      </c>
      <c r="BT57" s="9744">
        <f>HLOOKUP("xPts/90",A1:CV300,57,FALSE)-(6*0.75*(HLOOKUP("PK Gs",A1:CV300,57,FALSE)+HLOOKUP("PK Miss",A1:CV300,57,FALSE))*90/HLOOKUP("Mins",A1:CV300,57,FALSE))</f>
        <v>0.58156970912738204</v>
      </c>
      <c r="BU57" s="9745">
        <f>IF(HLOOKUP("Mins",A1:CV300,57,FALSE)=0,0,HLOOKUP("fsXG",A1:CV300,57,FALSE)/HLOOKUP("Mins",A1:CV300,57,FALSE)* 90)</f>
        <v>9.2076228686058179E-2</v>
      </c>
      <c r="BV57" s="9746">
        <f>IF(HLOOKUP("Mins",A1:CV300,57,FALSE)=0,0,HLOOKUP("fsXA",A1:CV300,57,FALSE)/HLOOKUP("Mins",A1:CV300,57,FALSE)* 90)</f>
        <v>3.5205616850551652E-2</v>
      </c>
      <c r="BW57" s="9747">
        <f>6*HLOOKUP("fsXG/90",A1:CV300,57,FALSE)+3*HLOOKUP("fsXA/90",A1:CV300,57,FALSE)</f>
        <v>0.65807422266800397</v>
      </c>
      <c r="BX57" s="9748">
        <v>0.13654397428035736</v>
      </c>
      <c r="BY57" s="9749">
        <v>1.6622055321931839E-2</v>
      </c>
      <c r="BZ57" s="9750">
        <f>6*HLOOKUP("uXG/90",A1:CV300,57,FALSE)+3*HLOOKUP("uXA/90",A1:CV300,57,FALSE)</f>
        <v>0.86913001164793968</v>
      </c>
    </row>
    <row r="58" spans="1:78" x14ac:dyDescent="0.3">
      <c r="A58" s="9751" t="s">
        <v>221</v>
      </c>
      <c r="B58" s="9752" t="s">
        <v>109</v>
      </c>
      <c r="C58" s="9753">
        <v>4.8000001907348633</v>
      </c>
      <c r="D58" s="9754">
        <v>891</v>
      </c>
      <c r="E58" s="9755">
        <v>13</v>
      </c>
      <c r="F58" s="9756">
        <v>31</v>
      </c>
      <c r="G58" s="9757">
        <v>1</v>
      </c>
      <c r="H58" s="9758">
        <v>0</v>
      </c>
      <c r="I58" s="9759">
        <v>158</v>
      </c>
      <c r="J58" s="9760">
        <f>HLOOKUP("BPS",A1:CV300,58,FALSE)-((-6*HLOOKUP("OG",A1:CV300,58,FALSE))+(-6*HLOOKUP("PK Miss",A1:CV300,58,FALSE))+(9*HLOOKUP("FPL As",A1:CV300,58,FALSE))+(12*HLOOKUP("CS",A1:CV300,58,FALSE))+(12*HLOOKUP("Gs",A1:CV300,58,FALSE)))</f>
        <v>122</v>
      </c>
      <c r="K58" s="9761">
        <v>0</v>
      </c>
      <c r="L58" s="9762">
        <v>2</v>
      </c>
      <c r="M58" s="9763">
        <v>14</v>
      </c>
      <c r="N58" s="9764">
        <v>5</v>
      </c>
      <c r="O58" s="9765">
        <v>4</v>
      </c>
      <c r="P58" s="9766">
        <f>IF(HLOOKUP("Shots",A1:CV300,58,FALSE)=0,0,HLOOKUP("SIB",A1:CV300,58,FALSE)/HLOOKUP("Shots",A1:CV300,58,FALSE))</f>
        <v>0.8</v>
      </c>
      <c r="Q58" s="9767">
        <v>2</v>
      </c>
      <c r="R58" s="9768">
        <f>IF(HLOOKUP("Shots",A1:CV300,58,FALSE)=0,0,HLOOKUP("S6YD",A1:CV300,58,FALSE)/HLOOKUP("Shots",A1:CV300,58,FALSE))</f>
        <v>0.4</v>
      </c>
      <c r="S58" s="9769">
        <v>2</v>
      </c>
      <c r="T58" s="9770">
        <f>IF(HLOOKUP("Shots",A1:CV300,58,FALSE)=0,0,HLOOKUP("Headers",A1:CV300,58,FALSE)/HLOOKUP("Shots",A1:CV300,58,FALSE))</f>
        <v>0.4</v>
      </c>
      <c r="U58" s="9771">
        <v>1</v>
      </c>
      <c r="V58" s="9772">
        <f>IF(HLOOKUP("Shots",A1:CV300,58,FALSE)=0,0,HLOOKUP("SOT",A1:CV300,58,FALSE)/HLOOKUP("Shots",A1:CV300,58,FALSE))</f>
        <v>0.2</v>
      </c>
      <c r="W58" s="9773">
        <f>IF(HLOOKUP("Shots",A1:CV300,58,FALSE)=0,0,HLOOKUP("Gs",A1:CV300,58,FALSE)/HLOOKUP("Shots",A1:CV300,58,FALSE))</f>
        <v>0.2</v>
      </c>
      <c r="X58" s="9774">
        <v>0</v>
      </c>
      <c r="Y58" s="9775">
        <v>0</v>
      </c>
      <c r="Z58" s="9776">
        <v>1</v>
      </c>
      <c r="AA58" s="9777">
        <f>IF(HLOOKUP("KP",A1:CV300,58,FALSE)=0,0,HLOOKUP("As",A1:CV300,58,FALSE)/HLOOKUP("KP",A1:CV300,58,FALSE))</f>
        <v>0</v>
      </c>
      <c r="AB58" s="9778">
        <v>27.3</v>
      </c>
      <c r="AC58" s="9779">
        <v>9</v>
      </c>
      <c r="AD58" s="9780">
        <v>0</v>
      </c>
      <c r="AE58" s="9781">
        <v>2</v>
      </c>
      <c r="AF58" s="9782">
        <v>1</v>
      </c>
      <c r="AG58" s="9783">
        <f>IF(HLOOKUP("BC",A1:CV300,58,FALSE)=0,0,HLOOKUP("Gs - BC",A1:CV300,58,FALSE)/HLOOKUP("BC",A1:CV300,58,FALSE))</f>
        <v>0.5</v>
      </c>
      <c r="AH58" s="9784">
        <f>HLOOKUP("BC",A1:CV300,58,FALSE) - HLOOKUP("BC Miss",A1:CV300,58,FALSE)</f>
        <v>1</v>
      </c>
      <c r="AI58" s="9785">
        <f>IF(HLOOKUP("Gs",A1:CV300,58,FALSE)=0,0,HLOOKUP("Gs - BC",A1:CV300,58,FALSE)/HLOOKUP("Gs",A1:CV300,58,FALSE))</f>
        <v>1</v>
      </c>
      <c r="AJ58" s="9786">
        <v>0</v>
      </c>
      <c r="AK58" s="9787">
        <v>0</v>
      </c>
      <c r="AL58" s="9788">
        <f>HLOOKUP("BC",A1:CV300,58,FALSE) - (HLOOKUP("PK Gs",A1:CV300,58,FALSE) + HLOOKUP("PK Miss",A1:CV300,58,FALSE))</f>
        <v>2</v>
      </c>
      <c r="AM58" s="9789">
        <f>HLOOKUP("BC Miss",A1:CV300,58,FALSE) - HLOOKUP("PK Miss",A1:CV300,58,FALSE)</f>
        <v>1</v>
      </c>
      <c r="AN58" s="9790">
        <f>IF(HLOOKUP("BC - Open",A1:CV300,58,FALSE)=0,0,HLOOKUP("BC - Open Miss",A1:CV300,58,FALSE)/HLOOKUP("BC - Open",A1:CV300,58,FALSE))</f>
        <v>0.5</v>
      </c>
      <c r="AO58" s="9791">
        <v>1</v>
      </c>
      <c r="AP58" s="9792">
        <f>IF(HLOOKUP("Gs",A1:CV300,58,FALSE)=0,0,HLOOKUP("GIB",A1:CV300,58,FALSE)/HLOOKUP("Gs",A1:CV300,58,FALSE))</f>
        <v>1</v>
      </c>
      <c r="AQ58" s="9793">
        <v>0</v>
      </c>
      <c r="AR58" s="9794">
        <f>IF(HLOOKUP("Gs",A1:CV300,58,FALSE)=0,0,HLOOKUP("Gs - Open",A1:CV300,58,FALSE)/HLOOKUP("Gs",A1:CV300,58,FALSE))</f>
        <v>0</v>
      </c>
      <c r="AS58" s="9795">
        <v>0.97</v>
      </c>
      <c r="AT58" s="9796">
        <v>0.09</v>
      </c>
      <c r="AU58" s="9797">
        <f>IF(HLOOKUP("Mins",A1:CV300,58,FALSE)=0,0,HLOOKUP("Pts",A1:CV300,58,FALSE)/HLOOKUP("Mins",A1:CV300,58,FALSE)* 90)</f>
        <v>3.1313131313131315</v>
      </c>
      <c r="AV58" s="9798">
        <f>IF(HLOOKUP("Apps",A1:CV300,58,FALSE)=0,0,HLOOKUP("Pts",A1:CV300,58,FALSE)/HLOOKUP("Apps",A1:CV300,58,FALSE)* 1)</f>
        <v>2.3846153846153846</v>
      </c>
      <c r="AW58" s="9799">
        <f>IF(HLOOKUP("Mins",A1:CV300,58,FALSE)=0,0,HLOOKUP("Gs",A1:CV300,58,FALSE)/HLOOKUP("Mins",A1:CV300,58,FALSE)* 90)</f>
        <v>0.10101010101010102</v>
      </c>
      <c r="AX58" s="9800">
        <f>IF(HLOOKUP("Mins",A1:CV300,58,FALSE)=0,0,HLOOKUP("Bonus",A1:CV300,58,FALSE)/HLOOKUP("Mins",A1:CV300,58,FALSE)* 90)</f>
        <v>0</v>
      </c>
      <c r="AY58" s="9801">
        <f>IF(HLOOKUP("Mins",A1:CV300,58,FALSE)=0,0,HLOOKUP("BPS",A1:CV300,58,FALSE)/HLOOKUP("Mins",A1:CV300,58,FALSE)* 90)</f>
        <v>15.95959595959596</v>
      </c>
      <c r="AZ58" s="9802">
        <f>IF(HLOOKUP("Mins",A1:CV300,58,FALSE)=0,0,HLOOKUP("Base BPS",A1:CV300,58,FALSE)/HLOOKUP("Mins",A1:CV300,58,FALSE)* 90)</f>
        <v>12.323232323232322</v>
      </c>
      <c r="BA58" s="9803">
        <f>IF(HLOOKUP("Mins",A1:CV300,58,FALSE)=0,0,HLOOKUP("PenTchs",A1:CV300,58,FALSE)/HLOOKUP("Mins",A1:CV300,58,FALSE)* 90)</f>
        <v>1.4141414141414144</v>
      </c>
      <c r="BB58" s="9804">
        <f>IF(HLOOKUP("Mins",A1:CV300,58,FALSE)=0,0,HLOOKUP("Shots",A1:CV300,58,FALSE)/HLOOKUP("Mins",A1:CV300,58,FALSE)* 90)</f>
        <v>0.50505050505050497</v>
      </c>
      <c r="BC58" s="9805">
        <f>IF(HLOOKUP("Mins",A1:CV300,58,FALSE)=0,0,HLOOKUP("SIB",A1:CV300,58,FALSE)/HLOOKUP("Mins",A1:CV300,58,FALSE)* 90)</f>
        <v>0.40404040404040409</v>
      </c>
      <c r="BD58" s="9806">
        <f>IF(HLOOKUP("Mins",A1:CV300,58,FALSE)=0,0,HLOOKUP("S6YD",A1:CV300,58,FALSE)/HLOOKUP("Mins",A1:CV300,58,FALSE)* 90)</f>
        <v>0.20202020202020204</v>
      </c>
      <c r="BE58" s="9807">
        <f>IF(HLOOKUP("Mins",A1:CV300,58,FALSE)=0,0,HLOOKUP("Headers",A1:CV300,58,FALSE)/HLOOKUP("Mins",A1:CV300,58,FALSE)* 90)</f>
        <v>0.20202020202020204</v>
      </c>
      <c r="BF58" s="9808">
        <f>IF(HLOOKUP("Mins",A1:CV300,58,FALSE)=0,0,HLOOKUP("SOT",A1:CV300,58,FALSE)/HLOOKUP("Mins",A1:CV300,58,FALSE)* 90)</f>
        <v>0.10101010101010102</v>
      </c>
      <c r="BG58" s="9809">
        <f>IF(HLOOKUP("Mins",A1:CV300,58,FALSE)=0,0,HLOOKUP("As",A1:CV300,58,FALSE)/HLOOKUP("Mins",A1:CV300,58,FALSE)* 90)</f>
        <v>0</v>
      </c>
      <c r="BH58" s="9810">
        <f>IF(HLOOKUP("Mins",A1:CV300,58,FALSE)=0,0,HLOOKUP("FPL As",A1:CV300,58,FALSE)/HLOOKUP("Mins",A1:CV300,58,FALSE)* 90)</f>
        <v>0</v>
      </c>
      <c r="BI58" s="9811">
        <f>IF(HLOOKUP("Mins",A1:CV300,58,FALSE)=0,0,HLOOKUP("BC Created",A1:CV300,58,FALSE)/HLOOKUP("Mins",A1:CV300,58,FALSE)* 90)</f>
        <v>0</v>
      </c>
      <c r="BJ58" s="9812">
        <f>IF(HLOOKUP("Mins",A1:CV300,58,FALSE)=0,0,HLOOKUP("KP",A1:CV300,58,FALSE)/HLOOKUP("Mins",A1:CV300,58,FALSE)* 90)</f>
        <v>0.10101010101010102</v>
      </c>
      <c r="BK58" s="9813">
        <f>IF(HLOOKUP("Mins",A1:CV300,58,FALSE)=0,0,HLOOKUP("BC",A1:CV300,58,FALSE)/HLOOKUP("Mins",A1:CV300,58,FALSE)* 90)</f>
        <v>0.20202020202020204</v>
      </c>
      <c r="BL58" s="9814">
        <f>IF(HLOOKUP("Mins",A1:CV300,58,FALSE)=0,0,HLOOKUP("BC Miss",A1:CV300,58,FALSE)/HLOOKUP("Mins",A1:CV300,58,FALSE)* 90)</f>
        <v>0.10101010101010102</v>
      </c>
      <c r="BM58" s="9815">
        <f>IF(HLOOKUP("Mins",A1:CV300,58,FALSE)=0,0,HLOOKUP("Gs - BC",A1:CV300,58,FALSE)/HLOOKUP("Mins",A1:CV300,58,FALSE)* 90)</f>
        <v>0.10101010101010102</v>
      </c>
      <c r="BN58" s="9816">
        <f>IF(HLOOKUP("Mins",A1:CV300,58,FALSE)=0,0,HLOOKUP("GIB",A1:CV300,58,FALSE)/HLOOKUP("Mins",A1:CV300,58,FALSE)* 90)</f>
        <v>0.10101010101010102</v>
      </c>
      <c r="BO58" s="9817">
        <f>IF(HLOOKUP("Mins",A1:CV300,58,FALSE)=0,0,HLOOKUP("Gs - Open",A1:CV300,58,FALSE)/HLOOKUP("Mins",A1:CV300,58,FALSE)* 90)</f>
        <v>0</v>
      </c>
      <c r="BP58" s="9818">
        <f>IF(HLOOKUP("Mins",A1:CV300,58,FALSE)=0,0,HLOOKUP("ICT Index",A1:CV300,58,FALSE)/HLOOKUP("Mins",A1:CV300,58,FALSE)* 90)</f>
        <v>2.7575757575757578</v>
      </c>
      <c r="BQ58" s="9819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  <v>3.9595959595959601E-2</v>
      </c>
      <c r="BR58" s="9820">
        <f>0.0825*HLOOKUP("KP/90",A1:CV300,58,FALSE)</f>
        <v>8.333333333333335E-3</v>
      </c>
      <c r="BS58" s="9821">
        <f>6*HLOOKUP("xG/90",A1:CV300,58,FALSE)+3*HLOOKUP("xA/90",A1:CV300,58,FALSE)</f>
        <v>0.26257575757575763</v>
      </c>
      <c r="BT58" s="9822">
        <f>HLOOKUP("xPts/90",A1:CV300,58,FALSE)-(6*0.75*(HLOOKUP("PK Gs",A1:CV300,58,FALSE)+HLOOKUP("PK Miss",A1:CV300,58,FALSE))*90/HLOOKUP("Mins",A1:CV300,58,FALSE))</f>
        <v>0.26257575757575763</v>
      </c>
      <c r="BU58" s="9823">
        <f>IF(HLOOKUP("Mins",A1:CV300,58,FALSE)=0,0,HLOOKUP("fsXG",A1:CV300,58,FALSE)/HLOOKUP("Mins",A1:CV300,58,FALSE)* 90)</f>
        <v>9.7979797979797986E-2</v>
      </c>
      <c r="BV58" s="9824">
        <f>IF(HLOOKUP("Mins",A1:CV300,58,FALSE)=0,0,HLOOKUP("fsXA",A1:CV300,58,FALSE)/HLOOKUP("Mins",A1:CV300,58,FALSE)* 90)</f>
        <v>9.0909090909090905E-3</v>
      </c>
      <c r="BW58" s="9825">
        <f>6*HLOOKUP("fsXG/90",A1:CV300,58,FALSE)+3*HLOOKUP("fsXA/90",A1:CV300,58,FALSE)</f>
        <v>0.61515151515151512</v>
      </c>
      <c r="BX58" s="9826">
        <v>0.11964903026819229</v>
      </c>
      <c r="BY58" s="9827">
        <v>3.5168803296983242E-3</v>
      </c>
      <c r="BZ58" s="9828">
        <f>6*HLOOKUP("uXG/90",A1:CV300,58,FALSE)+3*HLOOKUP("uXA/90",A1:CV300,58,FALSE)</f>
        <v>0.72844482259824872</v>
      </c>
    </row>
    <row r="59" spans="1:78" hidden="1" x14ac:dyDescent="0.3">
      <c r="A59" s="9829" t="s">
        <v>222</v>
      </c>
      <c r="B59" s="9830" t="s">
        <v>98</v>
      </c>
      <c r="C59" s="9831">
        <v>4.1999998092651367</v>
      </c>
      <c r="D59" s="9832">
        <v>276</v>
      </c>
      <c r="E59" s="9833">
        <v>6</v>
      </c>
      <c r="F59" s="9834">
        <v>9</v>
      </c>
      <c r="G59" s="9835">
        <v>0</v>
      </c>
      <c r="H59" s="9836">
        <v>0</v>
      </c>
      <c r="I59" s="9837">
        <v>46</v>
      </c>
      <c r="J59" s="9838">
        <f>HLOOKUP("BPS",A1:CV300,59,FALSE)-((-6*HLOOKUP("OG",A1:CV300,59,FALSE))+(-6*HLOOKUP("PK Miss",A1:CV300,59,FALSE))+(9*HLOOKUP("FPL As",A1:CV300,59,FALSE))+(12*HLOOKUP("CS",A1:CV300,59,FALSE))+(12*HLOOKUP("Gs",A1:CV300,59,FALSE)))</f>
        <v>25</v>
      </c>
      <c r="K59" s="9839">
        <v>0</v>
      </c>
      <c r="L59" s="9840">
        <v>1</v>
      </c>
      <c r="M59" s="9841">
        <v>2</v>
      </c>
      <c r="N59" s="9842">
        <v>1</v>
      </c>
      <c r="O59" s="9843">
        <v>1</v>
      </c>
      <c r="P59" s="9844">
        <f>IF(HLOOKUP("Shots",A1:CV300,59,FALSE)=0,0,HLOOKUP("SIB",A1:CV300,59,FALSE)/HLOOKUP("Shots",A1:CV300,59,FALSE))</f>
        <v>1</v>
      </c>
      <c r="Q59" s="9845">
        <v>0</v>
      </c>
      <c r="R59" s="9846">
        <f>IF(HLOOKUP("Shots",A1:CV300,59,FALSE)=0,0,HLOOKUP("S6YD",A1:CV300,59,FALSE)/HLOOKUP("Shots",A1:CV300,59,FALSE))</f>
        <v>0</v>
      </c>
      <c r="S59" s="9847">
        <v>1</v>
      </c>
      <c r="T59" s="9848">
        <f>IF(HLOOKUP("Shots",A1:CV300,59,FALSE)=0,0,HLOOKUP("Headers",A1:CV300,59,FALSE)/HLOOKUP("Shots",A1:CV300,59,FALSE))</f>
        <v>1</v>
      </c>
      <c r="U59" s="9849">
        <v>0</v>
      </c>
      <c r="V59" s="9850">
        <f>IF(HLOOKUP("Shots",A1:CV300,59,FALSE)=0,0,HLOOKUP("SOT",A1:CV300,59,FALSE)/HLOOKUP("Shots",A1:CV300,59,FALSE))</f>
        <v>0</v>
      </c>
      <c r="W59" s="9851">
        <f>IF(HLOOKUP("Shots",A1:CV300,59,FALSE)=0,0,HLOOKUP("Gs",A1:CV300,59,FALSE)/HLOOKUP("Shots",A1:CV300,59,FALSE))</f>
        <v>0</v>
      </c>
      <c r="X59" s="9852">
        <v>1</v>
      </c>
      <c r="Y59" s="9853">
        <v>1</v>
      </c>
      <c r="Z59" s="9854">
        <v>2</v>
      </c>
      <c r="AA59" s="9855">
        <f>IF(HLOOKUP("KP",A1:CV300,59,FALSE)=0,0,HLOOKUP("As",A1:CV300,59,FALSE)/HLOOKUP("KP",A1:CV300,59,FALSE))</f>
        <v>0.5</v>
      </c>
      <c r="AB59" s="9856">
        <v>9</v>
      </c>
      <c r="AC59" s="9857">
        <v>33</v>
      </c>
      <c r="AD59" s="9858">
        <v>0</v>
      </c>
      <c r="AE59" s="9859">
        <v>0</v>
      </c>
      <c r="AF59" s="9860">
        <v>0</v>
      </c>
      <c r="AG59" s="9861">
        <f>IF(HLOOKUP("BC",A1:CV300,59,FALSE)=0,0,HLOOKUP("Gs - BC",A1:CV300,59,FALSE)/HLOOKUP("BC",A1:CV300,59,FALSE))</f>
        <v>0</v>
      </c>
      <c r="AH59" s="9862">
        <f>HLOOKUP("BC",A1:CV300,59,FALSE) - HLOOKUP("BC Miss",A1:CV300,59,FALSE)</f>
        <v>0</v>
      </c>
      <c r="AI59" s="9863">
        <f>IF(HLOOKUP("Gs",A1:CV300,59,FALSE)=0,0,HLOOKUP("Gs - BC",A1:CV300,59,FALSE)/HLOOKUP("Gs",A1:CV300,59,FALSE))</f>
        <v>0</v>
      </c>
      <c r="AJ59" s="9864">
        <v>0</v>
      </c>
      <c r="AK59" s="9865">
        <v>0</v>
      </c>
      <c r="AL59" s="9866">
        <f>HLOOKUP("BC",A1:CV300,59,FALSE) - (HLOOKUP("PK Gs",A1:CV300,59,FALSE) + HLOOKUP("PK Miss",A1:CV300,59,FALSE))</f>
        <v>0</v>
      </c>
      <c r="AM59" s="9867">
        <f>HLOOKUP("BC Miss",A1:CV300,59,FALSE) - HLOOKUP("PK Miss",A1:CV300,59,FALSE)</f>
        <v>0</v>
      </c>
      <c r="AN59" s="9868">
        <f>IF(HLOOKUP("BC - Open",A1:CV300,59,FALSE)=0,0,HLOOKUP("BC - Open Miss",A1:CV300,59,FALSE)/HLOOKUP("BC - Open",A1:CV300,59,FALSE))</f>
        <v>0</v>
      </c>
      <c r="AO59" s="9869">
        <v>0</v>
      </c>
      <c r="AP59" s="9870">
        <f>IF(HLOOKUP("Gs",A1:CV300,59,FALSE)=0,0,HLOOKUP("GIB",A1:CV300,59,FALSE)/HLOOKUP("Gs",A1:CV300,59,FALSE))</f>
        <v>0</v>
      </c>
      <c r="AQ59" s="9871">
        <v>0</v>
      </c>
      <c r="AR59" s="9872">
        <f>IF(HLOOKUP("Gs",A1:CV300,59,FALSE)=0,0,HLOOKUP("Gs - Open",A1:CV300,59,FALSE)/HLOOKUP("Gs",A1:CV300,59,FALSE))</f>
        <v>0</v>
      </c>
      <c r="AS59" s="9873">
        <v>0.06</v>
      </c>
      <c r="AT59" s="9874">
        <v>0.05</v>
      </c>
      <c r="AU59" s="9875">
        <f>IF(HLOOKUP("Mins",A1:CV300,59,FALSE)=0,0,HLOOKUP("Pts",A1:CV300,59,FALSE)/HLOOKUP("Mins",A1:CV300,59,FALSE)* 90)</f>
        <v>2.9347826086956519</v>
      </c>
      <c r="AV59" s="9876">
        <f>IF(HLOOKUP("Apps",A1:CV300,59,FALSE)=0,0,HLOOKUP("Pts",A1:CV300,59,FALSE)/HLOOKUP("Apps",A1:CV300,59,FALSE)* 1)</f>
        <v>1.5</v>
      </c>
      <c r="AW59" s="9877">
        <f>IF(HLOOKUP("Mins",A1:CV300,59,FALSE)=0,0,HLOOKUP("Gs",A1:CV300,59,FALSE)/HLOOKUP("Mins",A1:CV300,59,FALSE)* 90)</f>
        <v>0</v>
      </c>
      <c r="AX59" s="9878">
        <f>IF(HLOOKUP("Mins",A1:CV300,59,FALSE)=0,0,HLOOKUP("Bonus",A1:CV300,59,FALSE)/HLOOKUP("Mins",A1:CV300,59,FALSE)* 90)</f>
        <v>0</v>
      </c>
      <c r="AY59" s="9879">
        <f>IF(HLOOKUP("Mins",A1:CV300,59,FALSE)=0,0,HLOOKUP("BPS",A1:CV300,59,FALSE)/HLOOKUP("Mins",A1:CV300,59,FALSE)* 90)</f>
        <v>15</v>
      </c>
      <c r="AZ59" s="9880">
        <f>IF(HLOOKUP("Mins",A1:CV300,59,FALSE)=0,0,HLOOKUP("Base BPS",A1:CV300,59,FALSE)/HLOOKUP("Mins",A1:CV300,59,FALSE)* 90)</f>
        <v>8.1521739130434785</v>
      </c>
      <c r="BA59" s="9881">
        <f>IF(HLOOKUP("Mins",A1:CV300,59,FALSE)=0,0,HLOOKUP("PenTchs",A1:CV300,59,FALSE)/HLOOKUP("Mins",A1:CV300,59,FALSE)* 90)</f>
        <v>0.65217391304347827</v>
      </c>
      <c r="BB59" s="9882">
        <f>IF(HLOOKUP("Mins",A1:CV300,59,FALSE)=0,0,HLOOKUP("Shots",A1:CV300,59,FALSE)/HLOOKUP("Mins",A1:CV300,59,FALSE)* 90)</f>
        <v>0.32608695652173914</v>
      </c>
      <c r="BC59" s="9883">
        <f>IF(HLOOKUP("Mins",A1:CV300,59,FALSE)=0,0,HLOOKUP("SIB",A1:CV300,59,FALSE)/HLOOKUP("Mins",A1:CV300,59,FALSE)* 90)</f>
        <v>0.32608695652173914</v>
      </c>
      <c r="BD59" s="9884">
        <f>IF(HLOOKUP("Mins",A1:CV300,59,FALSE)=0,0,HLOOKUP("S6YD",A1:CV300,59,FALSE)/HLOOKUP("Mins",A1:CV300,59,FALSE)* 90)</f>
        <v>0</v>
      </c>
      <c r="BE59" s="9885">
        <f>IF(HLOOKUP("Mins",A1:CV300,59,FALSE)=0,0,HLOOKUP("Headers",A1:CV300,59,FALSE)/HLOOKUP("Mins",A1:CV300,59,FALSE)* 90)</f>
        <v>0.32608695652173914</v>
      </c>
      <c r="BF59" s="9886">
        <f>IF(HLOOKUP("Mins",A1:CV300,59,FALSE)=0,0,HLOOKUP("SOT",A1:CV300,59,FALSE)/HLOOKUP("Mins",A1:CV300,59,FALSE)* 90)</f>
        <v>0</v>
      </c>
      <c r="BG59" s="9887">
        <f>IF(HLOOKUP("Mins",A1:CV300,59,FALSE)=0,0,HLOOKUP("As",A1:CV300,59,FALSE)/HLOOKUP("Mins",A1:CV300,59,FALSE)* 90)</f>
        <v>0.32608695652173914</v>
      </c>
      <c r="BH59" s="9888">
        <f>IF(HLOOKUP("Mins",A1:CV300,59,FALSE)=0,0,HLOOKUP("FPL As",A1:CV300,59,FALSE)/HLOOKUP("Mins",A1:CV300,59,FALSE)* 90)</f>
        <v>0.32608695652173914</v>
      </c>
      <c r="BI59" s="9889">
        <f>IF(HLOOKUP("Mins",A1:CV300,59,FALSE)=0,0,HLOOKUP("BC Created",A1:CV300,59,FALSE)/HLOOKUP("Mins",A1:CV300,59,FALSE)* 90)</f>
        <v>0</v>
      </c>
      <c r="BJ59" s="9890">
        <f>IF(HLOOKUP("Mins",A1:CV300,59,FALSE)=0,0,HLOOKUP("KP",A1:CV300,59,FALSE)/HLOOKUP("Mins",A1:CV300,59,FALSE)* 90)</f>
        <v>0.65217391304347827</v>
      </c>
      <c r="BK59" s="9891">
        <f>IF(HLOOKUP("Mins",A1:CV300,59,FALSE)=0,0,HLOOKUP("BC",A1:CV300,59,FALSE)/HLOOKUP("Mins",A1:CV300,59,FALSE)* 90)</f>
        <v>0</v>
      </c>
      <c r="BL59" s="9892">
        <f>IF(HLOOKUP("Mins",A1:CV300,59,FALSE)=0,0,HLOOKUP("BC Miss",A1:CV300,59,FALSE)/HLOOKUP("Mins",A1:CV300,59,FALSE)* 90)</f>
        <v>0</v>
      </c>
      <c r="BM59" s="9893">
        <f>IF(HLOOKUP("Mins",A1:CV300,59,FALSE)=0,0,HLOOKUP("Gs - BC",A1:CV300,59,FALSE)/HLOOKUP("Mins",A1:CV300,59,FALSE)* 90)</f>
        <v>0</v>
      </c>
      <c r="BN59" s="9894">
        <f>IF(HLOOKUP("Mins",A1:CV300,59,FALSE)=0,0,HLOOKUP("GIB",A1:CV300,59,FALSE)/HLOOKUP("Mins",A1:CV300,59,FALSE)* 90)</f>
        <v>0</v>
      </c>
      <c r="BO59" s="9895">
        <f>IF(HLOOKUP("Mins",A1:CV300,59,FALSE)=0,0,HLOOKUP("Gs - Open",A1:CV300,59,FALSE)/HLOOKUP("Mins",A1:CV300,59,FALSE)* 90)</f>
        <v>0</v>
      </c>
      <c r="BP59" s="9896">
        <f>IF(HLOOKUP("Mins",A1:CV300,59,FALSE)=0,0,HLOOKUP("ICT Index",A1:CV300,59,FALSE)/HLOOKUP("Mins",A1:CV300,59,FALSE)* 90)</f>
        <v>2.9347826086956519</v>
      </c>
      <c r="BQ59" s="9897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  <v>3.0326086956521739E-2</v>
      </c>
      <c r="BR59" s="9898">
        <f>0.0825*HLOOKUP("KP/90",A1:CV300,59,FALSE)</f>
        <v>5.3804347826086958E-2</v>
      </c>
      <c r="BS59" s="9899">
        <f>6*HLOOKUP("xG/90",A1:CV300,59,FALSE)+3*HLOOKUP("xA/90",A1:CV300,59,FALSE)</f>
        <v>0.34336956521739131</v>
      </c>
      <c r="BT59" s="9900">
        <f>HLOOKUP("xPts/90",A1:CV300,59,FALSE)-(6*0.75*(HLOOKUP("PK Gs",A1:CV300,59,FALSE)+HLOOKUP("PK Miss",A1:CV300,59,FALSE))*90/HLOOKUP("Mins",A1:CV300,59,FALSE))</f>
        <v>0.34336956521739131</v>
      </c>
      <c r="BU59" s="9901">
        <f>IF(HLOOKUP("Mins",A1:CV300,59,FALSE)=0,0,HLOOKUP("fsXG",A1:CV300,59,FALSE)/HLOOKUP("Mins",A1:CV300,59,FALSE)* 90)</f>
        <v>1.9565217391304346E-2</v>
      </c>
      <c r="BV59" s="9902">
        <f>IF(HLOOKUP("Mins",A1:CV300,59,FALSE)=0,0,HLOOKUP("fsXA",A1:CV300,59,FALSE)/HLOOKUP("Mins",A1:CV300,59,FALSE)* 90)</f>
        <v>1.6304347826086956E-2</v>
      </c>
      <c r="BW59" s="9903">
        <f>6*HLOOKUP("fsXG/90",A1:CV300,59,FALSE)+3*HLOOKUP("fsXA/90",A1:CV300,59,FALSE)</f>
        <v>0.16630434782608694</v>
      </c>
      <c r="BX59" s="9904">
        <v>2.5832286104559898E-2</v>
      </c>
      <c r="BY59" s="9905">
        <v>2.6132496073842049E-2</v>
      </c>
      <c r="BZ59" s="9906">
        <f>6*HLOOKUP("uXG/90",A1:CV300,59,FALSE)+3*HLOOKUP("uXA/90",A1:CV300,59,FALSE)</f>
        <v>0.23339120484888554</v>
      </c>
    </row>
    <row r="60" spans="1:78" hidden="1" x14ac:dyDescent="0.3">
      <c r="A60" s="9907" t="s">
        <v>223</v>
      </c>
      <c r="B60" s="9908" t="s">
        <v>79</v>
      </c>
      <c r="C60" s="9909">
        <v>5.6999998092651367</v>
      </c>
      <c r="D60" s="9910">
        <v>1710</v>
      </c>
      <c r="E60" s="9911">
        <v>19</v>
      </c>
      <c r="F60" s="9912">
        <v>54</v>
      </c>
      <c r="G60" s="9913">
        <v>2</v>
      </c>
      <c r="H60" s="9914">
        <v>6</v>
      </c>
      <c r="I60" s="9915">
        <v>303</v>
      </c>
      <c r="J60" s="9916">
        <f>HLOOKUP("BPS",A1:CV300,60,FALSE)-((-6*HLOOKUP("OG",A1:CV300,60,FALSE))+(-6*HLOOKUP("PK Miss",A1:CV300,60,FALSE))+(9*HLOOKUP("FPL As",A1:CV300,60,FALSE))+(12*HLOOKUP("CS",A1:CV300,60,FALSE))+(12*HLOOKUP("Gs",A1:CV300,60,FALSE)))</f>
        <v>243</v>
      </c>
      <c r="K60" s="9917">
        <v>0</v>
      </c>
      <c r="L60" s="9918">
        <v>3</v>
      </c>
      <c r="M60" s="9919">
        <v>12</v>
      </c>
      <c r="N60" s="9920">
        <v>17</v>
      </c>
      <c r="O60" s="9921">
        <v>9</v>
      </c>
      <c r="P60" s="9922">
        <f>IF(HLOOKUP("Shots",A1:CV300,60,FALSE)=0,0,HLOOKUP("SIB",A1:CV300,60,FALSE)/HLOOKUP("Shots",A1:CV300,60,FALSE))</f>
        <v>0.52941176470588236</v>
      </c>
      <c r="Q60" s="9923">
        <v>2</v>
      </c>
      <c r="R60" s="9924">
        <f>IF(HLOOKUP("Shots",A1:CV300,60,FALSE)=0,0,HLOOKUP("S6YD",A1:CV300,60,FALSE)/HLOOKUP("Shots",A1:CV300,60,FALSE))</f>
        <v>0.11764705882352941</v>
      </c>
      <c r="S60" s="9925">
        <v>4</v>
      </c>
      <c r="T60" s="9926">
        <f>IF(HLOOKUP("Shots",A1:CV300,60,FALSE)=0,0,HLOOKUP("Headers",A1:CV300,60,FALSE)/HLOOKUP("Shots",A1:CV300,60,FALSE))</f>
        <v>0.23529411764705882</v>
      </c>
      <c r="U60" s="9927">
        <v>6</v>
      </c>
      <c r="V60" s="9928">
        <f>IF(HLOOKUP("Shots",A1:CV300,60,FALSE)=0,0,HLOOKUP("SOT",A1:CV300,60,FALSE)/HLOOKUP("Shots",A1:CV300,60,FALSE))</f>
        <v>0.35294117647058826</v>
      </c>
      <c r="W60" s="9929">
        <f>IF(HLOOKUP("Shots",A1:CV300,60,FALSE)=0,0,HLOOKUP("Gs",A1:CV300,60,FALSE)/HLOOKUP("Shots",A1:CV300,60,FALSE))</f>
        <v>0.11764705882352941</v>
      </c>
      <c r="X60" s="9930">
        <v>0</v>
      </c>
      <c r="Y60" s="9931">
        <v>0</v>
      </c>
      <c r="Z60" s="9932">
        <v>2</v>
      </c>
      <c r="AA60" s="9933">
        <f>IF(HLOOKUP("KP",A1:CV300,60,FALSE)=0,0,HLOOKUP("As",A1:CV300,60,FALSE)/HLOOKUP("KP",A1:CV300,60,FALSE))</f>
        <v>0</v>
      </c>
      <c r="AB60" s="9934">
        <v>68</v>
      </c>
      <c r="AC60" s="9935">
        <v>8</v>
      </c>
      <c r="AD60" s="9936">
        <v>0</v>
      </c>
      <c r="AE60" s="9937">
        <v>1</v>
      </c>
      <c r="AF60" s="9938">
        <v>0</v>
      </c>
      <c r="AG60" s="9939">
        <f>IF(HLOOKUP("BC",A1:CV300,60,FALSE)=0,0,HLOOKUP("Gs - BC",A1:CV300,60,FALSE)/HLOOKUP("BC",A1:CV300,60,FALSE))</f>
        <v>1</v>
      </c>
      <c r="AH60" s="9940">
        <f>HLOOKUP("BC",A1:CV300,60,FALSE) - HLOOKUP("BC Miss",A1:CV300,60,FALSE)</f>
        <v>1</v>
      </c>
      <c r="AI60" s="9941">
        <f>IF(HLOOKUP("Gs",A1:CV300,60,FALSE)=0,0,HLOOKUP("Gs - BC",A1:CV300,60,FALSE)/HLOOKUP("Gs",A1:CV300,60,FALSE))</f>
        <v>0.5</v>
      </c>
      <c r="AJ60" s="9942">
        <v>0</v>
      </c>
      <c r="AK60" s="9943">
        <v>0</v>
      </c>
      <c r="AL60" s="9944">
        <f>HLOOKUP("BC",A1:CV300,60,FALSE) - (HLOOKUP("PK Gs",A1:CV300,60,FALSE) + HLOOKUP("PK Miss",A1:CV300,60,FALSE))</f>
        <v>1</v>
      </c>
      <c r="AM60" s="9945">
        <f>HLOOKUP("BC Miss",A1:CV300,60,FALSE) - HLOOKUP("PK Miss",A1:CV300,60,FALSE)</f>
        <v>0</v>
      </c>
      <c r="AN60" s="9946">
        <f>IF(HLOOKUP("BC - Open",A1:CV300,60,FALSE)=0,0,HLOOKUP("BC - Open Miss",A1:CV300,60,FALSE)/HLOOKUP("BC - Open",A1:CV300,60,FALSE))</f>
        <v>0</v>
      </c>
      <c r="AO60" s="9947">
        <v>2</v>
      </c>
      <c r="AP60" s="9948">
        <f>IF(HLOOKUP("Gs",A1:CV300,60,FALSE)=0,0,HLOOKUP("GIB",A1:CV300,60,FALSE)/HLOOKUP("Gs",A1:CV300,60,FALSE))</f>
        <v>1</v>
      </c>
      <c r="AQ60" s="9949">
        <v>0</v>
      </c>
      <c r="AR60" s="9950">
        <f>IF(HLOOKUP("Gs",A1:CV300,60,FALSE)=0,0,HLOOKUP("Gs - Open",A1:CV300,60,FALSE)/HLOOKUP("Gs",A1:CV300,60,FALSE))</f>
        <v>0</v>
      </c>
      <c r="AS60" s="9951">
        <v>1.35</v>
      </c>
      <c r="AT60" s="9952">
        <v>0.83</v>
      </c>
      <c r="AU60" s="9953">
        <f>IF(HLOOKUP("Mins",A1:CV300,60,FALSE)=0,0,HLOOKUP("Pts",A1:CV300,60,FALSE)/HLOOKUP("Mins",A1:CV300,60,FALSE)* 90)</f>
        <v>2.8421052631578947</v>
      </c>
      <c r="AV60" s="9954">
        <f>IF(HLOOKUP("Apps",A1:CV300,60,FALSE)=0,0,HLOOKUP("Pts",A1:CV300,60,FALSE)/HLOOKUP("Apps",A1:CV300,60,FALSE)* 1)</f>
        <v>2.8421052631578947</v>
      </c>
      <c r="AW60" s="9955">
        <f>IF(HLOOKUP("Mins",A1:CV300,60,FALSE)=0,0,HLOOKUP("Gs",A1:CV300,60,FALSE)/HLOOKUP("Mins",A1:CV300,60,FALSE)* 90)</f>
        <v>0.10526315789473685</v>
      </c>
      <c r="AX60" s="9956">
        <f>IF(HLOOKUP("Mins",A1:CV300,60,FALSE)=0,0,HLOOKUP("Bonus",A1:CV300,60,FALSE)/HLOOKUP("Mins",A1:CV300,60,FALSE)* 90)</f>
        <v>0.31578947368421051</v>
      </c>
      <c r="AY60" s="9957">
        <f>IF(HLOOKUP("Mins",A1:CV300,60,FALSE)=0,0,HLOOKUP("BPS",A1:CV300,60,FALSE)/HLOOKUP("Mins",A1:CV300,60,FALSE)* 90)</f>
        <v>15.947368421052632</v>
      </c>
      <c r="AZ60" s="9958">
        <f>IF(HLOOKUP("Mins",A1:CV300,60,FALSE)=0,0,HLOOKUP("Base BPS",A1:CV300,60,FALSE)/HLOOKUP("Mins",A1:CV300,60,FALSE)* 90)</f>
        <v>12.789473684210526</v>
      </c>
      <c r="BA60" s="9959">
        <f>IF(HLOOKUP("Mins",A1:CV300,60,FALSE)=0,0,HLOOKUP("PenTchs",A1:CV300,60,FALSE)/HLOOKUP("Mins",A1:CV300,60,FALSE)* 90)</f>
        <v>0.63157894736842102</v>
      </c>
      <c r="BB60" s="9960">
        <f>IF(HLOOKUP("Mins",A1:CV300,60,FALSE)=0,0,HLOOKUP("Shots",A1:CV300,60,FALSE)/HLOOKUP("Mins",A1:CV300,60,FALSE)* 90)</f>
        <v>0.89473684210526327</v>
      </c>
      <c r="BC60" s="9961">
        <f>IF(HLOOKUP("Mins",A1:CV300,60,FALSE)=0,0,HLOOKUP("SIB",A1:CV300,60,FALSE)/HLOOKUP("Mins",A1:CV300,60,FALSE)* 90)</f>
        <v>0.47368421052631576</v>
      </c>
      <c r="BD60" s="9962">
        <f>IF(HLOOKUP("Mins",A1:CV300,60,FALSE)=0,0,HLOOKUP("S6YD",A1:CV300,60,FALSE)/HLOOKUP("Mins",A1:CV300,60,FALSE)* 90)</f>
        <v>0.10526315789473685</v>
      </c>
      <c r="BE60" s="9963">
        <f>IF(HLOOKUP("Mins",A1:CV300,60,FALSE)=0,0,HLOOKUP("Headers",A1:CV300,60,FALSE)/HLOOKUP("Mins",A1:CV300,60,FALSE)* 90)</f>
        <v>0.2105263157894737</v>
      </c>
      <c r="BF60" s="9964">
        <f>IF(HLOOKUP("Mins",A1:CV300,60,FALSE)=0,0,HLOOKUP("SOT",A1:CV300,60,FALSE)/HLOOKUP("Mins",A1:CV300,60,FALSE)* 90)</f>
        <v>0.31578947368421051</v>
      </c>
      <c r="BG60" s="9965">
        <f>IF(HLOOKUP("Mins",A1:CV300,60,FALSE)=0,0,HLOOKUP("As",A1:CV300,60,FALSE)/HLOOKUP("Mins",A1:CV300,60,FALSE)* 90)</f>
        <v>0</v>
      </c>
      <c r="BH60" s="9966">
        <f>IF(HLOOKUP("Mins",A1:CV300,60,FALSE)=0,0,HLOOKUP("FPL As",A1:CV300,60,FALSE)/HLOOKUP("Mins",A1:CV300,60,FALSE)* 90)</f>
        <v>0</v>
      </c>
      <c r="BI60" s="9967">
        <f>IF(HLOOKUP("Mins",A1:CV300,60,FALSE)=0,0,HLOOKUP("BC Created",A1:CV300,60,FALSE)/HLOOKUP("Mins",A1:CV300,60,FALSE)* 90)</f>
        <v>0</v>
      </c>
      <c r="BJ60" s="9968">
        <f>IF(HLOOKUP("Mins",A1:CV300,60,FALSE)=0,0,HLOOKUP("KP",A1:CV300,60,FALSE)/HLOOKUP("Mins",A1:CV300,60,FALSE)* 90)</f>
        <v>0.10526315789473685</v>
      </c>
      <c r="BK60" s="9969">
        <f>IF(HLOOKUP("Mins",A1:CV300,60,FALSE)=0,0,HLOOKUP("BC",A1:CV300,60,FALSE)/HLOOKUP("Mins",A1:CV300,60,FALSE)* 90)</f>
        <v>5.2631578947368425E-2</v>
      </c>
      <c r="BL60" s="9970">
        <f>IF(HLOOKUP("Mins",A1:CV300,60,FALSE)=0,0,HLOOKUP("BC Miss",A1:CV300,60,FALSE)/HLOOKUP("Mins",A1:CV300,60,FALSE)* 90)</f>
        <v>0</v>
      </c>
      <c r="BM60" s="9971">
        <f>IF(HLOOKUP("Mins",A1:CV300,60,FALSE)=0,0,HLOOKUP("Gs - BC",A1:CV300,60,FALSE)/HLOOKUP("Mins",A1:CV300,60,FALSE)* 90)</f>
        <v>5.2631578947368425E-2</v>
      </c>
      <c r="BN60" s="9972">
        <f>IF(HLOOKUP("Mins",A1:CV300,60,FALSE)=0,0,HLOOKUP("GIB",A1:CV300,60,FALSE)/HLOOKUP("Mins",A1:CV300,60,FALSE)* 90)</f>
        <v>0.10526315789473685</v>
      </c>
      <c r="BO60" s="9973">
        <f>IF(HLOOKUP("Mins",A1:CV300,60,FALSE)=0,0,HLOOKUP("Gs - Open",A1:CV300,60,FALSE)/HLOOKUP("Mins",A1:CV300,60,FALSE)* 90)</f>
        <v>0</v>
      </c>
      <c r="BP60" s="9974">
        <f>IF(HLOOKUP("Mins",A1:CV300,60,FALSE)=0,0,HLOOKUP("ICT Index",A1:CV300,60,FALSE)/HLOOKUP("Mins",A1:CV300,60,FALSE)* 90)</f>
        <v>3.5789473684210531</v>
      </c>
      <c r="BQ60" s="9975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  <v>5.2473684210526311E-2</v>
      </c>
      <c r="BR60" s="9976">
        <f>0.0825*HLOOKUP("KP/90",A1:CV300,60,FALSE)</f>
        <v>8.6842105263157908E-3</v>
      </c>
      <c r="BS60" s="9977">
        <f>6*HLOOKUP("xG/90",A1:CV300,60,FALSE)+3*HLOOKUP("xA/90",A1:CV300,60,FALSE)</f>
        <v>0.34089473684210525</v>
      </c>
      <c r="BT60" s="9978">
        <f>HLOOKUP("xPts/90",A1:CV300,60,FALSE)-(6*0.75*(HLOOKUP("PK Gs",A1:CV300,60,FALSE)+HLOOKUP("PK Miss",A1:CV300,60,FALSE))*90/HLOOKUP("Mins",A1:CV300,60,FALSE))</f>
        <v>0.34089473684210525</v>
      </c>
      <c r="BU60" s="9979">
        <f>IF(HLOOKUP("Mins",A1:CV300,60,FALSE)=0,0,HLOOKUP("fsXG",A1:CV300,60,FALSE)/HLOOKUP("Mins",A1:CV300,60,FALSE)* 90)</f>
        <v>7.1052631578947381E-2</v>
      </c>
      <c r="BV60" s="9980">
        <f>IF(HLOOKUP("Mins",A1:CV300,60,FALSE)=0,0,HLOOKUP("fsXA",A1:CV300,60,FALSE)/HLOOKUP("Mins",A1:CV300,60,FALSE)* 90)</f>
        <v>4.3684210526315784E-2</v>
      </c>
      <c r="BW60" s="9981">
        <f>6*HLOOKUP("fsXG/90",A1:CV300,60,FALSE)+3*HLOOKUP("fsXA/90",A1:CV300,60,FALSE)</f>
        <v>0.55736842105263174</v>
      </c>
      <c r="BX60" s="9982">
        <v>7.3837362229824066E-2</v>
      </c>
      <c r="BY60" s="9983">
        <v>8.1572886556386948E-3</v>
      </c>
      <c r="BZ60" s="9984">
        <f>6*HLOOKUP("uXG/90",A1:CV300,60,FALSE)+3*HLOOKUP("uXA/90",A1:CV300,60,FALSE)</f>
        <v>0.46749603934586048</v>
      </c>
    </row>
    <row r="61" spans="1:78" hidden="1" x14ac:dyDescent="0.3">
      <c r="A61" s="9985" t="s">
        <v>224</v>
      </c>
      <c r="B61" s="9986" t="s">
        <v>132</v>
      </c>
      <c r="C61" s="9987">
        <v>5.3000001907348633</v>
      </c>
      <c r="D61" s="9988">
        <v>670</v>
      </c>
      <c r="E61" s="9989">
        <v>8</v>
      </c>
      <c r="F61" s="9990">
        <v>16</v>
      </c>
      <c r="G61" s="9991">
        <v>0</v>
      </c>
      <c r="H61" s="9992">
        <v>0</v>
      </c>
      <c r="I61" s="9993">
        <v>130</v>
      </c>
      <c r="J61" s="9994">
        <f>HLOOKUP("BPS",A1:CV300,61,FALSE)-((-6*HLOOKUP("OG",A1:CV300,61,FALSE))+(-6*HLOOKUP("PK Miss",A1:CV300,61,FALSE))+(9*HLOOKUP("FPL As",A1:CV300,61,FALSE))+(12*HLOOKUP("CS",A1:CV300,61,FALSE))+(12*HLOOKUP("Gs",A1:CV300,61,FALSE)))</f>
        <v>121</v>
      </c>
      <c r="K61" s="9995">
        <v>0</v>
      </c>
      <c r="L61" s="9996">
        <v>0</v>
      </c>
      <c r="M61" s="9997">
        <v>14</v>
      </c>
      <c r="N61" s="9998">
        <v>4</v>
      </c>
      <c r="O61" s="9999">
        <v>4</v>
      </c>
      <c r="P61" s="10000">
        <f>IF(HLOOKUP("Shots",A1:CV300,61,FALSE)=0,0,HLOOKUP("SIB",A1:CV300,61,FALSE)/HLOOKUP("Shots",A1:CV300,61,FALSE))</f>
        <v>1</v>
      </c>
      <c r="Q61" s="10001">
        <v>1</v>
      </c>
      <c r="R61" s="10002">
        <f>IF(HLOOKUP("Shots",A1:CV300,61,FALSE)=0,0,HLOOKUP("S6YD",A1:CV300,61,FALSE)/HLOOKUP("Shots",A1:CV300,61,FALSE))</f>
        <v>0.25</v>
      </c>
      <c r="S61" s="10003">
        <v>4</v>
      </c>
      <c r="T61" s="10004">
        <f>IF(HLOOKUP("Shots",A1:CV300,61,FALSE)=0,0,HLOOKUP("Headers",A1:CV300,61,FALSE)/HLOOKUP("Shots",A1:CV300,61,FALSE))</f>
        <v>1</v>
      </c>
      <c r="U61" s="10005">
        <v>1</v>
      </c>
      <c r="V61" s="10006">
        <f>IF(HLOOKUP("Shots",A1:CV300,61,FALSE)=0,0,HLOOKUP("SOT",A1:CV300,61,FALSE)/HLOOKUP("Shots",A1:CV300,61,FALSE))</f>
        <v>0.25</v>
      </c>
      <c r="W61" s="10007">
        <f>IF(HLOOKUP("Shots",A1:CV300,61,FALSE)=0,0,HLOOKUP("Gs",A1:CV300,61,FALSE)/HLOOKUP("Shots",A1:CV300,61,FALSE))</f>
        <v>0</v>
      </c>
      <c r="X61" s="10008">
        <v>1</v>
      </c>
      <c r="Y61" s="10009">
        <v>1</v>
      </c>
      <c r="Z61" s="10010">
        <v>1</v>
      </c>
      <c r="AA61" s="10011">
        <f>IF(HLOOKUP("KP",A1:CV300,61,FALSE)=0,0,HLOOKUP("As",A1:CV300,61,FALSE)/HLOOKUP("KP",A1:CV300,61,FALSE))</f>
        <v>1</v>
      </c>
      <c r="AB61" s="10012">
        <v>24.5</v>
      </c>
      <c r="AC61" s="10013">
        <v>5</v>
      </c>
      <c r="AD61" s="10014">
        <v>1</v>
      </c>
      <c r="AE61" s="10015">
        <v>0</v>
      </c>
      <c r="AF61" s="10016">
        <v>0</v>
      </c>
      <c r="AG61" s="10017">
        <f>IF(HLOOKUP("BC",A1:CV300,61,FALSE)=0,0,HLOOKUP("Gs - BC",A1:CV300,61,FALSE)/HLOOKUP("BC",A1:CV300,61,FALSE))</f>
        <v>0</v>
      </c>
      <c r="AH61" s="10018">
        <f>HLOOKUP("BC",A1:CV300,61,FALSE) - HLOOKUP("BC Miss",A1:CV300,61,FALSE)</f>
        <v>0</v>
      </c>
      <c r="AI61" s="10019">
        <f>IF(HLOOKUP("Gs",A1:CV300,61,FALSE)=0,0,HLOOKUP("Gs - BC",A1:CV300,61,FALSE)/HLOOKUP("Gs",A1:CV300,61,FALSE))</f>
        <v>0</v>
      </c>
      <c r="AJ61" s="10020">
        <v>0</v>
      </c>
      <c r="AK61" s="10021">
        <v>0</v>
      </c>
      <c r="AL61" s="10022">
        <f>HLOOKUP("BC",A1:CV300,61,FALSE) - (HLOOKUP("PK Gs",A1:CV300,61,FALSE) + HLOOKUP("PK Miss",A1:CV300,61,FALSE))</f>
        <v>0</v>
      </c>
      <c r="AM61" s="10023">
        <f>HLOOKUP("BC Miss",A1:CV300,61,FALSE) - HLOOKUP("PK Miss",A1:CV300,61,FALSE)</f>
        <v>0</v>
      </c>
      <c r="AN61" s="10024">
        <f>IF(HLOOKUP("BC - Open",A1:CV300,61,FALSE)=0,0,HLOOKUP("BC - Open Miss",A1:CV300,61,FALSE)/HLOOKUP("BC - Open",A1:CV300,61,FALSE))</f>
        <v>0</v>
      </c>
      <c r="AO61" s="10025">
        <v>0</v>
      </c>
      <c r="AP61" s="10026">
        <f>IF(HLOOKUP("Gs",A1:CV300,61,FALSE)=0,0,HLOOKUP("GIB",A1:CV300,61,FALSE)/HLOOKUP("Gs",A1:CV300,61,FALSE))</f>
        <v>0</v>
      </c>
      <c r="AQ61" s="10027">
        <v>0</v>
      </c>
      <c r="AR61" s="10028">
        <f>IF(HLOOKUP("Gs",A1:CV300,61,FALSE)=0,0,HLOOKUP("Gs - Open",A1:CV300,61,FALSE)/HLOOKUP("Gs",A1:CV300,61,FALSE))</f>
        <v>0</v>
      </c>
      <c r="AS61" s="10029">
        <v>0.37</v>
      </c>
      <c r="AT61" s="10030">
        <v>0.38</v>
      </c>
      <c r="AU61" s="10031">
        <f>IF(HLOOKUP("Mins",A1:CV300,61,FALSE)=0,0,HLOOKUP("Pts",A1:CV300,61,FALSE)/HLOOKUP("Mins",A1:CV300,61,FALSE)* 90)</f>
        <v>2.1492537313432836</v>
      </c>
      <c r="AV61" s="10032">
        <f>IF(HLOOKUP("Apps",A1:CV300,61,FALSE)=0,0,HLOOKUP("Pts",A1:CV300,61,FALSE)/HLOOKUP("Apps",A1:CV300,61,FALSE)* 1)</f>
        <v>2</v>
      </c>
      <c r="AW61" s="10033">
        <f>IF(HLOOKUP("Mins",A1:CV300,61,FALSE)=0,0,HLOOKUP("Gs",A1:CV300,61,FALSE)/HLOOKUP("Mins",A1:CV300,61,FALSE)* 90)</f>
        <v>0</v>
      </c>
      <c r="AX61" s="10034">
        <f>IF(HLOOKUP("Mins",A1:CV300,61,FALSE)=0,0,HLOOKUP("Bonus",A1:CV300,61,FALSE)/HLOOKUP("Mins",A1:CV300,61,FALSE)* 90)</f>
        <v>0</v>
      </c>
      <c r="AY61" s="10035">
        <f>IF(HLOOKUP("Mins",A1:CV300,61,FALSE)=0,0,HLOOKUP("BPS",A1:CV300,61,FALSE)/HLOOKUP("Mins",A1:CV300,61,FALSE)* 90)</f>
        <v>17.46268656716418</v>
      </c>
      <c r="AZ61" s="10036">
        <f>IF(HLOOKUP("Mins",A1:CV300,61,FALSE)=0,0,HLOOKUP("Base BPS",A1:CV300,61,FALSE)/HLOOKUP("Mins",A1:CV300,61,FALSE)* 90)</f>
        <v>16.253731343283583</v>
      </c>
      <c r="BA61" s="10037">
        <f>IF(HLOOKUP("Mins",A1:CV300,61,FALSE)=0,0,HLOOKUP("PenTchs",A1:CV300,61,FALSE)/HLOOKUP("Mins",A1:CV300,61,FALSE)* 90)</f>
        <v>1.8805970149253732</v>
      </c>
      <c r="BB61" s="10038">
        <f>IF(HLOOKUP("Mins",A1:CV300,61,FALSE)=0,0,HLOOKUP("Shots",A1:CV300,61,FALSE)/HLOOKUP("Mins",A1:CV300,61,FALSE)* 90)</f>
        <v>0.53731343283582089</v>
      </c>
      <c r="BC61" s="10039">
        <f>IF(HLOOKUP("Mins",A1:CV300,61,FALSE)=0,0,HLOOKUP("SIB",A1:CV300,61,FALSE)/HLOOKUP("Mins",A1:CV300,61,FALSE)* 90)</f>
        <v>0.53731343283582089</v>
      </c>
      <c r="BD61" s="10040">
        <f>IF(HLOOKUP("Mins",A1:CV300,61,FALSE)=0,0,HLOOKUP("S6YD",A1:CV300,61,FALSE)/HLOOKUP("Mins",A1:CV300,61,FALSE)* 90)</f>
        <v>0.13432835820895522</v>
      </c>
      <c r="BE61" s="10041">
        <f>IF(HLOOKUP("Mins",A1:CV300,61,FALSE)=0,0,HLOOKUP("Headers",A1:CV300,61,FALSE)/HLOOKUP("Mins",A1:CV300,61,FALSE)* 90)</f>
        <v>0.53731343283582089</v>
      </c>
      <c r="BF61" s="10042">
        <f>IF(HLOOKUP("Mins",A1:CV300,61,FALSE)=0,0,HLOOKUP("SOT",A1:CV300,61,FALSE)/HLOOKUP("Mins",A1:CV300,61,FALSE)* 90)</f>
        <v>0.13432835820895522</v>
      </c>
      <c r="BG61" s="10043">
        <f>IF(HLOOKUP("Mins",A1:CV300,61,FALSE)=0,0,HLOOKUP("As",A1:CV300,61,FALSE)/HLOOKUP("Mins",A1:CV300,61,FALSE)* 90)</f>
        <v>0.13432835820895522</v>
      </c>
      <c r="BH61" s="10044">
        <f>IF(HLOOKUP("Mins",A1:CV300,61,FALSE)=0,0,HLOOKUP("FPL As",A1:CV300,61,FALSE)/HLOOKUP("Mins",A1:CV300,61,FALSE)* 90)</f>
        <v>0.13432835820895522</v>
      </c>
      <c r="BI61" s="10045">
        <f>IF(HLOOKUP("Mins",A1:CV300,61,FALSE)=0,0,HLOOKUP("BC Created",A1:CV300,61,FALSE)/HLOOKUP("Mins",A1:CV300,61,FALSE)* 90)</f>
        <v>0.13432835820895522</v>
      </c>
      <c r="BJ61" s="10046">
        <f>IF(HLOOKUP("Mins",A1:CV300,61,FALSE)=0,0,HLOOKUP("KP",A1:CV300,61,FALSE)/HLOOKUP("Mins",A1:CV300,61,FALSE)* 90)</f>
        <v>0.13432835820895522</v>
      </c>
      <c r="BK61" s="10047">
        <f>IF(HLOOKUP("Mins",A1:CV300,61,FALSE)=0,0,HLOOKUP("BC",A1:CV300,61,FALSE)/HLOOKUP("Mins",A1:CV300,61,FALSE)* 90)</f>
        <v>0</v>
      </c>
      <c r="BL61" s="10048">
        <f>IF(HLOOKUP("Mins",A1:CV300,61,FALSE)=0,0,HLOOKUP("BC Miss",A1:CV300,61,FALSE)/HLOOKUP("Mins",A1:CV300,61,FALSE)* 90)</f>
        <v>0</v>
      </c>
      <c r="BM61" s="10049">
        <f>IF(HLOOKUP("Mins",A1:CV300,61,FALSE)=0,0,HLOOKUP("Gs - BC",A1:CV300,61,FALSE)/HLOOKUP("Mins",A1:CV300,61,FALSE)* 90)</f>
        <v>0</v>
      </c>
      <c r="BN61" s="10050">
        <f>IF(HLOOKUP("Mins",A1:CV300,61,FALSE)=0,0,HLOOKUP("GIB",A1:CV300,61,FALSE)/HLOOKUP("Mins",A1:CV300,61,FALSE)* 90)</f>
        <v>0</v>
      </c>
      <c r="BO61" s="10051">
        <f>IF(HLOOKUP("Mins",A1:CV300,61,FALSE)=0,0,HLOOKUP("Gs - Open",A1:CV300,61,FALSE)/HLOOKUP("Mins",A1:CV300,61,FALSE)* 90)</f>
        <v>0</v>
      </c>
      <c r="BP61" s="10052">
        <f>IF(HLOOKUP("Mins",A1:CV300,61,FALSE)=0,0,HLOOKUP("ICT Index",A1:CV300,61,FALSE)/HLOOKUP("Mins",A1:CV300,61,FALSE)* 90)</f>
        <v>3.2910447761194033</v>
      </c>
      <c r="BQ61" s="10053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  <v>4.997014925373134E-2</v>
      </c>
      <c r="BR61" s="10054">
        <f>0.0825*HLOOKUP("KP/90",A1:CV300,61,FALSE)</f>
        <v>1.1082089552238807E-2</v>
      </c>
      <c r="BS61" s="10055">
        <f>6*HLOOKUP("xG/90",A1:CV300,61,FALSE)+3*HLOOKUP("xA/90",A1:CV300,61,FALSE)</f>
        <v>0.33306716417910448</v>
      </c>
      <c r="BT61" s="10056">
        <f>HLOOKUP("xPts/90",A1:CV300,61,FALSE)-(6*0.75*(HLOOKUP("PK Gs",A1:CV300,61,FALSE)+HLOOKUP("PK Miss",A1:CV300,61,FALSE))*90/HLOOKUP("Mins",A1:CV300,61,FALSE))</f>
        <v>0.33306716417910448</v>
      </c>
      <c r="BU61" s="10057">
        <f>IF(HLOOKUP("Mins",A1:CV300,61,FALSE)=0,0,HLOOKUP("fsXG",A1:CV300,61,FALSE)/HLOOKUP("Mins",A1:CV300,61,FALSE)* 90)</f>
        <v>4.9701492537313437E-2</v>
      </c>
      <c r="BV61" s="10058">
        <f>IF(HLOOKUP("Mins",A1:CV300,61,FALSE)=0,0,HLOOKUP("fsXA",A1:CV300,61,FALSE)/HLOOKUP("Mins",A1:CV300,61,FALSE)* 90)</f>
        <v>5.1044776119402988E-2</v>
      </c>
      <c r="BW61" s="10059">
        <f>6*HLOOKUP("fsXG/90",A1:CV300,61,FALSE)+3*HLOOKUP("fsXA/90",A1:CV300,61,FALSE)</f>
        <v>0.45134328358208958</v>
      </c>
      <c r="BX61" s="10060">
        <v>2.5715356692671776E-2</v>
      </c>
      <c r="BY61" s="10061">
        <v>4.0626227855682373E-2</v>
      </c>
      <c r="BZ61" s="10062">
        <f>6*HLOOKUP("uXG/90",A1:CV300,61,FALSE)+3*HLOOKUP("uXA/90",A1:CV300,61,FALSE)</f>
        <v>0.27617082372307777</v>
      </c>
    </row>
    <row r="62" spans="1:78" hidden="1" x14ac:dyDescent="0.3">
      <c r="A62" s="10063" t="s">
        <v>225</v>
      </c>
      <c r="B62" s="10064" t="s">
        <v>115</v>
      </c>
      <c r="C62" s="10065">
        <v>4.0999999046325684</v>
      </c>
      <c r="D62" s="10066">
        <v>608</v>
      </c>
      <c r="E62" s="10067">
        <v>8</v>
      </c>
      <c r="F62" s="10068">
        <v>36</v>
      </c>
      <c r="G62" s="10069">
        <v>0</v>
      </c>
      <c r="H62" s="10070">
        <v>7</v>
      </c>
      <c r="I62" s="10071">
        <v>148</v>
      </c>
      <c r="J62" s="10072">
        <f>HLOOKUP("BPS",A1:CV300,62,FALSE)-((-6*HLOOKUP("OG",A1:CV300,62,FALSE))+(-6*HLOOKUP("PK Miss",A1:CV300,62,FALSE))+(9*HLOOKUP("FPL As",A1:CV300,62,FALSE))+(12*HLOOKUP("CS",A1:CV300,62,FALSE))+(12*HLOOKUP("Gs",A1:CV300,62,FALSE)))</f>
        <v>97</v>
      </c>
      <c r="K62" s="10073">
        <v>1</v>
      </c>
      <c r="L62" s="10074">
        <v>4</v>
      </c>
      <c r="M62" s="10075">
        <v>8</v>
      </c>
      <c r="N62" s="10076">
        <v>4</v>
      </c>
      <c r="O62" s="10077">
        <v>2</v>
      </c>
      <c r="P62" s="10078">
        <f>IF(HLOOKUP("Shots",A1:CV300,62,FALSE)=0,0,HLOOKUP("SIB",A1:CV300,62,FALSE)/HLOOKUP("Shots",A1:CV300,62,FALSE))</f>
        <v>0.5</v>
      </c>
      <c r="Q62" s="10079">
        <v>1</v>
      </c>
      <c r="R62" s="10080">
        <f>IF(HLOOKUP("Shots",A1:CV300,62,FALSE)=0,0,HLOOKUP("S6YD",A1:CV300,62,FALSE)/HLOOKUP("Shots",A1:CV300,62,FALSE))</f>
        <v>0.25</v>
      </c>
      <c r="S62" s="10081">
        <v>1</v>
      </c>
      <c r="T62" s="10082">
        <f>IF(HLOOKUP("Shots",A1:CV300,62,FALSE)=0,0,HLOOKUP("Headers",A1:CV300,62,FALSE)/HLOOKUP("Shots",A1:CV300,62,FALSE))</f>
        <v>0.25</v>
      </c>
      <c r="U62" s="10083">
        <v>0</v>
      </c>
      <c r="V62" s="10084">
        <f>IF(HLOOKUP("Shots",A1:CV300,62,FALSE)=0,0,HLOOKUP("SOT",A1:CV300,62,FALSE)/HLOOKUP("Shots",A1:CV300,62,FALSE))</f>
        <v>0</v>
      </c>
      <c r="W62" s="10085">
        <f>IF(HLOOKUP("Shots",A1:CV300,62,FALSE)=0,0,HLOOKUP("Gs",A1:CV300,62,FALSE)/HLOOKUP("Shots",A1:CV300,62,FALSE))</f>
        <v>0</v>
      </c>
      <c r="X62" s="10086">
        <v>1</v>
      </c>
      <c r="Y62" s="10087">
        <v>1</v>
      </c>
      <c r="Z62" s="10088">
        <v>6</v>
      </c>
      <c r="AA62" s="10089">
        <f>IF(HLOOKUP("KP",A1:CV300,62,FALSE)=0,0,HLOOKUP("As",A1:CV300,62,FALSE)/HLOOKUP("KP",A1:CV300,62,FALSE))</f>
        <v>0.16666666666666666</v>
      </c>
      <c r="AB62" s="10090">
        <v>27.1</v>
      </c>
      <c r="AC62" s="10091">
        <v>20</v>
      </c>
      <c r="AD62" s="10092">
        <v>1</v>
      </c>
      <c r="AE62" s="10093">
        <v>0</v>
      </c>
      <c r="AF62" s="10094">
        <v>0</v>
      </c>
      <c r="AG62" s="10095">
        <f>IF(HLOOKUP("BC",A1:CV300,62,FALSE)=0,0,HLOOKUP("Gs - BC",A1:CV300,62,FALSE)/HLOOKUP("BC",A1:CV300,62,FALSE))</f>
        <v>0</v>
      </c>
      <c r="AH62" s="10096">
        <f>HLOOKUP("BC",A1:CV300,62,FALSE) - HLOOKUP("BC Miss",A1:CV300,62,FALSE)</f>
        <v>0</v>
      </c>
      <c r="AI62" s="10097">
        <f>IF(HLOOKUP("Gs",A1:CV300,62,FALSE)=0,0,HLOOKUP("Gs - BC",A1:CV300,62,FALSE)/HLOOKUP("Gs",A1:CV300,62,FALSE))</f>
        <v>0</v>
      </c>
      <c r="AJ62" s="10098">
        <v>0</v>
      </c>
      <c r="AK62" s="10099">
        <v>0</v>
      </c>
      <c r="AL62" s="10100">
        <f>HLOOKUP("BC",A1:CV300,62,FALSE) - (HLOOKUP("PK Gs",A1:CV300,62,FALSE) + HLOOKUP("PK Miss",A1:CV300,62,FALSE))</f>
        <v>0</v>
      </c>
      <c r="AM62" s="10101">
        <f>HLOOKUP("BC Miss",A1:CV300,62,FALSE) - HLOOKUP("PK Miss",A1:CV300,62,FALSE)</f>
        <v>0</v>
      </c>
      <c r="AN62" s="10102">
        <f>IF(HLOOKUP("BC - Open",A1:CV300,62,FALSE)=0,0,HLOOKUP("BC - Open Miss",A1:CV300,62,FALSE)/HLOOKUP("BC - Open",A1:CV300,62,FALSE))</f>
        <v>0</v>
      </c>
      <c r="AO62" s="10103">
        <v>0</v>
      </c>
      <c r="AP62" s="10104">
        <f>IF(HLOOKUP("Gs",A1:CV300,62,FALSE)=0,0,HLOOKUP("GIB",A1:CV300,62,FALSE)/HLOOKUP("Gs",A1:CV300,62,FALSE))</f>
        <v>0</v>
      </c>
      <c r="AQ62" s="10105">
        <v>0</v>
      </c>
      <c r="AR62" s="10106">
        <f>IF(HLOOKUP("Gs",A1:CV300,62,FALSE)=0,0,HLOOKUP("Gs - Open",A1:CV300,62,FALSE)/HLOOKUP("Gs",A1:CV300,62,FALSE))</f>
        <v>0</v>
      </c>
      <c r="AS62" s="10107">
        <v>0.28999999999999998</v>
      </c>
      <c r="AT62" s="10108">
        <v>0.8</v>
      </c>
      <c r="AU62" s="10109">
        <f>IF(HLOOKUP("Mins",A1:CV300,62,FALSE)=0,0,HLOOKUP("Pts",A1:CV300,62,FALSE)/HLOOKUP("Mins",A1:CV300,62,FALSE)* 90)</f>
        <v>5.3289473684210522</v>
      </c>
      <c r="AV62" s="10110">
        <f>IF(HLOOKUP("Apps",A1:CV300,62,FALSE)=0,0,HLOOKUP("Pts",A1:CV300,62,FALSE)/HLOOKUP("Apps",A1:CV300,62,FALSE)* 1)</f>
        <v>4.5</v>
      </c>
      <c r="AW62" s="10111">
        <f>IF(HLOOKUP("Mins",A1:CV300,62,FALSE)=0,0,HLOOKUP("Gs",A1:CV300,62,FALSE)/HLOOKUP("Mins",A1:CV300,62,FALSE)* 90)</f>
        <v>0</v>
      </c>
      <c r="AX62" s="10112">
        <f>IF(HLOOKUP("Mins",A1:CV300,62,FALSE)=0,0,HLOOKUP("Bonus",A1:CV300,62,FALSE)/HLOOKUP("Mins",A1:CV300,62,FALSE)* 90)</f>
        <v>1.0361842105263157</v>
      </c>
      <c r="AY62" s="10113">
        <f>IF(HLOOKUP("Mins",A1:CV300,62,FALSE)=0,0,HLOOKUP("BPS",A1:CV300,62,FALSE)/HLOOKUP("Mins",A1:CV300,62,FALSE)* 90)</f>
        <v>21.907894736842106</v>
      </c>
      <c r="AZ62" s="10114">
        <f>IF(HLOOKUP("Mins",A1:CV300,62,FALSE)=0,0,HLOOKUP("Base BPS",A1:CV300,62,FALSE)/HLOOKUP("Mins",A1:CV300,62,FALSE)* 90)</f>
        <v>14.358552631578949</v>
      </c>
      <c r="BA62" s="10115">
        <f>IF(HLOOKUP("Mins",A1:CV300,62,FALSE)=0,0,HLOOKUP("PenTchs",A1:CV300,62,FALSE)/HLOOKUP("Mins",A1:CV300,62,FALSE)* 90)</f>
        <v>1.1842105263157894</v>
      </c>
      <c r="BB62" s="10116">
        <f>IF(HLOOKUP("Mins",A1:CV300,62,FALSE)=0,0,HLOOKUP("Shots",A1:CV300,62,FALSE)/HLOOKUP("Mins",A1:CV300,62,FALSE)* 90)</f>
        <v>0.59210526315789469</v>
      </c>
      <c r="BC62" s="10117">
        <f>IF(HLOOKUP("Mins",A1:CV300,62,FALSE)=0,0,HLOOKUP("SIB",A1:CV300,62,FALSE)/HLOOKUP("Mins",A1:CV300,62,FALSE)* 90)</f>
        <v>0.29605263157894735</v>
      </c>
      <c r="BD62" s="10118">
        <f>IF(HLOOKUP("Mins",A1:CV300,62,FALSE)=0,0,HLOOKUP("S6YD",A1:CV300,62,FALSE)/HLOOKUP("Mins",A1:CV300,62,FALSE)* 90)</f>
        <v>0.14802631578947367</v>
      </c>
      <c r="BE62" s="10119">
        <f>IF(HLOOKUP("Mins",A1:CV300,62,FALSE)=0,0,HLOOKUP("Headers",A1:CV300,62,FALSE)/HLOOKUP("Mins",A1:CV300,62,FALSE)* 90)</f>
        <v>0.14802631578947367</v>
      </c>
      <c r="BF62" s="10120">
        <f>IF(HLOOKUP("Mins",A1:CV300,62,FALSE)=0,0,HLOOKUP("SOT",A1:CV300,62,FALSE)/HLOOKUP("Mins",A1:CV300,62,FALSE)* 90)</f>
        <v>0</v>
      </c>
      <c r="BG62" s="10121">
        <f>IF(HLOOKUP("Mins",A1:CV300,62,FALSE)=0,0,HLOOKUP("As",A1:CV300,62,FALSE)/HLOOKUP("Mins",A1:CV300,62,FALSE)* 90)</f>
        <v>0.14802631578947367</v>
      </c>
      <c r="BH62" s="10122">
        <f>IF(HLOOKUP("Mins",A1:CV300,62,FALSE)=0,0,HLOOKUP("FPL As",A1:CV300,62,FALSE)/HLOOKUP("Mins",A1:CV300,62,FALSE)* 90)</f>
        <v>0.14802631578947367</v>
      </c>
      <c r="BI62" s="10123">
        <f>IF(HLOOKUP("Mins",A1:CV300,62,FALSE)=0,0,HLOOKUP("BC Created",A1:CV300,62,FALSE)/HLOOKUP("Mins",A1:CV300,62,FALSE)* 90)</f>
        <v>0.14802631578947367</v>
      </c>
      <c r="BJ62" s="10124">
        <f>IF(HLOOKUP("Mins",A1:CV300,62,FALSE)=0,0,HLOOKUP("KP",A1:CV300,62,FALSE)/HLOOKUP("Mins",A1:CV300,62,FALSE)* 90)</f>
        <v>0.88815789473684204</v>
      </c>
      <c r="BK62" s="10125">
        <f>IF(HLOOKUP("Mins",A1:CV300,62,FALSE)=0,0,HLOOKUP("BC",A1:CV300,62,FALSE)/HLOOKUP("Mins",A1:CV300,62,FALSE)* 90)</f>
        <v>0</v>
      </c>
      <c r="BL62" s="10126">
        <f>IF(HLOOKUP("Mins",A1:CV300,62,FALSE)=0,0,HLOOKUP("BC Miss",A1:CV300,62,FALSE)/HLOOKUP("Mins",A1:CV300,62,FALSE)* 90)</f>
        <v>0</v>
      </c>
      <c r="BM62" s="10127">
        <f>IF(HLOOKUP("Mins",A1:CV300,62,FALSE)=0,0,HLOOKUP("Gs - BC",A1:CV300,62,FALSE)/HLOOKUP("Mins",A1:CV300,62,FALSE)* 90)</f>
        <v>0</v>
      </c>
      <c r="BN62" s="10128">
        <f>IF(HLOOKUP("Mins",A1:CV300,62,FALSE)=0,0,HLOOKUP("GIB",A1:CV300,62,FALSE)/HLOOKUP("Mins",A1:CV300,62,FALSE)* 90)</f>
        <v>0</v>
      </c>
      <c r="BO62" s="10129">
        <f>IF(HLOOKUP("Mins",A1:CV300,62,FALSE)=0,0,HLOOKUP("Gs - Open",A1:CV300,62,FALSE)/HLOOKUP("Mins",A1:CV300,62,FALSE)* 90)</f>
        <v>0</v>
      </c>
      <c r="BP62" s="10130">
        <f>IF(HLOOKUP("Mins",A1:CV300,62,FALSE)=0,0,HLOOKUP("ICT Index",A1:CV300,62,FALSE)/HLOOKUP("Mins",A1:CV300,62,FALSE)* 90)</f>
        <v>4.0115131578947372</v>
      </c>
      <c r="BQ62" s="10131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  <v>3.3453947368421055E-2</v>
      </c>
      <c r="BR62" s="10132">
        <f>0.0825*HLOOKUP("KP/90",A1:CV300,62,FALSE)</f>
        <v>7.3273026315789469E-2</v>
      </c>
      <c r="BS62" s="10133">
        <f>6*HLOOKUP("xG/90",A1:CV300,62,FALSE)+3*HLOOKUP("xA/90",A1:CV300,62,FALSE)</f>
        <v>0.42054276315789474</v>
      </c>
      <c r="BT62" s="10134">
        <f>HLOOKUP("xPts/90",A1:CV300,62,FALSE)-(6*0.75*(HLOOKUP("PK Gs",A1:CV300,62,FALSE)+HLOOKUP("PK Miss",A1:CV300,62,FALSE))*90/HLOOKUP("Mins",A1:CV300,62,FALSE))</f>
        <v>0.42054276315789474</v>
      </c>
      <c r="BU62" s="10135">
        <f>IF(HLOOKUP("Mins",A1:CV300,62,FALSE)=0,0,HLOOKUP("fsXG",A1:CV300,62,FALSE)/HLOOKUP("Mins",A1:CV300,62,FALSE)* 90)</f>
        <v>4.2927631578947363E-2</v>
      </c>
      <c r="BV62" s="10136">
        <f>IF(HLOOKUP("Mins",A1:CV300,62,FALSE)=0,0,HLOOKUP("fsXA",A1:CV300,62,FALSE)/HLOOKUP("Mins",A1:CV300,62,FALSE)* 90)</f>
        <v>0.11842105263157894</v>
      </c>
      <c r="BW62" s="10137">
        <f>6*HLOOKUP("fsXG/90",A1:CV300,62,FALSE)+3*HLOOKUP("fsXA/90",A1:CV300,62,FALSE)</f>
        <v>0.61282894736842097</v>
      </c>
      <c r="BX62" s="10138">
        <v>4.8721518367528915E-2</v>
      </c>
      <c r="BY62" s="10139">
        <v>5.8673828840255737E-2</v>
      </c>
      <c r="BZ62" s="10140">
        <f>6*HLOOKUP("uXG/90",A1:CV300,62,FALSE)+3*HLOOKUP("uXA/90",A1:CV300,62,FALSE)</f>
        <v>0.4683505967259407</v>
      </c>
    </row>
    <row r="63" spans="1:78" hidden="1" x14ac:dyDescent="0.3">
      <c r="A63" s="10141" t="s">
        <v>226</v>
      </c>
      <c r="B63" s="10142" t="s">
        <v>89</v>
      </c>
      <c r="C63" s="10143">
        <v>4.4000000953674316</v>
      </c>
      <c r="D63" s="10144">
        <v>242</v>
      </c>
      <c r="E63" s="10145">
        <v>3</v>
      </c>
      <c r="F63" s="10146">
        <v>5</v>
      </c>
      <c r="G63" s="10147">
        <v>0</v>
      </c>
      <c r="H63" s="10148">
        <v>0</v>
      </c>
      <c r="I63" s="10149">
        <v>44</v>
      </c>
      <c r="J63" s="10150">
        <f>HLOOKUP("BPS",A1:CV300,63,FALSE)-((-6*HLOOKUP("OG",A1:CV300,63,FALSE))+(-6*HLOOKUP("PK Miss",A1:CV300,63,FALSE))+(9*HLOOKUP("FPL As",A1:CV300,63,FALSE))+(12*HLOOKUP("CS",A1:CV300,63,FALSE))+(12*HLOOKUP("Gs",A1:CV300,63,FALSE)))</f>
        <v>44</v>
      </c>
      <c r="K63" s="10151">
        <v>0</v>
      </c>
      <c r="L63" s="10152">
        <v>0</v>
      </c>
      <c r="M63" s="10153">
        <v>5</v>
      </c>
      <c r="N63" s="10154">
        <v>1</v>
      </c>
      <c r="O63" s="10155">
        <v>0</v>
      </c>
      <c r="P63" s="10156">
        <f>IF(HLOOKUP("Shots",A1:CV300,63,FALSE)=0,0,HLOOKUP("SIB",A1:CV300,63,FALSE)/HLOOKUP("Shots",A1:CV300,63,FALSE))</f>
        <v>0</v>
      </c>
      <c r="Q63" s="10157">
        <v>0</v>
      </c>
      <c r="R63" s="10158">
        <f>IF(HLOOKUP("Shots",A1:CV300,63,FALSE)=0,0,HLOOKUP("S6YD",A1:CV300,63,FALSE)/HLOOKUP("Shots",A1:CV300,63,FALSE))</f>
        <v>0</v>
      </c>
      <c r="S63" s="10159">
        <v>0</v>
      </c>
      <c r="T63" s="10160">
        <f>IF(HLOOKUP("Shots",A1:CV300,63,FALSE)=0,0,HLOOKUP("Headers",A1:CV300,63,FALSE)/HLOOKUP("Shots",A1:CV300,63,FALSE))</f>
        <v>0</v>
      </c>
      <c r="U63" s="10161">
        <v>0</v>
      </c>
      <c r="V63" s="10162">
        <f>IF(HLOOKUP("Shots",A1:CV300,63,FALSE)=0,0,HLOOKUP("SOT",A1:CV300,63,FALSE)/HLOOKUP("Shots",A1:CV300,63,FALSE))</f>
        <v>0</v>
      </c>
      <c r="W63" s="10163">
        <f>IF(HLOOKUP("Shots",A1:CV300,63,FALSE)=0,0,HLOOKUP("Gs",A1:CV300,63,FALSE)/HLOOKUP("Shots",A1:CV300,63,FALSE))</f>
        <v>0</v>
      </c>
      <c r="X63" s="10164">
        <v>0</v>
      </c>
      <c r="Y63" s="10165">
        <v>0</v>
      </c>
      <c r="Z63" s="10166">
        <v>2</v>
      </c>
      <c r="AA63" s="10167">
        <f>IF(HLOOKUP("KP",A1:CV300,63,FALSE)=0,0,HLOOKUP("As",A1:CV300,63,FALSE)/HLOOKUP("KP",A1:CV300,63,FALSE))</f>
        <v>0</v>
      </c>
      <c r="AB63" s="10168">
        <v>11.4</v>
      </c>
      <c r="AC63" s="10169">
        <v>0</v>
      </c>
      <c r="AD63" s="10170">
        <v>0</v>
      </c>
      <c r="AE63" s="10171">
        <v>0</v>
      </c>
      <c r="AF63" s="10172">
        <v>0</v>
      </c>
      <c r="AG63" s="10173">
        <f>IF(HLOOKUP("BC",A1:CV300,63,FALSE)=0,0,HLOOKUP("Gs - BC",A1:CV300,63,FALSE)/HLOOKUP("BC",A1:CV300,63,FALSE))</f>
        <v>0</v>
      </c>
      <c r="AH63" s="10174">
        <f>HLOOKUP("BC",A1:CV300,63,FALSE) - HLOOKUP("BC Miss",A1:CV300,63,FALSE)</f>
        <v>0</v>
      </c>
      <c r="AI63" s="10175">
        <f>IF(HLOOKUP("Gs",A1:CV300,63,FALSE)=0,0,HLOOKUP("Gs - BC",A1:CV300,63,FALSE)/HLOOKUP("Gs",A1:CV300,63,FALSE))</f>
        <v>0</v>
      </c>
      <c r="AJ63" s="10176">
        <v>0</v>
      </c>
      <c r="AK63" s="10177">
        <v>0</v>
      </c>
      <c r="AL63" s="10178">
        <f>HLOOKUP("BC",A1:CV300,63,FALSE) - (HLOOKUP("PK Gs",A1:CV300,63,FALSE) + HLOOKUP("PK Miss",A1:CV300,63,FALSE))</f>
        <v>0</v>
      </c>
      <c r="AM63" s="10179">
        <f>HLOOKUP("BC Miss",A1:CV300,63,FALSE) - HLOOKUP("PK Miss",A1:CV300,63,FALSE)</f>
        <v>0</v>
      </c>
      <c r="AN63" s="10180">
        <f>IF(HLOOKUP("BC - Open",A1:CV300,63,FALSE)=0,0,HLOOKUP("BC - Open Miss",A1:CV300,63,FALSE)/HLOOKUP("BC - Open",A1:CV300,63,FALSE))</f>
        <v>0</v>
      </c>
      <c r="AO63" s="10181">
        <v>0</v>
      </c>
      <c r="AP63" s="10182">
        <f>IF(HLOOKUP("Gs",A1:CV300,63,FALSE)=0,0,HLOOKUP("GIB",A1:CV300,63,FALSE)/HLOOKUP("Gs",A1:CV300,63,FALSE))</f>
        <v>0</v>
      </c>
      <c r="AQ63" s="10183">
        <v>0</v>
      </c>
      <c r="AR63" s="10184">
        <f>IF(HLOOKUP("Gs",A1:CV300,63,FALSE)=0,0,HLOOKUP("Gs - Open",A1:CV300,63,FALSE)/HLOOKUP("Gs",A1:CV300,63,FALSE))</f>
        <v>0</v>
      </c>
      <c r="AS63" s="10185">
        <v>0.03</v>
      </c>
      <c r="AT63" s="10186">
        <v>0.13</v>
      </c>
      <c r="AU63" s="10187">
        <f>IF(HLOOKUP("Mins",A1:CV300,63,FALSE)=0,0,HLOOKUP("Pts",A1:CV300,63,FALSE)/HLOOKUP("Mins",A1:CV300,63,FALSE)* 90)</f>
        <v>1.859504132231405</v>
      </c>
      <c r="AV63" s="10188">
        <f>IF(HLOOKUP("Apps",A1:CV300,63,FALSE)=0,0,HLOOKUP("Pts",A1:CV300,63,FALSE)/HLOOKUP("Apps",A1:CV300,63,FALSE)* 1)</f>
        <v>1.6666666666666667</v>
      </c>
      <c r="AW63" s="10189">
        <f>IF(HLOOKUP("Mins",A1:CV300,63,FALSE)=0,0,HLOOKUP("Gs",A1:CV300,63,FALSE)/HLOOKUP("Mins",A1:CV300,63,FALSE)* 90)</f>
        <v>0</v>
      </c>
      <c r="AX63" s="10190">
        <f>IF(HLOOKUP("Mins",A1:CV300,63,FALSE)=0,0,HLOOKUP("Bonus",A1:CV300,63,FALSE)/HLOOKUP("Mins",A1:CV300,63,FALSE)* 90)</f>
        <v>0</v>
      </c>
      <c r="AY63" s="10191">
        <f>IF(HLOOKUP("Mins",A1:CV300,63,FALSE)=0,0,HLOOKUP("BPS",A1:CV300,63,FALSE)/HLOOKUP("Mins",A1:CV300,63,FALSE)* 90)</f>
        <v>16.363636363636363</v>
      </c>
      <c r="AZ63" s="10192">
        <f>IF(HLOOKUP("Mins",A1:CV300,63,FALSE)=0,0,HLOOKUP("Base BPS",A1:CV300,63,FALSE)/HLOOKUP("Mins",A1:CV300,63,FALSE)* 90)</f>
        <v>16.363636363636363</v>
      </c>
      <c r="BA63" s="10193">
        <f>IF(HLOOKUP("Mins",A1:CV300,63,FALSE)=0,0,HLOOKUP("PenTchs",A1:CV300,63,FALSE)/HLOOKUP("Mins",A1:CV300,63,FALSE)* 90)</f>
        <v>1.859504132231405</v>
      </c>
      <c r="BB63" s="10194">
        <f>IF(HLOOKUP("Mins",A1:CV300,63,FALSE)=0,0,HLOOKUP("Shots",A1:CV300,63,FALSE)/HLOOKUP("Mins",A1:CV300,63,FALSE)* 90)</f>
        <v>0.37190082644628097</v>
      </c>
      <c r="BC63" s="10195">
        <f>IF(HLOOKUP("Mins",A1:CV300,63,FALSE)=0,0,HLOOKUP("SIB",A1:CV300,63,FALSE)/HLOOKUP("Mins",A1:CV300,63,FALSE)* 90)</f>
        <v>0</v>
      </c>
      <c r="BD63" s="10196">
        <f>IF(HLOOKUP("Mins",A1:CV300,63,FALSE)=0,0,HLOOKUP("S6YD",A1:CV300,63,FALSE)/HLOOKUP("Mins",A1:CV300,63,FALSE)* 90)</f>
        <v>0</v>
      </c>
      <c r="BE63" s="10197">
        <f>IF(HLOOKUP("Mins",A1:CV300,63,FALSE)=0,0,HLOOKUP("Headers",A1:CV300,63,FALSE)/HLOOKUP("Mins",A1:CV300,63,FALSE)* 90)</f>
        <v>0</v>
      </c>
      <c r="BF63" s="10198">
        <f>IF(HLOOKUP("Mins",A1:CV300,63,FALSE)=0,0,HLOOKUP("SOT",A1:CV300,63,FALSE)/HLOOKUP("Mins",A1:CV300,63,FALSE)* 90)</f>
        <v>0</v>
      </c>
      <c r="BG63" s="10199">
        <f>IF(HLOOKUP("Mins",A1:CV300,63,FALSE)=0,0,HLOOKUP("As",A1:CV300,63,FALSE)/HLOOKUP("Mins",A1:CV300,63,FALSE)* 90)</f>
        <v>0</v>
      </c>
      <c r="BH63" s="10200">
        <f>IF(HLOOKUP("Mins",A1:CV300,63,FALSE)=0,0,HLOOKUP("FPL As",A1:CV300,63,FALSE)/HLOOKUP("Mins",A1:CV300,63,FALSE)* 90)</f>
        <v>0</v>
      </c>
      <c r="BI63" s="10201">
        <f>IF(HLOOKUP("Mins",A1:CV300,63,FALSE)=0,0,HLOOKUP("BC Created",A1:CV300,63,FALSE)/HLOOKUP("Mins",A1:CV300,63,FALSE)* 90)</f>
        <v>0</v>
      </c>
      <c r="BJ63" s="10202">
        <f>IF(HLOOKUP("Mins",A1:CV300,63,FALSE)=0,0,HLOOKUP("KP",A1:CV300,63,FALSE)/HLOOKUP("Mins",A1:CV300,63,FALSE)* 90)</f>
        <v>0.74380165289256195</v>
      </c>
      <c r="BK63" s="10203">
        <f>IF(HLOOKUP("Mins",A1:CV300,63,FALSE)=0,0,HLOOKUP("BC",A1:CV300,63,FALSE)/HLOOKUP("Mins",A1:CV300,63,FALSE)* 90)</f>
        <v>0</v>
      </c>
      <c r="BL63" s="10204">
        <f>IF(HLOOKUP("Mins",A1:CV300,63,FALSE)=0,0,HLOOKUP("BC Miss",A1:CV300,63,FALSE)/HLOOKUP("Mins",A1:CV300,63,FALSE)* 90)</f>
        <v>0</v>
      </c>
      <c r="BM63" s="10205">
        <f>IF(HLOOKUP("Mins",A1:CV300,63,FALSE)=0,0,HLOOKUP("Gs - BC",A1:CV300,63,FALSE)/HLOOKUP("Mins",A1:CV300,63,FALSE)* 90)</f>
        <v>0</v>
      </c>
      <c r="BN63" s="10206">
        <f>IF(HLOOKUP("Mins",A1:CV300,63,FALSE)=0,0,HLOOKUP("GIB",A1:CV300,63,FALSE)/HLOOKUP("Mins",A1:CV300,63,FALSE)* 90)</f>
        <v>0</v>
      </c>
      <c r="BO63" s="10207">
        <f>IF(HLOOKUP("Mins",A1:CV300,63,FALSE)=0,0,HLOOKUP("Gs - Open",A1:CV300,63,FALSE)/HLOOKUP("Mins",A1:CV300,63,FALSE)* 90)</f>
        <v>0</v>
      </c>
      <c r="BP63" s="10208">
        <f>IF(HLOOKUP("Mins",A1:CV300,63,FALSE)=0,0,HLOOKUP("ICT Index",A1:CV300,63,FALSE)/HLOOKUP("Mins",A1:CV300,63,FALSE)* 90)</f>
        <v>4.2396694214876032</v>
      </c>
      <c r="BQ63" s="10209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  <v>7.4380165289256207E-3</v>
      </c>
      <c r="BR63" s="10210">
        <f>0.0825*HLOOKUP("KP/90",A1:CV300,63,FALSE)</f>
        <v>6.1363636363636363E-2</v>
      </c>
      <c r="BS63" s="10211">
        <f>6*HLOOKUP("xG/90",A1:CV300,63,FALSE)+3*HLOOKUP("xA/90",A1:CV300,63,FALSE)</f>
        <v>0.22871900826446281</v>
      </c>
      <c r="BT63" s="10212">
        <f>HLOOKUP("xPts/90",A1:CV300,63,FALSE)-(6*0.75*(HLOOKUP("PK Gs",A1:CV300,63,FALSE)+HLOOKUP("PK Miss",A1:CV300,63,FALSE))*90/HLOOKUP("Mins",A1:CV300,63,FALSE))</f>
        <v>0.22871900826446281</v>
      </c>
      <c r="BU63" s="10213">
        <f>IF(HLOOKUP("Mins",A1:CV300,63,FALSE)=0,0,HLOOKUP("fsXG",A1:CV300,63,FALSE)/HLOOKUP("Mins",A1:CV300,63,FALSE)* 90)</f>
        <v>1.1157024793388429E-2</v>
      </c>
      <c r="BV63" s="10214">
        <f>IF(HLOOKUP("Mins",A1:CV300,63,FALSE)=0,0,HLOOKUP("fsXA",A1:CV300,63,FALSE)/HLOOKUP("Mins",A1:CV300,63,FALSE)* 90)</f>
        <v>4.8347107438016533E-2</v>
      </c>
      <c r="BW63" s="10215">
        <f>6*HLOOKUP("fsXG/90",A1:CV300,63,FALSE)+3*HLOOKUP("fsXA/90",A1:CV300,63,FALSE)</f>
        <v>0.21198347107438018</v>
      </c>
      <c r="BX63" s="10216">
        <v>8.8131511583924294E-3</v>
      </c>
      <c r="BY63" s="10217">
        <v>2.5600381195545197E-2</v>
      </c>
      <c r="BZ63" s="10218">
        <f>6*HLOOKUP("uXG/90",A1:CV300,63,FALSE)+3*HLOOKUP("uXA/90",A1:CV300,63,FALSE)</f>
        <v>0.12968005053699017</v>
      </c>
    </row>
    <row r="64" spans="1:78" hidden="1" x14ac:dyDescent="0.3">
      <c r="A64" s="10219" t="s">
        <v>227</v>
      </c>
      <c r="B64" s="10220" t="s">
        <v>147</v>
      </c>
      <c r="C64" s="10221">
        <v>6</v>
      </c>
      <c r="D64" s="10222">
        <v>585</v>
      </c>
      <c r="E64" s="10223">
        <v>7</v>
      </c>
      <c r="F64" s="10224">
        <v>18</v>
      </c>
      <c r="G64" s="10225">
        <v>0</v>
      </c>
      <c r="H64" s="10226">
        <v>0</v>
      </c>
      <c r="I64" s="10227">
        <v>114</v>
      </c>
      <c r="J64" s="10228">
        <f>HLOOKUP("BPS",A1:CV300,64,FALSE)-((-6*HLOOKUP("OG",A1:CV300,64,FALSE))+(-6*HLOOKUP("PK Miss",A1:CV300,64,FALSE))+(9*HLOOKUP("FPL As",A1:CV300,64,FALSE))+(12*HLOOKUP("CS",A1:CV300,64,FALSE))+(12*HLOOKUP("Gs",A1:CV300,64,FALSE)))</f>
        <v>90</v>
      </c>
      <c r="K64" s="10229">
        <v>0</v>
      </c>
      <c r="L64" s="10230">
        <v>2</v>
      </c>
      <c r="M64" s="10231">
        <v>3</v>
      </c>
      <c r="N64" s="10232">
        <v>3</v>
      </c>
      <c r="O64" s="10233">
        <v>2</v>
      </c>
      <c r="P64" s="10234">
        <f>IF(HLOOKUP("Shots",A1:CV300,64,FALSE)=0,0,HLOOKUP("SIB",A1:CV300,64,FALSE)/HLOOKUP("Shots",A1:CV300,64,FALSE))</f>
        <v>0.66666666666666663</v>
      </c>
      <c r="Q64" s="10235">
        <v>1</v>
      </c>
      <c r="R64" s="10236">
        <f>IF(HLOOKUP("Shots",A1:CV300,64,FALSE)=0,0,HLOOKUP("S6YD",A1:CV300,64,FALSE)/HLOOKUP("Shots",A1:CV300,64,FALSE))</f>
        <v>0.33333333333333331</v>
      </c>
      <c r="S64" s="10237">
        <v>1</v>
      </c>
      <c r="T64" s="10238">
        <f>IF(HLOOKUP("Shots",A1:CV300,64,FALSE)=0,0,HLOOKUP("Headers",A1:CV300,64,FALSE)/HLOOKUP("Shots",A1:CV300,64,FALSE))</f>
        <v>0.33333333333333331</v>
      </c>
      <c r="U64" s="10239">
        <v>0</v>
      </c>
      <c r="V64" s="10240">
        <f>IF(HLOOKUP("Shots",A1:CV300,64,FALSE)=0,0,HLOOKUP("SOT",A1:CV300,64,FALSE)/HLOOKUP("Shots",A1:CV300,64,FALSE))</f>
        <v>0</v>
      </c>
      <c r="W64" s="10241">
        <f>IF(HLOOKUP("Shots",A1:CV300,64,FALSE)=0,0,HLOOKUP("Gs",A1:CV300,64,FALSE)/HLOOKUP("Shots",A1:CV300,64,FALSE))</f>
        <v>0</v>
      </c>
      <c r="X64" s="10242">
        <v>0</v>
      </c>
      <c r="Y64" s="10243">
        <v>0</v>
      </c>
      <c r="Z64" s="10244">
        <v>0</v>
      </c>
      <c r="AA64" s="10245">
        <f>IF(HLOOKUP("KP",A1:CV300,64,FALSE)=0,0,HLOOKUP("As",A1:CV300,64,FALSE)/HLOOKUP("KP",A1:CV300,64,FALSE))</f>
        <v>0</v>
      </c>
      <c r="AB64" s="10246">
        <v>16.8</v>
      </c>
      <c r="AC64" s="10247">
        <v>0</v>
      </c>
      <c r="AD64" s="10248">
        <v>0</v>
      </c>
      <c r="AE64" s="10249">
        <v>0</v>
      </c>
      <c r="AF64" s="10250">
        <v>0</v>
      </c>
      <c r="AG64" s="10251">
        <f>IF(HLOOKUP("BC",A1:CV300,64,FALSE)=0,0,HLOOKUP("Gs - BC",A1:CV300,64,FALSE)/HLOOKUP("BC",A1:CV300,64,FALSE))</f>
        <v>0</v>
      </c>
      <c r="AH64" s="10252">
        <f>HLOOKUP("BC",A1:CV300,64,FALSE) - HLOOKUP("BC Miss",A1:CV300,64,FALSE)</f>
        <v>0</v>
      </c>
      <c r="AI64" s="10253">
        <f>IF(HLOOKUP("Gs",A1:CV300,64,FALSE)=0,0,HLOOKUP("Gs - BC",A1:CV300,64,FALSE)/HLOOKUP("Gs",A1:CV300,64,FALSE))</f>
        <v>0</v>
      </c>
      <c r="AJ64" s="10254">
        <v>0</v>
      </c>
      <c r="AK64" s="10255">
        <v>0</v>
      </c>
      <c r="AL64" s="10256">
        <f>HLOOKUP("BC",A1:CV300,64,FALSE) - (HLOOKUP("PK Gs",A1:CV300,64,FALSE) + HLOOKUP("PK Miss",A1:CV300,64,FALSE))</f>
        <v>0</v>
      </c>
      <c r="AM64" s="10257">
        <f>HLOOKUP("BC Miss",A1:CV300,64,FALSE) - HLOOKUP("PK Miss",A1:CV300,64,FALSE)</f>
        <v>0</v>
      </c>
      <c r="AN64" s="10258">
        <f>IF(HLOOKUP("BC - Open",A1:CV300,64,FALSE)=0,0,HLOOKUP("BC - Open Miss",A1:CV300,64,FALSE)/HLOOKUP("BC - Open",A1:CV300,64,FALSE))</f>
        <v>0</v>
      </c>
      <c r="AO64" s="10259">
        <v>0</v>
      </c>
      <c r="AP64" s="10260">
        <f>IF(HLOOKUP("Gs",A1:CV300,64,FALSE)=0,0,HLOOKUP("GIB",A1:CV300,64,FALSE)/HLOOKUP("Gs",A1:CV300,64,FALSE))</f>
        <v>0</v>
      </c>
      <c r="AQ64" s="10261">
        <v>0</v>
      </c>
      <c r="AR64" s="10262">
        <f>IF(HLOOKUP("Gs",A1:CV300,64,FALSE)=0,0,HLOOKUP("Gs - Open",A1:CV300,64,FALSE)/HLOOKUP("Gs",A1:CV300,64,FALSE))</f>
        <v>0</v>
      </c>
      <c r="AS64" s="10263">
        <v>0.16</v>
      </c>
      <c r="AT64" s="10264">
        <v>7.0000000000000007E-2</v>
      </c>
      <c r="AU64" s="10265">
        <f>IF(HLOOKUP("Mins",A1:CV300,64,FALSE)=0,0,HLOOKUP("Pts",A1:CV300,64,FALSE)/HLOOKUP("Mins",A1:CV300,64,FALSE)* 90)</f>
        <v>2.7692307692307692</v>
      </c>
      <c r="AV64" s="10266">
        <f>IF(HLOOKUP("Apps",A1:CV300,64,FALSE)=0,0,HLOOKUP("Pts",A1:CV300,64,FALSE)/HLOOKUP("Apps",A1:CV300,64,FALSE)* 1)</f>
        <v>2.5714285714285716</v>
      </c>
      <c r="AW64" s="10267">
        <f>IF(HLOOKUP("Mins",A1:CV300,64,FALSE)=0,0,HLOOKUP("Gs",A1:CV300,64,FALSE)/HLOOKUP("Mins",A1:CV300,64,FALSE)* 90)</f>
        <v>0</v>
      </c>
      <c r="AX64" s="10268">
        <f>IF(HLOOKUP("Mins",A1:CV300,64,FALSE)=0,0,HLOOKUP("Bonus",A1:CV300,64,FALSE)/HLOOKUP("Mins",A1:CV300,64,FALSE)* 90)</f>
        <v>0</v>
      </c>
      <c r="AY64" s="10269">
        <f>IF(HLOOKUP("Mins",A1:CV300,64,FALSE)=0,0,HLOOKUP("BPS",A1:CV300,64,FALSE)/HLOOKUP("Mins",A1:CV300,64,FALSE)* 90)</f>
        <v>17.53846153846154</v>
      </c>
      <c r="AZ64" s="10270">
        <f>IF(HLOOKUP("Mins",A1:CV300,64,FALSE)=0,0,HLOOKUP("Base BPS",A1:CV300,64,FALSE)/HLOOKUP("Mins",A1:CV300,64,FALSE)* 90)</f>
        <v>13.846153846153847</v>
      </c>
      <c r="BA64" s="10271">
        <f>IF(HLOOKUP("Mins",A1:CV300,64,FALSE)=0,0,HLOOKUP("PenTchs",A1:CV300,64,FALSE)/HLOOKUP("Mins",A1:CV300,64,FALSE)* 90)</f>
        <v>0.46153846153846156</v>
      </c>
      <c r="BB64" s="10272">
        <f>IF(HLOOKUP("Mins",A1:CV300,64,FALSE)=0,0,HLOOKUP("Shots",A1:CV300,64,FALSE)/HLOOKUP("Mins",A1:CV300,64,FALSE)* 90)</f>
        <v>0.46153846153846156</v>
      </c>
      <c r="BC64" s="10273">
        <f>IF(HLOOKUP("Mins",A1:CV300,64,FALSE)=0,0,HLOOKUP("SIB",A1:CV300,64,FALSE)/HLOOKUP("Mins",A1:CV300,64,FALSE)* 90)</f>
        <v>0.30769230769230771</v>
      </c>
      <c r="BD64" s="10274">
        <f>IF(HLOOKUP("Mins",A1:CV300,64,FALSE)=0,0,HLOOKUP("S6YD",A1:CV300,64,FALSE)/HLOOKUP("Mins",A1:CV300,64,FALSE)* 90)</f>
        <v>0.15384615384615385</v>
      </c>
      <c r="BE64" s="10275">
        <f>IF(HLOOKUP("Mins",A1:CV300,64,FALSE)=0,0,HLOOKUP("Headers",A1:CV300,64,FALSE)/HLOOKUP("Mins",A1:CV300,64,FALSE)* 90)</f>
        <v>0.15384615384615385</v>
      </c>
      <c r="BF64" s="10276">
        <f>IF(HLOOKUP("Mins",A1:CV300,64,FALSE)=0,0,HLOOKUP("SOT",A1:CV300,64,FALSE)/HLOOKUP("Mins",A1:CV300,64,FALSE)* 90)</f>
        <v>0</v>
      </c>
      <c r="BG64" s="10277">
        <f>IF(HLOOKUP("Mins",A1:CV300,64,FALSE)=0,0,HLOOKUP("As",A1:CV300,64,FALSE)/HLOOKUP("Mins",A1:CV300,64,FALSE)* 90)</f>
        <v>0</v>
      </c>
      <c r="BH64" s="10278">
        <f>IF(HLOOKUP("Mins",A1:CV300,64,FALSE)=0,0,HLOOKUP("FPL As",A1:CV300,64,FALSE)/HLOOKUP("Mins",A1:CV300,64,FALSE)* 90)</f>
        <v>0</v>
      </c>
      <c r="BI64" s="10279">
        <f>IF(HLOOKUP("Mins",A1:CV300,64,FALSE)=0,0,HLOOKUP("BC Created",A1:CV300,64,FALSE)/HLOOKUP("Mins",A1:CV300,64,FALSE)* 90)</f>
        <v>0</v>
      </c>
      <c r="BJ64" s="10280">
        <f>IF(HLOOKUP("Mins",A1:CV300,64,FALSE)=0,0,HLOOKUP("KP",A1:CV300,64,FALSE)/HLOOKUP("Mins",A1:CV300,64,FALSE)* 90)</f>
        <v>0</v>
      </c>
      <c r="BK64" s="10281">
        <f>IF(HLOOKUP("Mins",A1:CV300,64,FALSE)=0,0,HLOOKUP("BC",A1:CV300,64,FALSE)/HLOOKUP("Mins",A1:CV300,64,FALSE)* 90)</f>
        <v>0</v>
      </c>
      <c r="BL64" s="10282">
        <f>IF(HLOOKUP("Mins",A1:CV300,64,FALSE)=0,0,HLOOKUP("BC Miss",A1:CV300,64,FALSE)/HLOOKUP("Mins",A1:CV300,64,FALSE)* 90)</f>
        <v>0</v>
      </c>
      <c r="BM64" s="10283">
        <f>IF(HLOOKUP("Mins",A1:CV300,64,FALSE)=0,0,HLOOKUP("Gs - BC",A1:CV300,64,FALSE)/HLOOKUP("Mins",A1:CV300,64,FALSE)* 90)</f>
        <v>0</v>
      </c>
      <c r="BN64" s="10284">
        <f>IF(HLOOKUP("Mins",A1:CV300,64,FALSE)=0,0,HLOOKUP("GIB",A1:CV300,64,FALSE)/HLOOKUP("Mins",A1:CV300,64,FALSE)* 90)</f>
        <v>0</v>
      </c>
      <c r="BO64" s="10285">
        <f>IF(HLOOKUP("Mins",A1:CV300,64,FALSE)=0,0,HLOOKUP("Gs - Open",A1:CV300,64,FALSE)/HLOOKUP("Mins",A1:CV300,64,FALSE)* 90)</f>
        <v>0</v>
      </c>
      <c r="BP64" s="10286">
        <f>IF(HLOOKUP("Mins",A1:CV300,64,FALSE)=0,0,HLOOKUP("ICT Index",A1:CV300,64,FALSE)/HLOOKUP("Mins",A1:CV300,64,FALSE)* 90)</f>
        <v>2.5846153846153848</v>
      </c>
      <c r="BQ64" s="10287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  <v>3.1692307692307686E-2</v>
      </c>
      <c r="BR64" s="10288">
        <f>0.0825*HLOOKUP("KP/90",A1:CV300,64,FALSE)</f>
        <v>0</v>
      </c>
      <c r="BS64" s="10289">
        <f>6*HLOOKUP("xG/90",A1:CV300,64,FALSE)+3*HLOOKUP("xA/90",A1:CV300,64,FALSE)</f>
        <v>0.19015384615384612</v>
      </c>
      <c r="BT64" s="10290">
        <f>HLOOKUP("xPts/90",A1:CV300,64,FALSE)-(6*0.75*(HLOOKUP("PK Gs",A1:CV300,64,FALSE)+HLOOKUP("PK Miss",A1:CV300,64,FALSE))*90/HLOOKUP("Mins",A1:CV300,64,FALSE))</f>
        <v>0.19015384615384612</v>
      </c>
      <c r="BU64" s="10291">
        <f>IF(HLOOKUP("Mins",A1:CV300,64,FALSE)=0,0,HLOOKUP("fsXG",A1:CV300,64,FALSE)/HLOOKUP("Mins",A1:CV300,64,FALSE)* 90)</f>
        <v>2.4615384615384619E-2</v>
      </c>
      <c r="BV64" s="10292">
        <f>IF(HLOOKUP("Mins",A1:CV300,64,FALSE)=0,0,HLOOKUP("fsXA",A1:CV300,64,FALSE)/HLOOKUP("Mins",A1:CV300,64,FALSE)* 90)</f>
        <v>1.0769230769230771E-2</v>
      </c>
      <c r="BW64" s="10293">
        <f>6*HLOOKUP("fsXG/90",A1:CV300,64,FALSE)+3*HLOOKUP("fsXA/90",A1:CV300,64,FALSE)</f>
        <v>0.18000000000000002</v>
      </c>
      <c r="BX64" s="10294">
        <v>1.6612449660897255E-2</v>
      </c>
      <c r="BY64" s="10295">
        <v>0</v>
      </c>
      <c r="BZ64" s="10296">
        <f>6*HLOOKUP("uXG/90",A1:CV300,64,FALSE)+3*HLOOKUP("uXA/90",A1:CV300,64,FALSE)</f>
        <v>9.967469796538353E-2</v>
      </c>
    </row>
    <row r="65" spans="1:78" hidden="1" x14ac:dyDescent="0.3">
      <c r="A65" s="10297" t="s">
        <v>228</v>
      </c>
      <c r="B65" s="10298" t="s">
        <v>81</v>
      </c>
      <c r="C65" s="10299">
        <v>4.3000001907348633</v>
      </c>
      <c r="D65" s="10300">
        <v>454</v>
      </c>
      <c r="E65" s="10301">
        <v>6</v>
      </c>
      <c r="F65" s="10302">
        <v>21</v>
      </c>
      <c r="G65" s="10303">
        <v>0</v>
      </c>
      <c r="H65" s="10304">
        <v>2</v>
      </c>
      <c r="I65" s="10305">
        <v>89</v>
      </c>
      <c r="J65" s="10306">
        <f>HLOOKUP("BPS",A1:CV300,65,FALSE)-((-6*HLOOKUP("OG",A1:CV300,65,FALSE))+(-6*HLOOKUP("PK Miss",A1:CV300,65,FALSE))+(9*HLOOKUP("FPL As",A1:CV300,65,FALSE))+(12*HLOOKUP("CS",A1:CV300,65,FALSE))+(12*HLOOKUP("Gs",A1:CV300,65,FALSE)))</f>
        <v>65</v>
      </c>
      <c r="K65" s="10307">
        <v>0</v>
      </c>
      <c r="L65" s="10308">
        <v>2</v>
      </c>
      <c r="M65" s="10309">
        <v>0</v>
      </c>
      <c r="N65" s="10310">
        <v>5</v>
      </c>
      <c r="O65" s="10311">
        <v>0</v>
      </c>
      <c r="P65" s="10312">
        <f>IF(HLOOKUP("Shots",A1:CV300,65,FALSE)=0,0,HLOOKUP("SIB",A1:CV300,65,FALSE)/HLOOKUP("Shots",A1:CV300,65,FALSE))</f>
        <v>0</v>
      </c>
      <c r="Q65" s="10313">
        <v>0</v>
      </c>
      <c r="R65" s="10314">
        <f>IF(HLOOKUP("Shots",A1:CV300,65,FALSE)=0,0,HLOOKUP("S6YD",A1:CV300,65,FALSE)/HLOOKUP("Shots",A1:CV300,65,FALSE))</f>
        <v>0</v>
      </c>
      <c r="S65" s="10315">
        <v>0</v>
      </c>
      <c r="T65" s="10316">
        <f>IF(HLOOKUP("Shots",A1:CV300,65,FALSE)=0,0,HLOOKUP("Headers",A1:CV300,65,FALSE)/HLOOKUP("Shots",A1:CV300,65,FALSE))</f>
        <v>0</v>
      </c>
      <c r="U65" s="10317">
        <v>1</v>
      </c>
      <c r="V65" s="10318">
        <f>IF(HLOOKUP("Shots",A1:CV300,65,FALSE)=0,0,HLOOKUP("SOT",A1:CV300,65,FALSE)/HLOOKUP("Shots",A1:CV300,65,FALSE))</f>
        <v>0.2</v>
      </c>
      <c r="W65" s="10319">
        <f>IF(HLOOKUP("Shots",A1:CV300,65,FALSE)=0,0,HLOOKUP("Gs",A1:CV300,65,FALSE)/HLOOKUP("Shots",A1:CV300,65,FALSE))</f>
        <v>0</v>
      </c>
      <c r="X65" s="10320">
        <v>0</v>
      </c>
      <c r="Y65" s="10321">
        <v>0</v>
      </c>
      <c r="Z65" s="10322">
        <v>2</v>
      </c>
      <c r="AA65" s="10323">
        <f>IF(HLOOKUP("KP",A1:CV300,65,FALSE)=0,0,HLOOKUP("As",A1:CV300,65,FALSE)/HLOOKUP("KP",A1:CV300,65,FALSE))</f>
        <v>0</v>
      </c>
      <c r="AB65" s="10324">
        <v>15.4</v>
      </c>
      <c r="AC65" s="10325">
        <v>0</v>
      </c>
      <c r="AD65" s="10326">
        <v>0</v>
      </c>
      <c r="AE65" s="10327">
        <v>0</v>
      </c>
      <c r="AF65" s="10328">
        <v>0</v>
      </c>
      <c r="AG65" s="10329">
        <f>IF(HLOOKUP("BC",A1:CV300,65,FALSE)=0,0,HLOOKUP("Gs - BC",A1:CV300,65,FALSE)/HLOOKUP("BC",A1:CV300,65,FALSE))</f>
        <v>0</v>
      </c>
      <c r="AH65" s="10330">
        <f>HLOOKUP("BC",A1:CV300,65,FALSE) - HLOOKUP("BC Miss",A1:CV300,65,FALSE)</f>
        <v>0</v>
      </c>
      <c r="AI65" s="10331">
        <f>IF(HLOOKUP("Gs",A1:CV300,65,FALSE)=0,0,HLOOKUP("Gs - BC",A1:CV300,65,FALSE)/HLOOKUP("Gs",A1:CV300,65,FALSE))</f>
        <v>0</v>
      </c>
      <c r="AJ65" s="10332">
        <v>0</v>
      </c>
      <c r="AK65" s="10333">
        <v>0</v>
      </c>
      <c r="AL65" s="10334">
        <f>HLOOKUP("BC",A1:CV300,65,FALSE) - (HLOOKUP("PK Gs",A1:CV300,65,FALSE) + HLOOKUP("PK Miss",A1:CV300,65,FALSE))</f>
        <v>0</v>
      </c>
      <c r="AM65" s="10335">
        <f>HLOOKUP("BC Miss",A1:CV300,65,FALSE) - HLOOKUP("PK Miss",A1:CV300,65,FALSE)</f>
        <v>0</v>
      </c>
      <c r="AN65" s="10336">
        <f>IF(HLOOKUP("BC - Open",A1:CV300,65,FALSE)=0,0,HLOOKUP("BC - Open Miss",A1:CV300,65,FALSE)/HLOOKUP("BC - Open",A1:CV300,65,FALSE))</f>
        <v>0</v>
      </c>
      <c r="AO65" s="10337">
        <v>0</v>
      </c>
      <c r="AP65" s="10338">
        <f>IF(HLOOKUP("Gs",A1:CV300,65,FALSE)=0,0,HLOOKUP("GIB",A1:CV300,65,FALSE)/HLOOKUP("Gs",A1:CV300,65,FALSE))</f>
        <v>0</v>
      </c>
      <c r="AQ65" s="10339">
        <v>0</v>
      </c>
      <c r="AR65" s="10340">
        <f>IF(HLOOKUP("Gs",A1:CV300,65,FALSE)=0,0,HLOOKUP("Gs - Open",A1:CV300,65,FALSE)/HLOOKUP("Gs",A1:CV300,65,FALSE))</f>
        <v>0</v>
      </c>
      <c r="AS65" s="10341">
        <v>0.23</v>
      </c>
      <c r="AT65" s="10342">
        <v>0.23</v>
      </c>
      <c r="AU65" s="10343">
        <f>IF(HLOOKUP("Mins",A1:CV300,65,FALSE)=0,0,HLOOKUP("Pts",A1:CV300,65,FALSE)/HLOOKUP("Mins",A1:CV300,65,FALSE)* 90)</f>
        <v>4.1629955947136565</v>
      </c>
      <c r="AV65" s="10344">
        <f>IF(HLOOKUP("Apps",A1:CV300,65,FALSE)=0,0,HLOOKUP("Pts",A1:CV300,65,FALSE)/HLOOKUP("Apps",A1:CV300,65,FALSE)* 1)</f>
        <v>3.5</v>
      </c>
      <c r="AW65" s="10345">
        <f>IF(HLOOKUP("Mins",A1:CV300,65,FALSE)=0,0,HLOOKUP("Gs",A1:CV300,65,FALSE)/HLOOKUP("Mins",A1:CV300,65,FALSE)* 90)</f>
        <v>0</v>
      </c>
      <c r="AX65" s="10346">
        <f>IF(HLOOKUP("Mins",A1:CV300,65,FALSE)=0,0,HLOOKUP("Bonus",A1:CV300,65,FALSE)/HLOOKUP("Mins",A1:CV300,65,FALSE)* 90)</f>
        <v>0.39647577092511016</v>
      </c>
      <c r="AY65" s="10347">
        <f>IF(HLOOKUP("Mins",A1:CV300,65,FALSE)=0,0,HLOOKUP("BPS",A1:CV300,65,FALSE)/HLOOKUP("Mins",A1:CV300,65,FALSE)* 90)</f>
        <v>17.643171806167402</v>
      </c>
      <c r="AZ65" s="10348">
        <f>IF(HLOOKUP("Mins",A1:CV300,65,FALSE)=0,0,HLOOKUP("Base BPS",A1:CV300,65,FALSE)/HLOOKUP("Mins",A1:CV300,65,FALSE)* 90)</f>
        <v>12.885462555066079</v>
      </c>
      <c r="BA65" s="10349">
        <f>IF(HLOOKUP("Mins",A1:CV300,65,FALSE)=0,0,HLOOKUP("PenTchs",A1:CV300,65,FALSE)/HLOOKUP("Mins",A1:CV300,65,FALSE)* 90)</f>
        <v>0</v>
      </c>
      <c r="BB65" s="10350">
        <f>IF(HLOOKUP("Mins",A1:CV300,65,FALSE)=0,0,HLOOKUP("Shots",A1:CV300,65,FALSE)/HLOOKUP("Mins",A1:CV300,65,FALSE)* 90)</f>
        <v>0.99118942731277537</v>
      </c>
      <c r="BC65" s="10351">
        <f>IF(HLOOKUP("Mins",A1:CV300,65,FALSE)=0,0,HLOOKUP("SIB",A1:CV300,65,FALSE)/HLOOKUP("Mins",A1:CV300,65,FALSE)* 90)</f>
        <v>0</v>
      </c>
      <c r="BD65" s="10352">
        <f>IF(HLOOKUP("Mins",A1:CV300,65,FALSE)=0,0,HLOOKUP("S6YD",A1:CV300,65,FALSE)/HLOOKUP("Mins",A1:CV300,65,FALSE)* 90)</f>
        <v>0</v>
      </c>
      <c r="BE65" s="10353">
        <f>IF(HLOOKUP("Mins",A1:CV300,65,FALSE)=0,0,HLOOKUP("Headers",A1:CV300,65,FALSE)/HLOOKUP("Mins",A1:CV300,65,FALSE)* 90)</f>
        <v>0</v>
      </c>
      <c r="BF65" s="10354">
        <f>IF(HLOOKUP("Mins",A1:CV300,65,FALSE)=0,0,HLOOKUP("SOT",A1:CV300,65,FALSE)/HLOOKUP("Mins",A1:CV300,65,FALSE)* 90)</f>
        <v>0.19823788546255508</v>
      </c>
      <c r="BG65" s="10355">
        <f>IF(HLOOKUP("Mins",A1:CV300,65,FALSE)=0,0,HLOOKUP("As",A1:CV300,65,FALSE)/HLOOKUP("Mins",A1:CV300,65,FALSE)* 90)</f>
        <v>0</v>
      </c>
      <c r="BH65" s="10356">
        <f>IF(HLOOKUP("Mins",A1:CV300,65,FALSE)=0,0,HLOOKUP("FPL As",A1:CV300,65,FALSE)/HLOOKUP("Mins",A1:CV300,65,FALSE)* 90)</f>
        <v>0</v>
      </c>
      <c r="BI65" s="10357">
        <f>IF(HLOOKUP("Mins",A1:CV300,65,FALSE)=0,0,HLOOKUP("BC Created",A1:CV300,65,FALSE)/HLOOKUP("Mins",A1:CV300,65,FALSE)* 90)</f>
        <v>0</v>
      </c>
      <c r="BJ65" s="10358">
        <f>IF(HLOOKUP("Mins",A1:CV300,65,FALSE)=0,0,HLOOKUP("KP",A1:CV300,65,FALSE)/HLOOKUP("Mins",A1:CV300,65,FALSE)* 90)</f>
        <v>0.39647577092511016</v>
      </c>
      <c r="BK65" s="10359">
        <f>IF(HLOOKUP("Mins",A1:CV300,65,FALSE)=0,0,HLOOKUP("BC",A1:CV300,65,FALSE)/HLOOKUP("Mins",A1:CV300,65,FALSE)* 90)</f>
        <v>0</v>
      </c>
      <c r="BL65" s="10360">
        <f>IF(HLOOKUP("Mins",A1:CV300,65,FALSE)=0,0,HLOOKUP("BC Miss",A1:CV300,65,FALSE)/HLOOKUP("Mins",A1:CV300,65,FALSE)* 90)</f>
        <v>0</v>
      </c>
      <c r="BM65" s="10361">
        <f>IF(HLOOKUP("Mins",A1:CV300,65,FALSE)=0,0,HLOOKUP("Gs - BC",A1:CV300,65,FALSE)/HLOOKUP("Mins",A1:CV300,65,FALSE)* 90)</f>
        <v>0</v>
      </c>
      <c r="BN65" s="10362">
        <f>IF(HLOOKUP("Mins",A1:CV300,65,FALSE)=0,0,HLOOKUP("GIB",A1:CV300,65,FALSE)/HLOOKUP("Mins",A1:CV300,65,FALSE)* 90)</f>
        <v>0</v>
      </c>
      <c r="BO65" s="10363">
        <f>IF(HLOOKUP("Mins",A1:CV300,65,FALSE)=0,0,HLOOKUP("Gs - Open",A1:CV300,65,FALSE)/HLOOKUP("Mins",A1:CV300,65,FALSE)* 90)</f>
        <v>0</v>
      </c>
      <c r="BP65" s="10364">
        <f>IF(HLOOKUP("Mins",A1:CV300,65,FALSE)=0,0,HLOOKUP("ICT Index",A1:CV300,65,FALSE)/HLOOKUP("Mins",A1:CV300,65,FALSE)* 90)</f>
        <v>3.052863436123348</v>
      </c>
      <c r="BQ65" s="10365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  <v>1.9823788546255508E-2</v>
      </c>
      <c r="BR65" s="10366">
        <f>0.0825*HLOOKUP("KP/90",A1:CV300,65,FALSE)</f>
        <v>3.2709251101321592E-2</v>
      </c>
      <c r="BS65" s="10367">
        <f>6*HLOOKUP("xG/90",A1:CV300,65,FALSE)+3*HLOOKUP("xA/90",A1:CV300,65,FALSE)</f>
        <v>0.21707048458149783</v>
      </c>
      <c r="BT65" s="10368">
        <f>HLOOKUP("xPts/90",A1:CV300,65,FALSE)-(6*0.75*(HLOOKUP("PK Gs",A1:CV300,65,FALSE)+HLOOKUP("PK Miss",A1:CV300,65,FALSE))*90/HLOOKUP("Mins",A1:CV300,65,FALSE))</f>
        <v>0.21707048458149783</v>
      </c>
      <c r="BU65" s="10369">
        <f>IF(HLOOKUP("Mins",A1:CV300,65,FALSE)=0,0,HLOOKUP("fsXG",A1:CV300,65,FALSE)/HLOOKUP("Mins",A1:CV300,65,FALSE)* 90)</f>
        <v>4.5594713656387661E-2</v>
      </c>
      <c r="BV65" s="10370">
        <f>IF(HLOOKUP("Mins",A1:CV300,65,FALSE)=0,0,HLOOKUP("fsXA",A1:CV300,65,FALSE)/HLOOKUP("Mins",A1:CV300,65,FALSE)* 90)</f>
        <v>4.5594713656387661E-2</v>
      </c>
      <c r="BW65" s="10371">
        <f>6*HLOOKUP("fsXG/90",A1:CV300,65,FALSE)+3*HLOOKUP("fsXA/90",A1:CV300,65,FALSE)</f>
        <v>0.41035242290748891</v>
      </c>
      <c r="BX65" s="10372">
        <v>3.6563709378242493E-2</v>
      </c>
      <c r="BY65" s="10373">
        <v>2.0142007619142532E-2</v>
      </c>
      <c r="BZ65" s="10374">
        <f>6*HLOOKUP("uXG/90",A1:CV300,65,FALSE)+3*HLOOKUP("uXA/90",A1:CV300,65,FALSE)</f>
        <v>0.27980827912688255</v>
      </c>
    </row>
    <row r="66" spans="1:78" hidden="1" x14ac:dyDescent="0.3">
      <c r="A66" s="10375" t="s">
        <v>229</v>
      </c>
      <c r="B66" s="10376" t="s">
        <v>105</v>
      </c>
      <c r="C66" s="10377">
        <v>4.5</v>
      </c>
      <c r="D66" s="10378">
        <v>257</v>
      </c>
      <c r="E66" s="10379">
        <v>5</v>
      </c>
      <c r="F66" s="10380">
        <v>10</v>
      </c>
      <c r="G66" s="10381">
        <v>0</v>
      </c>
      <c r="H66" s="10382">
        <v>0</v>
      </c>
      <c r="I66" s="10383">
        <v>55</v>
      </c>
      <c r="J66" s="10384">
        <f>HLOOKUP("BPS",A1:CV300,66,FALSE)-((-6*HLOOKUP("OG",A1:CV300,66,FALSE))+(-6*HLOOKUP("PK Miss",A1:CV300,66,FALSE))+(9*HLOOKUP("FPL As",A1:CV300,66,FALSE))+(12*HLOOKUP("CS",A1:CV300,66,FALSE))+(12*HLOOKUP("Gs",A1:CV300,66,FALSE)))</f>
        <v>43</v>
      </c>
      <c r="K66" s="10385">
        <v>0</v>
      </c>
      <c r="L66" s="10386">
        <v>1</v>
      </c>
      <c r="M66" s="10387">
        <v>0</v>
      </c>
      <c r="N66" s="10388">
        <v>0</v>
      </c>
      <c r="O66" s="10389">
        <v>0</v>
      </c>
      <c r="P66" s="10390">
        <f>IF(HLOOKUP("Shots",A1:CV300,66,FALSE)=0,0,HLOOKUP("SIB",A1:CV300,66,FALSE)/HLOOKUP("Shots",A1:CV300,66,FALSE))</f>
        <v>0</v>
      </c>
      <c r="Q66" s="10391">
        <v>0</v>
      </c>
      <c r="R66" s="10392">
        <f>IF(HLOOKUP("Shots",A1:CV300,66,FALSE)=0,0,HLOOKUP("S6YD",A1:CV300,66,FALSE)/HLOOKUP("Shots",A1:CV300,66,FALSE))</f>
        <v>0</v>
      </c>
      <c r="S66" s="10393">
        <v>0</v>
      </c>
      <c r="T66" s="10394">
        <f>IF(HLOOKUP("Shots",A1:CV300,66,FALSE)=0,0,HLOOKUP("Headers",A1:CV300,66,FALSE)/HLOOKUP("Shots",A1:CV300,66,FALSE))</f>
        <v>0</v>
      </c>
      <c r="U66" s="10395">
        <v>0</v>
      </c>
      <c r="V66" s="10396">
        <f>IF(HLOOKUP("Shots",A1:CV300,66,FALSE)=0,0,HLOOKUP("SOT",A1:CV300,66,FALSE)/HLOOKUP("Shots",A1:CV300,66,FALSE))</f>
        <v>0</v>
      </c>
      <c r="W66" s="10397">
        <f>IF(HLOOKUP("Shots",A1:CV300,66,FALSE)=0,0,HLOOKUP("Gs",A1:CV300,66,FALSE)/HLOOKUP("Shots",A1:CV300,66,FALSE))</f>
        <v>0</v>
      </c>
      <c r="X66" s="10398">
        <v>0</v>
      </c>
      <c r="Y66" s="10399">
        <v>0</v>
      </c>
      <c r="Z66" s="10400">
        <v>0</v>
      </c>
      <c r="AA66" s="10401">
        <f>IF(HLOOKUP("KP",A1:CV300,66,FALSE)=0,0,HLOOKUP("As",A1:CV300,66,FALSE)/HLOOKUP("KP",A1:CV300,66,FALSE))</f>
        <v>0</v>
      </c>
      <c r="AB66" s="10402">
        <v>6.2</v>
      </c>
      <c r="AC66" s="10403">
        <v>0</v>
      </c>
      <c r="AD66" s="10404">
        <v>0</v>
      </c>
      <c r="AE66" s="10405">
        <v>0</v>
      </c>
      <c r="AF66" s="10406">
        <v>0</v>
      </c>
      <c r="AG66" s="10407">
        <f>IF(HLOOKUP("BC",A1:CV300,66,FALSE)=0,0,HLOOKUP("Gs - BC",A1:CV300,66,FALSE)/HLOOKUP("BC",A1:CV300,66,FALSE))</f>
        <v>0</v>
      </c>
      <c r="AH66" s="10408">
        <f>HLOOKUP("BC",A1:CV300,66,FALSE) - HLOOKUP("BC Miss",A1:CV300,66,FALSE)</f>
        <v>0</v>
      </c>
      <c r="AI66" s="10409">
        <f>IF(HLOOKUP("Gs",A1:CV300,66,FALSE)=0,0,HLOOKUP("Gs - BC",A1:CV300,66,FALSE)/HLOOKUP("Gs",A1:CV300,66,FALSE))</f>
        <v>0</v>
      </c>
      <c r="AJ66" s="10410">
        <v>0</v>
      </c>
      <c r="AK66" s="10411">
        <v>0</v>
      </c>
      <c r="AL66" s="10412">
        <f>HLOOKUP("BC",A1:CV300,66,FALSE) - (HLOOKUP("PK Gs",A1:CV300,66,FALSE) + HLOOKUP("PK Miss",A1:CV300,66,FALSE))</f>
        <v>0</v>
      </c>
      <c r="AM66" s="10413">
        <f>HLOOKUP("BC Miss",A1:CV300,66,FALSE) - HLOOKUP("PK Miss",A1:CV300,66,FALSE)</f>
        <v>0</v>
      </c>
      <c r="AN66" s="10414">
        <f>IF(HLOOKUP("BC - Open",A1:CV300,66,FALSE)=0,0,HLOOKUP("BC - Open Miss",A1:CV300,66,FALSE)/HLOOKUP("BC - Open",A1:CV300,66,FALSE))</f>
        <v>0</v>
      </c>
      <c r="AO66" s="10415">
        <v>0</v>
      </c>
      <c r="AP66" s="10416">
        <f>IF(HLOOKUP("Gs",A1:CV300,66,FALSE)=0,0,HLOOKUP("GIB",A1:CV300,66,FALSE)/HLOOKUP("Gs",A1:CV300,66,FALSE))</f>
        <v>0</v>
      </c>
      <c r="AQ66" s="10417">
        <v>0</v>
      </c>
      <c r="AR66" s="10418">
        <f>IF(HLOOKUP("Gs",A1:CV300,66,FALSE)=0,0,HLOOKUP("Gs - Open",A1:CV300,66,FALSE)/HLOOKUP("Gs",A1:CV300,66,FALSE))</f>
        <v>0</v>
      </c>
      <c r="AS66" s="10419">
        <v>0</v>
      </c>
      <c r="AT66" s="10420">
        <v>0.02</v>
      </c>
      <c r="AU66" s="10421">
        <f>IF(HLOOKUP("Mins",A1:CV300,66,FALSE)=0,0,HLOOKUP("Pts",A1:CV300,66,FALSE)/HLOOKUP("Mins",A1:CV300,66,FALSE)* 90)</f>
        <v>3.5019455252918288</v>
      </c>
      <c r="AV66" s="10422">
        <f>IF(HLOOKUP("Apps",A1:CV300,66,FALSE)=0,0,HLOOKUP("Pts",A1:CV300,66,FALSE)/HLOOKUP("Apps",A1:CV300,66,FALSE)* 1)</f>
        <v>2</v>
      </c>
      <c r="AW66" s="10423">
        <f>IF(HLOOKUP("Mins",A1:CV300,66,FALSE)=0,0,HLOOKUP("Gs",A1:CV300,66,FALSE)/HLOOKUP("Mins",A1:CV300,66,FALSE)* 90)</f>
        <v>0</v>
      </c>
      <c r="AX66" s="10424">
        <f>IF(HLOOKUP("Mins",A1:CV300,66,FALSE)=0,0,HLOOKUP("Bonus",A1:CV300,66,FALSE)/HLOOKUP("Mins",A1:CV300,66,FALSE)* 90)</f>
        <v>0</v>
      </c>
      <c r="AY66" s="10425">
        <f>IF(HLOOKUP("Mins",A1:CV300,66,FALSE)=0,0,HLOOKUP("BPS",A1:CV300,66,FALSE)/HLOOKUP("Mins",A1:CV300,66,FALSE)* 90)</f>
        <v>19.260700389105057</v>
      </c>
      <c r="AZ66" s="10426">
        <f>IF(HLOOKUP("Mins",A1:CV300,66,FALSE)=0,0,HLOOKUP("Base BPS",A1:CV300,66,FALSE)/HLOOKUP("Mins",A1:CV300,66,FALSE)* 90)</f>
        <v>15.058365758754864</v>
      </c>
      <c r="BA66" s="10427">
        <f>IF(HLOOKUP("Mins",A1:CV300,66,FALSE)=0,0,HLOOKUP("PenTchs",A1:CV300,66,FALSE)/HLOOKUP("Mins",A1:CV300,66,FALSE)* 90)</f>
        <v>0</v>
      </c>
      <c r="BB66" s="10428">
        <f>IF(HLOOKUP("Mins",A1:CV300,66,FALSE)=0,0,HLOOKUP("Shots",A1:CV300,66,FALSE)/HLOOKUP("Mins",A1:CV300,66,FALSE)* 90)</f>
        <v>0</v>
      </c>
      <c r="BC66" s="10429">
        <f>IF(HLOOKUP("Mins",A1:CV300,66,FALSE)=0,0,HLOOKUP("SIB",A1:CV300,66,FALSE)/HLOOKUP("Mins",A1:CV300,66,FALSE)* 90)</f>
        <v>0</v>
      </c>
      <c r="BD66" s="10430">
        <f>IF(HLOOKUP("Mins",A1:CV300,66,FALSE)=0,0,HLOOKUP("S6YD",A1:CV300,66,FALSE)/HLOOKUP("Mins",A1:CV300,66,FALSE)* 90)</f>
        <v>0</v>
      </c>
      <c r="BE66" s="10431">
        <f>IF(HLOOKUP("Mins",A1:CV300,66,FALSE)=0,0,HLOOKUP("Headers",A1:CV300,66,FALSE)/HLOOKUP("Mins",A1:CV300,66,FALSE)* 90)</f>
        <v>0</v>
      </c>
      <c r="BF66" s="10432">
        <f>IF(HLOOKUP("Mins",A1:CV300,66,FALSE)=0,0,HLOOKUP("SOT",A1:CV300,66,FALSE)/HLOOKUP("Mins",A1:CV300,66,FALSE)* 90)</f>
        <v>0</v>
      </c>
      <c r="BG66" s="10433">
        <f>IF(HLOOKUP("Mins",A1:CV300,66,FALSE)=0,0,HLOOKUP("As",A1:CV300,66,FALSE)/HLOOKUP("Mins",A1:CV300,66,FALSE)* 90)</f>
        <v>0</v>
      </c>
      <c r="BH66" s="10434">
        <f>IF(HLOOKUP("Mins",A1:CV300,66,FALSE)=0,0,HLOOKUP("FPL As",A1:CV300,66,FALSE)/HLOOKUP("Mins",A1:CV300,66,FALSE)* 90)</f>
        <v>0</v>
      </c>
      <c r="BI66" s="10435">
        <f>IF(HLOOKUP("Mins",A1:CV300,66,FALSE)=0,0,HLOOKUP("BC Created",A1:CV300,66,FALSE)/HLOOKUP("Mins",A1:CV300,66,FALSE)* 90)</f>
        <v>0</v>
      </c>
      <c r="BJ66" s="10436">
        <f>IF(HLOOKUP("Mins",A1:CV300,66,FALSE)=0,0,HLOOKUP("KP",A1:CV300,66,FALSE)/HLOOKUP("Mins",A1:CV300,66,FALSE)* 90)</f>
        <v>0</v>
      </c>
      <c r="BK66" s="10437">
        <f>IF(HLOOKUP("Mins",A1:CV300,66,FALSE)=0,0,HLOOKUP("BC",A1:CV300,66,FALSE)/HLOOKUP("Mins",A1:CV300,66,FALSE)* 90)</f>
        <v>0</v>
      </c>
      <c r="BL66" s="10438">
        <f>IF(HLOOKUP("Mins",A1:CV300,66,FALSE)=0,0,HLOOKUP("BC Miss",A1:CV300,66,FALSE)/HLOOKUP("Mins",A1:CV300,66,FALSE)* 90)</f>
        <v>0</v>
      </c>
      <c r="BM66" s="10439">
        <f>IF(HLOOKUP("Mins",A1:CV300,66,FALSE)=0,0,HLOOKUP("Gs - BC",A1:CV300,66,FALSE)/HLOOKUP("Mins",A1:CV300,66,FALSE)* 90)</f>
        <v>0</v>
      </c>
      <c r="BN66" s="10440">
        <f>IF(HLOOKUP("Mins",A1:CV300,66,FALSE)=0,0,HLOOKUP("GIB",A1:CV300,66,FALSE)/HLOOKUP("Mins",A1:CV300,66,FALSE)* 90)</f>
        <v>0</v>
      </c>
      <c r="BO66" s="10441">
        <f>IF(HLOOKUP("Mins",A1:CV300,66,FALSE)=0,0,HLOOKUP("Gs - Open",A1:CV300,66,FALSE)/HLOOKUP("Mins",A1:CV300,66,FALSE)* 90)</f>
        <v>0</v>
      </c>
      <c r="BP66" s="10442">
        <f>IF(HLOOKUP("Mins",A1:CV300,66,FALSE)=0,0,HLOOKUP("ICT Index",A1:CV300,66,FALSE)/HLOOKUP("Mins",A1:CV300,66,FALSE)* 90)</f>
        <v>2.1712062256809341</v>
      </c>
      <c r="BQ66" s="10443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  <v>0</v>
      </c>
      <c r="BR66" s="10444">
        <f>0.0825*HLOOKUP("KP/90",A1:CV300,66,FALSE)</f>
        <v>0</v>
      </c>
      <c r="BS66" s="10445">
        <f>6*HLOOKUP("xG/90",A1:CV300,66,FALSE)+3*HLOOKUP("xA/90",A1:CV300,66,FALSE)</f>
        <v>0</v>
      </c>
      <c r="BT66" s="10446">
        <f>HLOOKUP("xPts/90",A1:CV300,66,FALSE)-(6*0.75*(HLOOKUP("PK Gs",A1:CV300,66,FALSE)+HLOOKUP("PK Miss",A1:CV300,66,FALSE))*90/HLOOKUP("Mins",A1:CV300,66,FALSE))</f>
        <v>0</v>
      </c>
      <c r="BU66" s="10447">
        <f>IF(HLOOKUP("Mins",A1:CV300,66,FALSE)=0,0,HLOOKUP("fsXG",A1:CV300,66,FALSE)/HLOOKUP("Mins",A1:CV300,66,FALSE)* 90)</f>
        <v>0</v>
      </c>
      <c r="BV66" s="10448">
        <f>IF(HLOOKUP("Mins",A1:CV300,66,FALSE)=0,0,HLOOKUP("fsXA",A1:CV300,66,FALSE)/HLOOKUP("Mins",A1:CV300,66,FALSE)* 90)</f>
        <v>7.0038910505836579E-3</v>
      </c>
      <c r="BW66" s="10449">
        <f>6*HLOOKUP("fsXG/90",A1:CV300,66,FALSE)+3*HLOOKUP("fsXA/90",A1:CV300,66,FALSE)</f>
        <v>2.1011673151750974E-2</v>
      </c>
      <c r="BX66" s="10450">
        <v>0</v>
      </c>
      <c r="BY66" s="10451">
        <v>0</v>
      </c>
      <c r="BZ66" s="10452">
        <f>6*HLOOKUP("uXG/90",A1:CV300,66,FALSE)+3*HLOOKUP("uXA/90",A1:CV300,66,FALSE)</f>
        <v>0</v>
      </c>
    </row>
    <row r="67" spans="1:78" hidden="1" x14ac:dyDescent="0.3">
      <c r="A67" s="10453" t="s">
        <v>230</v>
      </c>
      <c r="B67" s="10454" t="s">
        <v>151</v>
      </c>
      <c r="C67" s="10455">
        <v>4.9000000953674316</v>
      </c>
      <c r="D67" s="10456">
        <v>60</v>
      </c>
      <c r="E67" s="10457">
        <v>1</v>
      </c>
      <c r="F67" s="10458">
        <v>1</v>
      </c>
      <c r="G67" s="10459">
        <v>0</v>
      </c>
      <c r="H67" s="10460">
        <v>0</v>
      </c>
      <c r="I67" s="10461">
        <v>8</v>
      </c>
      <c r="J67" s="10462">
        <f>HLOOKUP("BPS",A1:CV300,67,FALSE)-((-6*HLOOKUP("OG",A1:CV300,67,FALSE))+(-6*HLOOKUP("PK Miss",A1:CV300,67,FALSE))+(9*HLOOKUP("FPL As",A1:CV300,67,FALSE))+(12*HLOOKUP("CS",A1:CV300,67,FALSE))+(12*HLOOKUP("Gs",A1:CV300,67,FALSE)))</f>
        <v>8</v>
      </c>
      <c r="K67" s="10463">
        <v>0</v>
      </c>
      <c r="L67" s="10464">
        <v>0</v>
      </c>
      <c r="M67" s="10465">
        <v>0</v>
      </c>
      <c r="N67" s="10466">
        <v>0</v>
      </c>
      <c r="O67" s="10467">
        <v>0</v>
      </c>
      <c r="P67" s="10468">
        <f>IF(HLOOKUP("Shots",A1:CV300,67,FALSE)=0,0,HLOOKUP("SIB",A1:CV300,67,FALSE)/HLOOKUP("Shots",A1:CV300,67,FALSE))</f>
        <v>0</v>
      </c>
      <c r="Q67" s="10469">
        <v>0</v>
      </c>
      <c r="R67" s="10470">
        <f>IF(HLOOKUP("Shots",A1:CV300,67,FALSE)=0,0,HLOOKUP("S6YD",A1:CV300,67,FALSE)/HLOOKUP("Shots",A1:CV300,67,FALSE))</f>
        <v>0</v>
      </c>
      <c r="S67" s="10471">
        <v>0</v>
      </c>
      <c r="T67" s="10472">
        <f>IF(HLOOKUP("Shots",A1:CV300,67,FALSE)=0,0,HLOOKUP("Headers",A1:CV300,67,FALSE)/HLOOKUP("Shots",A1:CV300,67,FALSE))</f>
        <v>0</v>
      </c>
      <c r="U67" s="10473">
        <v>0</v>
      </c>
      <c r="V67" s="10474">
        <f>IF(HLOOKUP("Shots",A1:CV300,67,FALSE)=0,0,HLOOKUP("SOT",A1:CV300,67,FALSE)/HLOOKUP("Shots",A1:CV300,67,FALSE))</f>
        <v>0</v>
      </c>
      <c r="W67" s="10475">
        <f>IF(HLOOKUP("Shots",A1:CV300,67,FALSE)=0,0,HLOOKUP("Gs",A1:CV300,67,FALSE)/HLOOKUP("Shots",A1:CV300,67,FALSE))</f>
        <v>0</v>
      </c>
      <c r="X67" s="10476">
        <v>0</v>
      </c>
      <c r="Y67" s="10477">
        <v>0</v>
      </c>
      <c r="Z67" s="10478">
        <v>0</v>
      </c>
      <c r="AA67" s="10479">
        <f>IF(HLOOKUP("KP",A1:CV300,67,FALSE)=0,0,HLOOKUP("As",A1:CV300,67,FALSE)/HLOOKUP("KP",A1:CV300,67,FALSE))</f>
        <v>0</v>
      </c>
      <c r="AB67" s="10480">
        <v>1.1000000000000001</v>
      </c>
      <c r="AC67" s="10481">
        <v>0</v>
      </c>
      <c r="AD67" s="10482">
        <v>0</v>
      </c>
      <c r="AE67" s="10483">
        <v>0</v>
      </c>
      <c r="AF67" s="10484">
        <v>0</v>
      </c>
      <c r="AG67" s="10485">
        <f>IF(HLOOKUP("BC",A1:CV300,67,FALSE)=0,0,HLOOKUP("Gs - BC",A1:CV300,67,FALSE)/HLOOKUP("BC",A1:CV300,67,FALSE))</f>
        <v>0</v>
      </c>
      <c r="AH67" s="10486">
        <f>HLOOKUP("BC",A1:CV300,67,FALSE) - HLOOKUP("BC Miss",A1:CV300,67,FALSE)</f>
        <v>0</v>
      </c>
      <c r="AI67" s="10487">
        <f>IF(HLOOKUP("Gs",A1:CV300,67,FALSE)=0,0,HLOOKUP("Gs - BC",A1:CV300,67,FALSE)/HLOOKUP("Gs",A1:CV300,67,FALSE))</f>
        <v>0</v>
      </c>
      <c r="AJ67" s="10488">
        <v>0</v>
      </c>
      <c r="AK67" s="10489">
        <v>0</v>
      </c>
      <c r="AL67" s="10490">
        <f>HLOOKUP("BC",A1:CV300,67,FALSE) - (HLOOKUP("PK Gs",A1:CV300,67,FALSE) + HLOOKUP("PK Miss",A1:CV300,67,FALSE))</f>
        <v>0</v>
      </c>
      <c r="AM67" s="10491">
        <f>HLOOKUP("BC Miss",A1:CV300,67,FALSE) - HLOOKUP("PK Miss",A1:CV300,67,FALSE)</f>
        <v>0</v>
      </c>
      <c r="AN67" s="10492">
        <f>IF(HLOOKUP("BC - Open",A1:CV300,67,FALSE)=0,0,HLOOKUP("BC - Open Miss",A1:CV300,67,FALSE)/HLOOKUP("BC - Open",A1:CV300,67,FALSE))</f>
        <v>0</v>
      </c>
      <c r="AO67" s="10493">
        <v>0</v>
      </c>
      <c r="AP67" s="10494">
        <f>IF(HLOOKUP("Gs",A1:CV300,67,FALSE)=0,0,HLOOKUP("GIB",A1:CV300,67,FALSE)/HLOOKUP("Gs",A1:CV300,67,FALSE))</f>
        <v>0</v>
      </c>
      <c r="AQ67" s="10495">
        <v>0</v>
      </c>
      <c r="AR67" s="10496">
        <f>IF(HLOOKUP("Gs",A1:CV300,67,FALSE)=0,0,HLOOKUP("Gs - Open",A1:CV300,67,FALSE)/HLOOKUP("Gs",A1:CV300,67,FALSE))</f>
        <v>0</v>
      </c>
      <c r="AS67" s="10497">
        <v>0</v>
      </c>
      <c r="AT67" s="10498">
        <v>0.01</v>
      </c>
      <c r="AU67" s="10499">
        <f>IF(HLOOKUP("Mins",A1:CV300,67,FALSE)=0,0,HLOOKUP("Pts",A1:CV300,67,FALSE)/HLOOKUP("Mins",A1:CV300,67,FALSE)* 90)</f>
        <v>1.5</v>
      </c>
      <c r="AV67" s="10500">
        <f>IF(HLOOKUP("Apps",A1:CV300,67,FALSE)=0,0,HLOOKUP("Pts",A1:CV300,67,FALSE)/HLOOKUP("Apps",A1:CV300,67,FALSE)* 1)</f>
        <v>1</v>
      </c>
      <c r="AW67" s="10501">
        <f>IF(HLOOKUP("Mins",A1:CV300,67,FALSE)=0,0,HLOOKUP("Gs",A1:CV300,67,FALSE)/HLOOKUP("Mins",A1:CV300,67,FALSE)* 90)</f>
        <v>0</v>
      </c>
      <c r="AX67" s="10502">
        <f>IF(HLOOKUP("Mins",A1:CV300,67,FALSE)=0,0,HLOOKUP("Bonus",A1:CV300,67,FALSE)/HLOOKUP("Mins",A1:CV300,67,FALSE)* 90)</f>
        <v>0</v>
      </c>
      <c r="AY67" s="10503">
        <f>IF(HLOOKUP("Mins",A1:CV300,67,FALSE)=0,0,HLOOKUP("BPS",A1:CV300,67,FALSE)/HLOOKUP("Mins",A1:CV300,67,FALSE)* 90)</f>
        <v>12</v>
      </c>
      <c r="AZ67" s="10504">
        <f>IF(HLOOKUP("Mins",A1:CV300,67,FALSE)=0,0,HLOOKUP("Base BPS",A1:CV300,67,FALSE)/HLOOKUP("Mins",A1:CV300,67,FALSE)* 90)</f>
        <v>12</v>
      </c>
      <c r="BA67" s="10505">
        <f>IF(HLOOKUP("Mins",A1:CV300,67,FALSE)=0,0,HLOOKUP("PenTchs",A1:CV300,67,FALSE)/HLOOKUP("Mins",A1:CV300,67,FALSE)* 90)</f>
        <v>0</v>
      </c>
      <c r="BB67" s="10506">
        <f>IF(HLOOKUP("Mins",A1:CV300,67,FALSE)=0,0,HLOOKUP("Shots",A1:CV300,67,FALSE)/HLOOKUP("Mins",A1:CV300,67,FALSE)* 90)</f>
        <v>0</v>
      </c>
      <c r="BC67" s="10507">
        <f>IF(HLOOKUP("Mins",A1:CV300,67,FALSE)=0,0,HLOOKUP("SIB",A1:CV300,67,FALSE)/HLOOKUP("Mins",A1:CV300,67,FALSE)* 90)</f>
        <v>0</v>
      </c>
      <c r="BD67" s="10508">
        <f>IF(HLOOKUP("Mins",A1:CV300,67,FALSE)=0,0,HLOOKUP("S6YD",A1:CV300,67,FALSE)/HLOOKUP("Mins",A1:CV300,67,FALSE)* 90)</f>
        <v>0</v>
      </c>
      <c r="BE67" s="10509">
        <f>IF(HLOOKUP("Mins",A1:CV300,67,FALSE)=0,0,HLOOKUP("Headers",A1:CV300,67,FALSE)/HLOOKUP("Mins",A1:CV300,67,FALSE)* 90)</f>
        <v>0</v>
      </c>
      <c r="BF67" s="10510">
        <f>IF(HLOOKUP("Mins",A1:CV300,67,FALSE)=0,0,HLOOKUP("SOT",A1:CV300,67,FALSE)/HLOOKUP("Mins",A1:CV300,67,FALSE)* 90)</f>
        <v>0</v>
      </c>
      <c r="BG67" s="10511">
        <f>IF(HLOOKUP("Mins",A1:CV300,67,FALSE)=0,0,HLOOKUP("As",A1:CV300,67,FALSE)/HLOOKUP("Mins",A1:CV300,67,FALSE)* 90)</f>
        <v>0</v>
      </c>
      <c r="BH67" s="10512">
        <f>IF(HLOOKUP("Mins",A1:CV300,67,FALSE)=0,0,HLOOKUP("FPL As",A1:CV300,67,FALSE)/HLOOKUP("Mins",A1:CV300,67,FALSE)* 90)</f>
        <v>0</v>
      </c>
      <c r="BI67" s="10513">
        <f>IF(HLOOKUP("Mins",A1:CV300,67,FALSE)=0,0,HLOOKUP("BC Created",A1:CV300,67,FALSE)/HLOOKUP("Mins",A1:CV300,67,FALSE)* 90)</f>
        <v>0</v>
      </c>
      <c r="BJ67" s="10514">
        <f>IF(HLOOKUP("Mins",A1:CV300,67,FALSE)=0,0,HLOOKUP("KP",A1:CV300,67,FALSE)/HLOOKUP("Mins",A1:CV300,67,FALSE)* 90)</f>
        <v>0</v>
      </c>
      <c r="BK67" s="10515">
        <f>IF(HLOOKUP("Mins",A1:CV300,67,FALSE)=0,0,HLOOKUP("BC",A1:CV300,67,FALSE)/HLOOKUP("Mins",A1:CV300,67,FALSE)* 90)</f>
        <v>0</v>
      </c>
      <c r="BL67" s="10516">
        <f>IF(HLOOKUP("Mins",A1:CV300,67,FALSE)=0,0,HLOOKUP("BC Miss",A1:CV300,67,FALSE)/HLOOKUP("Mins",A1:CV300,67,FALSE)* 90)</f>
        <v>0</v>
      </c>
      <c r="BM67" s="10517">
        <f>IF(HLOOKUP("Mins",A1:CV300,67,FALSE)=0,0,HLOOKUP("Gs - BC",A1:CV300,67,FALSE)/HLOOKUP("Mins",A1:CV300,67,FALSE)* 90)</f>
        <v>0</v>
      </c>
      <c r="BN67" s="10518">
        <f>IF(HLOOKUP("Mins",A1:CV300,67,FALSE)=0,0,HLOOKUP("GIB",A1:CV300,67,FALSE)/HLOOKUP("Mins",A1:CV300,67,FALSE)* 90)</f>
        <v>0</v>
      </c>
      <c r="BO67" s="10519">
        <f>IF(HLOOKUP("Mins",A1:CV300,67,FALSE)=0,0,HLOOKUP("Gs - Open",A1:CV300,67,FALSE)/HLOOKUP("Mins",A1:CV300,67,FALSE)* 90)</f>
        <v>0</v>
      </c>
      <c r="BP67" s="10520">
        <f>IF(HLOOKUP("Mins",A1:CV300,67,FALSE)=0,0,HLOOKUP("ICT Index",A1:CV300,67,FALSE)/HLOOKUP("Mins",A1:CV300,67,FALSE)* 90)</f>
        <v>1.65</v>
      </c>
      <c r="BQ67" s="10521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  <v>0</v>
      </c>
      <c r="BR67" s="10522">
        <f>0.0825*HLOOKUP("KP/90",A1:CV300,67,FALSE)</f>
        <v>0</v>
      </c>
      <c r="BS67" s="10523">
        <f>6*HLOOKUP("xG/90",A1:CV300,67,FALSE)+3*HLOOKUP("xA/90",A1:CV300,67,FALSE)</f>
        <v>0</v>
      </c>
      <c r="BT67" s="10524">
        <f>HLOOKUP("xPts/90",A1:CV300,67,FALSE)-(6*0.75*(HLOOKUP("PK Gs",A1:CV300,67,FALSE)+HLOOKUP("PK Miss",A1:CV300,67,FALSE))*90/HLOOKUP("Mins",A1:CV300,67,FALSE))</f>
        <v>0</v>
      </c>
      <c r="BU67" s="10525">
        <f>IF(HLOOKUP("Mins",A1:CV300,67,FALSE)=0,0,HLOOKUP("fsXG",A1:CV300,67,FALSE)/HLOOKUP("Mins",A1:CV300,67,FALSE)* 90)</f>
        <v>0</v>
      </c>
      <c r="BV67" s="10526">
        <f>IF(HLOOKUP("Mins",A1:CV300,67,FALSE)=0,0,HLOOKUP("fsXA",A1:CV300,67,FALSE)/HLOOKUP("Mins",A1:CV300,67,FALSE)* 90)</f>
        <v>1.4999999999999999E-2</v>
      </c>
      <c r="BW67" s="10527">
        <f>6*HLOOKUP("fsXG/90",A1:CV300,67,FALSE)+3*HLOOKUP("fsXA/90",A1:CV300,67,FALSE)</f>
        <v>4.4999999999999998E-2</v>
      </c>
      <c r="BX67" s="10528">
        <v>0</v>
      </c>
      <c r="BY67" s="10529">
        <v>0</v>
      </c>
      <c r="BZ67" s="10530">
        <f>6*HLOOKUP("uXG/90",A1:CV300,67,FALSE)+3*HLOOKUP("uXA/90",A1:CV300,67,FALSE)</f>
        <v>0</v>
      </c>
    </row>
    <row r="68" spans="1:78" hidden="1" x14ac:dyDescent="0.3">
      <c r="A68" s="10531" t="s">
        <v>231</v>
      </c>
      <c r="B68" s="10532" t="s">
        <v>98</v>
      </c>
      <c r="C68" s="10533">
        <v>4.6999998092651367</v>
      </c>
      <c r="D68" s="10534">
        <v>934</v>
      </c>
      <c r="E68" s="10535">
        <v>11</v>
      </c>
      <c r="F68" s="10536">
        <v>32</v>
      </c>
      <c r="G68" s="10537">
        <v>1</v>
      </c>
      <c r="H68" s="10538">
        <v>6</v>
      </c>
      <c r="I68" s="10539">
        <v>187</v>
      </c>
      <c r="J68" s="10540">
        <f>HLOOKUP("BPS",A1:CV300,68,FALSE)-((-6*HLOOKUP("OG",A1:CV300,68,FALSE))+(-6*HLOOKUP("PK Miss",A1:CV300,68,FALSE))+(9*HLOOKUP("FPL As",A1:CV300,68,FALSE))+(12*HLOOKUP("CS",A1:CV300,68,FALSE))+(12*HLOOKUP("Gs",A1:CV300,68,FALSE)))</f>
        <v>151</v>
      </c>
      <c r="K68" s="10541">
        <v>0</v>
      </c>
      <c r="L68" s="10542">
        <v>2</v>
      </c>
      <c r="M68" s="10543">
        <v>13</v>
      </c>
      <c r="N68" s="10544">
        <v>8</v>
      </c>
      <c r="O68" s="10545">
        <v>8</v>
      </c>
      <c r="P68" s="10546">
        <f>IF(HLOOKUP("Shots",A1:CV300,68,FALSE)=0,0,HLOOKUP("SIB",A1:CV300,68,FALSE)/HLOOKUP("Shots",A1:CV300,68,FALSE))</f>
        <v>1</v>
      </c>
      <c r="Q68" s="10547">
        <v>2</v>
      </c>
      <c r="R68" s="10548">
        <f>IF(HLOOKUP("Shots",A1:CV300,68,FALSE)=0,0,HLOOKUP("S6YD",A1:CV300,68,FALSE)/HLOOKUP("Shots",A1:CV300,68,FALSE))</f>
        <v>0.25</v>
      </c>
      <c r="S68" s="10549">
        <v>6</v>
      </c>
      <c r="T68" s="10550">
        <f>IF(HLOOKUP("Shots",A1:CV300,68,FALSE)=0,0,HLOOKUP("Headers",A1:CV300,68,FALSE)/HLOOKUP("Shots",A1:CV300,68,FALSE))</f>
        <v>0.75</v>
      </c>
      <c r="U68" s="10551">
        <v>4</v>
      </c>
      <c r="V68" s="10552">
        <f>IF(HLOOKUP("Shots",A1:CV300,68,FALSE)=0,0,HLOOKUP("SOT",A1:CV300,68,FALSE)/HLOOKUP("Shots",A1:CV300,68,FALSE))</f>
        <v>0.5</v>
      </c>
      <c r="W68" s="10553">
        <f>IF(HLOOKUP("Shots",A1:CV300,68,FALSE)=0,0,HLOOKUP("Gs",A1:CV300,68,FALSE)/HLOOKUP("Shots",A1:CV300,68,FALSE))</f>
        <v>0.125</v>
      </c>
      <c r="X68" s="10554">
        <v>0</v>
      </c>
      <c r="Y68" s="10555">
        <v>0</v>
      </c>
      <c r="Z68" s="10556">
        <v>5</v>
      </c>
      <c r="AA68" s="10557">
        <f>IF(HLOOKUP("KP",A1:CV300,68,FALSE)=0,0,HLOOKUP("As",A1:CV300,68,FALSE)/HLOOKUP("KP",A1:CV300,68,FALSE))</f>
        <v>0</v>
      </c>
      <c r="AB68" s="10558">
        <v>45</v>
      </c>
      <c r="AC68" s="10559">
        <v>10</v>
      </c>
      <c r="AD68" s="10560">
        <v>1</v>
      </c>
      <c r="AE68" s="10561">
        <v>0</v>
      </c>
      <c r="AF68" s="10562">
        <v>0</v>
      </c>
      <c r="AG68" s="10563">
        <f>IF(HLOOKUP("BC",A1:CV300,68,FALSE)=0,0,HLOOKUP("Gs - BC",A1:CV300,68,FALSE)/HLOOKUP("BC",A1:CV300,68,FALSE))</f>
        <v>0</v>
      </c>
      <c r="AH68" s="10564">
        <f>HLOOKUP("BC",A1:CV300,68,FALSE) - HLOOKUP("BC Miss",A1:CV300,68,FALSE)</f>
        <v>0</v>
      </c>
      <c r="AI68" s="10565">
        <f>IF(HLOOKUP("Gs",A1:CV300,68,FALSE)=0,0,HLOOKUP("Gs - BC",A1:CV300,68,FALSE)/HLOOKUP("Gs",A1:CV300,68,FALSE))</f>
        <v>0</v>
      </c>
      <c r="AJ68" s="10566">
        <v>0</v>
      </c>
      <c r="AK68" s="10567">
        <v>0</v>
      </c>
      <c r="AL68" s="10568">
        <f>HLOOKUP("BC",A1:CV300,68,FALSE) - (HLOOKUP("PK Gs",A1:CV300,68,FALSE) + HLOOKUP("PK Miss",A1:CV300,68,FALSE))</f>
        <v>0</v>
      </c>
      <c r="AM68" s="10569">
        <f>HLOOKUP("BC Miss",A1:CV300,68,FALSE) - HLOOKUP("PK Miss",A1:CV300,68,FALSE)</f>
        <v>0</v>
      </c>
      <c r="AN68" s="10570">
        <f>IF(HLOOKUP("BC - Open",A1:CV300,68,FALSE)=0,0,HLOOKUP("BC - Open Miss",A1:CV300,68,FALSE)/HLOOKUP("BC - Open",A1:CV300,68,FALSE))</f>
        <v>0</v>
      </c>
      <c r="AO68" s="10571">
        <v>1</v>
      </c>
      <c r="AP68" s="10572">
        <f>IF(HLOOKUP("Gs",A1:CV300,68,FALSE)=0,0,HLOOKUP("GIB",A1:CV300,68,FALSE)/HLOOKUP("Gs",A1:CV300,68,FALSE))</f>
        <v>1</v>
      </c>
      <c r="AQ68" s="10573">
        <v>0</v>
      </c>
      <c r="AR68" s="10574">
        <f>IF(HLOOKUP("Gs",A1:CV300,68,FALSE)=0,0,HLOOKUP("Gs - Open",A1:CV300,68,FALSE)/HLOOKUP("Gs",A1:CV300,68,FALSE))</f>
        <v>0</v>
      </c>
      <c r="AS68" s="10575">
        <v>0.82</v>
      </c>
      <c r="AT68" s="10576">
        <v>0.15</v>
      </c>
      <c r="AU68" s="10577">
        <f>IF(HLOOKUP("Mins",A1:CV300,68,FALSE)=0,0,HLOOKUP("Pts",A1:CV300,68,FALSE)/HLOOKUP("Mins",A1:CV300,68,FALSE)* 90)</f>
        <v>3.0835117773019274</v>
      </c>
      <c r="AV68" s="10578">
        <f>IF(HLOOKUP("Apps",A1:CV300,68,FALSE)=0,0,HLOOKUP("Pts",A1:CV300,68,FALSE)/HLOOKUP("Apps",A1:CV300,68,FALSE)* 1)</f>
        <v>2.9090909090909092</v>
      </c>
      <c r="AW68" s="10579">
        <f>IF(HLOOKUP("Mins",A1:CV300,68,FALSE)=0,0,HLOOKUP("Gs",A1:CV300,68,FALSE)/HLOOKUP("Mins",A1:CV300,68,FALSE)* 90)</f>
        <v>9.6359743040685231E-2</v>
      </c>
      <c r="AX68" s="10580">
        <f>IF(HLOOKUP("Mins",A1:CV300,68,FALSE)=0,0,HLOOKUP("Bonus",A1:CV300,68,FALSE)/HLOOKUP("Mins",A1:CV300,68,FALSE)* 90)</f>
        <v>0.57815845824411138</v>
      </c>
      <c r="AY68" s="10581">
        <f>IF(HLOOKUP("Mins",A1:CV300,68,FALSE)=0,0,HLOOKUP("BPS",A1:CV300,68,FALSE)/HLOOKUP("Mins",A1:CV300,68,FALSE)* 90)</f>
        <v>18.019271948608139</v>
      </c>
      <c r="AZ68" s="10582">
        <f>IF(HLOOKUP("Mins",A1:CV300,68,FALSE)=0,0,HLOOKUP("Base BPS",A1:CV300,68,FALSE)/HLOOKUP("Mins",A1:CV300,68,FALSE)* 90)</f>
        <v>14.550321199143468</v>
      </c>
      <c r="BA68" s="10583">
        <f>IF(HLOOKUP("Mins",A1:CV300,68,FALSE)=0,0,HLOOKUP("PenTchs",A1:CV300,68,FALSE)/HLOOKUP("Mins",A1:CV300,68,FALSE)* 90)</f>
        <v>1.2526766595289078</v>
      </c>
      <c r="BB68" s="10584">
        <f>IF(HLOOKUP("Mins",A1:CV300,68,FALSE)=0,0,HLOOKUP("Shots",A1:CV300,68,FALSE)/HLOOKUP("Mins",A1:CV300,68,FALSE)* 90)</f>
        <v>0.77087794432548185</v>
      </c>
      <c r="BC68" s="10585">
        <f>IF(HLOOKUP("Mins",A1:CV300,68,FALSE)=0,0,HLOOKUP("SIB",A1:CV300,68,FALSE)/HLOOKUP("Mins",A1:CV300,68,FALSE)* 90)</f>
        <v>0.77087794432548185</v>
      </c>
      <c r="BD68" s="10586">
        <f>IF(HLOOKUP("Mins",A1:CV300,68,FALSE)=0,0,HLOOKUP("S6YD",A1:CV300,68,FALSE)/HLOOKUP("Mins",A1:CV300,68,FALSE)* 90)</f>
        <v>0.19271948608137046</v>
      </c>
      <c r="BE68" s="10587">
        <f>IF(HLOOKUP("Mins",A1:CV300,68,FALSE)=0,0,HLOOKUP("Headers",A1:CV300,68,FALSE)/HLOOKUP("Mins",A1:CV300,68,FALSE)* 90)</f>
        <v>0.57815845824411138</v>
      </c>
      <c r="BF68" s="10588">
        <f>IF(HLOOKUP("Mins",A1:CV300,68,FALSE)=0,0,HLOOKUP("SOT",A1:CV300,68,FALSE)/HLOOKUP("Mins",A1:CV300,68,FALSE)* 90)</f>
        <v>0.38543897216274092</v>
      </c>
      <c r="BG68" s="10589">
        <f>IF(HLOOKUP("Mins",A1:CV300,68,FALSE)=0,0,HLOOKUP("As",A1:CV300,68,FALSE)/HLOOKUP("Mins",A1:CV300,68,FALSE)* 90)</f>
        <v>0</v>
      </c>
      <c r="BH68" s="10590">
        <f>IF(HLOOKUP("Mins",A1:CV300,68,FALSE)=0,0,HLOOKUP("FPL As",A1:CV300,68,FALSE)/HLOOKUP("Mins",A1:CV300,68,FALSE)* 90)</f>
        <v>0</v>
      </c>
      <c r="BI68" s="10591">
        <f>IF(HLOOKUP("Mins",A1:CV300,68,FALSE)=0,0,HLOOKUP("BC Created",A1:CV300,68,FALSE)/HLOOKUP("Mins",A1:CV300,68,FALSE)* 90)</f>
        <v>9.6359743040685231E-2</v>
      </c>
      <c r="BJ68" s="10592">
        <f>IF(HLOOKUP("Mins",A1:CV300,68,FALSE)=0,0,HLOOKUP("KP",A1:CV300,68,FALSE)/HLOOKUP("Mins",A1:CV300,68,FALSE)* 90)</f>
        <v>0.4817987152034261</v>
      </c>
      <c r="BK68" s="10593">
        <f>IF(HLOOKUP("Mins",A1:CV300,68,FALSE)=0,0,HLOOKUP("BC",A1:CV300,68,FALSE)/HLOOKUP("Mins",A1:CV300,68,FALSE)* 90)</f>
        <v>0</v>
      </c>
      <c r="BL68" s="10594">
        <f>IF(HLOOKUP("Mins",A1:CV300,68,FALSE)=0,0,HLOOKUP("BC Miss",A1:CV300,68,FALSE)/HLOOKUP("Mins",A1:CV300,68,FALSE)* 90)</f>
        <v>0</v>
      </c>
      <c r="BM68" s="10595">
        <f>IF(HLOOKUP("Mins",A1:CV300,68,FALSE)=0,0,HLOOKUP("Gs - BC",A1:CV300,68,FALSE)/HLOOKUP("Mins",A1:CV300,68,FALSE)* 90)</f>
        <v>0</v>
      </c>
      <c r="BN68" s="10596">
        <f>IF(HLOOKUP("Mins",A1:CV300,68,FALSE)=0,0,HLOOKUP("GIB",A1:CV300,68,FALSE)/HLOOKUP("Mins",A1:CV300,68,FALSE)* 90)</f>
        <v>9.6359743040685231E-2</v>
      </c>
      <c r="BO68" s="10597">
        <f>IF(HLOOKUP("Mins",A1:CV300,68,FALSE)=0,0,HLOOKUP("Gs - Open",A1:CV300,68,FALSE)/HLOOKUP("Mins",A1:CV300,68,FALSE)* 90)</f>
        <v>0</v>
      </c>
      <c r="BP68" s="10598">
        <f>IF(HLOOKUP("Mins",A1:CV300,68,FALSE)=0,0,HLOOKUP("ICT Index",A1:CV300,68,FALSE)/HLOOKUP("Mins",A1:CV300,68,FALSE)* 90)</f>
        <v>4.3361884368308354</v>
      </c>
      <c r="BQ68" s="10599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  <v>7.1691648822269805E-2</v>
      </c>
      <c r="BR68" s="10600">
        <f>0.0825*HLOOKUP("KP/90",A1:CV300,68,FALSE)</f>
        <v>3.9748394004282657E-2</v>
      </c>
      <c r="BS68" s="10601">
        <f>6*HLOOKUP("xG/90",A1:CV300,68,FALSE)+3*HLOOKUP("xA/90",A1:CV300,68,FALSE)</f>
        <v>0.54939507494646678</v>
      </c>
      <c r="BT68" s="10602">
        <f>HLOOKUP("xPts/90",A1:CV300,68,FALSE)-(6*0.75*(HLOOKUP("PK Gs",A1:CV300,68,FALSE)+HLOOKUP("PK Miss",A1:CV300,68,FALSE))*90/HLOOKUP("Mins",A1:CV300,68,FALSE))</f>
        <v>0.54939507494646678</v>
      </c>
      <c r="BU68" s="10603">
        <f>IF(HLOOKUP("Mins",A1:CV300,68,FALSE)=0,0,HLOOKUP("fsXG",A1:CV300,68,FALSE)/HLOOKUP("Mins",A1:CV300,68,FALSE)* 90)</f>
        <v>7.9014989293361884E-2</v>
      </c>
      <c r="BV68" s="10604">
        <f>IF(HLOOKUP("Mins",A1:CV300,68,FALSE)=0,0,HLOOKUP("fsXA",A1:CV300,68,FALSE)/HLOOKUP("Mins",A1:CV300,68,FALSE)* 90)</f>
        <v>1.4453961456102784E-2</v>
      </c>
      <c r="BW68" s="10605">
        <f>6*HLOOKUP("fsXG/90",A1:CV300,68,FALSE)+3*HLOOKUP("fsXA/90",A1:CV300,68,FALSE)</f>
        <v>0.51745182012847968</v>
      </c>
      <c r="BX68" s="10606">
        <v>4.0733750909566879E-2</v>
      </c>
      <c r="BY68" s="10607">
        <v>6.9578357040882111E-2</v>
      </c>
      <c r="BZ68" s="10608">
        <f>6*HLOOKUP("uXG/90",A1:CV300,68,FALSE)+3*HLOOKUP("uXA/90",A1:CV300,68,FALSE)</f>
        <v>0.45313757658004761</v>
      </c>
    </row>
    <row r="69" spans="1:78" hidden="1" x14ac:dyDescent="0.3">
      <c r="A69" s="10609" t="s">
        <v>232</v>
      </c>
      <c r="B69" s="10610" t="s">
        <v>132</v>
      </c>
      <c r="C69" s="10611">
        <v>5.1999998092651367</v>
      </c>
      <c r="D69" s="10612">
        <v>647</v>
      </c>
      <c r="E69" s="10613">
        <v>12</v>
      </c>
      <c r="F69" s="10614">
        <v>45</v>
      </c>
      <c r="G69" s="10615">
        <v>0</v>
      </c>
      <c r="H69" s="10616">
        <v>5</v>
      </c>
      <c r="I69" s="10617">
        <v>183</v>
      </c>
      <c r="J69" s="10618">
        <f>HLOOKUP("BPS",A1:CV300,69,FALSE)-((-6*HLOOKUP("OG",A1:CV300,69,FALSE))+(-6*HLOOKUP("PK Miss",A1:CV300,69,FALSE))+(9*HLOOKUP("FPL As",A1:CV300,69,FALSE))+(12*HLOOKUP("CS",A1:CV300,69,FALSE))+(12*HLOOKUP("Gs",A1:CV300,69,FALSE)))</f>
        <v>111</v>
      </c>
      <c r="K69" s="10619">
        <v>0</v>
      </c>
      <c r="L69" s="10620">
        <v>6</v>
      </c>
      <c r="M69" s="10621">
        <v>0</v>
      </c>
      <c r="N69" s="10622">
        <v>0</v>
      </c>
      <c r="O69" s="10623">
        <v>0</v>
      </c>
      <c r="P69" s="10624">
        <f>IF(HLOOKUP("Shots",A1:CV300,69,FALSE)=0,0,HLOOKUP("SIB",A1:CV300,69,FALSE)/HLOOKUP("Shots",A1:CV300,69,FALSE))</f>
        <v>0</v>
      </c>
      <c r="Q69" s="10625">
        <v>0</v>
      </c>
      <c r="R69" s="10626">
        <f>IF(HLOOKUP("Shots",A1:CV300,69,FALSE)=0,0,HLOOKUP("S6YD",A1:CV300,69,FALSE)/HLOOKUP("Shots",A1:CV300,69,FALSE))</f>
        <v>0</v>
      </c>
      <c r="S69" s="10627">
        <v>0</v>
      </c>
      <c r="T69" s="10628">
        <f>IF(HLOOKUP("Shots",A1:CV300,69,FALSE)=0,0,HLOOKUP("Headers",A1:CV300,69,FALSE)/HLOOKUP("Shots",A1:CV300,69,FALSE))</f>
        <v>0</v>
      </c>
      <c r="U69" s="10629">
        <v>0</v>
      </c>
      <c r="V69" s="10630">
        <f>IF(HLOOKUP("Shots",A1:CV300,69,FALSE)=0,0,HLOOKUP("SOT",A1:CV300,69,FALSE)/HLOOKUP("Shots",A1:CV300,69,FALSE))</f>
        <v>0</v>
      </c>
      <c r="W69" s="10631">
        <f>IF(HLOOKUP("Shots",A1:CV300,69,FALSE)=0,0,HLOOKUP("Gs",A1:CV300,69,FALSE)/HLOOKUP("Shots",A1:CV300,69,FALSE))</f>
        <v>0</v>
      </c>
      <c r="X69" s="10632">
        <v>0</v>
      </c>
      <c r="Y69" s="10633">
        <v>0</v>
      </c>
      <c r="Z69" s="10634">
        <v>4</v>
      </c>
      <c r="AA69" s="10635">
        <f>IF(HLOOKUP("KP",A1:CV300,69,FALSE)=0,0,HLOOKUP("As",A1:CV300,69,FALSE)/HLOOKUP("KP",A1:CV300,69,FALSE))</f>
        <v>0</v>
      </c>
      <c r="AB69" s="10636">
        <v>20.3</v>
      </c>
      <c r="AC69" s="10637">
        <v>0</v>
      </c>
      <c r="AD69" s="10638">
        <v>0</v>
      </c>
      <c r="AE69" s="10639">
        <v>0</v>
      </c>
      <c r="AF69" s="10640">
        <v>0</v>
      </c>
      <c r="AG69" s="10641">
        <f>IF(HLOOKUP("BC",A1:CV300,69,FALSE)=0,0,HLOOKUP("Gs - BC",A1:CV300,69,FALSE)/HLOOKUP("BC",A1:CV300,69,FALSE))</f>
        <v>0</v>
      </c>
      <c r="AH69" s="10642">
        <f>HLOOKUP("BC",A1:CV300,69,FALSE) - HLOOKUP("BC Miss",A1:CV300,69,FALSE)</f>
        <v>0</v>
      </c>
      <c r="AI69" s="10643">
        <f>IF(HLOOKUP("Gs",A1:CV300,69,FALSE)=0,0,HLOOKUP("Gs - BC",A1:CV300,69,FALSE)/HLOOKUP("Gs",A1:CV300,69,FALSE))</f>
        <v>0</v>
      </c>
      <c r="AJ69" s="10644">
        <v>0</v>
      </c>
      <c r="AK69" s="10645">
        <v>0</v>
      </c>
      <c r="AL69" s="10646">
        <f>HLOOKUP("BC",A1:CV300,69,FALSE) - (HLOOKUP("PK Gs",A1:CV300,69,FALSE) + HLOOKUP("PK Miss",A1:CV300,69,FALSE))</f>
        <v>0</v>
      </c>
      <c r="AM69" s="10647">
        <f>HLOOKUP("BC Miss",A1:CV300,69,FALSE) - HLOOKUP("PK Miss",A1:CV300,69,FALSE)</f>
        <v>0</v>
      </c>
      <c r="AN69" s="10648">
        <f>IF(HLOOKUP("BC - Open",A1:CV300,69,FALSE)=0,0,HLOOKUP("BC - Open Miss",A1:CV300,69,FALSE)/HLOOKUP("BC - Open",A1:CV300,69,FALSE))</f>
        <v>0</v>
      </c>
      <c r="AO69" s="10649">
        <v>0</v>
      </c>
      <c r="AP69" s="10650">
        <f>IF(HLOOKUP("Gs",A1:CV300,69,FALSE)=0,0,HLOOKUP("GIB",A1:CV300,69,FALSE)/HLOOKUP("Gs",A1:CV300,69,FALSE))</f>
        <v>0</v>
      </c>
      <c r="AQ69" s="10651">
        <v>0</v>
      </c>
      <c r="AR69" s="10652">
        <f>IF(HLOOKUP("Gs",A1:CV300,69,FALSE)=0,0,HLOOKUP("Gs - Open",A1:CV300,69,FALSE)/HLOOKUP("Gs",A1:CV300,69,FALSE))</f>
        <v>0</v>
      </c>
      <c r="AS69" s="10653">
        <v>0</v>
      </c>
      <c r="AT69" s="10654">
        <v>0.12</v>
      </c>
      <c r="AU69" s="10655">
        <f>IF(HLOOKUP("Mins",A1:CV300,69,FALSE)=0,0,HLOOKUP("Pts",A1:CV300,69,FALSE)/HLOOKUP("Mins",A1:CV300,69,FALSE)* 90)</f>
        <v>6.2596599690880987</v>
      </c>
      <c r="AV69" s="10656">
        <f>IF(HLOOKUP("Apps",A1:CV300,69,FALSE)=0,0,HLOOKUP("Pts",A1:CV300,69,FALSE)/HLOOKUP("Apps",A1:CV300,69,FALSE)* 1)</f>
        <v>3.75</v>
      </c>
      <c r="AW69" s="10657">
        <f>IF(HLOOKUP("Mins",A1:CV300,69,FALSE)=0,0,HLOOKUP("Gs",A1:CV300,69,FALSE)/HLOOKUP("Mins",A1:CV300,69,FALSE)* 90)</f>
        <v>0</v>
      </c>
      <c r="AX69" s="10658">
        <f>IF(HLOOKUP("Mins",A1:CV300,69,FALSE)=0,0,HLOOKUP("Bonus",A1:CV300,69,FALSE)/HLOOKUP("Mins",A1:CV300,69,FALSE)* 90)</f>
        <v>0.69551777434312212</v>
      </c>
      <c r="AY69" s="10659">
        <f>IF(HLOOKUP("Mins",A1:CV300,69,FALSE)=0,0,HLOOKUP("BPS",A1:CV300,69,FALSE)/HLOOKUP("Mins",A1:CV300,69,FALSE)* 90)</f>
        <v>25.45595054095827</v>
      </c>
      <c r="AZ69" s="10660">
        <f>IF(HLOOKUP("Mins",A1:CV300,69,FALSE)=0,0,HLOOKUP("Base BPS",A1:CV300,69,FALSE)/HLOOKUP("Mins",A1:CV300,69,FALSE)* 90)</f>
        <v>15.440494590417311</v>
      </c>
      <c r="BA69" s="10661">
        <f>IF(HLOOKUP("Mins",A1:CV300,69,FALSE)=0,0,HLOOKUP("PenTchs",A1:CV300,69,FALSE)/HLOOKUP("Mins",A1:CV300,69,FALSE)* 90)</f>
        <v>0</v>
      </c>
      <c r="BB69" s="10662">
        <f>IF(HLOOKUP("Mins",A1:CV300,69,FALSE)=0,0,HLOOKUP("Shots",A1:CV300,69,FALSE)/HLOOKUP("Mins",A1:CV300,69,FALSE)* 90)</f>
        <v>0</v>
      </c>
      <c r="BC69" s="10663">
        <f>IF(HLOOKUP("Mins",A1:CV300,69,FALSE)=0,0,HLOOKUP("SIB",A1:CV300,69,FALSE)/HLOOKUP("Mins",A1:CV300,69,FALSE)* 90)</f>
        <v>0</v>
      </c>
      <c r="BD69" s="10664">
        <f>IF(HLOOKUP("Mins",A1:CV300,69,FALSE)=0,0,HLOOKUP("S6YD",A1:CV300,69,FALSE)/HLOOKUP("Mins",A1:CV300,69,FALSE)* 90)</f>
        <v>0</v>
      </c>
      <c r="BE69" s="10665">
        <f>IF(HLOOKUP("Mins",A1:CV300,69,FALSE)=0,0,HLOOKUP("Headers",A1:CV300,69,FALSE)/HLOOKUP("Mins",A1:CV300,69,FALSE)* 90)</f>
        <v>0</v>
      </c>
      <c r="BF69" s="10666">
        <f>IF(HLOOKUP("Mins",A1:CV300,69,FALSE)=0,0,HLOOKUP("SOT",A1:CV300,69,FALSE)/HLOOKUP("Mins",A1:CV300,69,FALSE)* 90)</f>
        <v>0</v>
      </c>
      <c r="BG69" s="10667">
        <f>IF(HLOOKUP("Mins",A1:CV300,69,FALSE)=0,0,HLOOKUP("As",A1:CV300,69,FALSE)/HLOOKUP("Mins",A1:CV300,69,FALSE)* 90)</f>
        <v>0</v>
      </c>
      <c r="BH69" s="10668">
        <f>IF(HLOOKUP("Mins",A1:CV300,69,FALSE)=0,0,HLOOKUP("FPL As",A1:CV300,69,FALSE)/HLOOKUP("Mins",A1:CV300,69,FALSE)* 90)</f>
        <v>0</v>
      </c>
      <c r="BI69" s="10669">
        <f>IF(HLOOKUP("Mins",A1:CV300,69,FALSE)=0,0,HLOOKUP("BC Created",A1:CV300,69,FALSE)/HLOOKUP("Mins",A1:CV300,69,FALSE)* 90)</f>
        <v>0</v>
      </c>
      <c r="BJ69" s="10670">
        <f>IF(HLOOKUP("Mins",A1:CV300,69,FALSE)=0,0,HLOOKUP("KP",A1:CV300,69,FALSE)/HLOOKUP("Mins",A1:CV300,69,FALSE)* 90)</f>
        <v>0.55641421947449765</v>
      </c>
      <c r="BK69" s="10671">
        <f>IF(HLOOKUP("Mins",A1:CV300,69,FALSE)=0,0,HLOOKUP("BC",A1:CV300,69,FALSE)/HLOOKUP("Mins",A1:CV300,69,FALSE)* 90)</f>
        <v>0</v>
      </c>
      <c r="BL69" s="10672">
        <f>IF(HLOOKUP("Mins",A1:CV300,69,FALSE)=0,0,HLOOKUP("BC Miss",A1:CV300,69,FALSE)/HLOOKUP("Mins",A1:CV300,69,FALSE)* 90)</f>
        <v>0</v>
      </c>
      <c r="BM69" s="10673">
        <f>IF(HLOOKUP("Mins",A1:CV300,69,FALSE)=0,0,HLOOKUP("Gs - BC",A1:CV300,69,FALSE)/HLOOKUP("Mins",A1:CV300,69,FALSE)* 90)</f>
        <v>0</v>
      </c>
      <c r="BN69" s="10674">
        <f>IF(HLOOKUP("Mins",A1:CV300,69,FALSE)=0,0,HLOOKUP("GIB",A1:CV300,69,FALSE)/HLOOKUP("Mins",A1:CV300,69,FALSE)* 90)</f>
        <v>0</v>
      </c>
      <c r="BO69" s="10675">
        <f>IF(HLOOKUP("Mins",A1:CV300,69,FALSE)=0,0,HLOOKUP("Gs - Open",A1:CV300,69,FALSE)/HLOOKUP("Mins",A1:CV300,69,FALSE)* 90)</f>
        <v>0</v>
      </c>
      <c r="BP69" s="10676">
        <f>IF(HLOOKUP("Mins",A1:CV300,69,FALSE)=0,0,HLOOKUP("ICT Index",A1:CV300,69,FALSE)/HLOOKUP("Mins",A1:CV300,69,FALSE)* 90)</f>
        <v>2.8238021638330757</v>
      </c>
      <c r="BQ69" s="10677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  <v>0</v>
      </c>
      <c r="BR69" s="10678">
        <f>0.0825*HLOOKUP("KP/90",A1:CV300,69,FALSE)</f>
        <v>4.590417310664606E-2</v>
      </c>
      <c r="BS69" s="10679">
        <f>6*HLOOKUP("xG/90",A1:CV300,69,FALSE)+3*HLOOKUP("xA/90",A1:CV300,69,FALSE)</f>
        <v>0.13771251931993816</v>
      </c>
      <c r="BT69" s="10680">
        <f>HLOOKUP("xPts/90",A1:CV300,69,FALSE)-(6*0.75*(HLOOKUP("PK Gs",A1:CV300,69,FALSE)+HLOOKUP("PK Miss",A1:CV300,69,FALSE))*90/HLOOKUP("Mins",A1:CV300,69,FALSE))</f>
        <v>0.13771251931993816</v>
      </c>
      <c r="BU69" s="10681">
        <f>IF(HLOOKUP("Mins",A1:CV300,69,FALSE)=0,0,HLOOKUP("fsXG",A1:CV300,69,FALSE)/HLOOKUP("Mins",A1:CV300,69,FALSE)* 90)</f>
        <v>0</v>
      </c>
      <c r="BV69" s="10682">
        <f>IF(HLOOKUP("Mins",A1:CV300,69,FALSE)=0,0,HLOOKUP("fsXA",A1:CV300,69,FALSE)/HLOOKUP("Mins",A1:CV300,69,FALSE)* 90)</f>
        <v>1.6692426584234931E-2</v>
      </c>
      <c r="BW69" s="10683">
        <f>6*HLOOKUP("fsXG/90",A1:CV300,69,FALSE)+3*HLOOKUP("fsXA/90",A1:CV300,69,FALSE)</f>
        <v>5.007727975270479E-2</v>
      </c>
      <c r="BX69" s="10684">
        <v>0</v>
      </c>
      <c r="BY69" s="10685">
        <v>1.713409461081028E-2</v>
      </c>
      <c r="BZ69" s="10686">
        <f>6*HLOOKUP("uXG/90",A1:CV300,69,FALSE)+3*HLOOKUP("uXA/90",A1:CV300,69,FALSE)</f>
        <v>5.140228383243084E-2</v>
      </c>
    </row>
    <row r="70" spans="1:78" hidden="1" x14ac:dyDescent="0.3">
      <c r="A70" s="10687" t="s">
        <v>233</v>
      </c>
      <c r="B70" s="10688" t="s">
        <v>105</v>
      </c>
      <c r="C70" s="10689">
        <v>4.6999998092651367</v>
      </c>
      <c r="D70" s="10690">
        <v>422</v>
      </c>
      <c r="E70" s="10691">
        <v>6</v>
      </c>
      <c r="F70" s="10692">
        <v>11</v>
      </c>
      <c r="G70" s="10693">
        <v>0</v>
      </c>
      <c r="H70" s="10694">
        <v>1</v>
      </c>
      <c r="I70" s="10695">
        <v>94</v>
      </c>
      <c r="J70" s="10696">
        <f>HLOOKUP("BPS",A1:CV300,70,FALSE)-((-6*HLOOKUP("OG",A1:CV300,70,FALSE))+(-6*HLOOKUP("PK Miss",A1:CV300,70,FALSE))+(9*HLOOKUP("FPL As",A1:CV300,70,FALSE))+(12*HLOOKUP("CS",A1:CV300,70,FALSE))+(12*HLOOKUP("Gs",A1:CV300,70,FALSE)))</f>
        <v>85</v>
      </c>
      <c r="K70" s="10697">
        <v>0</v>
      </c>
      <c r="L70" s="10698">
        <v>0</v>
      </c>
      <c r="M70" s="10699">
        <v>11</v>
      </c>
      <c r="N70" s="10700">
        <v>5</v>
      </c>
      <c r="O70" s="10701">
        <v>3</v>
      </c>
      <c r="P70" s="10702">
        <f>IF(HLOOKUP("Shots",A1:CV300,70,FALSE)=0,0,HLOOKUP("SIB",A1:CV300,70,FALSE)/HLOOKUP("Shots",A1:CV300,70,FALSE))</f>
        <v>0.6</v>
      </c>
      <c r="Q70" s="10703">
        <v>0</v>
      </c>
      <c r="R70" s="10704">
        <f>IF(HLOOKUP("Shots",A1:CV300,70,FALSE)=0,0,HLOOKUP("S6YD",A1:CV300,70,FALSE)/HLOOKUP("Shots",A1:CV300,70,FALSE))</f>
        <v>0</v>
      </c>
      <c r="S70" s="10705">
        <v>0</v>
      </c>
      <c r="T70" s="10706">
        <f>IF(HLOOKUP("Shots",A1:CV300,70,FALSE)=0,0,HLOOKUP("Headers",A1:CV300,70,FALSE)/HLOOKUP("Shots",A1:CV300,70,FALSE))</f>
        <v>0</v>
      </c>
      <c r="U70" s="10707">
        <v>0</v>
      </c>
      <c r="V70" s="10708">
        <f>IF(HLOOKUP("Shots",A1:CV300,70,FALSE)=0,0,HLOOKUP("SOT",A1:CV300,70,FALSE)/HLOOKUP("Shots",A1:CV300,70,FALSE))</f>
        <v>0</v>
      </c>
      <c r="W70" s="10709">
        <f>IF(HLOOKUP("Shots",A1:CV300,70,FALSE)=0,0,HLOOKUP("Gs",A1:CV300,70,FALSE)/HLOOKUP("Shots",A1:CV300,70,FALSE))</f>
        <v>0</v>
      </c>
      <c r="X70" s="10710">
        <v>0</v>
      </c>
      <c r="Y70" s="10711">
        <v>1</v>
      </c>
      <c r="Z70" s="10712">
        <v>9</v>
      </c>
      <c r="AA70" s="10713">
        <f>IF(HLOOKUP("KP",A1:CV300,70,FALSE)=0,0,HLOOKUP("As",A1:CV300,70,FALSE)/HLOOKUP("KP",A1:CV300,70,FALSE))</f>
        <v>0</v>
      </c>
      <c r="AB70" s="10714">
        <v>31.5</v>
      </c>
      <c r="AC70" s="10715">
        <v>9</v>
      </c>
      <c r="AD70" s="10716">
        <v>3</v>
      </c>
      <c r="AE70" s="10717">
        <v>0</v>
      </c>
      <c r="AF70" s="10718">
        <v>0</v>
      </c>
      <c r="AG70" s="10719">
        <f>IF(HLOOKUP("BC",A1:CV300,70,FALSE)=0,0,HLOOKUP("Gs - BC",A1:CV300,70,FALSE)/HLOOKUP("BC",A1:CV300,70,FALSE))</f>
        <v>0</v>
      </c>
      <c r="AH70" s="10720">
        <f>HLOOKUP("BC",A1:CV300,70,FALSE) - HLOOKUP("BC Miss",A1:CV300,70,FALSE)</f>
        <v>0</v>
      </c>
      <c r="AI70" s="10721">
        <f>IF(HLOOKUP("Gs",A1:CV300,70,FALSE)=0,0,HLOOKUP("Gs - BC",A1:CV300,70,FALSE)/HLOOKUP("Gs",A1:CV300,70,FALSE))</f>
        <v>0</v>
      </c>
      <c r="AJ70" s="10722">
        <v>0</v>
      </c>
      <c r="AK70" s="10723">
        <v>0</v>
      </c>
      <c r="AL70" s="10724">
        <f>HLOOKUP("BC",A1:CV300,70,FALSE) - (HLOOKUP("PK Gs",A1:CV300,70,FALSE) + HLOOKUP("PK Miss",A1:CV300,70,FALSE))</f>
        <v>0</v>
      </c>
      <c r="AM70" s="10725">
        <f>HLOOKUP("BC Miss",A1:CV300,70,FALSE) - HLOOKUP("PK Miss",A1:CV300,70,FALSE)</f>
        <v>0</v>
      </c>
      <c r="AN70" s="10726">
        <f>IF(HLOOKUP("BC - Open",A1:CV300,70,FALSE)=0,0,HLOOKUP("BC - Open Miss",A1:CV300,70,FALSE)/HLOOKUP("BC - Open",A1:CV300,70,FALSE))</f>
        <v>0</v>
      </c>
      <c r="AO70" s="10727">
        <v>0</v>
      </c>
      <c r="AP70" s="10728">
        <f>IF(HLOOKUP("Gs",A1:CV300,70,FALSE)=0,0,HLOOKUP("GIB",A1:CV300,70,FALSE)/HLOOKUP("Gs",A1:CV300,70,FALSE))</f>
        <v>0</v>
      </c>
      <c r="AQ70" s="10729">
        <v>0</v>
      </c>
      <c r="AR70" s="10730">
        <f>IF(HLOOKUP("Gs",A1:CV300,70,FALSE)=0,0,HLOOKUP("Gs - Open",A1:CV300,70,FALSE)/HLOOKUP("Gs",A1:CV300,70,FALSE))</f>
        <v>0</v>
      </c>
      <c r="AS70" s="10731">
        <v>0.21</v>
      </c>
      <c r="AT70" s="10732">
        <v>1.1499999999999999</v>
      </c>
      <c r="AU70" s="10733">
        <f>IF(HLOOKUP("Mins",A1:CV300,70,FALSE)=0,0,HLOOKUP("Pts",A1:CV300,70,FALSE)/HLOOKUP("Mins",A1:CV300,70,FALSE)* 90)</f>
        <v>2.3459715639810423</v>
      </c>
      <c r="AV70" s="10734">
        <f>IF(HLOOKUP("Apps",A1:CV300,70,FALSE)=0,0,HLOOKUP("Pts",A1:CV300,70,FALSE)/HLOOKUP("Apps",A1:CV300,70,FALSE)* 1)</f>
        <v>1.8333333333333333</v>
      </c>
      <c r="AW70" s="10735">
        <f>IF(HLOOKUP("Mins",A1:CV300,70,FALSE)=0,0,HLOOKUP("Gs",A1:CV300,70,FALSE)/HLOOKUP("Mins",A1:CV300,70,FALSE)* 90)</f>
        <v>0</v>
      </c>
      <c r="AX70" s="10736">
        <f>IF(HLOOKUP("Mins",A1:CV300,70,FALSE)=0,0,HLOOKUP("Bonus",A1:CV300,70,FALSE)/HLOOKUP("Mins",A1:CV300,70,FALSE)* 90)</f>
        <v>0.2132701421800948</v>
      </c>
      <c r="AY70" s="10737">
        <f>IF(HLOOKUP("Mins",A1:CV300,70,FALSE)=0,0,HLOOKUP("BPS",A1:CV300,70,FALSE)/HLOOKUP("Mins",A1:CV300,70,FALSE)* 90)</f>
        <v>20.047393364928908</v>
      </c>
      <c r="AZ70" s="10738">
        <f>IF(HLOOKUP("Mins",A1:CV300,70,FALSE)=0,0,HLOOKUP("Base BPS",A1:CV300,70,FALSE)/HLOOKUP("Mins",A1:CV300,70,FALSE)* 90)</f>
        <v>18.127962085308056</v>
      </c>
      <c r="BA70" s="10739">
        <f>IF(HLOOKUP("Mins",A1:CV300,70,FALSE)=0,0,HLOOKUP("PenTchs",A1:CV300,70,FALSE)/HLOOKUP("Mins",A1:CV300,70,FALSE)* 90)</f>
        <v>2.3459715639810423</v>
      </c>
      <c r="BB70" s="10740">
        <f>IF(HLOOKUP("Mins",A1:CV300,70,FALSE)=0,0,HLOOKUP("Shots",A1:CV300,70,FALSE)/HLOOKUP("Mins",A1:CV300,70,FALSE)* 90)</f>
        <v>1.066350710900474</v>
      </c>
      <c r="BC70" s="10741">
        <f>IF(HLOOKUP("Mins",A1:CV300,70,FALSE)=0,0,HLOOKUP("SIB",A1:CV300,70,FALSE)/HLOOKUP("Mins",A1:CV300,70,FALSE)* 90)</f>
        <v>0.6398104265402843</v>
      </c>
      <c r="BD70" s="10742">
        <f>IF(HLOOKUP("Mins",A1:CV300,70,FALSE)=0,0,HLOOKUP("S6YD",A1:CV300,70,FALSE)/HLOOKUP("Mins",A1:CV300,70,FALSE)* 90)</f>
        <v>0</v>
      </c>
      <c r="BE70" s="10743">
        <f>IF(HLOOKUP("Mins",A1:CV300,70,FALSE)=0,0,HLOOKUP("Headers",A1:CV300,70,FALSE)/HLOOKUP("Mins",A1:CV300,70,FALSE)* 90)</f>
        <v>0</v>
      </c>
      <c r="BF70" s="10744">
        <f>IF(HLOOKUP("Mins",A1:CV300,70,FALSE)=0,0,HLOOKUP("SOT",A1:CV300,70,FALSE)/HLOOKUP("Mins",A1:CV300,70,FALSE)* 90)</f>
        <v>0</v>
      </c>
      <c r="BG70" s="10745">
        <f>IF(HLOOKUP("Mins",A1:CV300,70,FALSE)=0,0,HLOOKUP("As",A1:CV300,70,FALSE)/HLOOKUP("Mins",A1:CV300,70,FALSE)* 90)</f>
        <v>0</v>
      </c>
      <c r="BH70" s="10746">
        <f>IF(HLOOKUP("Mins",A1:CV300,70,FALSE)=0,0,HLOOKUP("FPL As",A1:CV300,70,FALSE)/HLOOKUP("Mins",A1:CV300,70,FALSE)* 90)</f>
        <v>0.2132701421800948</v>
      </c>
      <c r="BI70" s="10747">
        <f>IF(HLOOKUP("Mins",A1:CV300,70,FALSE)=0,0,HLOOKUP("BC Created",A1:CV300,70,FALSE)/HLOOKUP("Mins",A1:CV300,70,FALSE)* 90)</f>
        <v>0.6398104265402843</v>
      </c>
      <c r="BJ70" s="10748">
        <f>IF(HLOOKUP("Mins",A1:CV300,70,FALSE)=0,0,HLOOKUP("KP",A1:CV300,70,FALSE)/HLOOKUP("Mins",A1:CV300,70,FALSE)* 90)</f>
        <v>1.9194312796208532</v>
      </c>
      <c r="BK70" s="10749">
        <f>IF(HLOOKUP("Mins",A1:CV300,70,FALSE)=0,0,HLOOKUP("BC",A1:CV300,70,FALSE)/HLOOKUP("Mins",A1:CV300,70,FALSE)* 90)</f>
        <v>0</v>
      </c>
      <c r="BL70" s="10750">
        <f>IF(HLOOKUP("Mins",A1:CV300,70,FALSE)=0,0,HLOOKUP("BC Miss",A1:CV300,70,FALSE)/HLOOKUP("Mins",A1:CV300,70,FALSE)* 90)</f>
        <v>0</v>
      </c>
      <c r="BM70" s="10751">
        <f>IF(HLOOKUP("Mins",A1:CV300,70,FALSE)=0,0,HLOOKUP("Gs - BC",A1:CV300,70,FALSE)/HLOOKUP("Mins",A1:CV300,70,FALSE)* 90)</f>
        <v>0</v>
      </c>
      <c r="BN70" s="10752">
        <f>IF(HLOOKUP("Mins",A1:CV300,70,FALSE)=0,0,HLOOKUP("GIB",A1:CV300,70,FALSE)/HLOOKUP("Mins",A1:CV300,70,FALSE)* 90)</f>
        <v>0</v>
      </c>
      <c r="BO70" s="10753">
        <f>IF(HLOOKUP("Mins",A1:CV300,70,FALSE)=0,0,HLOOKUP("Gs - Open",A1:CV300,70,FALSE)/HLOOKUP("Mins",A1:CV300,70,FALSE)* 90)</f>
        <v>0</v>
      </c>
      <c r="BP70" s="10754">
        <f>IF(HLOOKUP("Mins",A1:CV300,70,FALSE)=0,0,HLOOKUP("ICT Index",A1:CV300,70,FALSE)/HLOOKUP("Mins",A1:CV300,70,FALSE)* 90)</f>
        <v>6.7180094786729851</v>
      </c>
      <c r="BQ70" s="10755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  <v>6.803317535545024E-2</v>
      </c>
      <c r="BR70" s="10756">
        <f>0.0825*HLOOKUP("KP/90",A1:CV300,70,FALSE)</f>
        <v>0.15835308056872041</v>
      </c>
      <c r="BS70" s="10757">
        <f>6*HLOOKUP("xG/90",A1:CV300,70,FALSE)+3*HLOOKUP("xA/90",A1:CV300,70,FALSE)</f>
        <v>0.88325829383886267</v>
      </c>
      <c r="BT70" s="10758">
        <f>HLOOKUP("xPts/90",A1:CV300,70,FALSE)-(6*0.75*(HLOOKUP("PK Gs",A1:CV300,70,FALSE)+HLOOKUP("PK Miss",A1:CV300,70,FALSE))*90/HLOOKUP("Mins",A1:CV300,70,FALSE))</f>
        <v>0.88325829383886267</v>
      </c>
      <c r="BU70" s="10759">
        <f>IF(HLOOKUP("Mins",A1:CV300,70,FALSE)=0,0,HLOOKUP("fsXG",A1:CV300,70,FALSE)/HLOOKUP("Mins",A1:CV300,70,FALSE)* 90)</f>
        <v>4.478672985781991E-2</v>
      </c>
      <c r="BV70" s="10760">
        <f>IF(HLOOKUP("Mins",A1:CV300,70,FALSE)=0,0,HLOOKUP("fsXA",A1:CV300,70,FALSE)/HLOOKUP("Mins",A1:CV300,70,FALSE)* 90)</f>
        <v>0.24526066350710901</v>
      </c>
      <c r="BW70" s="10761">
        <f>6*HLOOKUP("fsXG/90",A1:CV300,70,FALSE)+3*HLOOKUP("fsXA/90",A1:CV300,70,FALSE)</f>
        <v>1.0045023696682465</v>
      </c>
      <c r="BX70" s="10762">
        <v>4.5158188790082932E-2</v>
      </c>
      <c r="BY70" s="10763">
        <v>0.41508018970489502</v>
      </c>
      <c r="BZ70" s="10764">
        <f>6*HLOOKUP("uXG/90",A1:CV300,70,FALSE)+3*HLOOKUP("uXA/90",A1:CV300,70,FALSE)</f>
        <v>1.5161897018551826</v>
      </c>
    </row>
    <row r="71" spans="1:78" hidden="1" x14ac:dyDescent="0.3">
      <c r="A71" s="10765" t="s">
        <v>234</v>
      </c>
      <c r="B71" s="10766" t="s">
        <v>107</v>
      </c>
      <c r="C71" s="10767">
        <v>4.4000000953674316</v>
      </c>
      <c r="D71" s="10768">
        <v>1398</v>
      </c>
      <c r="E71" s="10769">
        <v>17</v>
      </c>
      <c r="F71" s="10770">
        <v>62</v>
      </c>
      <c r="G71" s="10771">
        <v>0</v>
      </c>
      <c r="H71" s="10772">
        <v>4</v>
      </c>
      <c r="I71" s="10773">
        <v>264</v>
      </c>
      <c r="J71" s="10774">
        <f>HLOOKUP("BPS",A1:CV300,71,FALSE)-((-6*HLOOKUP("OG",A1:CV300,71,FALSE))+(-6*HLOOKUP("PK Miss",A1:CV300,71,FALSE))+(9*HLOOKUP("FPL As",A1:CV300,71,FALSE))+(12*HLOOKUP("CS",A1:CV300,71,FALSE))+(12*HLOOKUP("Gs",A1:CV300,71,FALSE)))</f>
        <v>183</v>
      </c>
      <c r="K71" s="10775">
        <v>0</v>
      </c>
      <c r="L71" s="10776">
        <v>6</v>
      </c>
      <c r="M71" s="10777">
        <v>6</v>
      </c>
      <c r="N71" s="10778">
        <v>2</v>
      </c>
      <c r="O71" s="10779">
        <v>1</v>
      </c>
      <c r="P71" s="10780">
        <f>IF(HLOOKUP("Shots",A1:CV300,71,FALSE)=0,0,HLOOKUP("SIB",A1:CV300,71,FALSE)/HLOOKUP("Shots",A1:CV300,71,FALSE))</f>
        <v>0.5</v>
      </c>
      <c r="Q71" s="10781">
        <v>0</v>
      </c>
      <c r="R71" s="10782">
        <f>IF(HLOOKUP("Shots",A1:CV300,71,FALSE)=0,0,HLOOKUP("S6YD",A1:CV300,71,FALSE)/HLOOKUP("Shots",A1:CV300,71,FALSE))</f>
        <v>0</v>
      </c>
      <c r="S71" s="10783">
        <v>0</v>
      </c>
      <c r="T71" s="10784">
        <f>IF(HLOOKUP("Shots",A1:CV300,71,FALSE)=0,0,HLOOKUP("Headers",A1:CV300,71,FALSE)/HLOOKUP("Shots",A1:CV300,71,FALSE))</f>
        <v>0</v>
      </c>
      <c r="U71" s="10785">
        <v>0</v>
      </c>
      <c r="V71" s="10786">
        <f>IF(HLOOKUP("Shots",A1:CV300,71,FALSE)=0,0,HLOOKUP("SOT",A1:CV300,71,FALSE)/HLOOKUP("Shots",A1:CV300,71,FALSE))</f>
        <v>0</v>
      </c>
      <c r="W71" s="10787">
        <f>IF(HLOOKUP("Shots",A1:CV300,71,FALSE)=0,0,HLOOKUP("Gs",A1:CV300,71,FALSE)/HLOOKUP("Shots",A1:CV300,71,FALSE))</f>
        <v>0</v>
      </c>
      <c r="X71" s="10788">
        <v>1</v>
      </c>
      <c r="Y71" s="10789">
        <v>1</v>
      </c>
      <c r="Z71" s="10790">
        <v>6</v>
      </c>
      <c r="AA71" s="10791">
        <f>IF(HLOOKUP("KP",A1:CV300,71,FALSE)=0,0,HLOOKUP("As",A1:CV300,71,FALSE)/HLOOKUP("KP",A1:CV300,71,FALSE))</f>
        <v>0.16666666666666666</v>
      </c>
      <c r="AB71" s="10792">
        <v>39.1</v>
      </c>
      <c r="AC71" s="10793">
        <v>6</v>
      </c>
      <c r="AD71" s="10794">
        <v>1</v>
      </c>
      <c r="AE71" s="10795">
        <v>0</v>
      </c>
      <c r="AF71" s="10796">
        <v>0</v>
      </c>
      <c r="AG71" s="10797">
        <f>IF(HLOOKUP("BC",A1:CV300,71,FALSE)=0,0,HLOOKUP("Gs - BC",A1:CV300,71,FALSE)/HLOOKUP("BC",A1:CV300,71,FALSE))</f>
        <v>0</v>
      </c>
      <c r="AH71" s="10798">
        <f>HLOOKUP("BC",A1:CV300,71,FALSE) - HLOOKUP("BC Miss",A1:CV300,71,FALSE)</f>
        <v>0</v>
      </c>
      <c r="AI71" s="10799">
        <f>IF(HLOOKUP("Gs",A1:CV300,71,FALSE)=0,0,HLOOKUP("Gs - BC",A1:CV300,71,FALSE)/HLOOKUP("Gs",A1:CV300,71,FALSE))</f>
        <v>0</v>
      </c>
      <c r="AJ71" s="10800">
        <v>0</v>
      </c>
      <c r="AK71" s="10801">
        <v>0</v>
      </c>
      <c r="AL71" s="10802">
        <f>HLOOKUP("BC",A1:CV300,71,FALSE) - (HLOOKUP("PK Gs",A1:CV300,71,FALSE) + HLOOKUP("PK Miss",A1:CV300,71,FALSE))</f>
        <v>0</v>
      </c>
      <c r="AM71" s="10803">
        <f>HLOOKUP("BC Miss",A1:CV300,71,FALSE) - HLOOKUP("PK Miss",A1:CV300,71,FALSE)</f>
        <v>0</v>
      </c>
      <c r="AN71" s="10804">
        <f>IF(HLOOKUP("BC - Open",A1:CV300,71,FALSE)=0,0,HLOOKUP("BC - Open Miss",A1:CV300,71,FALSE)/HLOOKUP("BC - Open",A1:CV300,71,FALSE))</f>
        <v>0</v>
      </c>
      <c r="AO71" s="10805">
        <v>0</v>
      </c>
      <c r="AP71" s="10806">
        <f>IF(HLOOKUP("Gs",A1:CV300,71,FALSE)=0,0,HLOOKUP("GIB",A1:CV300,71,FALSE)/HLOOKUP("Gs",A1:CV300,71,FALSE))</f>
        <v>0</v>
      </c>
      <c r="AQ71" s="10807">
        <v>0</v>
      </c>
      <c r="AR71" s="10808">
        <f>IF(HLOOKUP("Gs",A1:CV300,71,FALSE)=0,0,HLOOKUP("Gs - Open",A1:CV300,71,FALSE)/HLOOKUP("Gs",A1:CV300,71,FALSE))</f>
        <v>0</v>
      </c>
      <c r="AS71" s="10809">
        <v>7.0000000000000007E-2</v>
      </c>
      <c r="AT71" s="10810">
        <v>0.56999999999999995</v>
      </c>
      <c r="AU71" s="10811">
        <f>IF(HLOOKUP("Mins",A1:CV300,71,FALSE)=0,0,HLOOKUP("Pts",A1:CV300,71,FALSE)/HLOOKUP("Mins",A1:CV300,71,FALSE)* 90)</f>
        <v>3.9914163090128758</v>
      </c>
      <c r="AV71" s="10812">
        <f>IF(HLOOKUP("Apps",A1:CV300,71,FALSE)=0,0,HLOOKUP("Pts",A1:CV300,71,FALSE)/HLOOKUP("Apps",A1:CV300,71,FALSE)* 1)</f>
        <v>3.6470588235294117</v>
      </c>
      <c r="AW71" s="10813">
        <f>IF(HLOOKUP("Mins",A1:CV300,71,FALSE)=0,0,HLOOKUP("Gs",A1:CV300,71,FALSE)/HLOOKUP("Mins",A1:CV300,71,FALSE)* 90)</f>
        <v>0</v>
      </c>
      <c r="AX71" s="10814">
        <f>IF(HLOOKUP("Mins",A1:CV300,71,FALSE)=0,0,HLOOKUP("Bonus",A1:CV300,71,FALSE)/HLOOKUP("Mins",A1:CV300,71,FALSE)* 90)</f>
        <v>0.25751072961373389</v>
      </c>
      <c r="AY71" s="10815">
        <f>IF(HLOOKUP("Mins",A1:CV300,71,FALSE)=0,0,HLOOKUP("BPS",A1:CV300,71,FALSE)/HLOOKUP("Mins",A1:CV300,71,FALSE)* 90)</f>
        <v>16.995708154506438</v>
      </c>
      <c r="AZ71" s="10816">
        <f>IF(HLOOKUP("Mins",A1:CV300,71,FALSE)=0,0,HLOOKUP("Base BPS",A1:CV300,71,FALSE)/HLOOKUP("Mins",A1:CV300,71,FALSE)* 90)</f>
        <v>11.781115879828327</v>
      </c>
      <c r="BA71" s="10817">
        <f>IF(HLOOKUP("Mins",A1:CV300,71,FALSE)=0,0,HLOOKUP("PenTchs",A1:CV300,71,FALSE)/HLOOKUP("Mins",A1:CV300,71,FALSE)* 90)</f>
        <v>0.38626609442060084</v>
      </c>
      <c r="BB71" s="10818">
        <f>IF(HLOOKUP("Mins",A1:CV300,71,FALSE)=0,0,HLOOKUP("Shots",A1:CV300,71,FALSE)/HLOOKUP("Mins",A1:CV300,71,FALSE)* 90)</f>
        <v>0.12875536480686695</v>
      </c>
      <c r="BC71" s="10819">
        <f>IF(HLOOKUP("Mins",A1:CV300,71,FALSE)=0,0,HLOOKUP("SIB",A1:CV300,71,FALSE)/HLOOKUP("Mins",A1:CV300,71,FALSE)* 90)</f>
        <v>6.4377682403433473E-2</v>
      </c>
      <c r="BD71" s="10820">
        <f>IF(HLOOKUP("Mins",A1:CV300,71,FALSE)=0,0,HLOOKUP("S6YD",A1:CV300,71,FALSE)/HLOOKUP("Mins",A1:CV300,71,FALSE)* 90)</f>
        <v>0</v>
      </c>
      <c r="BE71" s="10821">
        <f>IF(HLOOKUP("Mins",A1:CV300,71,FALSE)=0,0,HLOOKUP("Headers",A1:CV300,71,FALSE)/HLOOKUP("Mins",A1:CV300,71,FALSE)* 90)</f>
        <v>0</v>
      </c>
      <c r="BF71" s="10822">
        <f>IF(HLOOKUP("Mins",A1:CV300,71,FALSE)=0,0,HLOOKUP("SOT",A1:CV300,71,FALSE)/HLOOKUP("Mins",A1:CV300,71,FALSE)* 90)</f>
        <v>0</v>
      </c>
      <c r="BG71" s="10823">
        <f>IF(HLOOKUP("Mins",A1:CV300,71,FALSE)=0,0,HLOOKUP("As",A1:CV300,71,FALSE)/HLOOKUP("Mins",A1:CV300,71,FALSE)* 90)</f>
        <v>6.4377682403433473E-2</v>
      </c>
      <c r="BH71" s="10824">
        <f>IF(HLOOKUP("Mins",A1:CV300,71,FALSE)=0,0,HLOOKUP("FPL As",A1:CV300,71,FALSE)/HLOOKUP("Mins",A1:CV300,71,FALSE)* 90)</f>
        <v>6.4377682403433473E-2</v>
      </c>
      <c r="BI71" s="10825">
        <f>IF(HLOOKUP("Mins",A1:CV300,71,FALSE)=0,0,HLOOKUP("BC Created",A1:CV300,71,FALSE)/HLOOKUP("Mins",A1:CV300,71,FALSE)* 90)</f>
        <v>6.4377682403433473E-2</v>
      </c>
      <c r="BJ71" s="10826">
        <f>IF(HLOOKUP("Mins",A1:CV300,71,FALSE)=0,0,HLOOKUP("KP",A1:CV300,71,FALSE)/HLOOKUP("Mins",A1:CV300,71,FALSE)* 90)</f>
        <v>0.38626609442060084</v>
      </c>
      <c r="BK71" s="10827">
        <f>IF(HLOOKUP("Mins",A1:CV300,71,FALSE)=0,0,HLOOKUP("BC",A1:CV300,71,FALSE)/HLOOKUP("Mins",A1:CV300,71,FALSE)* 90)</f>
        <v>0</v>
      </c>
      <c r="BL71" s="10828">
        <f>IF(HLOOKUP("Mins",A1:CV300,71,FALSE)=0,0,HLOOKUP("BC Miss",A1:CV300,71,FALSE)/HLOOKUP("Mins",A1:CV300,71,FALSE)* 90)</f>
        <v>0</v>
      </c>
      <c r="BM71" s="10829">
        <f>IF(HLOOKUP("Mins",A1:CV300,71,FALSE)=0,0,HLOOKUP("Gs - BC",A1:CV300,71,FALSE)/HLOOKUP("Mins",A1:CV300,71,FALSE)* 90)</f>
        <v>0</v>
      </c>
      <c r="BN71" s="10830">
        <f>IF(HLOOKUP("Mins",A1:CV300,71,FALSE)=0,0,HLOOKUP("GIB",A1:CV300,71,FALSE)/HLOOKUP("Mins",A1:CV300,71,FALSE)* 90)</f>
        <v>0</v>
      </c>
      <c r="BO71" s="10831">
        <f>IF(HLOOKUP("Mins",A1:CV300,71,FALSE)=0,0,HLOOKUP("Gs - Open",A1:CV300,71,FALSE)/HLOOKUP("Mins",A1:CV300,71,FALSE)* 90)</f>
        <v>0</v>
      </c>
      <c r="BP71" s="10832">
        <f>IF(HLOOKUP("Mins",A1:CV300,71,FALSE)=0,0,HLOOKUP("ICT Index",A1:CV300,71,FALSE)/HLOOKUP("Mins",A1:CV300,71,FALSE)* 90)</f>
        <v>2.5171673819742493</v>
      </c>
      <c r="BQ71" s="10833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  <v>7.2746781115879833E-3</v>
      </c>
      <c r="BR71" s="10834">
        <f>0.0825*HLOOKUP("KP/90",A1:CV300,71,FALSE)</f>
        <v>3.1866952789699574E-2</v>
      </c>
      <c r="BS71" s="10835">
        <f>6*HLOOKUP("xG/90",A1:CV300,71,FALSE)+3*HLOOKUP("xA/90",A1:CV300,71,FALSE)</f>
        <v>0.13924892703862662</v>
      </c>
      <c r="BT71" s="10836">
        <f>HLOOKUP("xPts/90",A1:CV300,71,FALSE)-(6*0.75*(HLOOKUP("PK Gs",A1:CV300,71,FALSE)+HLOOKUP("PK Miss",A1:CV300,71,FALSE))*90/HLOOKUP("Mins",A1:CV300,71,FALSE))</f>
        <v>0.13924892703862662</v>
      </c>
      <c r="BU71" s="10837">
        <f>IF(HLOOKUP("Mins",A1:CV300,71,FALSE)=0,0,HLOOKUP("fsXG",A1:CV300,71,FALSE)/HLOOKUP("Mins",A1:CV300,71,FALSE)* 90)</f>
        <v>4.506437768240344E-3</v>
      </c>
      <c r="BV71" s="10838">
        <f>IF(HLOOKUP("Mins",A1:CV300,71,FALSE)=0,0,HLOOKUP("fsXA",A1:CV300,71,FALSE)/HLOOKUP("Mins",A1:CV300,71,FALSE)* 90)</f>
        <v>3.6695278969957078E-2</v>
      </c>
      <c r="BW71" s="10839">
        <f>6*HLOOKUP("fsXG/90",A1:CV300,71,FALSE)+3*HLOOKUP("fsXA/90",A1:CV300,71,FALSE)</f>
        <v>0.13712446351931329</v>
      </c>
      <c r="BX71" s="10840">
        <v>3.9224564097821712E-3</v>
      </c>
      <c r="BY71" s="10841">
        <v>5.3649656474590302E-2</v>
      </c>
      <c r="BZ71" s="10842">
        <f>6*HLOOKUP("uXG/90",A1:CV300,71,FALSE)+3*HLOOKUP("uXA/90",A1:CV300,71,FALSE)</f>
        <v>0.18448370788246393</v>
      </c>
    </row>
    <row r="72" spans="1:78" hidden="1" x14ac:dyDescent="0.3">
      <c r="A72" s="10843" t="s">
        <v>235</v>
      </c>
      <c r="B72" s="10844" t="s">
        <v>147</v>
      </c>
      <c r="C72" s="10845">
        <v>4.9000000953674316</v>
      </c>
      <c r="D72" s="10846">
        <v>762</v>
      </c>
      <c r="E72" s="10847">
        <v>9</v>
      </c>
      <c r="F72" s="10848">
        <v>17</v>
      </c>
      <c r="G72" s="10849">
        <v>0</v>
      </c>
      <c r="H72" s="10850">
        <v>0</v>
      </c>
      <c r="I72" s="10851">
        <v>144</v>
      </c>
      <c r="J72" s="10852">
        <f>HLOOKUP("BPS",A1:CV300,72,FALSE)-((-6*HLOOKUP("OG",A1:CV300,72,FALSE))+(-6*HLOOKUP("PK Miss",A1:CV300,72,FALSE))+(9*HLOOKUP("FPL As",A1:CV300,72,FALSE))+(12*HLOOKUP("CS",A1:CV300,72,FALSE))+(12*HLOOKUP("Gs",A1:CV300,72,FALSE)))</f>
        <v>120</v>
      </c>
      <c r="K72" s="10853">
        <v>0</v>
      </c>
      <c r="L72" s="10854">
        <v>2</v>
      </c>
      <c r="M72" s="10855">
        <v>4</v>
      </c>
      <c r="N72" s="10856">
        <v>4</v>
      </c>
      <c r="O72" s="10857">
        <v>3</v>
      </c>
      <c r="P72" s="10858">
        <f>IF(HLOOKUP("Shots",A1:CV300,72,FALSE)=0,0,HLOOKUP("SIB",A1:CV300,72,FALSE)/HLOOKUP("Shots",A1:CV300,72,FALSE))</f>
        <v>0.75</v>
      </c>
      <c r="Q72" s="10859">
        <v>0</v>
      </c>
      <c r="R72" s="10860">
        <f>IF(HLOOKUP("Shots",A1:CV300,72,FALSE)=0,0,HLOOKUP("S6YD",A1:CV300,72,FALSE)/HLOOKUP("Shots",A1:CV300,72,FALSE))</f>
        <v>0</v>
      </c>
      <c r="S72" s="10861">
        <v>3</v>
      </c>
      <c r="T72" s="10862">
        <f>IF(HLOOKUP("Shots",A1:CV300,72,FALSE)=0,0,HLOOKUP("Headers",A1:CV300,72,FALSE)/HLOOKUP("Shots",A1:CV300,72,FALSE))</f>
        <v>0.75</v>
      </c>
      <c r="U72" s="10863">
        <v>1</v>
      </c>
      <c r="V72" s="10864">
        <f>IF(HLOOKUP("Shots",A1:CV300,72,FALSE)=0,0,HLOOKUP("SOT",A1:CV300,72,FALSE)/HLOOKUP("Shots",A1:CV300,72,FALSE))</f>
        <v>0.25</v>
      </c>
      <c r="W72" s="10865">
        <f>IF(HLOOKUP("Shots",A1:CV300,72,FALSE)=0,0,HLOOKUP("Gs",A1:CV300,72,FALSE)/HLOOKUP("Shots",A1:CV300,72,FALSE))</f>
        <v>0</v>
      </c>
      <c r="X72" s="10866">
        <v>0</v>
      </c>
      <c r="Y72" s="10867">
        <v>0</v>
      </c>
      <c r="Z72" s="10868">
        <v>1</v>
      </c>
      <c r="AA72" s="10869">
        <f>IF(HLOOKUP("KP",A1:CV300,72,FALSE)=0,0,HLOOKUP("As",A1:CV300,72,FALSE)/HLOOKUP("KP",A1:CV300,72,FALSE))</f>
        <v>0</v>
      </c>
      <c r="AB72" s="10870">
        <v>21.9</v>
      </c>
      <c r="AC72" s="10871">
        <v>0</v>
      </c>
      <c r="AD72" s="10872">
        <v>1</v>
      </c>
      <c r="AE72" s="10873">
        <v>1</v>
      </c>
      <c r="AF72" s="10874">
        <v>1</v>
      </c>
      <c r="AG72" s="10875">
        <f>IF(HLOOKUP("BC",A1:CV300,72,FALSE)=0,0,HLOOKUP("Gs - BC",A1:CV300,72,FALSE)/HLOOKUP("BC",A1:CV300,72,FALSE))</f>
        <v>0</v>
      </c>
      <c r="AH72" s="10876">
        <f>HLOOKUP("BC",A1:CV300,72,FALSE) - HLOOKUP("BC Miss",A1:CV300,72,FALSE)</f>
        <v>0</v>
      </c>
      <c r="AI72" s="10877">
        <f>IF(HLOOKUP("Gs",A1:CV300,72,FALSE)=0,0,HLOOKUP("Gs - BC",A1:CV300,72,FALSE)/HLOOKUP("Gs",A1:CV300,72,FALSE))</f>
        <v>0</v>
      </c>
      <c r="AJ72" s="10878">
        <v>0</v>
      </c>
      <c r="AK72" s="10879">
        <v>0</v>
      </c>
      <c r="AL72" s="10880">
        <f>HLOOKUP("BC",A1:CV300,72,FALSE) - (HLOOKUP("PK Gs",A1:CV300,72,FALSE) + HLOOKUP("PK Miss",A1:CV300,72,FALSE))</f>
        <v>1</v>
      </c>
      <c r="AM72" s="10881">
        <f>HLOOKUP("BC Miss",A1:CV300,72,FALSE) - HLOOKUP("PK Miss",A1:CV300,72,FALSE)</f>
        <v>1</v>
      </c>
      <c r="AN72" s="10882">
        <f>IF(HLOOKUP("BC - Open",A1:CV300,72,FALSE)=0,0,HLOOKUP("BC - Open Miss",A1:CV300,72,FALSE)/HLOOKUP("BC - Open",A1:CV300,72,FALSE))</f>
        <v>1</v>
      </c>
      <c r="AO72" s="10883">
        <v>0</v>
      </c>
      <c r="AP72" s="10884">
        <f>IF(HLOOKUP("Gs",A1:CV300,72,FALSE)=0,0,HLOOKUP("GIB",A1:CV300,72,FALSE)/HLOOKUP("Gs",A1:CV300,72,FALSE))</f>
        <v>0</v>
      </c>
      <c r="AQ72" s="10885">
        <v>0</v>
      </c>
      <c r="AR72" s="10886">
        <f>IF(HLOOKUP("Gs",A1:CV300,72,FALSE)=0,0,HLOOKUP("Gs - Open",A1:CV300,72,FALSE)/HLOOKUP("Gs",A1:CV300,72,FALSE))</f>
        <v>0</v>
      </c>
      <c r="AS72" s="10887">
        <v>0.18</v>
      </c>
      <c r="AT72" s="10888">
        <v>0.17</v>
      </c>
      <c r="AU72" s="10889">
        <f>IF(HLOOKUP("Mins",A1:CV300,72,FALSE)=0,0,HLOOKUP("Pts",A1:CV300,72,FALSE)/HLOOKUP("Mins",A1:CV300,72,FALSE)* 90)</f>
        <v>2.0078740157480315</v>
      </c>
      <c r="AV72" s="10890">
        <f>IF(HLOOKUP("Apps",A1:CV300,72,FALSE)=0,0,HLOOKUP("Pts",A1:CV300,72,FALSE)/HLOOKUP("Apps",A1:CV300,72,FALSE)* 1)</f>
        <v>1.8888888888888888</v>
      </c>
      <c r="AW72" s="10891">
        <f>IF(HLOOKUP("Mins",A1:CV300,72,FALSE)=0,0,HLOOKUP("Gs",A1:CV300,72,FALSE)/HLOOKUP("Mins",A1:CV300,72,FALSE)* 90)</f>
        <v>0</v>
      </c>
      <c r="AX72" s="10892">
        <f>IF(HLOOKUP("Mins",A1:CV300,72,FALSE)=0,0,HLOOKUP("Bonus",A1:CV300,72,FALSE)/HLOOKUP("Mins",A1:CV300,72,FALSE)* 90)</f>
        <v>0</v>
      </c>
      <c r="AY72" s="10893">
        <f>IF(HLOOKUP("Mins",A1:CV300,72,FALSE)=0,0,HLOOKUP("BPS",A1:CV300,72,FALSE)/HLOOKUP("Mins",A1:CV300,72,FALSE)* 90)</f>
        <v>17.00787401574803</v>
      </c>
      <c r="AZ72" s="10894">
        <f>IF(HLOOKUP("Mins",A1:CV300,72,FALSE)=0,0,HLOOKUP("Base BPS",A1:CV300,72,FALSE)/HLOOKUP("Mins",A1:CV300,72,FALSE)* 90)</f>
        <v>14.173228346456693</v>
      </c>
      <c r="BA72" s="10895">
        <f>IF(HLOOKUP("Mins",A1:CV300,72,FALSE)=0,0,HLOOKUP("PenTchs",A1:CV300,72,FALSE)/HLOOKUP("Mins",A1:CV300,72,FALSE)* 90)</f>
        <v>0.47244094488188976</v>
      </c>
      <c r="BB72" s="10896">
        <f>IF(HLOOKUP("Mins",A1:CV300,72,FALSE)=0,0,HLOOKUP("Shots",A1:CV300,72,FALSE)/HLOOKUP("Mins",A1:CV300,72,FALSE)* 90)</f>
        <v>0.47244094488188976</v>
      </c>
      <c r="BC72" s="10897">
        <f>IF(HLOOKUP("Mins",A1:CV300,72,FALSE)=0,0,HLOOKUP("SIB",A1:CV300,72,FALSE)/HLOOKUP("Mins",A1:CV300,72,FALSE)* 90)</f>
        <v>0.3543307086614173</v>
      </c>
      <c r="BD72" s="10898">
        <f>IF(HLOOKUP("Mins",A1:CV300,72,FALSE)=0,0,HLOOKUP("S6YD",A1:CV300,72,FALSE)/HLOOKUP("Mins",A1:CV300,72,FALSE)* 90)</f>
        <v>0</v>
      </c>
      <c r="BE72" s="10899">
        <f>IF(HLOOKUP("Mins",A1:CV300,72,FALSE)=0,0,HLOOKUP("Headers",A1:CV300,72,FALSE)/HLOOKUP("Mins",A1:CV300,72,FALSE)* 90)</f>
        <v>0.3543307086614173</v>
      </c>
      <c r="BF72" s="10900">
        <f>IF(HLOOKUP("Mins",A1:CV300,72,FALSE)=0,0,HLOOKUP("SOT",A1:CV300,72,FALSE)/HLOOKUP("Mins",A1:CV300,72,FALSE)* 90)</f>
        <v>0.11811023622047244</v>
      </c>
      <c r="BG72" s="10901">
        <f>IF(HLOOKUP("Mins",A1:CV300,72,FALSE)=0,0,HLOOKUP("As",A1:CV300,72,FALSE)/HLOOKUP("Mins",A1:CV300,72,FALSE)* 90)</f>
        <v>0</v>
      </c>
      <c r="BH72" s="10902">
        <f>IF(HLOOKUP("Mins",A1:CV300,72,FALSE)=0,0,HLOOKUP("FPL As",A1:CV300,72,FALSE)/HLOOKUP("Mins",A1:CV300,72,FALSE)* 90)</f>
        <v>0</v>
      </c>
      <c r="BI72" s="10903">
        <f>IF(HLOOKUP("Mins",A1:CV300,72,FALSE)=0,0,HLOOKUP("BC Created",A1:CV300,72,FALSE)/HLOOKUP("Mins",A1:CV300,72,FALSE)* 90)</f>
        <v>0.11811023622047244</v>
      </c>
      <c r="BJ72" s="10904">
        <f>IF(HLOOKUP("Mins",A1:CV300,72,FALSE)=0,0,HLOOKUP("KP",A1:CV300,72,FALSE)/HLOOKUP("Mins",A1:CV300,72,FALSE)* 90)</f>
        <v>0.11811023622047244</v>
      </c>
      <c r="BK72" s="10905">
        <f>IF(HLOOKUP("Mins",A1:CV300,72,FALSE)=0,0,HLOOKUP("BC",A1:CV300,72,FALSE)/HLOOKUP("Mins",A1:CV300,72,FALSE)* 90)</f>
        <v>0.11811023622047244</v>
      </c>
      <c r="BL72" s="10906">
        <f>IF(HLOOKUP("Mins",A1:CV300,72,FALSE)=0,0,HLOOKUP("BC Miss",A1:CV300,72,FALSE)/HLOOKUP("Mins",A1:CV300,72,FALSE)* 90)</f>
        <v>0.11811023622047244</v>
      </c>
      <c r="BM72" s="10907">
        <f>IF(HLOOKUP("Mins",A1:CV300,72,FALSE)=0,0,HLOOKUP("Gs - BC",A1:CV300,72,FALSE)/HLOOKUP("Mins",A1:CV300,72,FALSE)* 90)</f>
        <v>0</v>
      </c>
      <c r="BN72" s="10908">
        <f>IF(HLOOKUP("Mins",A1:CV300,72,FALSE)=0,0,HLOOKUP("GIB",A1:CV300,72,FALSE)/HLOOKUP("Mins",A1:CV300,72,FALSE)* 90)</f>
        <v>0</v>
      </c>
      <c r="BO72" s="10909">
        <f>IF(HLOOKUP("Mins",A1:CV300,72,FALSE)=0,0,HLOOKUP("Gs - Open",A1:CV300,72,FALSE)/HLOOKUP("Mins",A1:CV300,72,FALSE)* 90)</f>
        <v>0</v>
      </c>
      <c r="BP72" s="10910">
        <f>IF(HLOOKUP("Mins",A1:CV300,72,FALSE)=0,0,HLOOKUP("ICT Index",A1:CV300,72,FALSE)/HLOOKUP("Mins",A1:CV300,72,FALSE)* 90)</f>
        <v>2.5866141732283463</v>
      </c>
      <c r="BQ72" s="10911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  <v>3.5314960629921267E-2</v>
      </c>
      <c r="BR72" s="10912">
        <f>0.0825*HLOOKUP("KP/90",A1:CV300,72,FALSE)</f>
        <v>9.7440944881889771E-3</v>
      </c>
      <c r="BS72" s="10913">
        <f>6*HLOOKUP("xG/90",A1:CV300,72,FALSE)+3*HLOOKUP("xA/90",A1:CV300,72,FALSE)</f>
        <v>0.24112204724409456</v>
      </c>
      <c r="BT72" s="10914">
        <f>HLOOKUP("xPts/90",A1:CV300,72,FALSE)-(6*0.75*(HLOOKUP("PK Gs",A1:CV300,72,FALSE)+HLOOKUP("PK Miss",A1:CV300,72,FALSE))*90/HLOOKUP("Mins",A1:CV300,72,FALSE))</f>
        <v>0.24112204724409456</v>
      </c>
      <c r="BU72" s="10915">
        <f>IF(HLOOKUP("Mins",A1:CV300,72,FALSE)=0,0,HLOOKUP("fsXG",A1:CV300,72,FALSE)/HLOOKUP("Mins",A1:CV300,72,FALSE)* 90)</f>
        <v>2.1259842519685039E-2</v>
      </c>
      <c r="BV72" s="10916">
        <f>IF(HLOOKUP("Mins",A1:CV300,72,FALSE)=0,0,HLOOKUP("fsXA",A1:CV300,72,FALSE)/HLOOKUP("Mins",A1:CV300,72,FALSE)* 90)</f>
        <v>2.0078740157480318E-2</v>
      </c>
      <c r="BW72" s="10917">
        <f>6*HLOOKUP("fsXG/90",A1:CV300,72,FALSE)+3*HLOOKUP("fsXA/90",A1:CV300,72,FALSE)</f>
        <v>0.18779527559055118</v>
      </c>
      <c r="BX72" s="10918">
        <v>4.034346342086792E-2</v>
      </c>
      <c r="BY72" s="10919">
        <v>3.7507656961679459E-2</v>
      </c>
      <c r="BZ72" s="10920">
        <f>6*HLOOKUP("uXG/90",A1:CV300,72,FALSE)+3*HLOOKUP("uXA/90",A1:CV300,72,FALSE)</f>
        <v>0.3545837514102459</v>
      </c>
    </row>
    <row r="73" spans="1:78" hidden="1" x14ac:dyDescent="0.3">
      <c r="A73" s="10921" t="s">
        <v>236</v>
      </c>
      <c r="B73" s="10922" t="s">
        <v>93</v>
      </c>
      <c r="C73" s="10923">
        <v>4.4000000953674316</v>
      </c>
      <c r="D73" s="10924">
        <v>1434</v>
      </c>
      <c r="E73" s="10925">
        <v>17</v>
      </c>
      <c r="F73" s="10926">
        <v>51</v>
      </c>
      <c r="G73" s="10927">
        <v>0</v>
      </c>
      <c r="H73" s="10928">
        <v>5</v>
      </c>
      <c r="I73" s="10929">
        <v>275</v>
      </c>
      <c r="J73" s="10930">
        <f>HLOOKUP("BPS",A1:CV300,73,FALSE)-((-6*HLOOKUP("OG",A1:CV300,73,FALSE))+(-6*HLOOKUP("PK Miss",A1:CV300,73,FALSE))+(9*HLOOKUP("FPL As",A1:CV300,73,FALSE))+(12*HLOOKUP("CS",A1:CV300,73,FALSE))+(12*HLOOKUP("Gs",A1:CV300,73,FALSE)))</f>
        <v>197</v>
      </c>
      <c r="K73" s="10931">
        <v>0</v>
      </c>
      <c r="L73" s="10932">
        <v>5</v>
      </c>
      <c r="M73" s="10933">
        <v>6</v>
      </c>
      <c r="N73" s="10934">
        <v>8</v>
      </c>
      <c r="O73" s="10935">
        <v>1</v>
      </c>
      <c r="P73" s="10936">
        <f>IF(HLOOKUP("Shots",A1:CV300,73,FALSE)=0,0,HLOOKUP("SIB",A1:CV300,73,FALSE)/HLOOKUP("Shots",A1:CV300,73,FALSE))</f>
        <v>0.125</v>
      </c>
      <c r="Q73" s="10937">
        <v>0</v>
      </c>
      <c r="R73" s="10938">
        <f>IF(HLOOKUP("Shots",A1:CV300,73,FALSE)=0,0,HLOOKUP("S6YD",A1:CV300,73,FALSE)/HLOOKUP("Shots",A1:CV300,73,FALSE))</f>
        <v>0</v>
      </c>
      <c r="S73" s="10939">
        <v>0</v>
      </c>
      <c r="T73" s="10940">
        <f>IF(HLOOKUP("Shots",A1:CV300,73,FALSE)=0,0,HLOOKUP("Headers",A1:CV300,73,FALSE)/HLOOKUP("Shots",A1:CV300,73,FALSE))</f>
        <v>0</v>
      </c>
      <c r="U73" s="10941">
        <v>3</v>
      </c>
      <c r="V73" s="10942">
        <f>IF(HLOOKUP("Shots",A1:CV300,73,FALSE)=0,0,HLOOKUP("SOT",A1:CV300,73,FALSE)/HLOOKUP("Shots",A1:CV300,73,FALSE))</f>
        <v>0.375</v>
      </c>
      <c r="W73" s="10943">
        <f>IF(HLOOKUP("Shots",A1:CV300,73,FALSE)=0,0,HLOOKUP("Gs",A1:CV300,73,FALSE)/HLOOKUP("Shots",A1:CV300,73,FALSE))</f>
        <v>0</v>
      </c>
      <c r="X73" s="10944">
        <v>2</v>
      </c>
      <c r="Y73" s="10945">
        <v>2</v>
      </c>
      <c r="Z73" s="10946">
        <v>22</v>
      </c>
      <c r="AA73" s="10947">
        <f>IF(HLOOKUP("KP",A1:CV300,73,FALSE)=0,0,HLOOKUP("As",A1:CV300,73,FALSE)/HLOOKUP("KP",A1:CV300,73,FALSE))</f>
        <v>9.0909090909090912E-2</v>
      </c>
      <c r="AB73" s="10948">
        <v>78.400000000000006</v>
      </c>
      <c r="AC73" s="10949">
        <v>13</v>
      </c>
      <c r="AD73" s="10950">
        <v>4</v>
      </c>
      <c r="AE73" s="10951">
        <v>0</v>
      </c>
      <c r="AF73" s="10952">
        <v>0</v>
      </c>
      <c r="AG73" s="10953">
        <f>IF(HLOOKUP("BC",A1:CV300,73,FALSE)=0,0,HLOOKUP("Gs - BC",A1:CV300,73,FALSE)/HLOOKUP("BC",A1:CV300,73,FALSE))</f>
        <v>0</v>
      </c>
      <c r="AH73" s="10954">
        <f>HLOOKUP("BC",A1:CV300,73,FALSE) - HLOOKUP("BC Miss",A1:CV300,73,FALSE)</f>
        <v>0</v>
      </c>
      <c r="AI73" s="10955">
        <f>IF(HLOOKUP("Gs",A1:CV300,73,FALSE)=0,0,HLOOKUP("Gs - BC",A1:CV300,73,FALSE)/HLOOKUP("Gs",A1:CV300,73,FALSE))</f>
        <v>0</v>
      </c>
      <c r="AJ73" s="10956">
        <v>0</v>
      </c>
      <c r="AK73" s="10957">
        <v>0</v>
      </c>
      <c r="AL73" s="10958">
        <f>HLOOKUP("BC",A1:CV300,73,FALSE) - (HLOOKUP("PK Gs",A1:CV300,73,FALSE) + HLOOKUP("PK Miss",A1:CV300,73,FALSE))</f>
        <v>0</v>
      </c>
      <c r="AM73" s="10959">
        <f>HLOOKUP("BC Miss",A1:CV300,73,FALSE) - HLOOKUP("PK Miss",A1:CV300,73,FALSE)</f>
        <v>0</v>
      </c>
      <c r="AN73" s="10960">
        <f>IF(HLOOKUP("BC - Open",A1:CV300,73,FALSE)=0,0,HLOOKUP("BC - Open Miss",A1:CV300,73,FALSE)/HLOOKUP("BC - Open",A1:CV300,73,FALSE))</f>
        <v>0</v>
      </c>
      <c r="AO73" s="10961">
        <v>0</v>
      </c>
      <c r="AP73" s="10962">
        <f>IF(HLOOKUP("Gs",A1:CV300,73,FALSE)=0,0,HLOOKUP("GIB",A1:CV300,73,FALSE)/HLOOKUP("Gs",A1:CV300,73,FALSE))</f>
        <v>0</v>
      </c>
      <c r="AQ73" s="10963">
        <v>0</v>
      </c>
      <c r="AR73" s="10964">
        <f>IF(HLOOKUP("Gs",A1:CV300,73,FALSE)=0,0,HLOOKUP("Gs - Open",A1:CV300,73,FALSE)/HLOOKUP("Gs",A1:CV300,73,FALSE))</f>
        <v>0</v>
      </c>
      <c r="AS73" s="10965">
        <v>0.24</v>
      </c>
      <c r="AT73" s="10966">
        <v>1.86</v>
      </c>
      <c r="AU73" s="10967">
        <f>IF(HLOOKUP("Mins",A1:CV300,73,FALSE)=0,0,HLOOKUP("Pts",A1:CV300,73,FALSE)/HLOOKUP("Mins",A1:CV300,73,FALSE)* 90)</f>
        <v>3.2008368200836821</v>
      </c>
      <c r="AV73" s="10968">
        <f>IF(HLOOKUP("Apps",A1:CV300,73,FALSE)=0,0,HLOOKUP("Pts",A1:CV300,73,FALSE)/HLOOKUP("Apps",A1:CV300,73,FALSE)* 1)</f>
        <v>3</v>
      </c>
      <c r="AW73" s="10969">
        <f>IF(HLOOKUP("Mins",A1:CV300,73,FALSE)=0,0,HLOOKUP("Gs",A1:CV300,73,FALSE)/HLOOKUP("Mins",A1:CV300,73,FALSE)* 90)</f>
        <v>0</v>
      </c>
      <c r="AX73" s="10970">
        <f>IF(HLOOKUP("Mins",A1:CV300,73,FALSE)=0,0,HLOOKUP("Bonus",A1:CV300,73,FALSE)/HLOOKUP("Mins",A1:CV300,73,FALSE)* 90)</f>
        <v>0.31380753138075312</v>
      </c>
      <c r="AY73" s="10971">
        <f>IF(HLOOKUP("Mins",A1:CV300,73,FALSE)=0,0,HLOOKUP("BPS",A1:CV300,73,FALSE)/HLOOKUP("Mins",A1:CV300,73,FALSE)* 90)</f>
        <v>17.259414225941423</v>
      </c>
      <c r="AZ73" s="10972">
        <f>IF(HLOOKUP("Mins",A1:CV300,73,FALSE)=0,0,HLOOKUP("Base BPS",A1:CV300,73,FALSE)/HLOOKUP("Mins",A1:CV300,73,FALSE)* 90)</f>
        <v>12.364016736401673</v>
      </c>
      <c r="BA73" s="10973">
        <f>IF(HLOOKUP("Mins",A1:CV300,73,FALSE)=0,0,HLOOKUP("PenTchs",A1:CV300,73,FALSE)/HLOOKUP("Mins",A1:CV300,73,FALSE)* 90)</f>
        <v>0.37656903765690375</v>
      </c>
      <c r="BB73" s="10974">
        <f>IF(HLOOKUP("Mins",A1:CV300,73,FALSE)=0,0,HLOOKUP("Shots",A1:CV300,73,FALSE)/HLOOKUP("Mins",A1:CV300,73,FALSE)* 90)</f>
        <v>0.502092050209205</v>
      </c>
      <c r="BC73" s="10975">
        <f>IF(HLOOKUP("Mins",A1:CV300,73,FALSE)=0,0,HLOOKUP("SIB",A1:CV300,73,FALSE)/HLOOKUP("Mins",A1:CV300,73,FALSE)* 90)</f>
        <v>6.2761506276150625E-2</v>
      </c>
      <c r="BD73" s="10976">
        <f>IF(HLOOKUP("Mins",A1:CV300,73,FALSE)=0,0,HLOOKUP("S6YD",A1:CV300,73,FALSE)/HLOOKUP("Mins",A1:CV300,73,FALSE)* 90)</f>
        <v>0</v>
      </c>
      <c r="BE73" s="10977">
        <f>IF(HLOOKUP("Mins",A1:CV300,73,FALSE)=0,0,HLOOKUP("Headers",A1:CV300,73,FALSE)/HLOOKUP("Mins",A1:CV300,73,FALSE)* 90)</f>
        <v>0</v>
      </c>
      <c r="BF73" s="10978">
        <f>IF(HLOOKUP("Mins",A1:CV300,73,FALSE)=0,0,HLOOKUP("SOT",A1:CV300,73,FALSE)/HLOOKUP("Mins",A1:CV300,73,FALSE)* 90)</f>
        <v>0.18828451882845187</v>
      </c>
      <c r="BG73" s="10979">
        <f>IF(HLOOKUP("Mins",A1:CV300,73,FALSE)=0,0,HLOOKUP("As",A1:CV300,73,FALSE)/HLOOKUP("Mins",A1:CV300,73,FALSE)* 90)</f>
        <v>0.12552301255230125</v>
      </c>
      <c r="BH73" s="10980">
        <f>IF(HLOOKUP("Mins",A1:CV300,73,FALSE)=0,0,HLOOKUP("FPL As",A1:CV300,73,FALSE)/HLOOKUP("Mins",A1:CV300,73,FALSE)* 90)</f>
        <v>0.12552301255230125</v>
      </c>
      <c r="BI73" s="10981">
        <f>IF(HLOOKUP("Mins",A1:CV300,73,FALSE)=0,0,HLOOKUP("BC Created",A1:CV300,73,FALSE)/HLOOKUP("Mins",A1:CV300,73,FALSE)* 90)</f>
        <v>0.2510460251046025</v>
      </c>
      <c r="BJ73" s="10982">
        <f>IF(HLOOKUP("Mins",A1:CV300,73,FALSE)=0,0,HLOOKUP("KP",A1:CV300,73,FALSE)/HLOOKUP("Mins",A1:CV300,73,FALSE)* 90)</f>
        <v>1.3807531380753137</v>
      </c>
      <c r="BK73" s="10983">
        <f>IF(HLOOKUP("Mins",A1:CV300,73,FALSE)=0,0,HLOOKUP("BC",A1:CV300,73,FALSE)/HLOOKUP("Mins",A1:CV300,73,FALSE)* 90)</f>
        <v>0</v>
      </c>
      <c r="BL73" s="10984">
        <f>IF(HLOOKUP("Mins",A1:CV300,73,FALSE)=0,0,HLOOKUP("BC Miss",A1:CV300,73,FALSE)/HLOOKUP("Mins",A1:CV300,73,FALSE)* 90)</f>
        <v>0</v>
      </c>
      <c r="BM73" s="10985">
        <f>IF(HLOOKUP("Mins",A1:CV300,73,FALSE)=0,0,HLOOKUP("Gs - BC",A1:CV300,73,FALSE)/HLOOKUP("Mins",A1:CV300,73,FALSE)* 90)</f>
        <v>0</v>
      </c>
      <c r="BN73" s="10986">
        <f>IF(HLOOKUP("Mins",A1:CV300,73,FALSE)=0,0,HLOOKUP("GIB",A1:CV300,73,FALSE)/HLOOKUP("Mins",A1:CV300,73,FALSE)* 90)</f>
        <v>0</v>
      </c>
      <c r="BO73" s="10987">
        <f>IF(HLOOKUP("Mins",A1:CV300,73,FALSE)=0,0,HLOOKUP("Gs - Open",A1:CV300,73,FALSE)/HLOOKUP("Mins",A1:CV300,73,FALSE)* 90)</f>
        <v>0</v>
      </c>
      <c r="BP73" s="10988">
        <f>IF(HLOOKUP("Mins",A1:CV300,73,FALSE)=0,0,HLOOKUP("ICT Index",A1:CV300,73,FALSE)/HLOOKUP("Mins",A1:CV300,73,FALSE)* 90)</f>
        <v>4.9205020920502101</v>
      </c>
      <c r="BQ73" s="10989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  <v>1.4623430962343096E-2</v>
      </c>
      <c r="BR73" s="10990">
        <f>0.0825*HLOOKUP("KP/90",A1:CV300,73,FALSE)</f>
        <v>0.11391213389121339</v>
      </c>
      <c r="BS73" s="10991">
        <f>6*HLOOKUP("xG/90",A1:CV300,73,FALSE)+3*HLOOKUP("xA/90",A1:CV300,73,FALSE)</f>
        <v>0.42947698744769874</v>
      </c>
      <c r="BT73" s="10992">
        <f>HLOOKUP("xPts/90",A1:CV300,73,FALSE)-(6*0.75*(HLOOKUP("PK Gs",A1:CV300,73,FALSE)+HLOOKUP("PK Miss",A1:CV300,73,FALSE))*90/HLOOKUP("Mins",A1:CV300,73,FALSE))</f>
        <v>0.42947698744769874</v>
      </c>
      <c r="BU73" s="10993">
        <f>IF(HLOOKUP("Mins",A1:CV300,73,FALSE)=0,0,HLOOKUP("fsXG",A1:CV300,73,FALSE)/HLOOKUP("Mins",A1:CV300,73,FALSE)* 90)</f>
        <v>1.5062761506276149E-2</v>
      </c>
      <c r="BV73" s="10994">
        <f>IF(HLOOKUP("Mins",A1:CV300,73,FALSE)=0,0,HLOOKUP("fsXA",A1:CV300,73,FALSE)/HLOOKUP("Mins",A1:CV300,73,FALSE)* 90)</f>
        <v>0.11673640167364017</v>
      </c>
      <c r="BW73" s="10995">
        <f>6*HLOOKUP("fsXG/90",A1:CV300,73,FALSE)+3*HLOOKUP("fsXA/90",A1:CV300,73,FALSE)</f>
        <v>0.44058577405857741</v>
      </c>
      <c r="BX73" s="10996">
        <v>1.1398415081202984E-2</v>
      </c>
      <c r="BY73" s="10997">
        <v>0.1198003739118576</v>
      </c>
      <c r="BZ73" s="10998">
        <f>6*HLOOKUP("uXG/90",A1:CV300,73,FALSE)+3*HLOOKUP("uXA/90",A1:CV300,73,FALSE)</f>
        <v>0.42779161222279072</v>
      </c>
    </row>
    <row r="74" spans="1:78" hidden="1" x14ac:dyDescent="0.3">
      <c r="A74" s="10999" t="s">
        <v>237</v>
      </c>
      <c r="B74" s="11000" t="s">
        <v>79</v>
      </c>
      <c r="C74" s="11001">
        <v>4.5999999046325684</v>
      </c>
      <c r="D74" s="11002">
        <v>1121</v>
      </c>
      <c r="E74" s="11003">
        <v>13</v>
      </c>
      <c r="F74" s="11004">
        <v>34</v>
      </c>
      <c r="G74" s="11005">
        <v>0</v>
      </c>
      <c r="H74" s="11006">
        <v>3</v>
      </c>
      <c r="I74" s="11007">
        <v>206</v>
      </c>
      <c r="J74" s="11008">
        <f>HLOOKUP("BPS",A1:CV300,74,FALSE)-((-6*HLOOKUP("OG",A1:CV300,74,FALSE))+(-6*HLOOKUP("PK Miss",A1:CV300,74,FALSE))+(9*HLOOKUP("FPL As",A1:CV300,74,FALSE))+(12*HLOOKUP("CS",A1:CV300,74,FALSE))+(12*HLOOKUP("Gs",A1:CV300,74,FALSE)))</f>
        <v>152</v>
      </c>
      <c r="K74" s="11009">
        <v>0</v>
      </c>
      <c r="L74" s="11010">
        <v>3</v>
      </c>
      <c r="M74" s="11011">
        <v>13</v>
      </c>
      <c r="N74" s="11012">
        <v>3</v>
      </c>
      <c r="O74" s="11013">
        <v>1</v>
      </c>
      <c r="P74" s="11014">
        <f>IF(HLOOKUP("Shots",A1:CV300,74,FALSE)=0,0,HLOOKUP("SIB",A1:CV300,74,FALSE)/HLOOKUP("Shots",A1:CV300,74,FALSE))</f>
        <v>0.33333333333333331</v>
      </c>
      <c r="Q74" s="11015">
        <v>0</v>
      </c>
      <c r="R74" s="11016">
        <f>IF(HLOOKUP("Shots",A1:CV300,74,FALSE)=0,0,HLOOKUP("S6YD",A1:CV300,74,FALSE)/HLOOKUP("Shots",A1:CV300,74,FALSE))</f>
        <v>0</v>
      </c>
      <c r="S74" s="11017">
        <v>0</v>
      </c>
      <c r="T74" s="11018">
        <f>IF(HLOOKUP("Shots",A1:CV300,74,FALSE)=0,0,HLOOKUP("Headers",A1:CV300,74,FALSE)/HLOOKUP("Shots",A1:CV300,74,FALSE))</f>
        <v>0</v>
      </c>
      <c r="U74" s="11019">
        <v>0</v>
      </c>
      <c r="V74" s="11020">
        <f>IF(HLOOKUP("Shots",A1:CV300,74,FALSE)=0,0,HLOOKUP("SOT",A1:CV300,74,FALSE)/HLOOKUP("Shots",A1:CV300,74,FALSE))</f>
        <v>0</v>
      </c>
      <c r="W74" s="11021">
        <f>IF(HLOOKUP("Shots",A1:CV300,74,FALSE)=0,0,HLOOKUP("Gs",A1:CV300,74,FALSE)/HLOOKUP("Shots",A1:CV300,74,FALSE))</f>
        <v>0</v>
      </c>
      <c r="X74" s="11022">
        <v>2</v>
      </c>
      <c r="Y74" s="11023">
        <v>2</v>
      </c>
      <c r="Z74" s="11024">
        <v>9</v>
      </c>
      <c r="AA74" s="11025">
        <f>IF(HLOOKUP("KP",A1:CV300,74,FALSE)=0,0,HLOOKUP("As",A1:CV300,74,FALSE)/HLOOKUP("KP",A1:CV300,74,FALSE))</f>
        <v>0.22222222222222221</v>
      </c>
      <c r="AB74" s="11026">
        <v>42.7</v>
      </c>
      <c r="AC74" s="11027">
        <v>12</v>
      </c>
      <c r="AD74" s="11028">
        <v>2</v>
      </c>
      <c r="AE74" s="11029">
        <v>1</v>
      </c>
      <c r="AF74" s="11030">
        <v>1</v>
      </c>
      <c r="AG74" s="11031">
        <f>IF(HLOOKUP("BC",A1:CV300,74,FALSE)=0,0,HLOOKUP("Gs - BC",A1:CV300,74,FALSE)/HLOOKUP("BC",A1:CV300,74,FALSE))</f>
        <v>0</v>
      </c>
      <c r="AH74" s="11032">
        <f>HLOOKUP("BC",A1:CV300,74,FALSE) - HLOOKUP("BC Miss",A1:CV300,74,FALSE)</f>
        <v>0</v>
      </c>
      <c r="AI74" s="11033">
        <f>IF(HLOOKUP("Gs",A1:CV300,74,FALSE)=0,0,HLOOKUP("Gs - BC",A1:CV300,74,FALSE)/HLOOKUP("Gs",A1:CV300,74,FALSE))</f>
        <v>0</v>
      </c>
      <c r="AJ74" s="11034">
        <v>0</v>
      </c>
      <c r="AK74" s="11035">
        <v>0</v>
      </c>
      <c r="AL74" s="11036">
        <f>HLOOKUP("BC",A1:CV300,74,FALSE) - (HLOOKUP("PK Gs",A1:CV300,74,FALSE) + HLOOKUP("PK Miss",A1:CV300,74,FALSE))</f>
        <v>1</v>
      </c>
      <c r="AM74" s="11037">
        <f>HLOOKUP("BC Miss",A1:CV300,74,FALSE) - HLOOKUP("PK Miss",A1:CV300,74,FALSE)</f>
        <v>1</v>
      </c>
      <c r="AN74" s="11038">
        <f>IF(HLOOKUP("BC - Open",A1:CV300,74,FALSE)=0,0,HLOOKUP("BC - Open Miss",A1:CV300,74,FALSE)/HLOOKUP("BC - Open",A1:CV300,74,FALSE))</f>
        <v>1</v>
      </c>
      <c r="AO74" s="11039">
        <v>0</v>
      </c>
      <c r="AP74" s="11040">
        <f>IF(HLOOKUP("Gs",A1:CV300,74,FALSE)=0,0,HLOOKUP("GIB",A1:CV300,74,FALSE)/HLOOKUP("Gs",A1:CV300,74,FALSE))</f>
        <v>0</v>
      </c>
      <c r="AQ74" s="11041">
        <v>0</v>
      </c>
      <c r="AR74" s="11042">
        <f>IF(HLOOKUP("Gs",A1:CV300,74,FALSE)=0,0,HLOOKUP("Gs - Open",A1:CV300,74,FALSE)/HLOOKUP("Gs",A1:CV300,74,FALSE))</f>
        <v>0</v>
      </c>
      <c r="AS74" s="11043">
        <v>0.38</v>
      </c>
      <c r="AT74" s="11044">
        <v>1.32</v>
      </c>
      <c r="AU74" s="11045">
        <f>IF(HLOOKUP("Mins",A1:CV300,74,FALSE)=0,0,HLOOKUP("Pts",A1:CV300,74,FALSE)/HLOOKUP("Mins",A1:CV300,74,FALSE)* 90)</f>
        <v>2.7297056199821585</v>
      </c>
      <c r="AV74" s="11046">
        <f>IF(HLOOKUP("Apps",A1:CV300,74,FALSE)=0,0,HLOOKUP("Pts",A1:CV300,74,FALSE)/HLOOKUP("Apps",A1:CV300,74,FALSE)* 1)</f>
        <v>2.6153846153846154</v>
      </c>
      <c r="AW74" s="11047">
        <f>IF(HLOOKUP("Mins",A1:CV300,74,FALSE)=0,0,HLOOKUP("Gs",A1:CV300,74,FALSE)/HLOOKUP("Mins",A1:CV300,74,FALSE)* 90)</f>
        <v>0</v>
      </c>
      <c r="AX74" s="11048">
        <f>IF(HLOOKUP("Mins",A1:CV300,74,FALSE)=0,0,HLOOKUP("Bonus",A1:CV300,74,FALSE)/HLOOKUP("Mins",A1:CV300,74,FALSE)* 90)</f>
        <v>0.24085637823371989</v>
      </c>
      <c r="AY74" s="11049">
        <f>IF(HLOOKUP("Mins",A1:CV300,74,FALSE)=0,0,HLOOKUP("BPS",A1:CV300,74,FALSE)/HLOOKUP("Mins",A1:CV300,74,FALSE)* 90)</f>
        <v>16.538804638715433</v>
      </c>
      <c r="AZ74" s="11050">
        <f>IF(HLOOKUP("Mins",A1:CV300,74,FALSE)=0,0,HLOOKUP("Base BPS",A1:CV300,74,FALSE)/HLOOKUP("Mins",A1:CV300,74,FALSE)* 90)</f>
        <v>12.203389830508474</v>
      </c>
      <c r="BA74" s="11051">
        <f>IF(HLOOKUP("Mins",A1:CV300,74,FALSE)=0,0,HLOOKUP("PenTchs",A1:CV300,74,FALSE)/HLOOKUP("Mins",A1:CV300,74,FALSE)* 90)</f>
        <v>1.0437109723461195</v>
      </c>
      <c r="BB74" s="11052">
        <f>IF(HLOOKUP("Mins",A1:CV300,74,FALSE)=0,0,HLOOKUP("Shots",A1:CV300,74,FALSE)/HLOOKUP("Mins",A1:CV300,74,FALSE)* 90)</f>
        <v>0.24085637823371989</v>
      </c>
      <c r="BC74" s="11053">
        <f>IF(HLOOKUP("Mins",A1:CV300,74,FALSE)=0,0,HLOOKUP("SIB",A1:CV300,74,FALSE)/HLOOKUP("Mins",A1:CV300,74,FALSE)* 90)</f>
        <v>8.0285459411239962E-2</v>
      </c>
      <c r="BD74" s="11054">
        <f>IF(HLOOKUP("Mins",A1:CV300,74,FALSE)=0,0,HLOOKUP("S6YD",A1:CV300,74,FALSE)/HLOOKUP("Mins",A1:CV300,74,FALSE)* 90)</f>
        <v>0</v>
      </c>
      <c r="BE74" s="11055">
        <f>IF(HLOOKUP("Mins",A1:CV300,74,FALSE)=0,0,HLOOKUP("Headers",A1:CV300,74,FALSE)/HLOOKUP("Mins",A1:CV300,74,FALSE)* 90)</f>
        <v>0</v>
      </c>
      <c r="BF74" s="11056">
        <f>IF(HLOOKUP("Mins",A1:CV300,74,FALSE)=0,0,HLOOKUP("SOT",A1:CV300,74,FALSE)/HLOOKUP("Mins",A1:CV300,74,FALSE)* 90)</f>
        <v>0</v>
      </c>
      <c r="BG74" s="11057">
        <f>IF(HLOOKUP("Mins",A1:CV300,74,FALSE)=0,0,HLOOKUP("As",A1:CV300,74,FALSE)/HLOOKUP("Mins",A1:CV300,74,FALSE)* 90)</f>
        <v>0.16057091882247992</v>
      </c>
      <c r="BH74" s="11058">
        <f>IF(HLOOKUP("Mins",A1:CV300,74,FALSE)=0,0,HLOOKUP("FPL As",A1:CV300,74,FALSE)/HLOOKUP("Mins",A1:CV300,74,FALSE)* 90)</f>
        <v>0.16057091882247992</v>
      </c>
      <c r="BI74" s="11059">
        <f>IF(HLOOKUP("Mins",A1:CV300,74,FALSE)=0,0,HLOOKUP("BC Created",A1:CV300,74,FALSE)/HLOOKUP("Mins",A1:CV300,74,FALSE)* 90)</f>
        <v>0.16057091882247992</v>
      </c>
      <c r="BJ74" s="11060">
        <f>IF(HLOOKUP("Mins",A1:CV300,74,FALSE)=0,0,HLOOKUP("KP",A1:CV300,74,FALSE)/HLOOKUP("Mins",A1:CV300,74,FALSE)* 90)</f>
        <v>0.72256913470115969</v>
      </c>
      <c r="BK74" s="11061">
        <f>IF(HLOOKUP("Mins",A1:CV300,74,FALSE)=0,0,HLOOKUP("BC",A1:CV300,74,FALSE)/HLOOKUP("Mins",A1:CV300,74,FALSE)* 90)</f>
        <v>8.0285459411239962E-2</v>
      </c>
      <c r="BL74" s="11062">
        <f>IF(HLOOKUP("Mins",A1:CV300,74,FALSE)=0,0,HLOOKUP("BC Miss",A1:CV300,74,FALSE)/HLOOKUP("Mins",A1:CV300,74,FALSE)* 90)</f>
        <v>8.0285459411239962E-2</v>
      </c>
      <c r="BM74" s="11063">
        <f>IF(HLOOKUP("Mins",A1:CV300,74,FALSE)=0,0,HLOOKUP("Gs - BC",A1:CV300,74,FALSE)/HLOOKUP("Mins",A1:CV300,74,FALSE)* 90)</f>
        <v>0</v>
      </c>
      <c r="BN74" s="11064">
        <f>IF(HLOOKUP("Mins",A1:CV300,74,FALSE)=0,0,HLOOKUP("GIB",A1:CV300,74,FALSE)/HLOOKUP("Mins",A1:CV300,74,FALSE)* 90)</f>
        <v>0</v>
      </c>
      <c r="BO74" s="11065">
        <f>IF(HLOOKUP("Mins",A1:CV300,74,FALSE)=0,0,HLOOKUP("Gs - Open",A1:CV300,74,FALSE)/HLOOKUP("Mins",A1:CV300,74,FALSE)* 90)</f>
        <v>0</v>
      </c>
      <c r="BP74" s="11066">
        <f>IF(HLOOKUP("Mins",A1:CV300,74,FALSE)=0,0,HLOOKUP("ICT Index",A1:CV300,74,FALSE)/HLOOKUP("Mins",A1:CV300,74,FALSE)* 90)</f>
        <v>3.4281891168599463</v>
      </c>
      <c r="BQ74" s="11067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  <v>1.0677966101694915E-2</v>
      </c>
      <c r="BR74" s="11068">
        <f>0.0825*HLOOKUP("KP/90",A1:CV300,74,FALSE)</f>
        <v>5.9611953612845679E-2</v>
      </c>
      <c r="BS74" s="11069">
        <f>6*HLOOKUP("xG/90",A1:CV300,74,FALSE)+3*HLOOKUP("xA/90",A1:CV300,74,FALSE)</f>
        <v>0.24290365744870651</v>
      </c>
      <c r="BT74" s="11070">
        <f>HLOOKUP("xPts/90",A1:CV300,74,FALSE)-(6*0.75*(HLOOKUP("PK Gs",A1:CV300,74,FALSE)+HLOOKUP("PK Miss",A1:CV300,74,FALSE))*90/HLOOKUP("Mins",A1:CV300,74,FALSE))</f>
        <v>0.24290365744870651</v>
      </c>
      <c r="BU74" s="11071">
        <f>IF(HLOOKUP("Mins",A1:CV300,74,FALSE)=0,0,HLOOKUP("fsXG",A1:CV300,74,FALSE)/HLOOKUP("Mins",A1:CV300,74,FALSE)* 90)</f>
        <v>3.0508474576271188E-2</v>
      </c>
      <c r="BV74" s="11072">
        <f>IF(HLOOKUP("Mins",A1:CV300,74,FALSE)=0,0,HLOOKUP("fsXA",A1:CV300,74,FALSE)/HLOOKUP("Mins",A1:CV300,74,FALSE)* 90)</f>
        <v>0.10597680642283676</v>
      </c>
      <c r="BW74" s="11073">
        <f>6*HLOOKUP("fsXG/90",A1:CV300,74,FALSE)+3*HLOOKUP("fsXA/90",A1:CV300,74,FALSE)</f>
        <v>0.50098126672613741</v>
      </c>
      <c r="BX74" s="11074">
        <v>3.2757125794887543E-2</v>
      </c>
      <c r="BY74" s="11075">
        <v>0.11663131415843964</v>
      </c>
      <c r="BZ74" s="11076">
        <f>6*HLOOKUP("uXG/90",A1:CV300,74,FALSE)+3*HLOOKUP("uXA/90",A1:CV300,74,FALSE)</f>
        <v>0.54643669724464417</v>
      </c>
    </row>
    <row r="75" spans="1:78" hidden="1" x14ac:dyDescent="0.3">
      <c r="A75" s="11077" t="s">
        <v>238</v>
      </c>
      <c r="B75" s="11078" t="s">
        <v>81</v>
      </c>
      <c r="C75" s="11079">
        <v>4.0999999046325684</v>
      </c>
      <c r="D75" s="11080">
        <v>152</v>
      </c>
      <c r="E75" s="11081">
        <v>6</v>
      </c>
      <c r="F75" s="11082">
        <v>7</v>
      </c>
      <c r="G75" s="11083">
        <v>0</v>
      </c>
      <c r="H75" s="11084">
        <v>0</v>
      </c>
      <c r="I75" s="11085">
        <v>29</v>
      </c>
      <c r="J75" s="11086">
        <f>HLOOKUP("BPS",A1:CV300,75,FALSE)-((-6*HLOOKUP("OG",A1:CV300,75,FALSE))+(-6*HLOOKUP("PK Miss",A1:CV300,75,FALSE))+(9*HLOOKUP("FPL As",A1:CV300,75,FALSE))+(12*HLOOKUP("CS",A1:CV300,75,FALSE))+(12*HLOOKUP("Gs",A1:CV300,75,FALSE)))</f>
        <v>29</v>
      </c>
      <c r="K75" s="11087">
        <v>0</v>
      </c>
      <c r="L75" s="11088">
        <v>0</v>
      </c>
      <c r="M75" s="11089">
        <v>3</v>
      </c>
      <c r="N75" s="11090">
        <v>2</v>
      </c>
      <c r="O75" s="11091">
        <v>2</v>
      </c>
      <c r="P75" s="11092">
        <f>IF(HLOOKUP("Shots",A1:CV300,75,FALSE)=0,0,HLOOKUP("SIB",A1:CV300,75,FALSE)/HLOOKUP("Shots",A1:CV300,75,FALSE))</f>
        <v>1</v>
      </c>
      <c r="Q75" s="11093">
        <v>0</v>
      </c>
      <c r="R75" s="11094">
        <f>IF(HLOOKUP("Shots",A1:CV300,75,FALSE)=0,0,HLOOKUP("S6YD",A1:CV300,75,FALSE)/HLOOKUP("Shots",A1:CV300,75,FALSE))</f>
        <v>0</v>
      </c>
      <c r="S75" s="11095">
        <v>0</v>
      </c>
      <c r="T75" s="11096">
        <f>IF(HLOOKUP("Shots",A1:CV300,75,FALSE)=0,0,HLOOKUP("Headers",A1:CV300,75,FALSE)/HLOOKUP("Shots",A1:CV300,75,FALSE))</f>
        <v>0</v>
      </c>
      <c r="U75" s="11097">
        <v>2</v>
      </c>
      <c r="V75" s="11098">
        <f>IF(HLOOKUP("Shots",A1:CV300,75,FALSE)=0,0,HLOOKUP("SOT",A1:CV300,75,FALSE)/HLOOKUP("Shots",A1:CV300,75,FALSE))</f>
        <v>1</v>
      </c>
      <c r="W75" s="11099">
        <f>IF(HLOOKUP("Shots",A1:CV300,75,FALSE)=0,0,HLOOKUP("Gs",A1:CV300,75,FALSE)/HLOOKUP("Shots",A1:CV300,75,FALSE))</f>
        <v>0</v>
      </c>
      <c r="X75" s="11100">
        <v>0</v>
      </c>
      <c r="Y75" s="11101">
        <v>0</v>
      </c>
      <c r="Z75" s="11102">
        <v>0</v>
      </c>
      <c r="AA75" s="11103">
        <f>IF(HLOOKUP("KP",A1:CV300,75,FALSE)=0,0,HLOOKUP("As",A1:CV300,75,FALSE)/HLOOKUP("KP",A1:CV300,75,FALSE))</f>
        <v>0</v>
      </c>
      <c r="AB75" s="11104">
        <v>8.1</v>
      </c>
      <c r="AC75" s="11105">
        <v>0</v>
      </c>
      <c r="AD75" s="11106">
        <v>0</v>
      </c>
      <c r="AE75" s="11107">
        <v>1</v>
      </c>
      <c r="AF75" s="11108">
        <v>1</v>
      </c>
      <c r="AG75" s="11109">
        <f>IF(HLOOKUP("BC",A1:CV300,75,FALSE)=0,0,HLOOKUP("Gs - BC",A1:CV300,75,FALSE)/HLOOKUP("BC",A1:CV300,75,FALSE))</f>
        <v>0</v>
      </c>
      <c r="AH75" s="11110">
        <f>HLOOKUP("BC",A1:CV300,75,FALSE) - HLOOKUP("BC Miss",A1:CV300,75,FALSE)</f>
        <v>0</v>
      </c>
      <c r="AI75" s="11111">
        <f>IF(HLOOKUP("Gs",A1:CV300,75,FALSE)=0,0,HLOOKUP("Gs - BC",A1:CV300,75,FALSE)/HLOOKUP("Gs",A1:CV300,75,FALSE))</f>
        <v>0</v>
      </c>
      <c r="AJ75" s="11112">
        <v>0</v>
      </c>
      <c r="AK75" s="11113">
        <v>0</v>
      </c>
      <c r="AL75" s="11114">
        <f>HLOOKUP("BC",A1:CV300,75,FALSE) - (HLOOKUP("PK Gs",A1:CV300,75,FALSE) + HLOOKUP("PK Miss",A1:CV300,75,FALSE))</f>
        <v>1</v>
      </c>
      <c r="AM75" s="11115">
        <f>HLOOKUP("BC Miss",A1:CV300,75,FALSE) - HLOOKUP("PK Miss",A1:CV300,75,FALSE)</f>
        <v>1</v>
      </c>
      <c r="AN75" s="11116">
        <f>IF(HLOOKUP("BC - Open",A1:CV300,75,FALSE)=0,0,HLOOKUP("BC - Open Miss",A1:CV300,75,FALSE)/HLOOKUP("BC - Open",A1:CV300,75,FALSE))</f>
        <v>1</v>
      </c>
      <c r="AO75" s="11117">
        <v>0</v>
      </c>
      <c r="AP75" s="11118">
        <f>IF(HLOOKUP("Gs",A1:CV300,75,FALSE)=0,0,HLOOKUP("GIB",A1:CV300,75,FALSE)/HLOOKUP("Gs",A1:CV300,75,FALSE))</f>
        <v>0</v>
      </c>
      <c r="AQ75" s="11119">
        <v>0</v>
      </c>
      <c r="AR75" s="11120">
        <f>IF(HLOOKUP("Gs",A1:CV300,75,FALSE)=0,0,HLOOKUP("Gs - Open",A1:CV300,75,FALSE)/HLOOKUP("Gs",A1:CV300,75,FALSE))</f>
        <v>0</v>
      </c>
      <c r="AS75" s="11121">
        <v>0.43</v>
      </c>
      <c r="AT75" s="11122">
        <v>0.01</v>
      </c>
      <c r="AU75" s="11123">
        <f>IF(HLOOKUP("Mins",A1:CV300,75,FALSE)=0,0,HLOOKUP("Pts",A1:CV300,75,FALSE)/HLOOKUP("Mins",A1:CV300,75,FALSE)* 90)</f>
        <v>4.1447368421052628</v>
      </c>
      <c r="AV75" s="11124">
        <f>IF(HLOOKUP("Apps",A1:CV300,75,FALSE)=0,0,HLOOKUP("Pts",A1:CV300,75,FALSE)/HLOOKUP("Apps",A1:CV300,75,FALSE)* 1)</f>
        <v>1.1666666666666667</v>
      </c>
      <c r="AW75" s="11125">
        <f>IF(HLOOKUP("Mins",A1:CV300,75,FALSE)=0,0,HLOOKUP("Gs",A1:CV300,75,FALSE)/HLOOKUP("Mins",A1:CV300,75,FALSE)* 90)</f>
        <v>0</v>
      </c>
      <c r="AX75" s="11126">
        <f>IF(HLOOKUP("Mins",A1:CV300,75,FALSE)=0,0,HLOOKUP("Bonus",A1:CV300,75,FALSE)/HLOOKUP("Mins",A1:CV300,75,FALSE)* 90)</f>
        <v>0</v>
      </c>
      <c r="AY75" s="11127">
        <f>IF(HLOOKUP("Mins",A1:CV300,75,FALSE)=0,0,HLOOKUP("BPS",A1:CV300,75,FALSE)/HLOOKUP("Mins",A1:CV300,75,FALSE)* 90)</f>
        <v>17.171052631578949</v>
      </c>
      <c r="AZ75" s="11128">
        <f>IF(HLOOKUP("Mins",A1:CV300,75,FALSE)=0,0,HLOOKUP("Base BPS",A1:CV300,75,FALSE)/HLOOKUP("Mins",A1:CV300,75,FALSE)* 90)</f>
        <v>17.171052631578949</v>
      </c>
      <c r="BA75" s="11129">
        <f>IF(HLOOKUP("Mins",A1:CV300,75,FALSE)=0,0,HLOOKUP("PenTchs",A1:CV300,75,FALSE)/HLOOKUP("Mins",A1:CV300,75,FALSE)* 90)</f>
        <v>1.7763157894736841</v>
      </c>
      <c r="BB75" s="11130">
        <f>IF(HLOOKUP("Mins",A1:CV300,75,FALSE)=0,0,HLOOKUP("Shots",A1:CV300,75,FALSE)/HLOOKUP("Mins",A1:CV300,75,FALSE)* 90)</f>
        <v>1.1842105263157894</v>
      </c>
      <c r="BC75" s="11131">
        <f>IF(HLOOKUP("Mins",A1:CV300,75,FALSE)=0,0,HLOOKUP("SIB",A1:CV300,75,FALSE)/HLOOKUP("Mins",A1:CV300,75,FALSE)* 90)</f>
        <v>1.1842105263157894</v>
      </c>
      <c r="BD75" s="11132">
        <f>IF(HLOOKUP("Mins",A1:CV300,75,FALSE)=0,0,HLOOKUP("S6YD",A1:CV300,75,FALSE)/HLOOKUP("Mins",A1:CV300,75,FALSE)* 90)</f>
        <v>0</v>
      </c>
      <c r="BE75" s="11133">
        <f>IF(HLOOKUP("Mins",A1:CV300,75,FALSE)=0,0,HLOOKUP("Headers",A1:CV300,75,FALSE)/HLOOKUP("Mins",A1:CV300,75,FALSE)* 90)</f>
        <v>0</v>
      </c>
      <c r="BF75" s="11134">
        <f>IF(HLOOKUP("Mins",A1:CV300,75,FALSE)=0,0,HLOOKUP("SOT",A1:CV300,75,FALSE)/HLOOKUP("Mins",A1:CV300,75,FALSE)* 90)</f>
        <v>1.1842105263157894</v>
      </c>
      <c r="BG75" s="11135">
        <f>IF(HLOOKUP("Mins",A1:CV300,75,FALSE)=0,0,HLOOKUP("As",A1:CV300,75,FALSE)/HLOOKUP("Mins",A1:CV300,75,FALSE)* 90)</f>
        <v>0</v>
      </c>
      <c r="BH75" s="11136">
        <f>IF(HLOOKUP("Mins",A1:CV300,75,FALSE)=0,0,HLOOKUP("FPL As",A1:CV300,75,FALSE)/HLOOKUP("Mins",A1:CV300,75,FALSE)* 90)</f>
        <v>0</v>
      </c>
      <c r="BI75" s="11137">
        <f>IF(HLOOKUP("Mins",A1:CV300,75,FALSE)=0,0,HLOOKUP("BC Created",A1:CV300,75,FALSE)/HLOOKUP("Mins",A1:CV300,75,FALSE)* 90)</f>
        <v>0</v>
      </c>
      <c r="BJ75" s="11138">
        <f>IF(HLOOKUP("Mins",A1:CV300,75,FALSE)=0,0,HLOOKUP("KP",A1:CV300,75,FALSE)/HLOOKUP("Mins",A1:CV300,75,FALSE)* 90)</f>
        <v>0</v>
      </c>
      <c r="BK75" s="11139">
        <f>IF(HLOOKUP("Mins",A1:CV300,75,FALSE)=0,0,HLOOKUP("BC",A1:CV300,75,FALSE)/HLOOKUP("Mins",A1:CV300,75,FALSE)* 90)</f>
        <v>0.59210526315789469</v>
      </c>
      <c r="BL75" s="11140">
        <f>IF(HLOOKUP("Mins",A1:CV300,75,FALSE)=0,0,HLOOKUP("BC Miss",A1:CV300,75,FALSE)/HLOOKUP("Mins",A1:CV300,75,FALSE)* 90)</f>
        <v>0.59210526315789469</v>
      </c>
      <c r="BM75" s="11141">
        <f>IF(HLOOKUP("Mins",A1:CV300,75,FALSE)=0,0,HLOOKUP("Gs - BC",A1:CV300,75,FALSE)/HLOOKUP("Mins",A1:CV300,75,FALSE)* 90)</f>
        <v>0</v>
      </c>
      <c r="BN75" s="11142">
        <f>IF(HLOOKUP("Mins",A1:CV300,75,FALSE)=0,0,HLOOKUP("GIB",A1:CV300,75,FALSE)/HLOOKUP("Mins",A1:CV300,75,FALSE)* 90)</f>
        <v>0</v>
      </c>
      <c r="BO75" s="11143">
        <f>IF(HLOOKUP("Mins",A1:CV300,75,FALSE)=0,0,HLOOKUP("Gs - Open",A1:CV300,75,FALSE)/HLOOKUP("Mins",A1:CV300,75,FALSE)* 90)</f>
        <v>0</v>
      </c>
      <c r="BP75" s="11144">
        <f>IF(HLOOKUP("Mins",A1:CV300,75,FALSE)=0,0,HLOOKUP("ICT Index",A1:CV300,75,FALSE)/HLOOKUP("Mins",A1:CV300,75,FALSE)* 90)</f>
        <v>4.7960526315789469</v>
      </c>
      <c r="BQ75" s="11145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  <v>0.11013157894736843</v>
      </c>
      <c r="BR75" s="11146">
        <f>0.0825*HLOOKUP("KP/90",A1:CV300,75,FALSE)</f>
        <v>0</v>
      </c>
      <c r="BS75" s="11147">
        <f>6*HLOOKUP("xG/90",A1:CV300,75,FALSE)+3*HLOOKUP("xA/90",A1:CV300,75,FALSE)</f>
        <v>0.66078947368421059</v>
      </c>
      <c r="BT75" s="11148">
        <f>HLOOKUP("xPts/90",A1:CV300,75,FALSE)-(6*0.75*(HLOOKUP("PK Gs",A1:CV300,75,FALSE)+HLOOKUP("PK Miss",A1:CV300,75,FALSE))*90/HLOOKUP("Mins",A1:CV300,75,FALSE))</f>
        <v>0.66078947368421059</v>
      </c>
      <c r="BU75" s="11149">
        <f>IF(HLOOKUP("Mins",A1:CV300,75,FALSE)=0,0,HLOOKUP("fsXG",A1:CV300,75,FALSE)/HLOOKUP("Mins",A1:CV300,75,FALSE)* 90)</f>
        <v>0.25460526315789472</v>
      </c>
      <c r="BV75" s="11150">
        <f>IF(HLOOKUP("Mins",A1:CV300,75,FALSE)=0,0,HLOOKUP("fsXA",A1:CV300,75,FALSE)/HLOOKUP("Mins",A1:CV300,75,FALSE)* 90)</f>
        <v>5.9210526315789476E-3</v>
      </c>
      <c r="BW75" s="11151">
        <f>6*HLOOKUP("fsXG/90",A1:CV300,75,FALSE)+3*HLOOKUP("fsXA/90",A1:CV300,75,FALSE)</f>
        <v>1.545394736842105</v>
      </c>
      <c r="BX75" s="11152">
        <v>0.31159353256225586</v>
      </c>
      <c r="BY75" s="11153">
        <v>0</v>
      </c>
      <c r="BZ75" s="11154">
        <f>6*HLOOKUP("uXG/90",A1:CV300,75,FALSE)+3*HLOOKUP("uXA/90",A1:CV300,75,FALSE)</f>
        <v>1.8695611953735352</v>
      </c>
    </row>
    <row r="76" spans="1:78" hidden="1" x14ac:dyDescent="0.3">
      <c r="A76" s="11155" t="s">
        <v>239</v>
      </c>
      <c r="B76" s="11156" t="s">
        <v>89</v>
      </c>
      <c r="C76" s="11157">
        <v>5</v>
      </c>
      <c r="D76" s="11158">
        <v>1449</v>
      </c>
      <c r="E76" s="11159">
        <v>17</v>
      </c>
      <c r="F76" s="11160">
        <v>57</v>
      </c>
      <c r="G76" s="11161">
        <v>0</v>
      </c>
      <c r="H76" s="11162">
        <v>10</v>
      </c>
      <c r="I76" s="11163">
        <v>346</v>
      </c>
      <c r="J76" s="11164">
        <f>HLOOKUP("BPS",A1:CV300,76,FALSE)-((-6*HLOOKUP("OG",A1:CV300,76,FALSE))+(-6*HLOOKUP("PK Miss",A1:CV300,76,FALSE))+(9*HLOOKUP("FPL As",A1:CV300,76,FALSE))+(12*HLOOKUP("CS",A1:CV300,76,FALSE))+(12*HLOOKUP("Gs",A1:CV300,76,FALSE)))</f>
        <v>271</v>
      </c>
      <c r="K76" s="11165">
        <v>1</v>
      </c>
      <c r="L76" s="11166">
        <v>3</v>
      </c>
      <c r="M76" s="11167">
        <v>27</v>
      </c>
      <c r="N76" s="11168">
        <v>8</v>
      </c>
      <c r="O76" s="11169">
        <v>6</v>
      </c>
      <c r="P76" s="11170">
        <f>IF(HLOOKUP("Shots",A1:CV300,76,FALSE)=0,0,HLOOKUP("SIB",A1:CV300,76,FALSE)/HLOOKUP("Shots",A1:CV300,76,FALSE))</f>
        <v>0.75</v>
      </c>
      <c r="Q76" s="11171">
        <v>0</v>
      </c>
      <c r="R76" s="11172">
        <f>IF(HLOOKUP("Shots",A1:CV300,76,FALSE)=0,0,HLOOKUP("S6YD",A1:CV300,76,FALSE)/HLOOKUP("Shots",A1:CV300,76,FALSE))</f>
        <v>0</v>
      </c>
      <c r="S76" s="11173">
        <v>1</v>
      </c>
      <c r="T76" s="11174">
        <f>IF(HLOOKUP("Shots",A1:CV300,76,FALSE)=0,0,HLOOKUP("Headers",A1:CV300,76,FALSE)/HLOOKUP("Shots",A1:CV300,76,FALSE))</f>
        <v>0.125</v>
      </c>
      <c r="U76" s="11175">
        <v>3</v>
      </c>
      <c r="V76" s="11176">
        <f>IF(HLOOKUP("Shots",A1:CV300,76,FALSE)=0,0,HLOOKUP("SOT",A1:CV300,76,FALSE)/HLOOKUP("Shots",A1:CV300,76,FALSE))</f>
        <v>0.375</v>
      </c>
      <c r="W76" s="11177">
        <f>IF(HLOOKUP("Shots",A1:CV300,76,FALSE)=0,0,HLOOKUP("Gs",A1:CV300,76,FALSE)/HLOOKUP("Shots",A1:CV300,76,FALSE))</f>
        <v>0</v>
      </c>
      <c r="X76" s="11178">
        <v>3</v>
      </c>
      <c r="Y76" s="11179">
        <v>5</v>
      </c>
      <c r="Z76" s="11180">
        <v>19</v>
      </c>
      <c r="AA76" s="11181">
        <f>IF(HLOOKUP("KP",A1:CV300,76,FALSE)=0,0,HLOOKUP("As",A1:CV300,76,FALSE)/HLOOKUP("KP",A1:CV300,76,FALSE))</f>
        <v>0.15789473684210525</v>
      </c>
      <c r="AB76" s="11182">
        <v>81.099999999999994</v>
      </c>
      <c r="AC76" s="11183">
        <v>18</v>
      </c>
      <c r="AD76" s="11184">
        <v>3</v>
      </c>
      <c r="AE76" s="11185">
        <v>0</v>
      </c>
      <c r="AF76" s="11186">
        <v>0</v>
      </c>
      <c r="AG76" s="11187">
        <f>IF(HLOOKUP("BC",A1:CV300,76,FALSE)=0,0,HLOOKUP("Gs - BC",A1:CV300,76,FALSE)/HLOOKUP("BC",A1:CV300,76,FALSE))</f>
        <v>0</v>
      </c>
      <c r="AH76" s="11188">
        <f>HLOOKUP("BC",A1:CV300,76,FALSE) - HLOOKUP("BC Miss",A1:CV300,76,FALSE)</f>
        <v>0</v>
      </c>
      <c r="AI76" s="11189">
        <f>IF(HLOOKUP("Gs",A1:CV300,76,FALSE)=0,0,HLOOKUP("Gs - BC",A1:CV300,76,FALSE)/HLOOKUP("Gs",A1:CV300,76,FALSE))</f>
        <v>0</v>
      </c>
      <c r="AJ76" s="11190">
        <v>0</v>
      </c>
      <c r="AK76" s="11191">
        <v>0</v>
      </c>
      <c r="AL76" s="11192">
        <f>HLOOKUP("BC",A1:CV300,76,FALSE) - (HLOOKUP("PK Gs",A1:CV300,76,FALSE) + HLOOKUP("PK Miss",A1:CV300,76,FALSE))</f>
        <v>0</v>
      </c>
      <c r="AM76" s="11193">
        <f>HLOOKUP("BC Miss",A1:CV300,76,FALSE) - HLOOKUP("PK Miss",A1:CV300,76,FALSE)</f>
        <v>0</v>
      </c>
      <c r="AN76" s="11194">
        <f>IF(HLOOKUP("BC - Open",A1:CV300,76,FALSE)=0,0,HLOOKUP("BC - Open Miss",A1:CV300,76,FALSE)/HLOOKUP("BC - Open",A1:CV300,76,FALSE))</f>
        <v>0</v>
      </c>
      <c r="AO76" s="11195">
        <v>0</v>
      </c>
      <c r="AP76" s="11196">
        <f>IF(HLOOKUP("Gs",A1:CV300,76,FALSE)=0,0,HLOOKUP("GIB",A1:CV300,76,FALSE)/HLOOKUP("Gs",A1:CV300,76,FALSE))</f>
        <v>0</v>
      </c>
      <c r="AQ76" s="11197">
        <v>0</v>
      </c>
      <c r="AR76" s="11198">
        <f>IF(HLOOKUP("Gs",A1:CV300,76,FALSE)=0,0,HLOOKUP("Gs - Open",A1:CV300,76,FALSE)/HLOOKUP("Gs",A1:CV300,76,FALSE))</f>
        <v>0</v>
      </c>
      <c r="AS76" s="11199">
        <v>0.35</v>
      </c>
      <c r="AT76" s="11200">
        <v>1.33</v>
      </c>
      <c r="AU76" s="11201">
        <f>IF(HLOOKUP("Mins",A1:CV300,76,FALSE)=0,0,HLOOKUP("Pts",A1:CV300,76,FALSE)/HLOOKUP("Mins",A1:CV300,76,FALSE)* 90)</f>
        <v>3.5403726708074537</v>
      </c>
      <c r="AV76" s="11202">
        <f>IF(HLOOKUP("Apps",A1:CV300,76,FALSE)=0,0,HLOOKUP("Pts",A1:CV300,76,FALSE)/HLOOKUP("Apps",A1:CV300,76,FALSE)* 1)</f>
        <v>3.3529411764705883</v>
      </c>
      <c r="AW76" s="11203">
        <f>IF(HLOOKUP("Mins",A1:CV300,76,FALSE)=0,0,HLOOKUP("Gs",A1:CV300,76,FALSE)/HLOOKUP("Mins",A1:CV300,76,FALSE)* 90)</f>
        <v>0</v>
      </c>
      <c r="AX76" s="11204">
        <f>IF(HLOOKUP("Mins",A1:CV300,76,FALSE)=0,0,HLOOKUP("Bonus",A1:CV300,76,FALSE)/HLOOKUP("Mins",A1:CV300,76,FALSE)* 90)</f>
        <v>0.6211180124223602</v>
      </c>
      <c r="AY76" s="11205">
        <f>IF(HLOOKUP("Mins",A1:CV300,76,FALSE)=0,0,HLOOKUP("BPS",A1:CV300,76,FALSE)/HLOOKUP("Mins",A1:CV300,76,FALSE)* 90)</f>
        <v>21.490683229813666</v>
      </c>
      <c r="AZ76" s="11206">
        <f>IF(HLOOKUP("Mins",A1:CV300,76,FALSE)=0,0,HLOOKUP("Base BPS",A1:CV300,76,FALSE)/HLOOKUP("Mins",A1:CV300,76,FALSE)* 90)</f>
        <v>16.832298136645964</v>
      </c>
      <c r="BA76" s="11207">
        <f>IF(HLOOKUP("Mins",A1:CV300,76,FALSE)=0,0,HLOOKUP("PenTchs",A1:CV300,76,FALSE)/HLOOKUP("Mins",A1:CV300,76,FALSE)* 90)</f>
        <v>1.6770186335403727</v>
      </c>
      <c r="BB76" s="11208">
        <f>IF(HLOOKUP("Mins",A1:CV300,76,FALSE)=0,0,HLOOKUP("Shots",A1:CV300,76,FALSE)/HLOOKUP("Mins",A1:CV300,76,FALSE)* 90)</f>
        <v>0.49689440993788819</v>
      </c>
      <c r="BC76" s="11209">
        <f>IF(HLOOKUP("Mins",A1:CV300,76,FALSE)=0,0,HLOOKUP("SIB",A1:CV300,76,FALSE)/HLOOKUP("Mins",A1:CV300,76,FALSE)* 90)</f>
        <v>0.37267080745341619</v>
      </c>
      <c r="BD76" s="11210">
        <f>IF(HLOOKUP("Mins",A1:CV300,76,FALSE)=0,0,HLOOKUP("S6YD",A1:CV300,76,FALSE)/HLOOKUP("Mins",A1:CV300,76,FALSE)* 90)</f>
        <v>0</v>
      </c>
      <c r="BE76" s="11211">
        <f>IF(HLOOKUP("Mins",A1:CV300,76,FALSE)=0,0,HLOOKUP("Headers",A1:CV300,76,FALSE)/HLOOKUP("Mins",A1:CV300,76,FALSE)* 90)</f>
        <v>6.2111801242236024E-2</v>
      </c>
      <c r="BF76" s="11212">
        <f>IF(HLOOKUP("Mins",A1:CV300,76,FALSE)=0,0,HLOOKUP("SOT",A1:CV300,76,FALSE)/HLOOKUP("Mins",A1:CV300,76,FALSE)* 90)</f>
        <v>0.18633540372670809</v>
      </c>
      <c r="BG76" s="11213">
        <f>IF(HLOOKUP("Mins",A1:CV300,76,FALSE)=0,0,HLOOKUP("As",A1:CV300,76,FALSE)/HLOOKUP("Mins",A1:CV300,76,FALSE)* 90)</f>
        <v>0.18633540372670809</v>
      </c>
      <c r="BH76" s="11214">
        <f>IF(HLOOKUP("Mins",A1:CV300,76,FALSE)=0,0,HLOOKUP("FPL As",A1:CV300,76,FALSE)/HLOOKUP("Mins",A1:CV300,76,FALSE)* 90)</f>
        <v>0.3105590062111801</v>
      </c>
      <c r="BI76" s="11215">
        <f>IF(HLOOKUP("Mins",A1:CV300,76,FALSE)=0,0,HLOOKUP("BC Created",A1:CV300,76,FALSE)/HLOOKUP("Mins",A1:CV300,76,FALSE)* 90)</f>
        <v>0.18633540372670809</v>
      </c>
      <c r="BJ76" s="11216">
        <f>IF(HLOOKUP("Mins",A1:CV300,76,FALSE)=0,0,HLOOKUP("KP",A1:CV300,76,FALSE)/HLOOKUP("Mins",A1:CV300,76,FALSE)* 90)</f>
        <v>1.1801242236024845</v>
      </c>
      <c r="BK76" s="11217">
        <f>IF(HLOOKUP("Mins",A1:CV300,76,FALSE)=0,0,HLOOKUP("BC",A1:CV300,76,FALSE)/HLOOKUP("Mins",A1:CV300,76,FALSE)* 90)</f>
        <v>0</v>
      </c>
      <c r="BL76" s="11218">
        <f>IF(HLOOKUP("Mins",A1:CV300,76,FALSE)=0,0,HLOOKUP("BC Miss",A1:CV300,76,FALSE)/HLOOKUP("Mins",A1:CV300,76,FALSE)* 90)</f>
        <v>0</v>
      </c>
      <c r="BM76" s="11219">
        <f>IF(HLOOKUP("Mins",A1:CV300,76,FALSE)=0,0,HLOOKUP("Gs - BC",A1:CV300,76,FALSE)/HLOOKUP("Mins",A1:CV300,76,FALSE)* 90)</f>
        <v>0</v>
      </c>
      <c r="BN76" s="11220">
        <f>IF(HLOOKUP("Mins",A1:CV300,76,FALSE)=0,0,HLOOKUP("GIB",A1:CV300,76,FALSE)/HLOOKUP("Mins",A1:CV300,76,FALSE)* 90)</f>
        <v>0</v>
      </c>
      <c r="BO76" s="11221">
        <f>IF(HLOOKUP("Mins",A1:CV300,76,FALSE)=0,0,HLOOKUP("Gs - Open",A1:CV300,76,FALSE)/HLOOKUP("Mins",A1:CV300,76,FALSE)* 90)</f>
        <v>0</v>
      </c>
      <c r="BP76" s="11222">
        <f>IF(HLOOKUP("Mins",A1:CV300,76,FALSE)=0,0,HLOOKUP("ICT Index",A1:CV300,76,FALSE)/HLOOKUP("Mins",A1:CV300,76,FALSE)* 90)</f>
        <v>5.037267080745341</v>
      </c>
      <c r="BQ76" s="11223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  <v>3.7142857142857144E-2</v>
      </c>
      <c r="BR76" s="11224">
        <f>0.0825*HLOOKUP("KP/90",A1:CV300,76,FALSE)</f>
        <v>9.7360248447204978E-2</v>
      </c>
      <c r="BS76" s="11225">
        <f>6*HLOOKUP("xG/90",A1:CV300,76,FALSE)+3*HLOOKUP("xA/90",A1:CV300,76,FALSE)</f>
        <v>0.51493788819875785</v>
      </c>
      <c r="BT76" s="11226">
        <f>HLOOKUP("xPts/90",A1:CV300,76,FALSE)-(6*0.75*(HLOOKUP("PK Gs",A1:CV300,76,FALSE)+HLOOKUP("PK Miss",A1:CV300,76,FALSE))*90/HLOOKUP("Mins",A1:CV300,76,FALSE))</f>
        <v>0.51493788819875785</v>
      </c>
      <c r="BU76" s="11227">
        <f>IF(HLOOKUP("Mins",A1:CV300,76,FALSE)=0,0,HLOOKUP("fsXG",A1:CV300,76,FALSE)/HLOOKUP("Mins",A1:CV300,76,FALSE)* 90)</f>
        <v>2.1739130434782608E-2</v>
      </c>
      <c r="BV76" s="11228">
        <f>IF(HLOOKUP("Mins",A1:CV300,76,FALSE)=0,0,HLOOKUP("fsXA",A1:CV300,76,FALSE)/HLOOKUP("Mins",A1:CV300,76,FALSE)* 90)</f>
        <v>8.2608695652173908E-2</v>
      </c>
      <c r="BW76" s="11229">
        <f>6*HLOOKUP("fsXG/90",A1:CV300,76,FALSE)+3*HLOOKUP("fsXA/90",A1:CV300,76,FALSE)</f>
        <v>0.37826086956521737</v>
      </c>
      <c r="BX76" s="11230">
        <v>1.9022895023226738E-2</v>
      </c>
      <c r="BY76" s="11231">
        <v>0.13626427948474884</v>
      </c>
      <c r="BZ76" s="11232">
        <f>6*HLOOKUP("uXG/90",A1:CV300,76,FALSE)+3*HLOOKUP("uXA/90",A1:CV300,76,FALSE)</f>
        <v>0.52293020859360695</v>
      </c>
    </row>
    <row r="77" spans="1:78" hidden="1" x14ac:dyDescent="0.3">
      <c r="A77" s="11233" t="s">
        <v>240</v>
      </c>
      <c r="B77" s="11234" t="s">
        <v>98</v>
      </c>
      <c r="C77" s="11235">
        <v>4.3000001907348633</v>
      </c>
      <c r="D77" s="11236">
        <v>1198</v>
      </c>
      <c r="E77" s="11237">
        <v>14</v>
      </c>
      <c r="F77" s="11238">
        <v>44</v>
      </c>
      <c r="G77" s="11239">
        <v>1</v>
      </c>
      <c r="H77" s="11240">
        <v>4</v>
      </c>
      <c r="I77" s="11241">
        <v>220</v>
      </c>
      <c r="J77" s="11242">
        <f>HLOOKUP("BPS",A1:CV300,77,FALSE)-((-6*HLOOKUP("OG",A1:CV300,77,FALSE))+(-6*HLOOKUP("PK Miss",A1:CV300,77,FALSE))+(9*HLOOKUP("FPL As",A1:CV300,77,FALSE))+(12*HLOOKUP("CS",A1:CV300,77,FALSE))+(12*HLOOKUP("Gs",A1:CV300,77,FALSE)))</f>
        <v>166</v>
      </c>
      <c r="K77" s="11243">
        <v>0</v>
      </c>
      <c r="L77" s="11244">
        <v>2</v>
      </c>
      <c r="M77" s="11245">
        <v>14</v>
      </c>
      <c r="N77" s="11246">
        <v>3</v>
      </c>
      <c r="O77" s="11247">
        <v>3</v>
      </c>
      <c r="P77" s="11248">
        <f>IF(HLOOKUP("Shots",A1:CV300,77,FALSE)=0,0,HLOOKUP("SIB",A1:CV300,77,FALSE)/HLOOKUP("Shots",A1:CV300,77,FALSE))</f>
        <v>1</v>
      </c>
      <c r="Q77" s="11249">
        <v>1</v>
      </c>
      <c r="R77" s="11250">
        <f>IF(HLOOKUP("Shots",A1:CV300,77,FALSE)=0,0,HLOOKUP("S6YD",A1:CV300,77,FALSE)/HLOOKUP("Shots",A1:CV300,77,FALSE))</f>
        <v>0.33333333333333331</v>
      </c>
      <c r="S77" s="11251">
        <v>1</v>
      </c>
      <c r="T77" s="11252">
        <f>IF(HLOOKUP("Shots",A1:CV300,77,FALSE)=0,0,HLOOKUP("Headers",A1:CV300,77,FALSE)/HLOOKUP("Shots",A1:CV300,77,FALSE))</f>
        <v>0.33333333333333331</v>
      </c>
      <c r="U77" s="11253">
        <v>1</v>
      </c>
      <c r="V77" s="11254">
        <f>IF(HLOOKUP("Shots",A1:CV300,77,FALSE)=0,0,HLOOKUP("SOT",A1:CV300,77,FALSE)/HLOOKUP("Shots",A1:CV300,77,FALSE))</f>
        <v>0.33333333333333331</v>
      </c>
      <c r="W77" s="11255">
        <f>IF(HLOOKUP("Shots",A1:CV300,77,FALSE)=0,0,HLOOKUP("Gs",A1:CV300,77,FALSE)/HLOOKUP("Shots",A1:CV300,77,FALSE))</f>
        <v>0.33333333333333331</v>
      </c>
      <c r="X77" s="11256">
        <v>2</v>
      </c>
      <c r="Y77" s="11257">
        <v>2</v>
      </c>
      <c r="Z77" s="11258">
        <v>4</v>
      </c>
      <c r="AA77" s="11259">
        <f>IF(HLOOKUP("KP",A1:CV300,77,FALSE)=0,0,HLOOKUP("As",A1:CV300,77,FALSE)/HLOOKUP("KP",A1:CV300,77,FALSE))</f>
        <v>0.5</v>
      </c>
      <c r="AB77" s="11260">
        <v>46.9</v>
      </c>
      <c r="AC77" s="11261">
        <v>17</v>
      </c>
      <c r="AD77" s="11262">
        <v>1</v>
      </c>
      <c r="AE77" s="11263">
        <v>1</v>
      </c>
      <c r="AF77" s="11264">
        <v>1</v>
      </c>
      <c r="AG77" s="11265">
        <f>IF(HLOOKUP("BC",A1:CV300,77,FALSE)=0,0,HLOOKUP("Gs - BC",A1:CV300,77,FALSE)/HLOOKUP("BC",A1:CV300,77,FALSE))</f>
        <v>0</v>
      </c>
      <c r="AH77" s="11266">
        <f>HLOOKUP("BC",A1:CV300,77,FALSE) - HLOOKUP("BC Miss",A1:CV300,77,FALSE)</f>
        <v>0</v>
      </c>
      <c r="AI77" s="11267">
        <f>IF(HLOOKUP("Gs",A1:CV300,77,FALSE)=0,0,HLOOKUP("Gs - BC",A1:CV300,77,FALSE)/HLOOKUP("Gs",A1:CV300,77,FALSE))</f>
        <v>0</v>
      </c>
      <c r="AJ77" s="11268">
        <v>0</v>
      </c>
      <c r="AK77" s="11269">
        <v>0</v>
      </c>
      <c r="AL77" s="11270">
        <f>HLOOKUP("BC",A1:CV300,77,FALSE) - (HLOOKUP("PK Gs",A1:CV300,77,FALSE) + HLOOKUP("PK Miss",A1:CV300,77,FALSE))</f>
        <v>1</v>
      </c>
      <c r="AM77" s="11271">
        <f>HLOOKUP("BC Miss",A1:CV300,77,FALSE) - HLOOKUP("PK Miss",A1:CV300,77,FALSE)</f>
        <v>1</v>
      </c>
      <c r="AN77" s="11272">
        <f>IF(HLOOKUP("BC - Open",A1:CV300,77,FALSE)=0,0,HLOOKUP("BC - Open Miss",A1:CV300,77,FALSE)/HLOOKUP("BC - Open",A1:CV300,77,FALSE))</f>
        <v>1</v>
      </c>
      <c r="AO77" s="11273">
        <v>1</v>
      </c>
      <c r="AP77" s="11274">
        <f>IF(HLOOKUP("Gs",A1:CV300,77,FALSE)=0,0,HLOOKUP("GIB",A1:CV300,77,FALSE)/HLOOKUP("Gs",A1:CV300,77,FALSE))</f>
        <v>1</v>
      </c>
      <c r="AQ77" s="11275">
        <v>0</v>
      </c>
      <c r="AR77" s="11276">
        <f>IF(HLOOKUP("Gs",A1:CV300,77,FALSE)=0,0,HLOOKUP("Gs - Open",A1:CV300,77,FALSE)/HLOOKUP("Gs",A1:CV300,77,FALSE))</f>
        <v>0</v>
      </c>
      <c r="AS77" s="11277">
        <v>0.65</v>
      </c>
      <c r="AT77" s="11278">
        <v>0.75</v>
      </c>
      <c r="AU77" s="11279">
        <f>IF(HLOOKUP("Mins",A1:CV300,77,FALSE)=0,0,HLOOKUP("Pts",A1:CV300,77,FALSE)/HLOOKUP("Mins",A1:CV300,77,FALSE)* 90)</f>
        <v>3.30550918196995</v>
      </c>
      <c r="AV77" s="11280">
        <f>IF(HLOOKUP("Apps",A1:CV300,77,FALSE)=0,0,HLOOKUP("Pts",A1:CV300,77,FALSE)/HLOOKUP("Apps",A1:CV300,77,FALSE)* 1)</f>
        <v>3.1428571428571428</v>
      </c>
      <c r="AW77" s="11281">
        <f>IF(HLOOKUP("Mins",A1:CV300,77,FALSE)=0,0,HLOOKUP("Gs",A1:CV300,77,FALSE)/HLOOKUP("Mins",A1:CV300,77,FALSE)* 90)</f>
        <v>7.512520868113523E-2</v>
      </c>
      <c r="AX77" s="11282">
        <f>IF(HLOOKUP("Mins",A1:CV300,77,FALSE)=0,0,HLOOKUP("Bonus",A1:CV300,77,FALSE)/HLOOKUP("Mins",A1:CV300,77,FALSE)* 90)</f>
        <v>0.30050083472454092</v>
      </c>
      <c r="AY77" s="11283">
        <f>IF(HLOOKUP("Mins",A1:CV300,77,FALSE)=0,0,HLOOKUP("BPS",A1:CV300,77,FALSE)/HLOOKUP("Mins",A1:CV300,77,FALSE)* 90)</f>
        <v>16.527545909849749</v>
      </c>
      <c r="AZ77" s="11284">
        <f>IF(HLOOKUP("Mins",A1:CV300,77,FALSE)=0,0,HLOOKUP("Base BPS",A1:CV300,77,FALSE)/HLOOKUP("Mins",A1:CV300,77,FALSE)* 90)</f>
        <v>12.470784641068448</v>
      </c>
      <c r="BA77" s="11285">
        <f>IF(HLOOKUP("Mins",A1:CV300,77,FALSE)=0,0,HLOOKUP("PenTchs",A1:CV300,77,FALSE)/HLOOKUP("Mins",A1:CV300,77,FALSE)* 90)</f>
        <v>1.0517529215358932</v>
      </c>
      <c r="BB77" s="11286">
        <f>IF(HLOOKUP("Mins",A1:CV300,77,FALSE)=0,0,HLOOKUP("Shots",A1:CV300,77,FALSE)/HLOOKUP("Mins",A1:CV300,77,FALSE)* 90)</f>
        <v>0.22537562604340566</v>
      </c>
      <c r="BC77" s="11287">
        <f>IF(HLOOKUP("Mins",A1:CV300,77,FALSE)=0,0,HLOOKUP("SIB",A1:CV300,77,FALSE)/HLOOKUP("Mins",A1:CV300,77,FALSE)* 90)</f>
        <v>0.22537562604340566</v>
      </c>
      <c r="BD77" s="11288">
        <f>IF(HLOOKUP("Mins",A1:CV300,77,FALSE)=0,0,HLOOKUP("S6YD",A1:CV300,77,FALSE)/HLOOKUP("Mins",A1:CV300,77,FALSE)* 90)</f>
        <v>7.512520868113523E-2</v>
      </c>
      <c r="BE77" s="11289">
        <f>IF(HLOOKUP("Mins",A1:CV300,77,FALSE)=0,0,HLOOKUP("Headers",A1:CV300,77,FALSE)/HLOOKUP("Mins",A1:CV300,77,FALSE)* 90)</f>
        <v>7.512520868113523E-2</v>
      </c>
      <c r="BF77" s="11290">
        <f>IF(HLOOKUP("Mins",A1:CV300,77,FALSE)=0,0,HLOOKUP("SOT",A1:CV300,77,FALSE)/HLOOKUP("Mins",A1:CV300,77,FALSE)* 90)</f>
        <v>7.512520868113523E-2</v>
      </c>
      <c r="BG77" s="11291">
        <f>IF(HLOOKUP("Mins",A1:CV300,77,FALSE)=0,0,HLOOKUP("As",A1:CV300,77,FALSE)/HLOOKUP("Mins",A1:CV300,77,FALSE)* 90)</f>
        <v>0.15025041736227046</v>
      </c>
      <c r="BH77" s="11292">
        <f>IF(HLOOKUP("Mins",A1:CV300,77,FALSE)=0,0,HLOOKUP("FPL As",A1:CV300,77,FALSE)/HLOOKUP("Mins",A1:CV300,77,FALSE)* 90)</f>
        <v>0.15025041736227046</v>
      </c>
      <c r="BI77" s="11293">
        <f>IF(HLOOKUP("Mins",A1:CV300,77,FALSE)=0,0,HLOOKUP("BC Created",A1:CV300,77,FALSE)/HLOOKUP("Mins",A1:CV300,77,FALSE)* 90)</f>
        <v>7.512520868113523E-2</v>
      </c>
      <c r="BJ77" s="11294">
        <f>IF(HLOOKUP("Mins",A1:CV300,77,FALSE)=0,0,HLOOKUP("KP",A1:CV300,77,FALSE)/HLOOKUP("Mins",A1:CV300,77,FALSE)* 90)</f>
        <v>0.30050083472454092</v>
      </c>
      <c r="BK77" s="11295">
        <f>IF(HLOOKUP("Mins",A1:CV300,77,FALSE)=0,0,HLOOKUP("BC",A1:CV300,77,FALSE)/HLOOKUP("Mins",A1:CV300,77,FALSE)* 90)</f>
        <v>7.512520868113523E-2</v>
      </c>
      <c r="BL77" s="11296">
        <f>IF(HLOOKUP("Mins",A1:CV300,77,FALSE)=0,0,HLOOKUP("BC Miss",A1:CV300,77,FALSE)/HLOOKUP("Mins",A1:CV300,77,FALSE)* 90)</f>
        <v>7.512520868113523E-2</v>
      </c>
      <c r="BM77" s="11297">
        <f>IF(HLOOKUP("Mins",A1:CV300,77,FALSE)=0,0,HLOOKUP("Gs - BC",A1:CV300,77,FALSE)/HLOOKUP("Mins",A1:CV300,77,FALSE)* 90)</f>
        <v>0</v>
      </c>
      <c r="BN77" s="11298">
        <f>IF(HLOOKUP("Mins",A1:CV300,77,FALSE)=0,0,HLOOKUP("GIB",A1:CV300,77,FALSE)/HLOOKUP("Mins",A1:CV300,77,FALSE)* 90)</f>
        <v>7.512520868113523E-2</v>
      </c>
      <c r="BO77" s="11299">
        <f>IF(HLOOKUP("Mins",A1:CV300,77,FALSE)=0,0,HLOOKUP("Gs - Open",A1:CV300,77,FALSE)/HLOOKUP("Mins",A1:CV300,77,FALSE)* 90)</f>
        <v>0</v>
      </c>
      <c r="BP77" s="11300">
        <f>IF(HLOOKUP("Mins",A1:CV300,77,FALSE)=0,0,HLOOKUP("ICT Index",A1:CV300,77,FALSE)/HLOOKUP("Mins",A1:CV300,77,FALSE)* 90)</f>
        <v>3.523372287145242</v>
      </c>
      <c r="BQ77" s="11301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  <v>2.0959933222036729E-2</v>
      </c>
      <c r="BR77" s="11302">
        <f>0.0825*HLOOKUP("KP/90",A1:CV300,77,FALSE)</f>
        <v>2.4791318864774627E-2</v>
      </c>
      <c r="BS77" s="11303">
        <f>6*HLOOKUP("xG/90",A1:CV300,77,FALSE)+3*HLOOKUP("xA/90",A1:CV300,77,FALSE)</f>
        <v>0.20013355592654425</v>
      </c>
      <c r="BT77" s="11304">
        <f>HLOOKUP("xPts/90",A1:CV300,77,FALSE)-(6*0.75*(HLOOKUP("PK Gs",A1:CV300,77,FALSE)+HLOOKUP("PK Miss",A1:CV300,77,FALSE))*90/HLOOKUP("Mins",A1:CV300,77,FALSE))</f>
        <v>0.20013355592654425</v>
      </c>
      <c r="BU77" s="11305">
        <f>IF(HLOOKUP("Mins",A1:CV300,77,FALSE)=0,0,HLOOKUP("fsXG",A1:CV300,77,FALSE)/HLOOKUP("Mins",A1:CV300,77,FALSE)* 90)</f>
        <v>4.8831385642737896E-2</v>
      </c>
      <c r="BV77" s="11306">
        <f>IF(HLOOKUP("Mins",A1:CV300,77,FALSE)=0,0,HLOOKUP("fsXA",A1:CV300,77,FALSE)/HLOOKUP("Mins",A1:CV300,77,FALSE)* 90)</f>
        <v>5.6343906510851416E-2</v>
      </c>
      <c r="BW77" s="11307">
        <f>6*HLOOKUP("fsXG/90",A1:CV300,77,FALSE)+3*HLOOKUP("fsXA/90",A1:CV300,77,FALSE)</f>
        <v>0.46202003338898162</v>
      </c>
      <c r="BX77" s="11308">
        <v>5.4312527179718018E-2</v>
      </c>
      <c r="BY77" s="11309">
        <v>5.2123337984085083E-2</v>
      </c>
      <c r="BZ77" s="11310">
        <f>6*HLOOKUP("uXG/90",A1:CV300,77,FALSE)+3*HLOOKUP("uXA/90",A1:CV300,77,FALSE)</f>
        <v>0.48224517703056335</v>
      </c>
    </row>
    <row r="78" spans="1:78" hidden="1" x14ac:dyDescent="0.3">
      <c r="A78" s="11311" t="s">
        <v>241</v>
      </c>
      <c r="B78" s="11312" t="s">
        <v>115</v>
      </c>
      <c r="C78" s="11313">
        <v>4.3000001907348633</v>
      </c>
      <c r="D78" s="11314">
        <v>591</v>
      </c>
      <c r="E78" s="11315">
        <v>10</v>
      </c>
      <c r="F78" s="11316">
        <v>23</v>
      </c>
      <c r="G78" s="11317">
        <v>0</v>
      </c>
      <c r="H78" s="11318">
        <v>1</v>
      </c>
      <c r="I78" s="11319">
        <v>103</v>
      </c>
      <c r="J78" s="11320">
        <f>HLOOKUP("BPS",A1:CV300,78,FALSE)-((-6*HLOOKUP("OG",A1:CV300,78,FALSE))+(-6*HLOOKUP("PK Miss",A1:CV300,78,FALSE))+(9*HLOOKUP("FPL As",A1:CV300,78,FALSE))+(12*HLOOKUP("CS",A1:CV300,78,FALSE))+(12*HLOOKUP("Gs",A1:CV300,78,FALSE)))</f>
        <v>67</v>
      </c>
      <c r="K78" s="11321">
        <v>0</v>
      </c>
      <c r="L78" s="11322">
        <v>3</v>
      </c>
      <c r="M78" s="11323">
        <v>5</v>
      </c>
      <c r="N78" s="11324">
        <v>3</v>
      </c>
      <c r="O78" s="11325">
        <v>2</v>
      </c>
      <c r="P78" s="11326">
        <f>IF(HLOOKUP("Shots",A1:CV300,78,FALSE)=0,0,HLOOKUP("SIB",A1:CV300,78,FALSE)/HLOOKUP("Shots",A1:CV300,78,FALSE))</f>
        <v>0.66666666666666663</v>
      </c>
      <c r="Q78" s="11327">
        <v>0</v>
      </c>
      <c r="R78" s="11328">
        <f>IF(HLOOKUP("Shots",A1:CV300,78,FALSE)=0,0,HLOOKUP("S6YD",A1:CV300,78,FALSE)/HLOOKUP("Shots",A1:CV300,78,FALSE))</f>
        <v>0</v>
      </c>
      <c r="S78" s="11329">
        <v>2</v>
      </c>
      <c r="T78" s="11330">
        <f>IF(HLOOKUP("Shots",A1:CV300,78,FALSE)=0,0,HLOOKUP("Headers",A1:CV300,78,FALSE)/HLOOKUP("Shots",A1:CV300,78,FALSE))</f>
        <v>0.66666666666666663</v>
      </c>
      <c r="U78" s="11331">
        <v>0</v>
      </c>
      <c r="V78" s="11332">
        <f>IF(HLOOKUP("Shots",A1:CV300,78,FALSE)=0,0,HLOOKUP("SOT",A1:CV300,78,FALSE)/HLOOKUP("Shots",A1:CV300,78,FALSE))</f>
        <v>0</v>
      </c>
      <c r="W78" s="11333">
        <f>IF(HLOOKUP("Shots",A1:CV300,78,FALSE)=0,0,HLOOKUP("Gs",A1:CV300,78,FALSE)/HLOOKUP("Shots",A1:CV300,78,FALSE))</f>
        <v>0</v>
      </c>
      <c r="X78" s="11334">
        <v>0</v>
      </c>
      <c r="Y78" s="11335">
        <v>0</v>
      </c>
      <c r="Z78" s="11336">
        <v>4</v>
      </c>
      <c r="AA78" s="11337">
        <f>IF(HLOOKUP("KP",A1:CV300,78,FALSE)=0,0,HLOOKUP("As",A1:CV300,78,FALSE)/HLOOKUP("KP",A1:CV300,78,FALSE))</f>
        <v>0</v>
      </c>
      <c r="AB78" s="11338">
        <v>20</v>
      </c>
      <c r="AC78" s="11339">
        <v>0</v>
      </c>
      <c r="AD78" s="11340">
        <v>0</v>
      </c>
      <c r="AE78" s="11341">
        <v>0</v>
      </c>
      <c r="AF78" s="11342">
        <v>0</v>
      </c>
      <c r="AG78" s="11343">
        <f>IF(HLOOKUP("BC",A1:CV300,78,FALSE)=0,0,HLOOKUP("Gs - BC",A1:CV300,78,FALSE)/HLOOKUP("BC",A1:CV300,78,FALSE))</f>
        <v>0</v>
      </c>
      <c r="AH78" s="11344">
        <f>HLOOKUP("BC",A1:CV300,78,FALSE) - HLOOKUP("BC Miss",A1:CV300,78,FALSE)</f>
        <v>0</v>
      </c>
      <c r="AI78" s="11345">
        <f>IF(HLOOKUP("Gs",A1:CV300,78,FALSE)=0,0,HLOOKUP("Gs - BC",A1:CV300,78,FALSE)/HLOOKUP("Gs",A1:CV300,78,FALSE))</f>
        <v>0</v>
      </c>
      <c r="AJ78" s="11346">
        <v>0</v>
      </c>
      <c r="AK78" s="11347">
        <v>0</v>
      </c>
      <c r="AL78" s="11348">
        <f>HLOOKUP("BC",A1:CV300,78,FALSE) - (HLOOKUP("PK Gs",A1:CV300,78,FALSE) + HLOOKUP("PK Miss",A1:CV300,78,FALSE))</f>
        <v>0</v>
      </c>
      <c r="AM78" s="11349">
        <f>HLOOKUP("BC Miss",A1:CV300,78,FALSE) - HLOOKUP("PK Miss",A1:CV300,78,FALSE)</f>
        <v>0</v>
      </c>
      <c r="AN78" s="11350">
        <f>IF(HLOOKUP("BC - Open",A1:CV300,78,FALSE)=0,0,HLOOKUP("BC - Open Miss",A1:CV300,78,FALSE)/HLOOKUP("BC - Open",A1:CV300,78,FALSE))</f>
        <v>0</v>
      </c>
      <c r="AO78" s="11351">
        <v>0</v>
      </c>
      <c r="AP78" s="11352">
        <f>IF(HLOOKUP("Gs",A1:CV300,78,FALSE)=0,0,HLOOKUP("GIB",A1:CV300,78,FALSE)/HLOOKUP("Gs",A1:CV300,78,FALSE))</f>
        <v>0</v>
      </c>
      <c r="AQ78" s="11353">
        <v>0</v>
      </c>
      <c r="AR78" s="11354">
        <f>IF(HLOOKUP("Gs",A1:CV300,78,FALSE)=0,0,HLOOKUP("Gs - Open",A1:CV300,78,FALSE)/HLOOKUP("Gs",A1:CV300,78,FALSE))</f>
        <v>0</v>
      </c>
      <c r="AS78" s="11355">
        <v>0.15</v>
      </c>
      <c r="AT78" s="11356">
        <v>0.11</v>
      </c>
      <c r="AU78" s="11357">
        <f>IF(HLOOKUP("Mins",A1:CV300,78,FALSE)=0,0,HLOOKUP("Pts",A1:CV300,78,FALSE)/HLOOKUP("Mins",A1:CV300,78,FALSE)* 90)</f>
        <v>3.5025380710659899</v>
      </c>
      <c r="AV78" s="11358">
        <f>IF(HLOOKUP("Apps",A1:CV300,78,FALSE)=0,0,HLOOKUP("Pts",A1:CV300,78,FALSE)/HLOOKUP("Apps",A1:CV300,78,FALSE)* 1)</f>
        <v>2.2999999999999998</v>
      </c>
      <c r="AW78" s="11359">
        <f>IF(HLOOKUP("Mins",A1:CV300,78,FALSE)=0,0,HLOOKUP("Gs",A1:CV300,78,FALSE)/HLOOKUP("Mins",A1:CV300,78,FALSE)* 90)</f>
        <v>0</v>
      </c>
      <c r="AX78" s="11360">
        <f>IF(HLOOKUP("Mins",A1:CV300,78,FALSE)=0,0,HLOOKUP("Bonus",A1:CV300,78,FALSE)/HLOOKUP("Mins",A1:CV300,78,FALSE)* 90)</f>
        <v>0.15228426395939085</v>
      </c>
      <c r="AY78" s="11361">
        <f>IF(HLOOKUP("Mins",A1:CV300,78,FALSE)=0,0,HLOOKUP("BPS",A1:CV300,78,FALSE)/HLOOKUP("Mins",A1:CV300,78,FALSE)* 90)</f>
        <v>15.68527918781726</v>
      </c>
      <c r="AZ78" s="11362">
        <f>IF(HLOOKUP("Mins",A1:CV300,78,FALSE)=0,0,HLOOKUP("Base BPS",A1:CV300,78,FALSE)/HLOOKUP("Mins",A1:CV300,78,FALSE)* 90)</f>
        <v>10.203045685279188</v>
      </c>
      <c r="BA78" s="11363">
        <f>IF(HLOOKUP("Mins",A1:CV300,78,FALSE)=0,0,HLOOKUP("PenTchs",A1:CV300,78,FALSE)/HLOOKUP("Mins",A1:CV300,78,FALSE)* 90)</f>
        <v>0.76142131979695427</v>
      </c>
      <c r="BB78" s="11364">
        <f>IF(HLOOKUP("Mins",A1:CV300,78,FALSE)=0,0,HLOOKUP("Shots",A1:CV300,78,FALSE)/HLOOKUP("Mins",A1:CV300,78,FALSE)* 90)</f>
        <v>0.45685279187817257</v>
      </c>
      <c r="BC78" s="11365">
        <f>IF(HLOOKUP("Mins",A1:CV300,78,FALSE)=0,0,HLOOKUP("SIB",A1:CV300,78,FALSE)/HLOOKUP("Mins",A1:CV300,78,FALSE)* 90)</f>
        <v>0.3045685279187817</v>
      </c>
      <c r="BD78" s="11366">
        <f>IF(HLOOKUP("Mins",A1:CV300,78,FALSE)=0,0,HLOOKUP("S6YD",A1:CV300,78,FALSE)/HLOOKUP("Mins",A1:CV300,78,FALSE)* 90)</f>
        <v>0</v>
      </c>
      <c r="BE78" s="11367">
        <f>IF(HLOOKUP("Mins",A1:CV300,78,FALSE)=0,0,HLOOKUP("Headers",A1:CV300,78,FALSE)/HLOOKUP("Mins",A1:CV300,78,FALSE)* 90)</f>
        <v>0.3045685279187817</v>
      </c>
      <c r="BF78" s="11368">
        <f>IF(HLOOKUP("Mins",A1:CV300,78,FALSE)=0,0,HLOOKUP("SOT",A1:CV300,78,FALSE)/HLOOKUP("Mins",A1:CV300,78,FALSE)* 90)</f>
        <v>0</v>
      </c>
      <c r="BG78" s="11369">
        <f>IF(HLOOKUP("Mins",A1:CV300,78,FALSE)=0,0,HLOOKUP("As",A1:CV300,78,FALSE)/HLOOKUP("Mins",A1:CV300,78,FALSE)* 90)</f>
        <v>0</v>
      </c>
      <c r="BH78" s="11370">
        <f>IF(HLOOKUP("Mins",A1:CV300,78,FALSE)=0,0,HLOOKUP("FPL As",A1:CV300,78,FALSE)/HLOOKUP("Mins",A1:CV300,78,FALSE)* 90)</f>
        <v>0</v>
      </c>
      <c r="BI78" s="11371">
        <f>IF(HLOOKUP("Mins",A1:CV300,78,FALSE)=0,0,HLOOKUP("BC Created",A1:CV300,78,FALSE)/HLOOKUP("Mins",A1:CV300,78,FALSE)* 90)</f>
        <v>0</v>
      </c>
      <c r="BJ78" s="11372">
        <f>IF(HLOOKUP("Mins",A1:CV300,78,FALSE)=0,0,HLOOKUP("KP",A1:CV300,78,FALSE)/HLOOKUP("Mins",A1:CV300,78,FALSE)* 90)</f>
        <v>0.60913705583756339</v>
      </c>
      <c r="BK78" s="11373">
        <f>IF(HLOOKUP("Mins",A1:CV300,78,FALSE)=0,0,HLOOKUP("BC",A1:CV300,78,FALSE)/HLOOKUP("Mins",A1:CV300,78,FALSE)* 90)</f>
        <v>0</v>
      </c>
      <c r="BL78" s="11374">
        <f>IF(HLOOKUP("Mins",A1:CV300,78,FALSE)=0,0,HLOOKUP("BC Miss",A1:CV300,78,FALSE)/HLOOKUP("Mins",A1:CV300,78,FALSE)* 90)</f>
        <v>0</v>
      </c>
      <c r="BM78" s="11375">
        <f>IF(HLOOKUP("Mins",A1:CV300,78,FALSE)=0,0,HLOOKUP("Gs - BC",A1:CV300,78,FALSE)/HLOOKUP("Mins",A1:CV300,78,FALSE)* 90)</f>
        <v>0</v>
      </c>
      <c r="BN78" s="11376">
        <f>IF(HLOOKUP("Mins",A1:CV300,78,FALSE)=0,0,HLOOKUP("GIB",A1:CV300,78,FALSE)/HLOOKUP("Mins",A1:CV300,78,FALSE)* 90)</f>
        <v>0</v>
      </c>
      <c r="BO78" s="11377">
        <f>IF(HLOOKUP("Mins",A1:CV300,78,FALSE)=0,0,HLOOKUP("Gs - Open",A1:CV300,78,FALSE)/HLOOKUP("Mins",A1:CV300,78,FALSE)* 90)</f>
        <v>0</v>
      </c>
      <c r="BP78" s="11378">
        <f>IF(HLOOKUP("Mins",A1:CV300,78,FALSE)=0,0,HLOOKUP("ICT Index",A1:CV300,78,FALSE)/HLOOKUP("Mins",A1:CV300,78,FALSE)* 90)</f>
        <v>3.0456852791878171</v>
      </c>
      <c r="BQ78" s="11379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  <v>3.1370558375634516E-2</v>
      </c>
      <c r="BR78" s="11380">
        <f>0.0825*HLOOKUP("KP/90",A1:CV300,78,FALSE)</f>
        <v>5.0253807106598984E-2</v>
      </c>
      <c r="BS78" s="11381">
        <f>6*HLOOKUP("xG/90",A1:CV300,78,FALSE)+3*HLOOKUP("xA/90",A1:CV300,78,FALSE)</f>
        <v>0.33898477157360407</v>
      </c>
      <c r="BT78" s="11382">
        <f>HLOOKUP("xPts/90",A1:CV300,78,FALSE)-(6*0.75*(HLOOKUP("PK Gs",A1:CV300,78,FALSE)+HLOOKUP("PK Miss",A1:CV300,78,FALSE))*90/HLOOKUP("Mins",A1:CV300,78,FALSE))</f>
        <v>0.33898477157360407</v>
      </c>
      <c r="BU78" s="11383">
        <f>IF(HLOOKUP("Mins",A1:CV300,78,FALSE)=0,0,HLOOKUP("fsXG",A1:CV300,78,FALSE)/HLOOKUP("Mins",A1:CV300,78,FALSE)* 90)</f>
        <v>2.2842639593908632E-2</v>
      </c>
      <c r="BV78" s="11384">
        <f>IF(HLOOKUP("Mins",A1:CV300,78,FALSE)=0,0,HLOOKUP("fsXA",A1:CV300,78,FALSE)/HLOOKUP("Mins",A1:CV300,78,FALSE)* 90)</f>
        <v>1.6751269035532996E-2</v>
      </c>
      <c r="BW78" s="11385">
        <f>6*HLOOKUP("fsXG/90",A1:CV300,78,FALSE)+3*HLOOKUP("fsXA/90",A1:CV300,78,FALSE)</f>
        <v>0.18730964467005079</v>
      </c>
      <c r="BX78" s="11386">
        <v>1.211131177842617E-2</v>
      </c>
      <c r="BY78" s="11387">
        <v>8.7345419451594353E-3</v>
      </c>
      <c r="BZ78" s="11388">
        <f>6*HLOOKUP("uXG/90",A1:CV300,78,FALSE)+3*HLOOKUP("uXA/90",A1:CV300,78,FALSE)</f>
        <v>9.8871496506035328E-2</v>
      </c>
    </row>
    <row r="79" spans="1:78" hidden="1" x14ac:dyDescent="0.3">
      <c r="A79" s="11389" t="s">
        <v>242</v>
      </c>
      <c r="B79" s="11390" t="s">
        <v>151</v>
      </c>
      <c r="C79" s="11391">
        <v>5.4000000953674316</v>
      </c>
      <c r="D79" s="11392">
        <v>954</v>
      </c>
      <c r="E79" s="11393">
        <v>12</v>
      </c>
      <c r="F79" s="11394">
        <v>24</v>
      </c>
      <c r="G79" s="11395">
        <v>0</v>
      </c>
      <c r="H79" s="11396">
        <v>0</v>
      </c>
      <c r="I79" s="11397">
        <v>158</v>
      </c>
      <c r="J79" s="11398">
        <f>HLOOKUP("BPS",A1:CV300,79,FALSE)-((-6*HLOOKUP("OG",A1:CV300,79,FALSE))+(-6*HLOOKUP("PK Miss",A1:CV300,79,FALSE))+(9*HLOOKUP("FPL As",A1:CV300,79,FALSE))+(12*HLOOKUP("CS",A1:CV300,79,FALSE))+(12*HLOOKUP("Gs",A1:CV300,79,FALSE)))</f>
        <v>134</v>
      </c>
      <c r="K79" s="11399">
        <v>0</v>
      </c>
      <c r="L79" s="11400">
        <v>2</v>
      </c>
      <c r="M79" s="11401">
        <v>7</v>
      </c>
      <c r="N79" s="11402">
        <v>3</v>
      </c>
      <c r="O79" s="11403">
        <v>1</v>
      </c>
      <c r="P79" s="11404">
        <f>IF(HLOOKUP("Shots",A1:CV300,79,FALSE)=0,0,HLOOKUP("SIB",A1:CV300,79,FALSE)/HLOOKUP("Shots",A1:CV300,79,FALSE))</f>
        <v>0.33333333333333331</v>
      </c>
      <c r="Q79" s="11405">
        <v>0</v>
      </c>
      <c r="R79" s="11406">
        <f>IF(HLOOKUP("Shots",A1:CV300,79,FALSE)=0,0,HLOOKUP("S6YD",A1:CV300,79,FALSE)/HLOOKUP("Shots",A1:CV300,79,FALSE))</f>
        <v>0</v>
      </c>
      <c r="S79" s="11407">
        <v>0</v>
      </c>
      <c r="T79" s="11408">
        <f>IF(HLOOKUP("Shots",A1:CV300,79,FALSE)=0,0,HLOOKUP("Headers",A1:CV300,79,FALSE)/HLOOKUP("Shots",A1:CV300,79,FALSE))</f>
        <v>0</v>
      </c>
      <c r="U79" s="11409">
        <v>0</v>
      </c>
      <c r="V79" s="11410">
        <f>IF(HLOOKUP("Shots",A1:CV300,79,FALSE)=0,0,HLOOKUP("SOT",A1:CV300,79,FALSE)/HLOOKUP("Shots",A1:CV300,79,FALSE))</f>
        <v>0</v>
      </c>
      <c r="W79" s="11411">
        <f>IF(HLOOKUP("Shots",A1:CV300,79,FALSE)=0,0,HLOOKUP("Gs",A1:CV300,79,FALSE)/HLOOKUP("Shots",A1:CV300,79,FALSE))</f>
        <v>0</v>
      </c>
      <c r="X79" s="11412">
        <v>0</v>
      </c>
      <c r="Y79" s="11413">
        <v>0</v>
      </c>
      <c r="Z79" s="11414">
        <v>19</v>
      </c>
      <c r="AA79" s="11415">
        <f>IF(HLOOKUP("KP",A1:CV300,79,FALSE)=0,0,HLOOKUP("As",A1:CV300,79,FALSE)/HLOOKUP("KP",A1:CV300,79,FALSE))</f>
        <v>0</v>
      </c>
      <c r="AB79" s="11416">
        <v>49.4</v>
      </c>
      <c r="AC79" s="11417">
        <v>0</v>
      </c>
      <c r="AD79" s="11418">
        <v>2</v>
      </c>
      <c r="AE79" s="11419">
        <v>0</v>
      </c>
      <c r="AF79" s="11420">
        <v>0</v>
      </c>
      <c r="AG79" s="11421">
        <f>IF(HLOOKUP("BC",A1:CV300,79,FALSE)=0,0,HLOOKUP("Gs - BC",A1:CV300,79,FALSE)/HLOOKUP("BC",A1:CV300,79,FALSE))</f>
        <v>0</v>
      </c>
      <c r="AH79" s="11422">
        <f>HLOOKUP("BC",A1:CV300,79,FALSE) - HLOOKUP("BC Miss",A1:CV300,79,FALSE)</f>
        <v>0</v>
      </c>
      <c r="AI79" s="11423">
        <f>IF(HLOOKUP("Gs",A1:CV300,79,FALSE)=0,0,HLOOKUP("Gs - BC",A1:CV300,79,FALSE)/HLOOKUP("Gs",A1:CV300,79,FALSE))</f>
        <v>0</v>
      </c>
      <c r="AJ79" s="11424">
        <v>0</v>
      </c>
      <c r="AK79" s="11425">
        <v>0</v>
      </c>
      <c r="AL79" s="11426">
        <f>HLOOKUP("BC",A1:CV300,79,FALSE) - (HLOOKUP("PK Gs",A1:CV300,79,FALSE) + HLOOKUP("PK Miss",A1:CV300,79,FALSE))</f>
        <v>0</v>
      </c>
      <c r="AM79" s="11427">
        <f>HLOOKUP("BC Miss",A1:CV300,79,FALSE) - HLOOKUP("PK Miss",A1:CV300,79,FALSE)</f>
        <v>0</v>
      </c>
      <c r="AN79" s="11428">
        <f>IF(HLOOKUP("BC - Open",A1:CV300,79,FALSE)=0,0,HLOOKUP("BC - Open Miss",A1:CV300,79,FALSE)/HLOOKUP("BC - Open",A1:CV300,79,FALSE))</f>
        <v>0</v>
      </c>
      <c r="AO79" s="11429">
        <v>0</v>
      </c>
      <c r="AP79" s="11430">
        <f>IF(HLOOKUP("Gs",A1:CV300,79,FALSE)=0,0,HLOOKUP("GIB",A1:CV300,79,FALSE)/HLOOKUP("Gs",A1:CV300,79,FALSE))</f>
        <v>0</v>
      </c>
      <c r="AQ79" s="11431">
        <v>0</v>
      </c>
      <c r="AR79" s="11432">
        <f>IF(HLOOKUP("Gs",A1:CV300,79,FALSE)=0,0,HLOOKUP("Gs - Open",A1:CV300,79,FALSE)/HLOOKUP("Gs",A1:CV300,79,FALSE))</f>
        <v>0</v>
      </c>
      <c r="AS79" s="11433">
        <v>0.1</v>
      </c>
      <c r="AT79" s="11434">
        <v>1.58</v>
      </c>
      <c r="AU79" s="11435">
        <f>IF(HLOOKUP("Mins",A1:CV300,79,FALSE)=0,0,HLOOKUP("Pts",A1:CV300,79,FALSE)/HLOOKUP("Mins",A1:CV300,79,FALSE)* 90)</f>
        <v>2.2641509433962264</v>
      </c>
      <c r="AV79" s="11436">
        <f>IF(HLOOKUP("Apps",A1:CV300,79,FALSE)=0,0,HLOOKUP("Pts",A1:CV300,79,FALSE)/HLOOKUP("Apps",A1:CV300,79,FALSE)* 1)</f>
        <v>2</v>
      </c>
      <c r="AW79" s="11437">
        <f>IF(HLOOKUP("Mins",A1:CV300,79,FALSE)=0,0,HLOOKUP("Gs",A1:CV300,79,FALSE)/HLOOKUP("Mins",A1:CV300,79,FALSE)* 90)</f>
        <v>0</v>
      </c>
      <c r="AX79" s="11438">
        <f>IF(HLOOKUP("Mins",A1:CV300,79,FALSE)=0,0,HLOOKUP("Bonus",A1:CV300,79,FALSE)/HLOOKUP("Mins",A1:CV300,79,FALSE)* 90)</f>
        <v>0</v>
      </c>
      <c r="AY79" s="11439">
        <f>IF(HLOOKUP("Mins",A1:CV300,79,FALSE)=0,0,HLOOKUP("BPS",A1:CV300,79,FALSE)/HLOOKUP("Mins",A1:CV300,79,FALSE)* 90)</f>
        <v>14.90566037735849</v>
      </c>
      <c r="AZ79" s="11440">
        <f>IF(HLOOKUP("Mins",A1:CV300,79,FALSE)=0,0,HLOOKUP("Base BPS",A1:CV300,79,FALSE)/HLOOKUP("Mins",A1:CV300,79,FALSE)* 90)</f>
        <v>12.641509433962264</v>
      </c>
      <c r="BA79" s="11441">
        <f>IF(HLOOKUP("Mins",A1:CV300,79,FALSE)=0,0,HLOOKUP("PenTchs",A1:CV300,79,FALSE)/HLOOKUP("Mins",A1:CV300,79,FALSE)* 90)</f>
        <v>0.66037735849056611</v>
      </c>
      <c r="BB79" s="11442">
        <f>IF(HLOOKUP("Mins",A1:CV300,79,FALSE)=0,0,HLOOKUP("Shots",A1:CV300,79,FALSE)/HLOOKUP("Mins",A1:CV300,79,FALSE)* 90)</f>
        <v>0.28301886792452829</v>
      </c>
      <c r="BC79" s="11443">
        <f>IF(HLOOKUP("Mins",A1:CV300,79,FALSE)=0,0,HLOOKUP("SIB",A1:CV300,79,FALSE)/HLOOKUP("Mins",A1:CV300,79,FALSE)* 90)</f>
        <v>9.4339622641509441E-2</v>
      </c>
      <c r="BD79" s="11444">
        <f>IF(HLOOKUP("Mins",A1:CV300,79,FALSE)=0,0,HLOOKUP("S6YD",A1:CV300,79,FALSE)/HLOOKUP("Mins",A1:CV300,79,FALSE)* 90)</f>
        <v>0</v>
      </c>
      <c r="BE79" s="11445">
        <f>IF(HLOOKUP("Mins",A1:CV300,79,FALSE)=0,0,HLOOKUP("Headers",A1:CV300,79,FALSE)/HLOOKUP("Mins",A1:CV300,79,FALSE)* 90)</f>
        <v>0</v>
      </c>
      <c r="BF79" s="11446">
        <f>IF(HLOOKUP("Mins",A1:CV300,79,FALSE)=0,0,HLOOKUP("SOT",A1:CV300,79,FALSE)/HLOOKUP("Mins",A1:CV300,79,FALSE)* 90)</f>
        <v>0</v>
      </c>
      <c r="BG79" s="11447">
        <f>IF(HLOOKUP("Mins",A1:CV300,79,FALSE)=0,0,HLOOKUP("As",A1:CV300,79,FALSE)/HLOOKUP("Mins",A1:CV300,79,FALSE)* 90)</f>
        <v>0</v>
      </c>
      <c r="BH79" s="11448">
        <f>IF(HLOOKUP("Mins",A1:CV300,79,FALSE)=0,0,HLOOKUP("FPL As",A1:CV300,79,FALSE)/HLOOKUP("Mins",A1:CV300,79,FALSE)* 90)</f>
        <v>0</v>
      </c>
      <c r="BI79" s="11449">
        <f>IF(HLOOKUP("Mins",A1:CV300,79,FALSE)=0,0,HLOOKUP("BC Created",A1:CV300,79,FALSE)/HLOOKUP("Mins",A1:CV300,79,FALSE)* 90)</f>
        <v>0.18867924528301888</v>
      </c>
      <c r="BJ79" s="11450">
        <f>IF(HLOOKUP("Mins",A1:CV300,79,FALSE)=0,0,HLOOKUP("KP",A1:CV300,79,FALSE)/HLOOKUP("Mins",A1:CV300,79,FALSE)* 90)</f>
        <v>1.7924528301886793</v>
      </c>
      <c r="BK79" s="11451">
        <f>IF(HLOOKUP("Mins",A1:CV300,79,FALSE)=0,0,HLOOKUP("BC",A1:CV300,79,FALSE)/HLOOKUP("Mins",A1:CV300,79,FALSE)* 90)</f>
        <v>0</v>
      </c>
      <c r="BL79" s="11452">
        <f>IF(HLOOKUP("Mins",A1:CV300,79,FALSE)=0,0,HLOOKUP("BC Miss",A1:CV300,79,FALSE)/HLOOKUP("Mins",A1:CV300,79,FALSE)* 90)</f>
        <v>0</v>
      </c>
      <c r="BM79" s="11453">
        <f>IF(HLOOKUP("Mins",A1:CV300,79,FALSE)=0,0,HLOOKUP("Gs - BC",A1:CV300,79,FALSE)/HLOOKUP("Mins",A1:CV300,79,FALSE)* 90)</f>
        <v>0</v>
      </c>
      <c r="BN79" s="11454">
        <f>IF(HLOOKUP("Mins",A1:CV300,79,FALSE)=0,0,HLOOKUP("GIB",A1:CV300,79,FALSE)/HLOOKUP("Mins",A1:CV300,79,FALSE)* 90)</f>
        <v>0</v>
      </c>
      <c r="BO79" s="11455">
        <f>IF(HLOOKUP("Mins",A1:CV300,79,FALSE)=0,0,HLOOKUP("Gs - Open",A1:CV300,79,FALSE)/HLOOKUP("Mins",A1:CV300,79,FALSE)* 90)</f>
        <v>0</v>
      </c>
      <c r="BP79" s="11456">
        <f>IF(HLOOKUP("Mins",A1:CV300,79,FALSE)=0,0,HLOOKUP("ICT Index",A1:CV300,79,FALSE)/HLOOKUP("Mins",A1:CV300,79,FALSE)* 90)</f>
        <v>4.6603773584905657</v>
      </c>
      <c r="BQ79" s="11457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  <v>1.2547169811320756E-2</v>
      </c>
      <c r="BR79" s="11458">
        <f>0.0825*HLOOKUP("KP/90",A1:CV300,79,FALSE)</f>
        <v>0.14787735849056605</v>
      </c>
      <c r="BS79" s="11459">
        <f>6*HLOOKUP("xG/90",A1:CV300,79,FALSE)+3*HLOOKUP("xA/90",A1:CV300,79,FALSE)</f>
        <v>0.51891509433962268</v>
      </c>
      <c r="BT79" s="11460">
        <f>HLOOKUP("xPts/90",A1:CV300,79,FALSE)-(6*0.75*(HLOOKUP("PK Gs",A1:CV300,79,FALSE)+HLOOKUP("PK Miss",A1:CV300,79,FALSE))*90/HLOOKUP("Mins",A1:CV300,79,FALSE))</f>
        <v>0.51891509433962268</v>
      </c>
      <c r="BU79" s="11461">
        <f>IF(HLOOKUP("Mins",A1:CV300,79,FALSE)=0,0,HLOOKUP("fsXG",A1:CV300,79,FALSE)/HLOOKUP("Mins",A1:CV300,79,FALSE)* 90)</f>
        <v>9.4339622641509448E-3</v>
      </c>
      <c r="BV79" s="11462">
        <f>IF(HLOOKUP("Mins",A1:CV300,79,FALSE)=0,0,HLOOKUP("fsXA",A1:CV300,79,FALSE)/HLOOKUP("Mins",A1:CV300,79,FALSE)* 90)</f>
        <v>0.1490566037735849</v>
      </c>
      <c r="BW79" s="11463">
        <f>6*HLOOKUP("fsXG/90",A1:CV300,79,FALSE)+3*HLOOKUP("fsXA/90",A1:CV300,79,FALSE)</f>
        <v>0.50377358490566038</v>
      </c>
      <c r="BX79" s="11464">
        <v>7.7830790542066097E-3</v>
      </c>
      <c r="BY79" s="11465">
        <v>0.15709884464740753</v>
      </c>
      <c r="BZ79" s="11466">
        <f>6*HLOOKUP("uXG/90",A1:CV300,79,FALSE)+3*HLOOKUP("uXA/90",A1:CV300,79,FALSE)</f>
        <v>0.51799500826746225</v>
      </c>
    </row>
    <row r="80" spans="1:78" hidden="1" x14ac:dyDescent="0.3">
      <c r="A80" s="11467" t="s">
        <v>243</v>
      </c>
      <c r="B80" s="11468" t="s">
        <v>118</v>
      </c>
      <c r="C80" s="11469">
        <v>4.4000000953674316</v>
      </c>
      <c r="D80" s="11470">
        <v>1188</v>
      </c>
      <c r="E80" s="11471">
        <v>15</v>
      </c>
      <c r="F80" s="11472">
        <v>40</v>
      </c>
      <c r="G80" s="11473">
        <v>0</v>
      </c>
      <c r="H80" s="11474">
        <v>2</v>
      </c>
      <c r="I80" s="11475">
        <v>230</v>
      </c>
      <c r="J80" s="11476">
        <f>HLOOKUP("BPS",A1:CV300,80,FALSE)-((-6*HLOOKUP("OG",A1:CV300,80,FALSE))+(-6*HLOOKUP("PK Miss",A1:CV300,80,FALSE))+(9*HLOOKUP("FPL As",A1:CV300,80,FALSE))+(12*HLOOKUP("CS",A1:CV300,80,FALSE))+(12*HLOOKUP("Gs",A1:CV300,80,FALSE)))</f>
        <v>176</v>
      </c>
      <c r="K80" s="11477">
        <v>0</v>
      </c>
      <c r="L80" s="11478">
        <v>3</v>
      </c>
      <c r="M80" s="11479">
        <v>13</v>
      </c>
      <c r="N80" s="11480">
        <v>9</v>
      </c>
      <c r="O80" s="11481">
        <v>6</v>
      </c>
      <c r="P80" s="11482">
        <f>IF(HLOOKUP("Shots",A1:CV300,80,FALSE)=0,0,HLOOKUP("SIB",A1:CV300,80,FALSE)/HLOOKUP("Shots",A1:CV300,80,FALSE))</f>
        <v>0.66666666666666663</v>
      </c>
      <c r="Q80" s="11483">
        <v>2</v>
      </c>
      <c r="R80" s="11484">
        <f>IF(HLOOKUP("Shots",A1:CV300,80,FALSE)=0,0,HLOOKUP("S6YD",A1:CV300,80,FALSE)/HLOOKUP("Shots",A1:CV300,80,FALSE))</f>
        <v>0.22222222222222221</v>
      </c>
      <c r="S80" s="11485">
        <v>3</v>
      </c>
      <c r="T80" s="11486">
        <f>IF(HLOOKUP("Shots",A1:CV300,80,FALSE)=0,0,HLOOKUP("Headers",A1:CV300,80,FALSE)/HLOOKUP("Shots",A1:CV300,80,FALSE))</f>
        <v>0.33333333333333331</v>
      </c>
      <c r="U80" s="11487">
        <v>3</v>
      </c>
      <c r="V80" s="11488">
        <f>IF(HLOOKUP("Shots",A1:CV300,80,FALSE)=0,0,HLOOKUP("SOT",A1:CV300,80,FALSE)/HLOOKUP("Shots",A1:CV300,80,FALSE))</f>
        <v>0.33333333333333331</v>
      </c>
      <c r="W80" s="11489">
        <f>IF(HLOOKUP("Shots",A1:CV300,80,FALSE)=0,0,HLOOKUP("Gs",A1:CV300,80,FALSE)/HLOOKUP("Shots",A1:CV300,80,FALSE))</f>
        <v>0</v>
      </c>
      <c r="X80" s="11490">
        <v>2</v>
      </c>
      <c r="Y80" s="11491">
        <v>2</v>
      </c>
      <c r="Z80" s="11492">
        <v>2</v>
      </c>
      <c r="AA80" s="11493">
        <f>IF(HLOOKUP("KP",A1:CV300,80,FALSE)=0,0,HLOOKUP("As",A1:CV300,80,FALSE)/HLOOKUP("KP",A1:CV300,80,FALSE))</f>
        <v>1</v>
      </c>
      <c r="AB80" s="11494">
        <v>39.700000000000003</v>
      </c>
      <c r="AC80" s="11495">
        <v>12</v>
      </c>
      <c r="AD80" s="11496">
        <v>2</v>
      </c>
      <c r="AE80" s="11497">
        <v>2</v>
      </c>
      <c r="AF80" s="11498">
        <v>2</v>
      </c>
      <c r="AG80" s="11499">
        <f>IF(HLOOKUP("BC",A1:CV300,80,FALSE)=0,0,HLOOKUP("Gs - BC",A1:CV300,80,FALSE)/HLOOKUP("BC",A1:CV300,80,FALSE))</f>
        <v>0</v>
      </c>
      <c r="AH80" s="11500">
        <f>HLOOKUP("BC",A1:CV300,80,FALSE) - HLOOKUP("BC Miss",A1:CV300,80,FALSE)</f>
        <v>0</v>
      </c>
      <c r="AI80" s="11501">
        <f>IF(HLOOKUP("Gs",A1:CV300,80,FALSE)=0,0,HLOOKUP("Gs - BC",A1:CV300,80,FALSE)/HLOOKUP("Gs",A1:CV300,80,FALSE))</f>
        <v>0</v>
      </c>
      <c r="AJ80" s="11502">
        <v>0</v>
      </c>
      <c r="AK80" s="11503">
        <v>0</v>
      </c>
      <c r="AL80" s="11504">
        <f>HLOOKUP("BC",A1:CV300,80,FALSE) - (HLOOKUP("PK Gs",A1:CV300,80,FALSE) + HLOOKUP("PK Miss",A1:CV300,80,FALSE))</f>
        <v>2</v>
      </c>
      <c r="AM80" s="11505">
        <f>HLOOKUP("BC Miss",A1:CV300,80,FALSE) - HLOOKUP("PK Miss",A1:CV300,80,FALSE)</f>
        <v>2</v>
      </c>
      <c r="AN80" s="11506">
        <f>IF(HLOOKUP("BC - Open",A1:CV300,80,FALSE)=0,0,HLOOKUP("BC - Open Miss",A1:CV300,80,FALSE)/HLOOKUP("BC - Open",A1:CV300,80,FALSE))</f>
        <v>1</v>
      </c>
      <c r="AO80" s="11507">
        <v>0</v>
      </c>
      <c r="AP80" s="11508">
        <f>IF(HLOOKUP("Gs",A1:CV300,80,FALSE)=0,0,HLOOKUP("GIB",A1:CV300,80,FALSE)/HLOOKUP("Gs",A1:CV300,80,FALSE))</f>
        <v>0</v>
      </c>
      <c r="AQ80" s="11509">
        <v>0</v>
      </c>
      <c r="AR80" s="11510">
        <f>IF(HLOOKUP("Gs",A1:CV300,80,FALSE)=0,0,HLOOKUP("Gs - Open",A1:CV300,80,FALSE)/HLOOKUP("Gs",A1:CV300,80,FALSE))</f>
        <v>0</v>
      </c>
      <c r="AS80" s="11511">
        <v>1.06</v>
      </c>
      <c r="AT80" s="11512">
        <v>0.4</v>
      </c>
      <c r="AU80" s="11513">
        <f>IF(HLOOKUP("Mins",A1:CV300,80,FALSE)=0,0,HLOOKUP("Pts",A1:CV300,80,FALSE)/HLOOKUP("Mins",A1:CV300,80,FALSE)* 90)</f>
        <v>3.0303030303030303</v>
      </c>
      <c r="AV80" s="11514">
        <f>IF(HLOOKUP("Apps",A1:CV300,80,FALSE)=0,0,HLOOKUP("Pts",A1:CV300,80,FALSE)/HLOOKUP("Apps",A1:CV300,80,FALSE)* 1)</f>
        <v>2.6666666666666665</v>
      </c>
      <c r="AW80" s="11515">
        <f>IF(HLOOKUP("Mins",A1:CV300,80,FALSE)=0,0,HLOOKUP("Gs",A1:CV300,80,FALSE)/HLOOKUP("Mins",A1:CV300,80,FALSE)* 90)</f>
        <v>0</v>
      </c>
      <c r="AX80" s="11516">
        <f>IF(HLOOKUP("Mins",A1:CV300,80,FALSE)=0,0,HLOOKUP("Bonus",A1:CV300,80,FALSE)/HLOOKUP("Mins",A1:CV300,80,FALSE)* 90)</f>
        <v>0.15151515151515152</v>
      </c>
      <c r="AY80" s="11517">
        <f>IF(HLOOKUP("Mins",A1:CV300,80,FALSE)=0,0,HLOOKUP("BPS",A1:CV300,80,FALSE)/HLOOKUP("Mins",A1:CV300,80,FALSE)* 90)</f>
        <v>17.424242424242426</v>
      </c>
      <c r="AZ80" s="11518">
        <f>IF(HLOOKUP("Mins",A1:CV300,80,FALSE)=0,0,HLOOKUP("Base BPS",A1:CV300,80,FALSE)/HLOOKUP("Mins",A1:CV300,80,FALSE)* 90)</f>
        <v>13.333333333333332</v>
      </c>
      <c r="BA80" s="11519">
        <f>IF(HLOOKUP("Mins",A1:CV300,80,FALSE)=0,0,HLOOKUP("PenTchs",A1:CV300,80,FALSE)/HLOOKUP("Mins",A1:CV300,80,FALSE)* 90)</f>
        <v>0.98484848484848486</v>
      </c>
      <c r="BB80" s="11520">
        <f>IF(HLOOKUP("Mins",A1:CV300,80,FALSE)=0,0,HLOOKUP("Shots",A1:CV300,80,FALSE)/HLOOKUP("Mins",A1:CV300,80,FALSE)* 90)</f>
        <v>0.68181818181818188</v>
      </c>
      <c r="BC80" s="11521">
        <f>IF(HLOOKUP("Mins",A1:CV300,80,FALSE)=0,0,HLOOKUP("SIB",A1:CV300,80,FALSE)/HLOOKUP("Mins",A1:CV300,80,FALSE)* 90)</f>
        <v>0.45454545454545459</v>
      </c>
      <c r="BD80" s="11522">
        <f>IF(HLOOKUP("Mins",A1:CV300,80,FALSE)=0,0,HLOOKUP("S6YD",A1:CV300,80,FALSE)/HLOOKUP("Mins",A1:CV300,80,FALSE)* 90)</f>
        <v>0.15151515151515152</v>
      </c>
      <c r="BE80" s="11523">
        <f>IF(HLOOKUP("Mins",A1:CV300,80,FALSE)=0,0,HLOOKUP("Headers",A1:CV300,80,FALSE)/HLOOKUP("Mins",A1:CV300,80,FALSE)* 90)</f>
        <v>0.22727272727272729</v>
      </c>
      <c r="BF80" s="11524">
        <f>IF(HLOOKUP("Mins",A1:CV300,80,FALSE)=0,0,HLOOKUP("SOT",A1:CV300,80,FALSE)/HLOOKUP("Mins",A1:CV300,80,FALSE)* 90)</f>
        <v>0.22727272727272729</v>
      </c>
      <c r="BG80" s="11525">
        <f>IF(HLOOKUP("Mins",A1:CV300,80,FALSE)=0,0,HLOOKUP("As",A1:CV300,80,FALSE)/HLOOKUP("Mins",A1:CV300,80,FALSE)* 90)</f>
        <v>0.15151515151515152</v>
      </c>
      <c r="BH80" s="11526">
        <f>IF(HLOOKUP("Mins",A1:CV300,80,FALSE)=0,0,HLOOKUP("FPL As",A1:CV300,80,FALSE)/HLOOKUP("Mins",A1:CV300,80,FALSE)* 90)</f>
        <v>0.15151515151515152</v>
      </c>
      <c r="BI80" s="11527">
        <f>IF(HLOOKUP("Mins",A1:CV300,80,FALSE)=0,0,HLOOKUP("BC Created",A1:CV300,80,FALSE)/HLOOKUP("Mins",A1:CV300,80,FALSE)* 90)</f>
        <v>0.15151515151515152</v>
      </c>
      <c r="BJ80" s="11528">
        <f>IF(HLOOKUP("Mins",A1:CV300,80,FALSE)=0,0,HLOOKUP("KP",A1:CV300,80,FALSE)/HLOOKUP("Mins",A1:CV300,80,FALSE)* 90)</f>
        <v>0.15151515151515152</v>
      </c>
      <c r="BK80" s="11529">
        <f>IF(HLOOKUP("Mins",A1:CV300,80,FALSE)=0,0,HLOOKUP("BC",A1:CV300,80,FALSE)/HLOOKUP("Mins",A1:CV300,80,FALSE)* 90)</f>
        <v>0.15151515151515152</v>
      </c>
      <c r="BL80" s="11530">
        <f>IF(HLOOKUP("Mins",A1:CV300,80,FALSE)=0,0,HLOOKUP("BC Miss",A1:CV300,80,FALSE)/HLOOKUP("Mins",A1:CV300,80,FALSE)* 90)</f>
        <v>0.15151515151515152</v>
      </c>
      <c r="BM80" s="11531">
        <f>IF(HLOOKUP("Mins",A1:CV300,80,FALSE)=0,0,HLOOKUP("Gs - BC",A1:CV300,80,FALSE)/HLOOKUP("Mins",A1:CV300,80,FALSE)* 90)</f>
        <v>0</v>
      </c>
      <c r="BN80" s="11532">
        <f>IF(HLOOKUP("Mins",A1:CV300,80,FALSE)=0,0,HLOOKUP("GIB",A1:CV300,80,FALSE)/HLOOKUP("Mins",A1:CV300,80,FALSE)* 90)</f>
        <v>0</v>
      </c>
      <c r="BO80" s="11533">
        <f>IF(HLOOKUP("Mins",A1:CV300,80,FALSE)=0,0,HLOOKUP("Gs - Open",A1:CV300,80,FALSE)/HLOOKUP("Mins",A1:CV300,80,FALSE)* 90)</f>
        <v>0</v>
      </c>
      <c r="BP80" s="11534">
        <f>IF(HLOOKUP("Mins",A1:CV300,80,FALSE)=0,0,HLOOKUP("ICT Index",A1:CV300,80,FALSE)/HLOOKUP("Mins",A1:CV300,80,FALSE)* 90)</f>
        <v>3.0075757575757578</v>
      </c>
      <c r="BQ80" s="11535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  <v>4.6818181818181828E-2</v>
      </c>
      <c r="BR80" s="11536">
        <f>0.0825*HLOOKUP("KP/90",A1:CV300,80,FALSE)</f>
        <v>1.2500000000000001E-2</v>
      </c>
      <c r="BS80" s="11537">
        <f>6*HLOOKUP("xG/90",A1:CV300,80,FALSE)+3*HLOOKUP("xA/90",A1:CV300,80,FALSE)</f>
        <v>0.31840909090909097</v>
      </c>
      <c r="BT80" s="11538">
        <f>HLOOKUP("xPts/90",A1:CV300,80,FALSE)-(6*0.75*(HLOOKUP("PK Gs",A1:CV300,80,FALSE)+HLOOKUP("PK Miss",A1:CV300,80,FALSE))*90/HLOOKUP("Mins",A1:CV300,80,FALSE))</f>
        <v>0.31840909090909097</v>
      </c>
      <c r="BU80" s="11539">
        <f>IF(HLOOKUP("Mins",A1:CV300,80,FALSE)=0,0,HLOOKUP("fsXG",A1:CV300,80,FALSE)/HLOOKUP("Mins",A1:CV300,80,FALSE)* 90)</f>
        <v>8.0303030303030307E-2</v>
      </c>
      <c r="BV80" s="11540">
        <f>IF(HLOOKUP("Mins",A1:CV300,80,FALSE)=0,0,HLOOKUP("fsXA",A1:CV300,80,FALSE)/HLOOKUP("Mins",A1:CV300,80,FALSE)* 90)</f>
        <v>3.0303030303030304E-2</v>
      </c>
      <c r="BW80" s="11541">
        <f>6*HLOOKUP("fsXG/90",A1:CV300,80,FALSE)+3*HLOOKUP("fsXA/90",A1:CV300,80,FALSE)</f>
        <v>0.57272727272727275</v>
      </c>
      <c r="BX80" s="11542">
        <v>8.934319019317627E-2</v>
      </c>
      <c r="BY80" s="11543">
        <v>5.1741234958171844E-2</v>
      </c>
      <c r="BZ80" s="11544">
        <f>6*HLOOKUP("uXG/90",A1:CV300,80,FALSE)+3*HLOOKUP("uXA/90",A1:CV300,80,FALSE)</f>
        <v>0.69128284603357315</v>
      </c>
    </row>
    <row r="81" spans="1:78" hidden="1" x14ac:dyDescent="0.3">
      <c r="A81" s="11545" t="s">
        <v>244</v>
      </c>
      <c r="B81" s="11546" t="s">
        <v>98</v>
      </c>
      <c r="C81" s="11547">
        <v>4.1999998092651367</v>
      </c>
      <c r="D81" s="11548">
        <v>558</v>
      </c>
      <c r="E81" s="11549">
        <v>8</v>
      </c>
      <c r="F81" s="11550">
        <v>10</v>
      </c>
      <c r="G81" s="11551">
        <v>0</v>
      </c>
      <c r="H81" s="11552">
        <v>1</v>
      </c>
      <c r="I81" s="11553">
        <v>85</v>
      </c>
      <c r="J81" s="11554">
        <f>HLOOKUP("BPS",A1:CV300,81,FALSE)-((-6*HLOOKUP("OG",A1:CV300,81,FALSE))+(-6*HLOOKUP("PK Miss",A1:CV300,81,FALSE))+(9*HLOOKUP("FPL As",A1:CV300,81,FALSE))+(12*HLOOKUP("CS",A1:CV300,81,FALSE))+(12*HLOOKUP("Gs",A1:CV300,81,FALSE)))</f>
        <v>73</v>
      </c>
      <c r="K81" s="11555">
        <v>0</v>
      </c>
      <c r="L81" s="11556">
        <v>1</v>
      </c>
      <c r="M81" s="11557">
        <v>10</v>
      </c>
      <c r="N81" s="11558">
        <v>5</v>
      </c>
      <c r="O81" s="11559">
        <v>4</v>
      </c>
      <c r="P81" s="11560">
        <f>IF(HLOOKUP("Shots",A1:CV300,81,FALSE)=0,0,HLOOKUP("SIB",A1:CV300,81,FALSE)/HLOOKUP("Shots",A1:CV300,81,FALSE))</f>
        <v>0.8</v>
      </c>
      <c r="Q81" s="11561">
        <v>1</v>
      </c>
      <c r="R81" s="11562">
        <f>IF(HLOOKUP("Shots",A1:CV300,81,FALSE)=0,0,HLOOKUP("S6YD",A1:CV300,81,FALSE)/HLOOKUP("Shots",A1:CV300,81,FALSE))</f>
        <v>0.2</v>
      </c>
      <c r="S81" s="11563">
        <v>3</v>
      </c>
      <c r="T81" s="11564">
        <f>IF(HLOOKUP("Shots",A1:CV300,81,FALSE)=0,0,HLOOKUP("Headers",A1:CV300,81,FALSE)/HLOOKUP("Shots",A1:CV300,81,FALSE))</f>
        <v>0.6</v>
      </c>
      <c r="U81" s="11565">
        <v>3</v>
      </c>
      <c r="V81" s="11566">
        <f>IF(HLOOKUP("Shots",A1:CV300,81,FALSE)=0,0,HLOOKUP("SOT",A1:CV300,81,FALSE)/HLOOKUP("Shots",A1:CV300,81,FALSE))</f>
        <v>0.6</v>
      </c>
      <c r="W81" s="11567">
        <f>IF(HLOOKUP("Shots",A1:CV300,81,FALSE)=0,0,HLOOKUP("Gs",A1:CV300,81,FALSE)/HLOOKUP("Shots",A1:CV300,81,FALSE))</f>
        <v>0</v>
      </c>
      <c r="X81" s="11568">
        <v>0</v>
      </c>
      <c r="Y81" s="11569">
        <v>0</v>
      </c>
      <c r="Z81" s="11570">
        <v>0</v>
      </c>
      <c r="AA81" s="11571">
        <f>IF(HLOOKUP("KP",A1:CV300,81,FALSE)=0,0,HLOOKUP("As",A1:CV300,81,FALSE)/HLOOKUP("KP",A1:CV300,81,FALSE))</f>
        <v>0</v>
      </c>
      <c r="AB81" s="11572">
        <v>17.8</v>
      </c>
      <c r="AC81" s="11573">
        <v>0</v>
      </c>
      <c r="AD81" s="11574">
        <v>0</v>
      </c>
      <c r="AE81" s="11575">
        <v>2</v>
      </c>
      <c r="AF81" s="11576">
        <v>2</v>
      </c>
      <c r="AG81" s="11577">
        <f>IF(HLOOKUP("BC",A1:CV300,81,FALSE)=0,0,HLOOKUP("Gs - BC",A1:CV300,81,FALSE)/HLOOKUP("BC",A1:CV300,81,FALSE))</f>
        <v>0</v>
      </c>
      <c r="AH81" s="11578">
        <f>HLOOKUP("BC",A1:CV300,81,FALSE) - HLOOKUP("BC Miss",A1:CV300,81,FALSE)</f>
        <v>0</v>
      </c>
      <c r="AI81" s="11579">
        <f>IF(HLOOKUP("Gs",A1:CV300,81,FALSE)=0,0,HLOOKUP("Gs - BC",A1:CV300,81,FALSE)/HLOOKUP("Gs",A1:CV300,81,FALSE))</f>
        <v>0</v>
      </c>
      <c r="AJ81" s="11580">
        <v>0</v>
      </c>
      <c r="AK81" s="11581">
        <v>0</v>
      </c>
      <c r="AL81" s="11582">
        <f>HLOOKUP("BC",A1:CV300,81,FALSE) - (HLOOKUP("PK Gs",A1:CV300,81,FALSE) + HLOOKUP("PK Miss",A1:CV300,81,FALSE))</f>
        <v>2</v>
      </c>
      <c r="AM81" s="11583">
        <f>HLOOKUP("BC Miss",A1:CV300,81,FALSE) - HLOOKUP("PK Miss",A1:CV300,81,FALSE)</f>
        <v>2</v>
      </c>
      <c r="AN81" s="11584">
        <f>IF(HLOOKUP("BC - Open",A1:CV300,81,FALSE)=0,0,HLOOKUP("BC - Open Miss",A1:CV300,81,FALSE)/HLOOKUP("BC - Open",A1:CV300,81,FALSE))</f>
        <v>1</v>
      </c>
      <c r="AO81" s="11585">
        <v>0</v>
      </c>
      <c r="AP81" s="11586">
        <f>IF(HLOOKUP("Gs",A1:CV300,81,FALSE)=0,0,HLOOKUP("GIB",A1:CV300,81,FALSE)/HLOOKUP("Gs",A1:CV300,81,FALSE))</f>
        <v>0</v>
      </c>
      <c r="AQ81" s="11587">
        <v>0</v>
      </c>
      <c r="AR81" s="11588">
        <f>IF(HLOOKUP("Gs",A1:CV300,81,FALSE)=0,0,HLOOKUP("Gs - Open",A1:CV300,81,FALSE)/HLOOKUP("Gs",A1:CV300,81,FALSE))</f>
        <v>0</v>
      </c>
      <c r="AS81" s="11589">
        <v>0.67</v>
      </c>
      <c r="AT81" s="11590">
        <v>0.04</v>
      </c>
      <c r="AU81" s="11591">
        <f>IF(HLOOKUP("Mins",A1:CV300,81,FALSE)=0,0,HLOOKUP("Pts",A1:CV300,81,FALSE)/HLOOKUP("Mins",A1:CV300,81,FALSE)* 90)</f>
        <v>1.6129032258064515</v>
      </c>
      <c r="AV81" s="11592">
        <f>IF(HLOOKUP("Apps",A1:CV300,81,FALSE)=0,0,HLOOKUP("Pts",A1:CV300,81,FALSE)/HLOOKUP("Apps",A1:CV300,81,FALSE)* 1)</f>
        <v>1.25</v>
      </c>
      <c r="AW81" s="11593">
        <f>IF(HLOOKUP("Mins",A1:CV300,81,FALSE)=0,0,HLOOKUP("Gs",A1:CV300,81,FALSE)/HLOOKUP("Mins",A1:CV300,81,FALSE)* 90)</f>
        <v>0</v>
      </c>
      <c r="AX81" s="11594">
        <f>IF(HLOOKUP("Mins",A1:CV300,81,FALSE)=0,0,HLOOKUP("Bonus",A1:CV300,81,FALSE)/HLOOKUP("Mins",A1:CV300,81,FALSE)* 90)</f>
        <v>0.16129032258064516</v>
      </c>
      <c r="AY81" s="11595">
        <f>IF(HLOOKUP("Mins",A1:CV300,81,FALSE)=0,0,HLOOKUP("BPS",A1:CV300,81,FALSE)/HLOOKUP("Mins",A1:CV300,81,FALSE)* 90)</f>
        <v>13.709677419354838</v>
      </c>
      <c r="AZ81" s="11596">
        <f>IF(HLOOKUP("Mins",A1:CV300,81,FALSE)=0,0,HLOOKUP("Base BPS",A1:CV300,81,FALSE)/HLOOKUP("Mins",A1:CV300,81,FALSE)* 90)</f>
        <v>11.774193548387098</v>
      </c>
      <c r="BA81" s="11597">
        <f>IF(HLOOKUP("Mins",A1:CV300,81,FALSE)=0,0,HLOOKUP("PenTchs",A1:CV300,81,FALSE)/HLOOKUP("Mins",A1:CV300,81,FALSE)* 90)</f>
        <v>1.6129032258064515</v>
      </c>
      <c r="BB81" s="11598">
        <f>IF(HLOOKUP("Mins",A1:CV300,81,FALSE)=0,0,HLOOKUP("Shots",A1:CV300,81,FALSE)/HLOOKUP("Mins",A1:CV300,81,FALSE)* 90)</f>
        <v>0.80645161290322576</v>
      </c>
      <c r="BC81" s="11599">
        <f>IF(HLOOKUP("Mins",A1:CV300,81,FALSE)=0,0,HLOOKUP("SIB",A1:CV300,81,FALSE)/HLOOKUP("Mins",A1:CV300,81,FALSE)* 90)</f>
        <v>0.64516129032258063</v>
      </c>
      <c r="BD81" s="11600">
        <f>IF(HLOOKUP("Mins",A1:CV300,81,FALSE)=0,0,HLOOKUP("S6YD",A1:CV300,81,FALSE)/HLOOKUP("Mins",A1:CV300,81,FALSE)* 90)</f>
        <v>0.16129032258064516</v>
      </c>
      <c r="BE81" s="11601">
        <f>IF(HLOOKUP("Mins",A1:CV300,81,FALSE)=0,0,HLOOKUP("Headers",A1:CV300,81,FALSE)/HLOOKUP("Mins",A1:CV300,81,FALSE)* 90)</f>
        <v>0.4838709677419355</v>
      </c>
      <c r="BF81" s="11602">
        <f>IF(HLOOKUP("Mins",A1:CV300,81,FALSE)=0,0,HLOOKUP("SOT",A1:CV300,81,FALSE)/HLOOKUP("Mins",A1:CV300,81,FALSE)* 90)</f>
        <v>0.4838709677419355</v>
      </c>
      <c r="BG81" s="11603">
        <f>IF(HLOOKUP("Mins",A1:CV300,81,FALSE)=0,0,HLOOKUP("As",A1:CV300,81,FALSE)/HLOOKUP("Mins",A1:CV300,81,FALSE)* 90)</f>
        <v>0</v>
      </c>
      <c r="BH81" s="11604">
        <f>IF(HLOOKUP("Mins",A1:CV300,81,FALSE)=0,0,HLOOKUP("FPL As",A1:CV300,81,FALSE)/HLOOKUP("Mins",A1:CV300,81,FALSE)* 90)</f>
        <v>0</v>
      </c>
      <c r="BI81" s="11605">
        <f>IF(HLOOKUP("Mins",A1:CV300,81,FALSE)=0,0,HLOOKUP("BC Created",A1:CV300,81,FALSE)/HLOOKUP("Mins",A1:CV300,81,FALSE)* 90)</f>
        <v>0</v>
      </c>
      <c r="BJ81" s="11606">
        <f>IF(HLOOKUP("Mins",A1:CV300,81,FALSE)=0,0,HLOOKUP("KP",A1:CV300,81,FALSE)/HLOOKUP("Mins",A1:CV300,81,FALSE)* 90)</f>
        <v>0</v>
      </c>
      <c r="BK81" s="11607">
        <f>IF(HLOOKUP("Mins",A1:CV300,81,FALSE)=0,0,HLOOKUP("BC",A1:CV300,81,FALSE)/HLOOKUP("Mins",A1:CV300,81,FALSE)* 90)</f>
        <v>0.32258064516129031</v>
      </c>
      <c r="BL81" s="11608">
        <f>IF(HLOOKUP("Mins",A1:CV300,81,FALSE)=0,0,HLOOKUP("BC Miss",A1:CV300,81,FALSE)/HLOOKUP("Mins",A1:CV300,81,FALSE)* 90)</f>
        <v>0.32258064516129031</v>
      </c>
      <c r="BM81" s="11609">
        <f>IF(HLOOKUP("Mins",A1:CV300,81,FALSE)=0,0,HLOOKUP("Gs - BC",A1:CV300,81,FALSE)/HLOOKUP("Mins",A1:CV300,81,FALSE)* 90)</f>
        <v>0</v>
      </c>
      <c r="BN81" s="11610">
        <f>IF(HLOOKUP("Mins",A1:CV300,81,FALSE)=0,0,HLOOKUP("GIB",A1:CV300,81,FALSE)/HLOOKUP("Mins",A1:CV300,81,FALSE)* 90)</f>
        <v>0</v>
      </c>
      <c r="BO81" s="11611">
        <f>IF(HLOOKUP("Mins",A1:CV300,81,FALSE)=0,0,HLOOKUP("Gs - Open",A1:CV300,81,FALSE)/HLOOKUP("Mins",A1:CV300,81,FALSE)* 90)</f>
        <v>0</v>
      </c>
      <c r="BP81" s="11612">
        <f>IF(HLOOKUP("Mins",A1:CV300,81,FALSE)=0,0,HLOOKUP("ICT Index",A1:CV300,81,FALSE)/HLOOKUP("Mins",A1:CV300,81,FALSE)* 90)</f>
        <v>2.870967741935484</v>
      </c>
      <c r="BQ81" s="11613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  <v>6.3225806451612895E-2</v>
      </c>
      <c r="BR81" s="11614">
        <f>0.0825*HLOOKUP("KP/90",A1:CV300,81,FALSE)</f>
        <v>0</v>
      </c>
      <c r="BS81" s="11615">
        <f>6*HLOOKUP("xG/90",A1:CV300,81,FALSE)+3*HLOOKUP("xA/90",A1:CV300,81,FALSE)</f>
        <v>0.37935483870967734</v>
      </c>
      <c r="BT81" s="11616">
        <f>HLOOKUP("xPts/90",A1:CV300,81,FALSE)-(6*0.75*(HLOOKUP("PK Gs",A1:CV300,81,FALSE)+HLOOKUP("PK Miss",A1:CV300,81,FALSE))*90/HLOOKUP("Mins",A1:CV300,81,FALSE))</f>
        <v>0.37935483870967734</v>
      </c>
      <c r="BU81" s="11617">
        <f>IF(HLOOKUP("Mins",A1:CV300,81,FALSE)=0,0,HLOOKUP("fsXG",A1:CV300,81,FALSE)/HLOOKUP("Mins",A1:CV300,81,FALSE)* 90)</f>
        <v>0.10806451612903227</v>
      </c>
      <c r="BV81" s="11618">
        <f>IF(HLOOKUP("Mins",A1:CV300,81,FALSE)=0,0,HLOOKUP("fsXA",A1:CV300,81,FALSE)/HLOOKUP("Mins",A1:CV300,81,FALSE)* 90)</f>
        <v>6.4516129032258064E-3</v>
      </c>
      <c r="BW81" s="11619">
        <f>6*HLOOKUP("fsXG/90",A1:CV300,81,FALSE)+3*HLOOKUP("fsXA/90",A1:CV300,81,FALSE)</f>
        <v>0.66774193548387106</v>
      </c>
      <c r="BX81" s="11620">
        <v>0.15241657197475433</v>
      </c>
      <c r="BY81" s="11621">
        <v>1.1423780582845211E-2</v>
      </c>
      <c r="BZ81" s="11622">
        <f>6*HLOOKUP("uXG/90",A1:CV300,81,FALSE)+3*HLOOKUP("uXA/90",A1:CV300,81,FALSE)</f>
        <v>0.94877077359706163</v>
      </c>
    </row>
    <row r="82" spans="1:78" x14ac:dyDescent="0.3">
      <c r="A82" s="11623" t="s">
        <v>245</v>
      </c>
      <c r="B82" s="11624" t="s">
        <v>109</v>
      </c>
      <c r="C82" s="11625">
        <v>4.3000001907348633</v>
      </c>
      <c r="D82" s="11626">
        <v>303</v>
      </c>
      <c r="E82" s="11627">
        <v>6</v>
      </c>
      <c r="F82" s="11628">
        <v>14</v>
      </c>
      <c r="G82" s="11629">
        <v>0</v>
      </c>
      <c r="H82" s="11630">
        <v>2</v>
      </c>
      <c r="I82" s="11631">
        <v>70</v>
      </c>
      <c r="J82" s="11632">
        <f>HLOOKUP("BPS",A1:CV300,82,FALSE)-((-6*HLOOKUP("OG",A1:CV300,82,FALSE))+(-6*HLOOKUP("PK Miss",A1:CV300,82,FALSE))+(9*HLOOKUP("FPL As",A1:CV300,82,FALSE))+(12*HLOOKUP("CS",A1:CV300,82,FALSE))+(12*HLOOKUP("Gs",A1:CV300,82,FALSE)))</f>
        <v>58</v>
      </c>
      <c r="K82" s="11633">
        <v>0</v>
      </c>
      <c r="L82" s="11634">
        <v>1</v>
      </c>
      <c r="M82" s="11635">
        <v>6</v>
      </c>
      <c r="N82" s="11636">
        <v>1</v>
      </c>
      <c r="O82" s="11637">
        <v>1</v>
      </c>
      <c r="P82" s="11638">
        <f>IF(HLOOKUP("Shots",A1:CV300,82,FALSE)=0,0,HLOOKUP("SIB",A1:CV300,82,FALSE)/HLOOKUP("Shots",A1:CV300,82,FALSE))</f>
        <v>1</v>
      </c>
      <c r="Q82" s="11639">
        <v>0</v>
      </c>
      <c r="R82" s="11640">
        <f>IF(HLOOKUP("Shots",A1:CV300,82,FALSE)=0,0,HLOOKUP("S6YD",A1:CV300,82,FALSE)/HLOOKUP("Shots",A1:CV300,82,FALSE))</f>
        <v>0</v>
      </c>
      <c r="S82" s="11641">
        <v>1</v>
      </c>
      <c r="T82" s="11642">
        <f>IF(HLOOKUP("Shots",A1:CV300,82,FALSE)=0,0,HLOOKUP("Headers",A1:CV300,82,FALSE)/HLOOKUP("Shots",A1:CV300,82,FALSE))</f>
        <v>1</v>
      </c>
      <c r="U82" s="11643">
        <v>1</v>
      </c>
      <c r="V82" s="11644">
        <f>IF(HLOOKUP("Shots",A1:CV300,82,FALSE)=0,0,HLOOKUP("SOT",A1:CV300,82,FALSE)/HLOOKUP("Shots",A1:CV300,82,FALSE))</f>
        <v>1</v>
      </c>
      <c r="W82" s="11645">
        <f>IF(HLOOKUP("Shots",A1:CV300,82,FALSE)=0,0,HLOOKUP("Gs",A1:CV300,82,FALSE)/HLOOKUP("Shots",A1:CV300,82,FALSE))</f>
        <v>0</v>
      </c>
      <c r="X82" s="11646">
        <v>0</v>
      </c>
      <c r="Y82" s="11647">
        <v>0</v>
      </c>
      <c r="Z82" s="11648">
        <v>2</v>
      </c>
      <c r="AA82" s="11649">
        <f>IF(HLOOKUP("KP",A1:CV300,82,FALSE)=0,0,HLOOKUP("As",A1:CV300,82,FALSE)/HLOOKUP("KP",A1:CV300,82,FALSE))</f>
        <v>0</v>
      </c>
      <c r="AB82" s="11650">
        <v>13.1</v>
      </c>
      <c r="AC82" s="11651">
        <v>0</v>
      </c>
      <c r="AD82" s="11652">
        <v>2</v>
      </c>
      <c r="AE82" s="11653">
        <v>0</v>
      </c>
      <c r="AF82" s="11654">
        <v>0</v>
      </c>
      <c r="AG82" s="11655">
        <f>IF(HLOOKUP("BC",A1:CV300,82,FALSE)=0,0,HLOOKUP("Gs - BC",A1:CV300,82,FALSE)/HLOOKUP("BC",A1:CV300,82,FALSE))</f>
        <v>0</v>
      </c>
      <c r="AH82" s="11656">
        <f>HLOOKUP("BC",A1:CV300,82,FALSE) - HLOOKUP("BC Miss",A1:CV300,82,FALSE)</f>
        <v>0</v>
      </c>
      <c r="AI82" s="11657">
        <f>IF(HLOOKUP("Gs",A1:CV300,82,FALSE)=0,0,HLOOKUP("Gs - BC",A1:CV300,82,FALSE)/HLOOKUP("Gs",A1:CV300,82,FALSE))</f>
        <v>0</v>
      </c>
      <c r="AJ82" s="11658">
        <v>0</v>
      </c>
      <c r="AK82" s="11659">
        <v>0</v>
      </c>
      <c r="AL82" s="11660">
        <f>HLOOKUP("BC",A1:CV300,82,FALSE) - (HLOOKUP("PK Gs",A1:CV300,82,FALSE) + HLOOKUP("PK Miss",A1:CV300,82,FALSE))</f>
        <v>0</v>
      </c>
      <c r="AM82" s="11661">
        <f>HLOOKUP("BC Miss",A1:CV300,82,FALSE) - HLOOKUP("PK Miss",A1:CV300,82,FALSE)</f>
        <v>0</v>
      </c>
      <c r="AN82" s="11662">
        <f>IF(HLOOKUP("BC - Open",A1:CV300,82,FALSE)=0,0,HLOOKUP("BC - Open Miss",A1:CV300,82,FALSE)/HLOOKUP("BC - Open",A1:CV300,82,FALSE))</f>
        <v>0</v>
      </c>
      <c r="AO82" s="11663">
        <v>0</v>
      </c>
      <c r="AP82" s="11664">
        <f>IF(HLOOKUP("Gs",A1:CV300,82,FALSE)=0,0,HLOOKUP("GIB",A1:CV300,82,FALSE)/HLOOKUP("Gs",A1:CV300,82,FALSE))</f>
        <v>0</v>
      </c>
      <c r="AQ82" s="11665">
        <v>0</v>
      </c>
      <c r="AR82" s="11666">
        <f>IF(HLOOKUP("Gs",A1:CV300,82,FALSE)=0,0,HLOOKUP("Gs - Open",A1:CV300,82,FALSE)/HLOOKUP("Gs",A1:CV300,82,FALSE))</f>
        <v>0</v>
      </c>
      <c r="AS82" s="11667">
        <v>0.05</v>
      </c>
      <c r="AT82" s="11668">
        <v>0.21</v>
      </c>
      <c r="AU82" s="11669">
        <f>IF(HLOOKUP("Mins",A1:CV300,82,FALSE)=0,0,HLOOKUP("Pts",A1:CV300,82,FALSE)/HLOOKUP("Mins",A1:CV300,82,FALSE)* 90)</f>
        <v>4.1584158415841586</v>
      </c>
      <c r="AV82" s="11670">
        <f>IF(HLOOKUP("Apps",A1:CV300,82,FALSE)=0,0,HLOOKUP("Pts",A1:CV300,82,FALSE)/HLOOKUP("Apps",A1:CV300,82,FALSE)* 1)</f>
        <v>2.3333333333333335</v>
      </c>
      <c r="AW82" s="11671">
        <f>IF(HLOOKUP("Mins",A1:CV300,82,FALSE)=0,0,HLOOKUP("Gs",A1:CV300,82,FALSE)/HLOOKUP("Mins",A1:CV300,82,FALSE)* 90)</f>
        <v>0</v>
      </c>
      <c r="AX82" s="11672">
        <f>IF(HLOOKUP("Mins",A1:CV300,82,FALSE)=0,0,HLOOKUP("Bonus",A1:CV300,82,FALSE)/HLOOKUP("Mins",A1:CV300,82,FALSE)* 90)</f>
        <v>0.59405940594059403</v>
      </c>
      <c r="AY82" s="11673">
        <f>IF(HLOOKUP("Mins",A1:CV300,82,FALSE)=0,0,HLOOKUP("BPS",A1:CV300,82,FALSE)/HLOOKUP("Mins",A1:CV300,82,FALSE)* 90)</f>
        <v>20.792079207920793</v>
      </c>
      <c r="AZ82" s="11674">
        <f>IF(HLOOKUP("Mins",A1:CV300,82,FALSE)=0,0,HLOOKUP("Base BPS",A1:CV300,82,FALSE)/HLOOKUP("Mins",A1:CV300,82,FALSE)* 90)</f>
        <v>17.227722772277229</v>
      </c>
      <c r="BA82" s="11675">
        <f>IF(HLOOKUP("Mins",A1:CV300,82,FALSE)=0,0,HLOOKUP("PenTchs",A1:CV300,82,FALSE)/HLOOKUP("Mins",A1:CV300,82,FALSE)* 90)</f>
        <v>1.7821782178217822</v>
      </c>
      <c r="BB82" s="11676">
        <f>IF(HLOOKUP("Mins",A1:CV300,82,FALSE)=0,0,HLOOKUP("Shots",A1:CV300,82,FALSE)/HLOOKUP("Mins",A1:CV300,82,FALSE)* 90)</f>
        <v>0.29702970297029702</v>
      </c>
      <c r="BC82" s="11677">
        <f>IF(HLOOKUP("Mins",A1:CV300,82,FALSE)=0,0,HLOOKUP("SIB",A1:CV300,82,FALSE)/HLOOKUP("Mins",A1:CV300,82,FALSE)* 90)</f>
        <v>0.29702970297029702</v>
      </c>
      <c r="BD82" s="11678">
        <f>IF(HLOOKUP("Mins",A1:CV300,82,FALSE)=0,0,HLOOKUP("S6YD",A1:CV300,82,FALSE)/HLOOKUP("Mins",A1:CV300,82,FALSE)* 90)</f>
        <v>0</v>
      </c>
      <c r="BE82" s="11679">
        <f>IF(HLOOKUP("Mins",A1:CV300,82,FALSE)=0,0,HLOOKUP("Headers",A1:CV300,82,FALSE)/HLOOKUP("Mins",A1:CV300,82,FALSE)* 90)</f>
        <v>0.29702970297029702</v>
      </c>
      <c r="BF82" s="11680">
        <f>IF(HLOOKUP("Mins",A1:CV300,82,FALSE)=0,0,HLOOKUP("SOT",A1:CV300,82,FALSE)/HLOOKUP("Mins",A1:CV300,82,FALSE)* 90)</f>
        <v>0.29702970297029702</v>
      </c>
      <c r="BG82" s="11681">
        <f>IF(HLOOKUP("Mins",A1:CV300,82,FALSE)=0,0,HLOOKUP("As",A1:CV300,82,FALSE)/HLOOKUP("Mins",A1:CV300,82,FALSE)* 90)</f>
        <v>0</v>
      </c>
      <c r="BH82" s="11682">
        <f>IF(HLOOKUP("Mins",A1:CV300,82,FALSE)=0,0,HLOOKUP("FPL As",A1:CV300,82,FALSE)/HLOOKUP("Mins",A1:CV300,82,FALSE)* 90)</f>
        <v>0</v>
      </c>
      <c r="BI82" s="11683">
        <f>IF(HLOOKUP("Mins",A1:CV300,82,FALSE)=0,0,HLOOKUP("BC Created",A1:CV300,82,FALSE)/HLOOKUP("Mins",A1:CV300,82,FALSE)* 90)</f>
        <v>0.59405940594059403</v>
      </c>
      <c r="BJ82" s="11684">
        <f>IF(HLOOKUP("Mins",A1:CV300,82,FALSE)=0,0,HLOOKUP("KP",A1:CV300,82,FALSE)/HLOOKUP("Mins",A1:CV300,82,FALSE)* 90)</f>
        <v>0.59405940594059403</v>
      </c>
      <c r="BK82" s="11685">
        <f>IF(HLOOKUP("Mins",A1:CV300,82,FALSE)=0,0,HLOOKUP("BC",A1:CV300,82,FALSE)/HLOOKUP("Mins",A1:CV300,82,FALSE)* 90)</f>
        <v>0</v>
      </c>
      <c r="BL82" s="11686">
        <f>IF(HLOOKUP("Mins",A1:CV300,82,FALSE)=0,0,HLOOKUP("BC Miss",A1:CV300,82,FALSE)/HLOOKUP("Mins",A1:CV300,82,FALSE)* 90)</f>
        <v>0</v>
      </c>
      <c r="BM82" s="11687">
        <f>IF(HLOOKUP("Mins",A1:CV300,82,FALSE)=0,0,HLOOKUP("Gs - BC",A1:CV300,82,FALSE)/HLOOKUP("Mins",A1:CV300,82,FALSE)* 90)</f>
        <v>0</v>
      </c>
      <c r="BN82" s="11688">
        <f>IF(HLOOKUP("Mins",A1:CV300,82,FALSE)=0,0,HLOOKUP("GIB",A1:CV300,82,FALSE)/HLOOKUP("Mins",A1:CV300,82,FALSE)* 90)</f>
        <v>0</v>
      </c>
      <c r="BO82" s="11689">
        <f>IF(HLOOKUP("Mins",A1:CV300,82,FALSE)=0,0,HLOOKUP("Gs - Open",A1:CV300,82,FALSE)/HLOOKUP("Mins",A1:CV300,82,FALSE)* 90)</f>
        <v>0</v>
      </c>
      <c r="BP82" s="11690">
        <f>IF(HLOOKUP("Mins",A1:CV300,82,FALSE)=0,0,HLOOKUP("ICT Index",A1:CV300,82,FALSE)/HLOOKUP("Mins",A1:CV300,82,FALSE)* 90)</f>
        <v>3.891089108910891</v>
      </c>
      <c r="BQ82" s="11691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  <v>2.7623762376237624E-2</v>
      </c>
      <c r="BR82" s="11692">
        <f>0.0825*HLOOKUP("KP/90",A1:CV300,82,FALSE)</f>
        <v>4.9009900990099012E-2</v>
      </c>
      <c r="BS82" s="11693">
        <f>6*HLOOKUP("xG/90",A1:CV300,82,FALSE)+3*HLOOKUP("xA/90",A1:CV300,82,FALSE)</f>
        <v>0.31277227722772283</v>
      </c>
      <c r="BT82" s="11694">
        <f>HLOOKUP("xPts/90",A1:CV300,82,FALSE)-(6*0.75*(HLOOKUP("PK Gs",A1:CV300,82,FALSE)+HLOOKUP("PK Miss",A1:CV300,82,FALSE))*90/HLOOKUP("Mins",A1:CV300,82,FALSE))</f>
        <v>0.31277227722772283</v>
      </c>
      <c r="BU82" s="11695">
        <f>IF(HLOOKUP("Mins",A1:CV300,82,FALSE)=0,0,HLOOKUP("fsXG",A1:CV300,82,FALSE)/HLOOKUP("Mins",A1:CV300,82,FALSE)* 90)</f>
        <v>1.4851485148514851E-2</v>
      </c>
      <c r="BV82" s="11696">
        <f>IF(HLOOKUP("Mins",A1:CV300,82,FALSE)=0,0,HLOOKUP("fsXA",A1:CV300,82,FALSE)/HLOOKUP("Mins",A1:CV300,82,FALSE)* 90)</f>
        <v>6.2376237623762376E-2</v>
      </c>
      <c r="BW82" s="11697">
        <f>6*HLOOKUP("fsXG/90",A1:CV300,82,FALSE)+3*HLOOKUP("fsXA/90",A1:CV300,82,FALSE)</f>
        <v>0.27623762376237626</v>
      </c>
      <c r="BX82" s="11698">
        <v>3.9962125010788441E-3</v>
      </c>
      <c r="BY82" s="11699">
        <v>0.17990967631340027</v>
      </c>
      <c r="BZ82" s="11700">
        <f>6*HLOOKUP("uXG/90",A1:CV300,82,FALSE)+3*HLOOKUP("uXA/90",A1:CV300,82,FALSE)</f>
        <v>0.56370630394667387</v>
      </c>
    </row>
    <row r="83" spans="1:78" hidden="1" x14ac:dyDescent="0.3">
      <c r="A83" s="11701" t="s">
        <v>246</v>
      </c>
      <c r="B83" s="11702" t="s">
        <v>86</v>
      </c>
      <c r="C83" s="11703">
        <v>4.3000001907348633</v>
      </c>
      <c r="D83" s="11704">
        <v>790</v>
      </c>
      <c r="E83" s="11705">
        <v>10</v>
      </c>
      <c r="F83" s="11706">
        <v>17</v>
      </c>
      <c r="G83" s="11707">
        <v>0</v>
      </c>
      <c r="H83" s="11708">
        <v>0</v>
      </c>
      <c r="I83" s="11709">
        <v>113</v>
      </c>
      <c r="J83" s="11710">
        <f>HLOOKUP("BPS",A1:CV300,83,FALSE)-((-6*HLOOKUP("OG",A1:CV300,83,FALSE))+(-6*HLOOKUP("PK Miss",A1:CV300,83,FALSE))+(9*HLOOKUP("FPL As",A1:CV300,83,FALSE))+(12*HLOOKUP("CS",A1:CV300,83,FALSE))+(12*HLOOKUP("Gs",A1:CV300,83,FALSE)))</f>
        <v>89</v>
      </c>
      <c r="K83" s="11711">
        <v>0</v>
      </c>
      <c r="L83" s="11712">
        <v>2</v>
      </c>
      <c r="M83" s="11713">
        <v>4</v>
      </c>
      <c r="N83" s="11714">
        <v>3</v>
      </c>
      <c r="O83" s="11715">
        <v>2</v>
      </c>
      <c r="P83" s="11716">
        <f>IF(HLOOKUP("Shots",A1:CV300,83,FALSE)=0,0,HLOOKUP("SIB",A1:CV300,83,FALSE)/HLOOKUP("Shots",A1:CV300,83,FALSE))</f>
        <v>0.66666666666666663</v>
      </c>
      <c r="Q83" s="11717">
        <v>0</v>
      </c>
      <c r="R83" s="11718">
        <f>IF(HLOOKUP("Shots",A1:CV300,83,FALSE)=0,0,HLOOKUP("S6YD",A1:CV300,83,FALSE)/HLOOKUP("Shots",A1:CV300,83,FALSE))</f>
        <v>0</v>
      </c>
      <c r="S83" s="11719">
        <v>1</v>
      </c>
      <c r="T83" s="11720">
        <f>IF(HLOOKUP("Shots",A1:CV300,83,FALSE)=0,0,HLOOKUP("Headers",A1:CV300,83,FALSE)/HLOOKUP("Shots",A1:CV300,83,FALSE))</f>
        <v>0.33333333333333331</v>
      </c>
      <c r="U83" s="11721">
        <v>0</v>
      </c>
      <c r="V83" s="11722">
        <f>IF(HLOOKUP("Shots",A1:CV300,83,FALSE)=0,0,HLOOKUP("SOT",A1:CV300,83,FALSE)/HLOOKUP("Shots",A1:CV300,83,FALSE))</f>
        <v>0</v>
      </c>
      <c r="W83" s="11723">
        <f>IF(HLOOKUP("Shots",A1:CV300,83,FALSE)=0,0,HLOOKUP("Gs",A1:CV300,83,FALSE)/HLOOKUP("Shots",A1:CV300,83,FALSE))</f>
        <v>0</v>
      </c>
      <c r="X83" s="11724">
        <v>0</v>
      </c>
      <c r="Y83" s="11725">
        <v>0</v>
      </c>
      <c r="Z83" s="11726">
        <v>1</v>
      </c>
      <c r="AA83" s="11727">
        <f>IF(HLOOKUP("KP",A1:CV300,83,FALSE)=0,0,HLOOKUP("As",A1:CV300,83,FALSE)/HLOOKUP("KP",A1:CV300,83,FALSE))</f>
        <v>0</v>
      </c>
      <c r="AB83" s="11728">
        <v>17.5</v>
      </c>
      <c r="AC83" s="11729">
        <v>0</v>
      </c>
      <c r="AD83" s="11730">
        <v>0</v>
      </c>
      <c r="AE83" s="11731">
        <v>0</v>
      </c>
      <c r="AF83" s="11732">
        <v>0</v>
      </c>
      <c r="AG83" s="11733">
        <f>IF(HLOOKUP("BC",A1:CV300,83,FALSE)=0,0,HLOOKUP("Gs - BC",A1:CV300,83,FALSE)/HLOOKUP("BC",A1:CV300,83,FALSE))</f>
        <v>0</v>
      </c>
      <c r="AH83" s="11734">
        <f>HLOOKUP("BC",A1:CV300,83,FALSE) - HLOOKUP("BC Miss",A1:CV300,83,FALSE)</f>
        <v>0</v>
      </c>
      <c r="AI83" s="11735">
        <f>IF(HLOOKUP("Gs",A1:CV300,83,FALSE)=0,0,HLOOKUP("Gs - BC",A1:CV300,83,FALSE)/HLOOKUP("Gs",A1:CV300,83,FALSE))</f>
        <v>0</v>
      </c>
      <c r="AJ83" s="11736">
        <v>0</v>
      </c>
      <c r="AK83" s="11737">
        <v>0</v>
      </c>
      <c r="AL83" s="11738">
        <f>HLOOKUP("BC",A1:CV300,83,FALSE) - (HLOOKUP("PK Gs",A1:CV300,83,FALSE) + HLOOKUP("PK Miss",A1:CV300,83,FALSE))</f>
        <v>0</v>
      </c>
      <c r="AM83" s="11739">
        <f>HLOOKUP("BC Miss",A1:CV300,83,FALSE) - HLOOKUP("PK Miss",A1:CV300,83,FALSE)</f>
        <v>0</v>
      </c>
      <c r="AN83" s="11740">
        <f>IF(HLOOKUP("BC - Open",A1:CV300,83,FALSE)=0,0,HLOOKUP("BC - Open Miss",A1:CV300,83,FALSE)/HLOOKUP("BC - Open",A1:CV300,83,FALSE))</f>
        <v>0</v>
      </c>
      <c r="AO83" s="11741">
        <v>0</v>
      </c>
      <c r="AP83" s="11742">
        <f>IF(HLOOKUP("Gs",A1:CV300,83,FALSE)=0,0,HLOOKUP("GIB",A1:CV300,83,FALSE)/HLOOKUP("Gs",A1:CV300,83,FALSE))</f>
        <v>0</v>
      </c>
      <c r="AQ83" s="11743">
        <v>0</v>
      </c>
      <c r="AR83" s="11744">
        <f>IF(HLOOKUP("Gs",A1:CV300,83,FALSE)=0,0,HLOOKUP("Gs - Open",A1:CV300,83,FALSE)/HLOOKUP("Gs",A1:CV300,83,FALSE))</f>
        <v>0</v>
      </c>
      <c r="AS83" s="11745">
        <v>0.17</v>
      </c>
      <c r="AT83" s="11746">
        <v>0.12</v>
      </c>
      <c r="AU83" s="11747">
        <f>IF(HLOOKUP("Mins",A1:CV300,83,FALSE)=0,0,HLOOKUP("Pts",A1:CV300,83,FALSE)/HLOOKUP("Mins",A1:CV300,83,FALSE)* 90)</f>
        <v>1.9367088607594938</v>
      </c>
      <c r="AV83" s="11748">
        <f>IF(HLOOKUP("Apps",A1:CV300,83,FALSE)=0,0,HLOOKUP("Pts",A1:CV300,83,FALSE)/HLOOKUP("Apps",A1:CV300,83,FALSE)* 1)</f>
        <v>1.7</v>
      </c>
      <c r="AW83" s="11749">
        <f>IF(HLOOKUP("Mins",A1:CV300,83,FALSE)=0,0,HLOOKUP("Gs",A1:CV300,83,FALSE)/HLOOKUP("Mins",A1:CV300,83,FALSE)* 90)</f>
        <v>0</v>
      </c>
      <c r="AX83" s="11750">
        <f>IF(HLOOKUP("Mins",A1:CV300,83,FALSE)=0,0,HLOOKUP("Bonus",A1:CV300,83,FALSE)/HLOOKUP("Mins",A1:CV300,83,FALSE)* 90)</f>
        <v>0</v>
      </c>
      <c r="AY83" s="11751">
        <f>IF(HLOOKUP("Mins",A1:CV300,83,FALSE)=0,0,HLOOKUP("BPS",A1:CV300,83,FALSE)/HLOOKUP("Mins",A1:CV300,83,FALSE)* 90)</f>
        <v>12.873417721518988</v>
      </c>
      <c r="AZ83" s="11752">
        <f>IF(HLOOKUP("Mins",A1:CV300,83,FALSE)=0,0,HLOOKUP("Base BPS",A1:CV300,83,FALSE)/HLOOKUP("Mins",A1:CV300,83,FALSE)* 90)</f>
        <v>10.139240506329115</v>
      </c>
      <c r="BA83" s="11753">
        <f>IF(HLOOKUP("Mins",A1:CV300,83,FALSE)=0,0,HLOOKUP("PenTchs",A1:CV300,83,FALSE)/HLOOKUP("Mins",A1:CV300,83,FALSE)* 90)</f>
        <v>0.45569620253164556</v>
      </c>
      <c r="BB83" s="11754">
        <f>IF(HLOOKUP("Mins",A1:CV300,83,FALSE)=0,0,HLOOKUP("Shots",A1:CV300,83,FALSE)/HLOOKUP("Mins",A1:CV300,83,FALSE)* 90)</f>
        <v>0.34177215189873417</v>
      </c>
      <c r="BC83" s="11755">
        <f>IF(HLOOKUP("Mins",A1:CV300,83,FALSE)=0,0,HLOOKUP("SIB",A1:CV300,83,FALSE)/HLOOKUP("Mins",A1:CV300,83,FALSE)* 90)</f>
        <v>0.22784810126582278</v>
      </c>
      <c r="BD83" s="11756">
        <f>IF(HLOOKUP("Mins",A1:CV300,83,FALSE)=0,0,HLOOKUP("S6YD",A1:CV300,83,FALSE)/HLOOKUP("Mins",A1:CV300,83,FALSE)* 90)</f>
        <v>0</v>
      </c>
      <c r="BE83" s="11757">
        <f>IF(HLOOKUP("Mins",A1:CV300,83,FALSE)=0,0,HLOOKUP("Headers",A1:CV300,83,FALSE)/HLOOKUP("Mins",A1:CV300,83,FALSE)* 90)</f>
        <v>0.11392405063291139</v>
      </c>
      <c r="BF83" s="11758">
        <f>IF(HLOOKUP("Mins",A1:CV300,83,FALSE)=0,0,HLOOKUP("SOT",A1:CV300,83,FALSE)/HLOOKUP("Mins",A1:CV300,83,FALSE)* 90)</f>
        <v>0</v>
      </c>
      <c r="BG83" s="11759">
        <f>IF(HLOOKUP("Mins",A1:CV300,83,FALSE)=0,0,HLOOKUP("As",A1:CV300,83,FALSE)/HLOOKUP("Mins",A1:CV300,83,FALSE)* 90)</f>
        <v>0</v>
      </c>
      <c r="BH83" s="11760">
        <f>IF(HLOOKUP("Mins",A1:CV300,83,FALSE)=0,0,HLOOKUP("FPL As",A1:CV300,83,FALSE)/HLOOKUP("Mins",A1:CV300,83,FALSE)* 90)</f>
        <v>0</v>
      </c>
      <c r="BI83" s="11761">
        <f>IF(HLOOKUP("Mins",A1:CV300,83,FALSE)=0,0,HLOOKUP("BC Created",A1:CV300,83,FALSE)/HLOOKUP("Mins",A1:CV300,83,FALSE)* 90)</f>
        <v>0</v>
      </c>
      <c r="BJ83" s="11762">
        <f>IF(HLOOKUP("Mins",A1:CV300,83,FALSE)=0,0,HLOOKUP("KP",A1:CV300,83,FALSE)/HLOOKUP("Mins",A1:CV300,83,FALSE)* 90)</f>
        <v>0.11392405063291139</v>
      </c>
      <c r="BK83" s="11763">
        <f>IF(HLOOKUP("Mins",A1:CV300,83,FALSE)=0,0,HLOOKUP("BC",A1:CV300,83,FALSE)/HLOOKUP("Mins",A1:CV300,83,FALSE)* 90)</f>
        <v>0</v>
      </c>
      <c r="BL83" s="11764">
        <f>IF(HLOOKUP("Mins",A1:CV300,83,FALSE)=0,0,HLOOKUP("BC Miss",A1:CV300,83,FALSE)/HLOOKUP("Mins",A1:CV300,83,FALSE)* 90)</f>
        <v>0</v>
      </c>
      <c r="BM83" s="11765">
        <f>IF(HLOOKUP("Mins",A1:CV300,83,FALSE)=0,0,HLOOKUP("Gs - BC",A1:CV300,83,FALSE)/HLOOKUP("Mins",A1:CV300,83,FALSE)* 90)</f>
        <v>0</v>
      </c>
      <c r="BN83" s="11766">
        <f>IF(HLOOKUP("Mins",A1:CV300,83,FALSE)=0,0,HLOOKUP("GIB",A1:CV300,83,FALSE)/HLOOKUP("Mins",A1:CV300,83,FALSE)* 90)</f>
        <v>0</v>
      </c>
      <c r="BO83" s="11767">
        <f>IF(HLOOKUP("Mins",A1:CV300,83,FALSE)=0,0,HLOOKUP("Gs - Open",A1:CV300,83,FALSE)/HLOOKUP("Mins",A1:CV300,83,FALSE)* 90)</f>
        <v>0</v>
      </c>
      <c r="BP83" s="11768">
        <f>IF(HLOOKUP("Mins",A1:CV300,83,FALSE)=0,0,HLOOKUP("ICT Index",A1:CV300,83,FALSE)/HLOOKUP("Mins",A1:CV300,83,FALSE)* 90)</f>
        <v>1.9936708860759493</v>
      </c>
      <c r="BQ83" s="11769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  <v>2.3468354430379746E-2</v>
      </c>
      <c r="BR83" s="11770">
        <f>0.0825*HLOOKUP("KP/90",A1:CV300,83,FALSE)</f>
        <v>9.3987341772151893E-3</v>
      </c>
      <c r="BS83" s="11771">
        <f>6*HLOOKUP("xG/90",A1:CV300,83,FALSE)+3*HLOOKUP("xA/90",A1:CV300,83,FALSE)</f>
        <v>0.16900632911392405</v>
      </c>
      <c r="BT83" s="11772">
        <f>HLOOKUP("xPts/90",A1:CV300,83,FALSE)-(6*0.75*(HLOOKUP("PK Gs",A1:CV300,83,FALSE)+HLOOKUP("PK Miss",A1:CV300,83,FALSE))*90/HLOOKUP("Mins",A1:CV300,83,FALSE))</f>
        <v>0.16900632911392405</v>
      </c>
      <c r="BU83" s="11773">
        <f>IF(HLOOKUP("Mins",A1:CV300,83,FALSE)=0,0,HLOOKUP("fsXG",A1:CV300,83,FALSE)/HLOOKUP("Mins",A1:CV300,83,FALSE)* 90)</f>
        <v>1.9367088607594941E-2</v>
      </c>
      <c r="BV83" s="11774">
        <f>IF(HLOOKUP("Mins",A1:CV300,83,FALSE)=0,0,HLOOKUP("fsXA",A1:CV300,83,FALSE)/HLOOKUP("Mins",A1:CV300,83,FALSE)* 90)</f>
        <v>1.3670886075949365E-2</v>
      </c>
      <c r="BW83" s="11775">
        <f>6*HLOOKUP("fsXG/90",A1:CV300,83,FALSE)+3*HLOOKUP("fsXA/90",A1:CV300,83,FALSE)</f>
        <v>0.15721518987341776</v>
      </c>
      <c r="BX83" s="11776">
        <v>1.447000540792942E-2</v>
      </c>
      <c r="BY83" s="11777">
        <v>7.1888137608766556E-3</v>
      </c>
      <c r="BZ83" s="11778">
        <f>6*HLOOKUP("uXG/90",A1:CV300,83,FALSE)+3*HLOOKUP("uXA/90",A1:CV300,83,FALSE)</f>
        <v>0.10838647373020649</v>
      </c>
    </row>
    <row r="84" spans="1:78" hidden="1" x14ac:dyDescent="0.3">
      <c r="A84" s="11779" t="s">
        <v>247</v>
      </c>
      <c r="B84" s="11780" t="s">
        <v>81</v>
      </c>
      <c r="C84" s="11781">
        <v>4.8000001907348633</v>
      </c>
      <c r="D84" s="11782">
        <v>110</v>
      </c>
      <c r="E84" s="11783">
        <v>3</v>
      </c>
      <c r="F84" s="11784">
        <v>7</v>
      </c>
      <c r="G84" s="11785">
        <v>0</v>
      </c>
      <c r="H84" s="11786">
        <v>0</v>
      </c>
      <c r="I84" s="11787">
        <v>30</v>
      </c>
      <c r="J84" s="11788">
        <f>HLOOKUP("BPS",A1:CV300,84,FALSE)-((-6*HLOOKUP("OG",A1:CV300,84,FALSE))+(-6*HLOOKUP("PK Miss",A1:CV300,84,FALSE))+(9*HLOOKUP("FPL As",A1:CV300,84,FALSE))+(12*HLOOKUP("CS",A1:CV300,84,FALSE))+(12*HLOOKUP("Gs",A1:CV300,84,FALSE)))</f>
        <v>21</v>
      </c>
      <c r="K84" s="11789">
        <v>0</v>
      </c>
      <c r="L84" s="11790">
        <v>0</v>
      </c>
      <c r="M84" s="11791">
        <v>3</v>
      </c>
      <c r="N84" s="11792">
        <v>0</v>
      </c>
      <c r="O84" s="11793">
        <v>0</v>
      </c>
      <c r="P84" s="11794">
        <f>IF(HLOOKUP("Shots",A1:CV300,84,FALSE)=0,0,HLOOKUP("SIB",A1:CV300,84,FALSE)/HLOOKUP("Shots",A1:CV300,84,FALSE))</f>
        <v>0</v>
      </c>
      <c r="Q84" s="11795">
        <v>0</v>
      </c>
      <c r="R84" s="11796">
        <f>IF(HLOOKUP("Shots",A1:CV300,84,FALSE)=0,0,HLOOKUP("S6YD",A1:CV300,84,FALSE)/HLOOKUP("Shots",A1:CV300,84,FALSE))</f>
        <v>0</v>
      </c>
      <c r="S84" s="11797">
        <v>0</v>
      </c>
      <c r="T84" s="11798">
        <f>IF(HLOOKUP("Shots",A1:CV300,84,FALSE)=0,0,HLOOKUP("Headers",A1:CV300,84,FALSE)/HLOOKUP("Shots",A1:CV300,84,FALSE))</f>
        <v>0</v>
      </c>
      <c r="U84" s="11799">
        <v>0</v>
      </c>
      <c r="V84" s="11800">
        <f>IF(HLOOKUP("Shots",A1:CV300,84,FALSE)=0,0,HLOOKUP("SOT",A1:CV300,84,FALSE)/HLOOKUP("Shots",A1:CV300,84,FALSE))</f>
        <v>0</v>
      </c>
      <c r="W84" s="11801">
        <f>IF(HLOOKUP("Shots",A1:CV300,84,FALSE)=0,0,HLOOKUP("Gs",A1:CV300,84,FALSE)/HLOOKUP("Shots",A1:CV300,84,FALSE))</f>
        <v>0</v>
      </c>
      <c r="X84" s="11802">
        <v>1</v>
      </c>
      <c r="Y84" s="11803">
        <v>1</v>
      </c>
      <c r="Z84" s="11804">
        <v>2</v>
      </c>
      <c r="AA84" s="11805">
        <f>IF(HLOOKUP("KP",A1:CV300,84,FALSE)=0,0,HLOOKUP("As",A1:CV300,84,FALSE)/HLOOKUP("KP",A1:CV300,84,FALSE))</f>
        <v>0.5</v>
      </c>
      <c r="AB84" s="11806">
        <v>8.1</v>
      </c>
      <c r="AC84" s="11807">
        <v>33</v>
      </c>
      <c r="AD84" s="11808">
        <v>1</v>
      </c>
      <c r="AE84" s="11809">
        <v>0</v>
      </c>
      <c r="AF84" s="11810">
        <v>0</v>
      </c>
      <c r="AG84" s="11811">
        <f>IF(HLOOKUP("BC",A1:CV300,84,FALSE)=0,0,HLOOKUP("Gs - BC",A1:CV300,84,FALSE)/HLOOKUP("BC",A1:CV300,84,FALSE))</f>
        <v>0</v>
      </c>
      <c r="AH84" s="11812">
        <f>HLOOKUP("BC",A1:CV300,84,FALSE) - HLOOKUP("BC Miss",A1:CV300,84,FALSE)</f>
        <v>0</v>
      </c>
      <c r="AI84" s="11813">
        <f>IF(HLOOKUP("Gs",A1:CV300,84,FALSE)=0,0,HLOOKUP("Gs - BC",A1:CV300,84,FALSE)/HLOOKUP("Gs",A1:CV300,84,FALSE))</f>
        <v>0</v>
      </c>
      <c r="AJ84" s="11814">
        <v>0</v>
      </c>
      <c r="AK84" s="11815">
        <v>0</v>
      </c>
      <c r="AL84" s="11816">
        <f>HLOOKUP("BC",A1:CV300,84,FALSE) - (HLOOKUP("PK Gs",A1:CV300,84,FALSE) + HLOOKUP("PK Miss",A1:CV300,84,FALSE))</f>
        <v>0</v>
      </c>
      <c r="AM84" s="11817">
        <f>HLOOKUP("BC Miss",A1:CV300,84,FALSE) - HLOOKUP("PK Miss",A1:CV300,84,FALSE)</f>
        <v>0</v>
      </c>
      <c r="AN84" s="11818">
        <f>IF(HLOOKUP("BC - Open",A1:CV300,84,FALSE)=0,0,HLOOKUP("BC - Open Miss",A1:CV300,84,FALSE)/HLOOKUP("BC - Open",A1:CV300,84,FALSE))</f>
        <v>0</v>
      </c>
      <c r="AO84" s="11819">
        <v>0</v>
      </c>
      <c r="AP84" s="11820">
        <f>IF(HLOOKUP("Gs",A1:CV300,84,FALSE)=0,0,HLOOKUP("GIB",A1:CV300,84,FALSE)/HLOOKUP("Gs",A1:CV300,84,FALSE))</f>
        <v>0</v>
      </c>
      <c r="AQ84" s="11821">
        <v>0</v>
      </c>
      <c r="AR84" s="11822">
        <f>IF(HLOOKUP("Gs",A1:CV300,84,FALSE)=0,0,HLOOKUP("Gs - Open",A1:CV300,84,FALSE)/HLOOKUP("Gs",A1:CV300,84,FALSE))</f>
        <v>0</v>
      </c>
      <c r="AS84" s="11823">
        <v>0</v>
      </c>
      <c r="AT84" s="11824">
        <v>0.06</v>
      </c>
      <c r="AU84" s="11825">
        <f>IF(HLOOKUP("Mins",A1:CV300,84,FALSE)=0,0,HLOOKUP("Pts",A1:CV300,84,FALSE)/HLOOKUP("Mins",A1:CV300,84,FALSE)* 90)</f>
        <v>5.7272727272727266</v>
      </c>
      <c r="AV84" s="11826">
        <f>IF(HLOOKUP("Apps",A1:CV300,84,FALSE)=0,0,HLOOKUP("Pts",A1:CV300,84,FALSE)/HLOOKUP("Apps",A1:CV300,84,FALSE)* 1)</f>
        <v>2.3333333333333335</v>
      </c>
      <c r="AW84" s="11827">
        <f>IF(HLOOKUP("Mins",A1:CV300,84,FALSE)=0,0,HLOOKUP("Gs",A1:CV300,84,FALSE)/HLOOKUP("Mins",A1:CV300,84,FALSE)* 90)</f>
        <v>0</v>
      </c>
      <c r="AX84" s="11828">
        <f>IF(HLOOKUP("Mins",A1:CV300,84,FALSE)=0,0,HLOOKUP("Bonus",A1:CV300,84,FALSE)/HLOOKUP("Mins",A1:CV300,84,FALSE)* 90)</f>
        <v>0</v>
      </c>
      <c r="AY84" s="11829">
        <f>IF(HLOOKUP("Mins",A1:CV300,84,FALSE)=0,0,HLOOKUP("BPS",A1:CV300,84,FALSE)/HLOOKUP("Mins",A1:CV300,84,FALSE)* 90)</f>
        <v>24.545454545454543</v>
      </c>
      <c r="AZ84" s="11830">
        <f>IF(HLOOKUP("Mins",A1:CV300,84,FALSE)=0,0,HLOOKUP("Base BPS",A1:CV300,84,FALSE)/HLOOKUP("Mins",A1:CV300,84,FALSE)* 90)</f>
        <v>17.181818181818183</v>
      </c>
      <c r="BA84" s="11831">
        <f>IF(HLOOKUP("Mins",A1:CV300,84,FALSE)=0,0,HLOOKUP("PenTchs",A1:CV300,84,FALSE)/HLOOKUP("Mins",A1:CV300,84,FALSE)* 90)</f>
        <v>2.4545454545454546</v>
      </c>
      <c r="BB84" s="11832">
        <f>IF(HLOOKUP("Mins",A1:CV300,84,FALSE)=0,0,HLOOKUP("Shots",A1:CV300,84,FALSE)/HLOOKUP("Mins",A1:CV300,84,FALSE)* 90)</f>
        <v>0</v>
      </c>
      <c r="BC84" s="11833">
        <f>IF(HLOOKUP("Mins",A1:CV300,84,FALSE)=0,0,HLOOKUP("SIB",A1:CV300,84,FALSE)/HLOOKUP("Mins",A1:CV300,84,FALSE)* 90)</f>
        <v>0</v>
      </c>
      <c r="BD84" s="11834">
        <f>IF(HLOOKUP("Mins",A1:CV300,84,FALSE)=0,0,HLOOKUP("S6YD",A1:CV300,84,FALSE)/HLOOKUP("Mins",A1:CV300,84,FALSE)* 90)</f>
        <v>0</v>
      </c>
      <c r="BE84" s="11835">
        <f>IF(HLOOKUP("Mins",A1:CV300,84,FALSE)=0,0,HLOOKUP("Headers",A1:CV300,84,FALSE)/HLOOKUP("Mins",A1:CV300,84,FALSE)* 90)</f>
        <v>0</v>
      </c>
      <c r="BF84" s="11836">
        <f>IF(HLOOKUP("Mins",A1:CV300,84,FALSE)=0,0,HLOOKUP("SOT",A1:CV300,84,FALSE)/HLOOKUP("Mins",A1:CV300,84,FALSE)* 90)</f>
        <v>0</v>
      </c>
      <c r="BG84" s="11837">
        <f>IF(HLOOKUP("Mins",A1:CV300,84,FALSE)=0,0,HLOOKUP("As",A1:CV300,84,FALSE)/HLOOKUP("Mins",A1:CV300,84,FALSE)* 90)</f>
        <v>0.81818181818181812</v>
      </c>
      <c r="BH84" s="11838">
        <f>IF(HLOOKUP("Mins",A1:CV300,84,FALSE)=0,0,HLOOKUP("FPL As",A1:CV300,84,FALSE)/HLOOKUP("Mins",A1:CV300,84,FALSE)* 90)</f>
        <v>0.81818181818181812</v>
      </c>
      <c r="BI84" s="11839">
        <f>IF(HLOOKUP("Mins",A1:CV300,84,FALSE)=0,0,HLOOKUP("BC Created",A1:CV300,84,FALSE)/HLOOKUP("Mins",A1:CV300,84,FALSE)* 90)</f>
        <v>0.81818181818181812</v>
      </c>
      <c r="BJ84" s="11840">
        <f>IF(HLOOKUP("Mins",A1:CV300,84,FALSE)=0,0,HLOOKUP("KP",A1:CV300,84,FALSE)/HLOOKUP("Mins",A1:CV300,84,FALSE)* 90)</f>
        <v>1.6363636363636362</v>
      </c>
      <c r="BK84" s="11841">
        <f>IF(HLOOKUP("Mins",A1:CV300,84,FALSE)=0,0,HLOOKUP("BC",A1:CV300,84,FALSE)/HLOOKUP("Mins",A1:CV300,84,FALSE)* 90)</f>
        <v>0</v>
      </c>
      <c r="BL84" s="11842">
        <f>IF(HLOOKUP("Mins",A1:CV300,84,FALSE)=0,0,HLOOKUP("BC Miss",A1:CV300,84,FALSE)/HLOOKUP("Mins",A1:CV300,84,FALSE)* 90)</f>
        <v>0</v>
      </c>
      <c r="BM84" s="11843">
        <f>IF(HLOOKUP("Mins",A1:CV300,84,FALSE)=0,0,HLOOKUP("Gs - BC",A1:CV300,84,FALSE)/HLOOKUP("Mins",A1:CV300,84,FALSE)* 90)</f>
        <v>0</v>
      </c>
      <c r="BN84" s="11844">
        <f>IF(HLOOKUP("Mins",A1:CV300,84,FALSE)=0,0,HLOOKUP("GIB",A1:CV300,84,FALSE)/HLOOKUP("Mins",A1:CV300,84,FALSE)* 90)</f>
        <v>0</v>
      </c>
      <c r="BO84" s="11845">
        <f>IF(HLOOKUP("Mins",A1:CV300,84,FALSE)=0,0,HLOOKUP("Gs - Open",A1:CV300,84,FALSE)/HLOOKUP("Mins",A1:CV300,84,FALSE)* 90)</f>
        <v>0</v>
      </c>
      <c r="BP84" s="11846">
        <f>IF(HLOOKUP("Mins",A1:CV300,84,FALSE)=0,0,HLOOKUP("ICT Index",A1:CV300,84,FALSE)/HLOOKUP("Mins",A1:CV300,84,FALSE)* 90)</f>
        <v>6.6272727272727279</v>
      </c>
      <c r="BQ84" s="11847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  <v>0</v>
      </c>
      <c r="BR84" s="11848">
        <f>0.0825*HLOOKUP("KP/90",A1:CV300,84,FALSE)</f>
        <v>0.13500000000000001</v>
      </c>
      <c r="BS84" s="11849">
        <f>6*HLOOKUP("xG/90",A1:CV300,84,FALSE)+3*HLOOKUP("xA/90",A1:CV300,84,FALSE)</f>
        <v>0.40500000000000003</v>
      </c>
      <c r="BT84" s="11850">
        <f>HLOOKUP("xPts/90",A1:CV300,84,FALSE)-(6*0.75*(HLOOKUP("PK Gs",A1:CV300,84,FALSE)+HLOOKUP("PK Miss",A1:CV300,84,FALSE))*90/HLOOKUP("Mins",A1:CV300,84,FALSE))</f>
        <v>0.40500000000000003</v>
      </c>
      <c r="BU84" s="11851">
        <f>IF(HLOOKUP("Mins",A1:CV300,84,FALSE)=0,0,HLOOKUP("fsXG",A1:CV300,84,FALSE)/HLOOKUP("Mins",A1:CV300,84,FALSE)* 90)</f>
        <v>0</v>
      </c>
      <c r="BV84" s="11852">
        <f>IF(HLOOKUP("Mins",A1:CV300,84,FALSE)=0,0,HLOOKUP("fsXA",A1:CV300,84,FALSE)/HLOOKUP("Mins",A1:CV300,84,FALSE)* 90)</f>
        <v>4.9090909090909095E-2</v>
      </c>
      <c r="BW84" s="11853">
        <f>6*HLOOKUP("fsXG/90",A1:CV300,84,FALSE)+3*HLOOKUP("fsXA/90",A1:CV300,84,FALSE)</f>
        <v>0.14727272727272728</v>
      </c>
      <c r="BX84" s="11854">
        <v>0</v>
      </c>
      <c r="BY84" s="11855">
        <v>0.4087890088558197</v>
      </c>
      <c r="BZ84" s="11856">
        <f>6*HLOOKUP("uXG/90",A1:CV300,84,FALSE)+3*HLOOKUP("uXA/90",A1:CV300,84,FALSE)</f>
        <v>1.2263670265674591</v>
      </c>
    </row>
    <row r="85" spans="1:78" hidden="1" x14ac:dyDescent="0.3">
      <c r="A85" s="11857" t="s">
        <v>248</v>
      </c>
      <c r="B85" s="11858" t="s">
        <v>89</v>
      </c>
      <c r="C85" s="11859">
        <v>5.3000001907348633</v>
      </c>
      <c r="D85" s="11860">
        <v>894</v>
      </c>
      <c r="E85" s="11861">
        <v>12</v>
      </c>
      <c r="F85" s="11862">
        <v>17</v>
      </c>
      <c r="G85" s="11863">
        <v>0</v>
      </c>
      <c r="H85" s="11864">
        <v>0</v>
      </c>
      <c r="I85" s="11865">
        <v>137</v>
      </c>
      <c r="J85" s="11866">
        <f>HLOOKUP("BPS",A1:CV300,85,FALSE)-((-6*HLOOKUP("OG",A1:CV300,85,FALSE))+(-6*HLOOKUP("PK Miss",A1:CV300,85,FALSE))+(9*HLOOKUP("FPL As",A1:CV300,85,FALSE))+(12*HLOOKUP("CS",A1:CV300,85,FALSE))+(12*HLOOKUP("Gs",A1:CV300,85,FALSE)))</f>
        <v>125</v>
      </c>
      <c r="K85" s="11867">
        <v>0</v>
      </c>
      <c r="L85" s="11868">
        <v>1</v>
      </c>
      <c r="M85" s="11869">
        <v>13</v>
      </c>
      <c r="N85" s="11870">
        <v>2</v>
      </c>
      <c r="O85" s="11871">
        <v>1</v>
      </c>
      <c r="P85" s="11872">
        <f>IF(HLOOKUP("Shots",A1:CV300,85,FALSE)=0,0,HLOOKUP("SIB",A1:CV300,85,FALSE)/HLOOKUP("Shots",A1:CV300,85,FALSE))</f>
        <v>0.5</v>
      </c>
      <c r="Q85" s="11873">
        <v>0</v>
      </c>
      <c r="R85" s="11874">
        <f>IF(HLOOKUP("Shots",A1:CV300,85,FALSE)=0,0,HLOOKUP("S6YD",A1:CV300,85,FALSE)/HLOOKUP("Shots",A1:CV300,85,FALSE))</f>
        <v>0</v>
      </c>
      <c r="S85" s="11875">
        <v>0</v>
      </c>
      <c r="T85" s="11876">
        <f>IF(HLOOKUP("Shots",A1:CV300,85,FALSE)=0,0,HLOOKUP("Headers",A1:CV300,85,FALSE)/HLOOKUP("Shots",A1:CV300,85,FALSE))</f>
        <v>0</v>
      </c>
      <c r="U85" s="11877">
        <v>0</v>
      </c>
      <c r="V85" s="11878">
        <f>IF(HLOOKUP("Shots",A1:CV300,85,FALSE)=0,0,HLOOKUP("SOT",A1:CV300,85,FALSE)/HLOOKUP("Shots",A1:CV300,85,FALSE))</f>
        <v>0</v>
      </c>
      <c r="W85" s="11879">
        <f>IF(HLOOKUP("Shots",A1:CV300,85,FALSE)=0,0,HLOOKUP("Gs",A1:CV300,85,FALSE)/HLOOKUP("Shots",A1:CV300,85,FALSE))</f>
        <v>0</v>
      </c>
      <c r="X85" s="11880">
        <v>0</v>
      </c>
      <c r="Y85" s="11881">
        <v>0</v>
      </c>
      <c r="Z85" s="11882">
        <v>11</v>
      </c>
      <c r="AA85" s="11883">
        <f>IF(HLOOKUP("KP",A1:CV300,85,FALSE)=0,0,HLOOKUP("As",A1:CV300,85,FALSE)/HLOOKUP("KP",A1:CV300,85,FALSE))</f>
        <v>0</v>
      </c>
      <c r="AB85" s="11884">
        <v>38.5</v>
      </c>
      <c r="AC85" s="11885">
        <v>0</v>
      </c>
      <c r="AD85" s="11886">
        <v>1</v>
      </c>
      <c r="AE85" s="11887">
        <v>0</v>
      </c>
      <c r="AF85" s="11888">
        <v>0</v>
      </c>
      <c r="AG85" s="11889">
        <f>IF(HLOOKUP("BC",A1:CV300,85,FALSE)=0,0,HLOOKUP("Gs - BC",A1:CV300,85,FALSE)/HLOOKUP("BC",A1:CV300,85,FALSE))</f>
        <v>0</v>
      </c>
      <c r="AH85" s="11890">
        <f>HLOOKUP("BC",A1:CV300,85,FALSE) - HLOOKUP("BC Miss",A1:CV300,85,FALSE)</f>
        <v>0</v>
      </c>
      <c r="AI85" s="11891">
        <f>IF(HLOOKUP("Gs",A1:CV300,85,FALSE)=0,0,HLOOKUP("Gs - BC",A1:CV300,85,FALSE)/HLOOKUP("Gs",A1:CV300,85,FALSE))</f>
        <v>0</v>
      </c>
      <c r="AJ85" s="11892">
        <v>0</v>
      </c>
      <c r="AK85" s="11893">
        <v>0</v>
      </c>
      <c r="AL85" s="11894">
        <f>HLOOKUP("BC",A1:CV300,85,FALSE) - (HLOOKUP("PK Gs",A1:CV300,85,FALSE) + HLOOKUP("PK Miss",A1:CV300,85,FALSE))</f>
        <v>0</v>
      </c>
      <c r="AM85" s="11895">
        <f>HLOOKUP("BC Miss",A1:CV300,85,FALSE) - HLOOKUP("PK Miss",A1:CV300,85,FALSE)</f>
        <v>0</v>
      </c>
      <c r="AN85" s="11896">
        <f>IF(HLOOKUP("BC - Open",A1:CV300,85,FALSE)=0,0,HLOOKUP("BC - Open Miss",A1:CV300,85,FALSE)/HLOOKUP("BC - Open",A1:CV300,85,FALSE))</f>
        <v>0</v>
      </c>
      <c r="AO85" s="11897">
        <v>0</v>
      </c>
      <c r="AP85" s="11898">
        <f>IF(HLOOKUP("Gs",A1:CV300,85,FALSE)=0,0,HLOOKUP("GIB",A1:CV300,85,FALSE)/HLOOKUP("Gs",A1:CV300,85,FALSE))</f>
        <v>0</v>
      </c>
      <c r="AQ85" s="11899">
        <v>0</v>
      </c>
      <c r="AR85" s="11900">
        <f>IF(HLOOKUP("Gs",A1:CV300,85,FALSE)=0,0,HLOOKUP("Gs - Open",A1:CV300,85,FALSE)/HLOOKUP("Gs",A1:CV300,85,FALSE))</f>
        <v>0</v>
      </c>
      <c r="AS85" s="11901">
        <v>0.08</v>
      </c>
      <c r="AT85" s="11902">
        <v>0.47</v>
      </c>
      <c r="AU85" s="11903">
        <f>IF(HLOOKUP("Mins",A1:CV300,85,FALSE)=0,0,HLOOKUP("Pts",A1:CV300,85,FALSE)/HLOOKUP("Mins",A1:CV300,85,FALSE)* 90)</f>
        <v>1.7114093959731542</v>
      </c>
      <c r="AV85" s="11904">
        <f>IF(HLOOKUP("Apps",A1:CV300,85,FALSE)=0,0,HLOOKUP("Pts",A1:CV300,85,FALSE)/HLOOKUP("Apps",A1:CV300,85,FALSE)* 1)</f>
        <v>1.4166666666666667</v>
      </c>
      <c r="AW85" s="11905">
        <f>IF(HLOOKUP("Mins",A1:CV300,85,FALSE)=0,0,HLOOKUP("Gs",A1:CV300,85,FALSE)/HLOOKUP("Mins",A1:CV300,85,FALSE)* 90)</f>
        <v>0</v>
      </c>
      <c r="AX85" s="11906">
        <f>IF(HLOOKUP("Mins",A1:CV300,85,FALSE)=0,0,HLOOKUP("Bonus",A1:CV300,85,FALSE)/HLOOKUP("Mins",A1:CV300,85,FALSE)* 90)</f>
        <v>0</v>
      </c>
      <c r="AY85" s="11907">
        <f>IF(HLOOKUP("Mins",A1:CV300,85,FALSE)=0,0,HLOOKUP("BPS",A1:CV300,85,FALSE)/HLOOKUP("Mins",A1:CV300,85,FALSE)* 90)</f>
        <v>13.791946308724834</v>
      </c>
      <c r="AZ85" s="11908">
        <f>IF(HLOOKUP("Mins",A1:CV300,85,FALSE)=0,0,HLOOKUP("Base BPS",A1:CV300,85,FALSE)/HLOOKUP("Mins",A1:CV300,85,FALSE)* 90)</f>
        <v>12.583892617449665</v>
      </c>
      <c r="BA85" s="11909">
        <f>IF(HLOOKUP("Mins",A1:CV300,85,FALSE)=0,0,HLOOKUP("PenTchs",A1:CV300,85,FALSE)/HLOOKUP("Mins",A1:CV300,85,FALSE)* 90)</f>
        <v>1.3087248322147651</v>
      </c>
      <c r="BB85" s="11910">
        <f>IF(HLOOKUP("Mins",A1:CV300,85,FALSE)=0,0,HLOOKUP("Shots",A1:CV300,85,FALSE)/HLOOKUP("Mins",A1:CV300,85,FALSE)* 90)</f>
        <v>0.20134228187919462</v>
      </c>
      <c r="BC85" s="11911">
        <f>IF(HLOOKUP("Mins",A1:CV300,85,FALSE)=0,0,HLOOKUP("SIB",A1:CV300,85,FALSE)/HLOOKUP("Mins",A1:CV300,85,FALSE)* 90)</f>
        <v>0.10067114093959731</v>
      </c>
      <c r="BD85" s="11912">
        <f>IF(HLOOKUP("Mins",A1:CV300,85,FALSE)=0,0,HLOOKUP("S6YD",A1:CV300,85,FALSE)/HLOOKUP("Mins",A1:CV300,85,FALSE)* 90)</f>
        <v>0</v>
      </c>
      <c r="BE85" s="11913">
        <f>IF(HLOOKUP("Mins",A1:CV300,85,FALSE)=0,0,HLOOKUP("Headers",A1:CV300,85,FALSE)/HLOOKUP("Mins",A1:CV300,85,FALSE)* 90)</f>
        <v>0</v>
      </c>
      <c r="BF85" s="11914">
        <f>IF(HLOOKUP("Mins",A1:CV300,85,FALSE)=0,0,HLOOKUP("SOT",A1:CV300,85,FALSE)/HLOOKUP("Mins",A1:CV300,85,FALSE)* 90)</f>
        <v>0</v>
      </c>
      <c r="BG85" s="11915">
        <f>IF(HLOOKUP("Mins",A1:CV300,85,FALSE)=0,0,HLOOKUP("As",A1:CV300,85,FALSE)/HLOOKUP("Mins",A1:CV300,85,FALSE)* 90)</f>
        <v>0</v>
      </c>
      <c r="BH85" s="11916">
        <f>IF(HLOOKUP("Mins",A1:CV300,85,FALSE)=0,0,HLOOKUP("FPL As",A1:CV300,85,FALSE)/HLOOKUP("Mins",A1:CV300,85,FALSE)* 90)</f>
        <v>0</v>
      </c>
      <c r="BI85" s="11917">
        <f>IF(HLOOKUP("Mins",A1:CV300,85,FALSE)=0,0,HLOOKUP("BC Created",A1:CV300,85,FALSE)/HLOOKUP("Mins",A1:CV300,85,FALSE)* 90)</f>
        <v>0.10067114093959731</v>
      </c>
      <c r="BJ85" s="11918">
        <f>IF(HLOOKUP("Mins",A1:CV300,85,FALSE)=0,0,HLOOKUP("KP",A1:CV300,85,FALSE)/HLOOKUP("Mins",A1:CV300,85,FALSE)* 90)</f>
        <v>1.1073825503355705</v>
      </c>
      <c r="BK85" s="11919">
        <f>IF(HLOOKUP("Mins",A1:CV300,85,FALSE)=0,0,HLOOKUP("BC",A1:CV300,85,FALSE)/HLOOKUP("Mins",A1:CV300,85,FALSE)* 90)</f>
        <v>0</v>
      </c>
      <c r="BL85" s="11920">
        <f>IF(HLOOKUP("Mins",A1:CV300,85,FALSE)=0,0,HLOOKUP("BC Miss",A1:CV300,85,FALSE)/HLOOKUP("Mins",A1:CV300,85,FALSE)* 90)</f>
        <v>0</v>
      </c>
      <c r="BM85" s="11921">
        <f>IF(HLOOKUP("Mins",A1:CV300,85,FALSE)=0,0,HLOOKUP("Gs - BC",A1:CV300,85,FALSE)/HLOOKUP("Mins",A1:CV300,85,FALSE)* 90)</f>
        <v>0</v>
      </c>
      <c r="BN85" s="11922">
        <f>IF(HLOOKUP("Mins",A1:CV300,85,FALSE)=0,0,HLOOKUP("GIB",A1:CV300,85,FALSE)/HLOOKUP("Mins",A1:CV300,85,FALSE)* 90)</f>
        <v>0</v>
      </c>
      <c r="BO85" s="11923">
        <f>IF(HLOOKUP("Mins",A1:CV300,85,FALSE)=0,0,HLOOKUP("Gs - Open",A1:CV300,85,FALSE)/HLOOKUP("Mins",A1:CV300,85,FALSE)* 90)</f>
        <v>0</v>
      </c>
      <c r="BP85" s="11924">
        <f>IF(HLOOKUP("Mins",A1:CV300,85,FALSE)=0,0,HLOOKUP("ICT Index",A1:CV300,85,FALSE)/HLOOKUP("Mins",A1:CV300,85,FALSE)* 90)</f>
        <v>3.8758389261744965</v>
      </c>
      <c r="BQ85" s="11925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  <v>1.1375838926174497E-2</v>
      </c>
      <c r="BR85" s="11926">
        <f>0.0825*HLOOKUP("KP/90",A1:CV300,85,FALSE)</f>
        <v>9.1359060402684572E-2</v>
      </c>
      <c r="BS85" s="11927">
        <f>6*HLOOKUP("xG/90",A1:CV300,85,FALSE)+3*HLOOKUP("xA/90",A1:CV300,85,FALSE)</f>
        <v>0.34233221476510067</v>
      </c>
      <c r="BT85" s="11928">
        <f>HLOOKUP("xPts/90",A1:CV300,85,FALSE)-(6*0.75*(HLOOKUP("PK Gs",A1:CV300,85,FALSE)+HLOOKUP("PK Miss",A1:CV300,85,FALSE))*90/HLOOKUP("Mins",A1:CV300,85,FALSE))</f>
        <v>0.34233221476510067</v>
      </c>
      <c r="BU85" s="11929">
        <f>IF(HLOOKUP("Mins",A1:CV300,85,FALSE)=0,0,HLOOKUP("fsXG",A1:CV300,85,FALSE)/HLOOKUP("Mins",A1:CV300,85,FALSE)* 90)</f>
        <v>8.0536912751677861E-3</v>
      </c>
      <c r="BV85" s="11930">
        <f>IF(HLOOKUP("Mins",A1:CV300,85,FALSE)=0,0,HLOOKUP("fsXA",A1:CV300,85,FALSE)/HLOOKUP("Mins",A1:CV300,85,FALSE)* 90)</f>
        <v>4.7315436241610734E-2</v>
      </c>
      <c r="BW85" s="11931">
        <f>6*HLOOKUP("fsXG/90",A1:CV300,85,FALSE)+3*HLOOKUP("fsXA/90",A1:CV300,85,FALSE)</f>
        <v>0.19026845637583895</v>
      </c>
      <c r="BX85" s="11932">
        <v>8.869122713804245E-3</v>
      </c>
      <c r="BY85" s="11933">
        <v>6.7988216876983643E-2</v>
      </c>
      <c r="BZ85" s="11934">
        <f>6*HLOOKUP("uXG/90",A1:CV300,85,FALSE)+3*HLOOKUP("uXA/90",A1:CV300,85,FALSE)</f>
        <v>0.2571793869137764</v>
      </c>
    </row>
    <row r="86" spans="1:78" hidden="1" x14ac:dyDescent="0.3">
      <c r="A86" s="11935" t="s">
        <v>249</v>
      </c>
      <c r="B86" s="11936" t="s">
        <v>86</v>
      </c>
      <c r="C86" s="11937">
        <v>4.4000000953674316</v>
      </c>
      <c r="D86" s="11938">
        <v>540</v>
      </c>
      <c r="E86" s="11939">
        <v>6</v>
      </c>
      <c r="F86" s="11940">
        <v>9</v>
      </c>
      <c r="G86" s="11941">
        <v>0</v>
      </c>
      <c r="H86" s="11942">
        <v>0</v>
      </c>
      <c r="I86" s="11943">
        <v>72</v>
      </c>
      <c r="J86" s="11944">
        <f>HLOOKUP("BPS",A1:CV300,86,FALSE)-((-6*HLOOKUP("OG",A1:CV300,86,FALSE))+(-6*HLOOKUP("PK Miss",A1:CV300,86,FALSE))+(9*HLOOKUP("FPL As",A1:CV300,86,FALSE))+(12*HLOOKUP("CS",A1:CV300,86,FALSE))+(12*HLOOKUP("Gs",A1:CV300,86,FALSE)))</f>
        <v>60</v>
      </c>
      <c r="K86" s="11945">
        <v>0</v>
      </c>
      <c r="L86" s="11946">
        <v>1</v>
      </c>
      <c r="M86" s="11947">
        <v>5</v>
      </c>
      <c r="N86" s="11948">
        <v>3</v>
      </c>
      <c r="O86" s="11949">
        <v>3</v>
      </c>
      <c r="P86" s="11950">
        <f>IF(HLOOKUP("Shots",A1:CV300,86,FALSE)=0,0,HLOOKUP("SIB",A1:CV300,86,FALSE)/HLOOKUP("Shots",A1:CV300,86,FALSE))</f>
        <v>1</v>
      </c>
      <c r="Q86" s="11951">
        <v>3</v>
      </c>
      <c r="R86" s="11952">
        <f>IF(HLOOKUP("Shots",A1:CV300,86,FALSE)=0,0,HLOOKUP("S6YD",A1:CV300,86,FALSE)/HLOOKUP("Shots",A1:CV300,86,FALSE))</f>
        <v>1</v>
      </c>
      <c r="S86" s="11953">
        <v>3</v>
      </c>
      <c r="T86" s="11954">
        <f>IF(HLOOKUP("Shots",A1:CV300,86,FALSE)=0,0,HLOOKUP("Headers",A1:CV300,86,FALSE)/HLOOKUP("Shots",A1:CV300,86,FALSE))</f>
        <v>1</v>
      </c>
      <c r="U86" s="11955">
        <v>0</v>
      </c>
      <c r="V86" s="11956">
        <f>IF(HLOOKUP("Shots",A1:CV300,86,FALSE)=0,0,HLOOKUP("SOT",A1:CV300,86,FALSE)/HLOOKUP("Shots",A1:CV300,86,FALSE))</f>
        <v>0</v>
      </c>
      <c r="W86" s="11957">
        <f>IF(HLOOKUP("Shots",A1:CV300,86,FALSE)=0,0,HLOOKUP("Gs",A1:CV300,86,FALSE)/HLOOKUP("Shots",A1:CV300,86,FALSE))</f>
        <v>0</v>
      </c>
      <c r="X86" s="11958">
        <v>0</v>
      </c>
      <c r="Y86" s="11959">
        <v>0</v>
      </c>
      <c r="Z86" s="11960">
        <v>0</v>
      </c>
      <c r="AA86" s="11961">
        <f>IF(HLOOKUP("KP",A1:CV300,86,FALSE)=0,0,HLOOKUP("As",A1:CV300,86,FALSE)/HLOOKUP("KP",A1:CV300,86,FALSE))</f>
        <v>0</v>
      </c>
      <c r="AB86" s="11962">
        <v>19.100000000000001</v>
      </c>
      <c r="AC86" s="11963">
        <v>0</v>
      </c>
      <c r="AD86" s="11964">
        <v>0</v>
      </c>
      <c r="AE86" s="11965">
        <v>1</v>
      </c>
      <c r="AF86" s="11966">
        <v>1</v>
      </c>
      <c r="AG86" s="11967">
        <f>IF(HLOOKUP("BC",A1:CV300,86,FALSE)=0,0,HLOOKUP("Gs - BC",A1:CV300,86,FALSE)/HLOOKUP("BC",A1:CV300,86,FALSE))</f>
        <v>0</v>
      </c>
      <c r="AH86" s="11968">
        <f>HLOOKUP("BC",A1:CV300,86,FALSE) - HLOOKUP("BC Miss",A1:CV300,86,FALSE)</f>
        <v>0</v>
      </c>
      <c r="AI86" s="11969">
        <f>IF(HLOOKUP("Gs",A1:CV300,86,FALSE)=0,0,HLOOKUP("Gs - BC",A1:CV300,86,FALSE)/HLOOKUP("Gs",A1:CV300,86,FALSE))</f>
        <v>0</v>
      </c>
      <c r="AJ86" s="11970">
        <v>0</v>
      </c>
      <c r="AK86" s="11971">
        <v>0</v>
      </c>
      <c r="AL86" s="11972">
        <f>HLOOKUP("BC",A1:CV300,86,FALSE) - (HLOOKUP("PK Gs",A1:CV300,86,FALSE) + HLOOKUP("PK Miss",A1:CV300,86,FALSE))</f>
        <v>1</v>
      </c>
      <c r="AM86" s="11973">
        <f>HLOOKUP("BC Miss",A1:CV300,86,FALSE) - HLOOKUP("PK Miss",A1:CV300,86,FALSE)</f>
        <v>1</v>
      </c>
      <c r="AN86" s="11974">
        <f>IF(HLOOKUP("BC - Open",A1:CV300,86,FALSE)=0,0,HLOOKUP("BC - Open Miss",A1:CV300,86,FALSE)/HLOOKUP("BC - Open",A1:CV300,86,FALSE))</f>
        <v>1</v>
      </c>
      <c r="AO86" s="11975">
        <v>0</v>
      </c>
      <c r="AP86" s="11976">
        <f>IF(HLOOKUP("Gs",A1:CV300,86,FALSE)=0,0,HLOOKUP("GIB",A1:CV300,86,FALSE)/HLOOKUP("Gs",A1:CV300,86,FALSE))</f>
        <v>0</v>
      </c>
      <c r="AQ86" s="11977">
        <v>0</v>
      </c>
      <c r="AR86" s="11978">
        <f>IF(HLOOKUP("Gs",A1:CV300,86,FALSE)=0,0,HLOOKUP("Gs - Open",A1:CV300,86,FALSE)/HLOOKUP("Gs",A1:CV300,86,FALSE))</f>
        <v>0</v>
      </c>
      <c r="AS86" s="11979">
        <v>0.4</v>
      </c>
      <c r="AT86" s="11980">
        <v>0.03</v>
      </c>
      <c r="AU86" s="11981">
        <f>IF(HLOOKUP("Mins",A1:CV300,86,FALSE)=0,0,HLOOKUP("Pts",A1:CV300,86,FALSE)/HLOOKUP("Mins",A1:CV300,86,FALSE)* 90)</f>
        <v>1.5</v>
      </c>
      <c r="AV86" s="11982">
        <f>IF(HLOOKUP("Apps",A1:CV300,86,FALSE)=0,0,HLOOKUP("Pts",A1:CV300,86,FALSE)/HLOOKUP("Apps",A1:CV300,86,FALSE)* 1)</f>
        <v>1.5</v>
      </c>
      <c r="AW86" s="11983">
        <f>IF(HLOOKUP("Mins",A1:CV300,86,FALSE)=0,0,HLOOKUP("Gs",A1:CV300,86,FALSE)/HLOOKUP("Mins",A1:CV300,86,FALSE)* 90)</f>
        <v>0</v>
      </c>
      <c r="AX86" s="11984">
        <f>IF(HLOOKUP("Mins",A1:CV300,86,FALSE)=0,0,HLOOKUP("Bonus",A1:CV300,86,FALSE)/HLOOKUP("Mins",A1:CV300,86,FALSE)* 90)</f>
        <v>0</v>
      </c>
      <c r="AY86" s="11985">
        <f>IF(HLOOKUP("Mins",A1:CV300,86,FALSE)=0,0,HLOOKUP("BPS",A1:CV300,86,FALSE)/HLOOKUP("Mins",A1:CV300,86,FALSE)* 90)</f>
        <v>12</v>
      </c>
      <c r="AZ86" s="11986">
        <f>IF(HLOOKUP("Mins",A1:CV300,86,FALSE)=0,0,HLOOKUP("Base BPS",A1:CV300,86,FALSE)/HLOOKUP("Mins",A1:CV300,86,FALSE)* 90)</f>
        <v>10</v>
      </c>
      <c r="BA86" s="11987">
        <f>IF(HLOOKUP("Mins",A1:CV300,86,FALSE)=0,0,HLOOKUP("PenTchs",A1:CV300,86,FALSE)/HLOOKUP("Mins",A1:CV300,86,FALSE)* 90)</f>
        <v>0.83333333333333326</v>
      </c>
      <c r="BB86" s="11988">
        <f>IF(HLOOKUP("Mins",A1:CV300,86,FALSE)=0,0,HLOOKUP("Shots",A1:CV300,86,FALSE)/HLOOKUP("Mins",A1:CV300,86,FALSE)* 90)</f>
        <v>0.5</v>
      </c>
      <c r="BC86" s="11989">
        <f>IF(HLOOKUP("Mins",A1:CV300,86,FALSE)=0,0,HLOOKUP("SIB",A1:CV300,86,FALSE)/HLOOKUP("Mins",A1:CV300,86,FALSE)* 90)</f>
        <v>0.5</v>
      </c>
      <c r="BD86" s="11990">
        <f>IF(HLOOKUP("Mins",A1:CV300,86,FALSE)=0,0,HLOOKUP("S6YD",A1:CV300,86,FALSE)/HLOOKUP("Mins",A1:CV300,86,FALSE)* 90)</f>
        <v>0.5</v>
      </c>
      <c r="BE86" s="11991">
        <f>IF(HLOOKUP("Mins",A1:CV300,86,FALSE)=0,0,HLOOKUP("Headers",A1:CV300,86,FALSE)/HLOOKUP("Mins",A1:CV300,86,FALSE)* 90)</f>
        <v>0.5</v>
      </c>
      <c r="BF86" s="11992">
        <f>IF(HLOOKUP("Mins",A1:CV300,86,FALSE)=0,0,HLOOKUP("SOT",A1:CV300,86,FALSE)/HLOOKUP("Mins",A1:CV300,86,FALSE)* 90)</f>
        <v>0</v>
      </c>
      <c r="BG86" s="11993">
        <f>IF(HLOOKUP("Mins",A1:CV300,86,FALSE)=0,0,HLOOKUP("As",A1:CV300,86,FALSE)/HLOOKUP("Mins",A1:CV300,86,FALSE)* 90)</f>
        <v>0</v>
      </c>
      <c r="BH86" s="11994">
        <f>IF(HLOOKUP("Mins",A1:CV300,86,FALSE)=0,0,HLOOKUP("FPL As",A1:CV300,86,FALSE)/HLOOKUP("Mins",A1:CV300,86,FALSE)* 90)</f>
        <v>0</v>
      </c>
      <c r="BI86" s="11995">
        <f>IF(HLOOKUP("Mins",A1:CV300,86,FALSE)=0,0,HLOOKUP("BC Created",A1:CV300,86,FALSE)/HLOOKUP("Mins",A1:CV300,86,FALSE)* 90)</f>
        <v>0</v>
      </c>
      <c r="BJ86" s="11996">
        <f>IF(HLOOKUP("Mins",A1:CV300,86,FALSE)=0,0,HLOOKUP("KP",A1:CV300,86,FALSE)/HLOOKUP("Mins",A1:CV300,86,FALSE)* 90)</f>
        <v>0</v>
      </c>
      <c r="BK86" s="11997">
        <f>IF(HLOOKUP("Mins",A1:CV300,86,FALSE)=0,0,HLOOKUP("BC",A1:CV300,86,FALSE)/HLOOKUP("Mins",A1:CV300,86,FALSE)* 90)</f>
        <v>0.16666666666666669</v>
      </c>
      <c r="BL86" s="11998">
        <f>IF(HLOOKUP("Mins",A1:CV300,86,FALSE)=0,0,HLOOKUP("BC Miss",A1:CV300,86,FALSE)/HLOOKUP("Mins",A1:CV300,86,FALSE)* 90)</f>
        <v>0.16666666666666669</v>
      </c>
      <c r="BM86" s="11999">
        <f>IF(HLOOKUP("Mins",A1:CV300,86,FALSE)=0,0,HLOOKUP("Gs - BC",A1:CV300,86,FALSE)/HLOOKUP("Mins",A1:CV300,86,FALSE)* 90)</f>
        <v>0</v>
      </c>
      <c r="BN86" s="12000">
        <f>IF(HLOOKUP("Mins",A1:CV300,86,FALSE)=0,0,HLOOKUP("GIB",A1:CV300,86,FALSE)/HLOOKUP("Mins",A1:CV300,86,FALSE)* 90)</f>
        <v>0</v>
      </c>
      <c r="BO86" s="12001">
        <f>IF(HLOOKUP("Mins",A1:CV300,86,FALSE)=0,0,HLOOKUP("Gs - Open",A1:CV300,86,FALSE)/HLOOKUP("Mins",A1:CV300,86,FALSE)* 90)</f>
        <v>0</v>
      </c>
      <c r="BP86" s="12002">
        <f>IF(HLOOKUP("Mins",A1:CV300,86,FALSE)=0,0,HLOOKUP("ICT Index",A1:CV300,86,FALSE)/HLOOKUP("Mins",A1:CV300,86,FALSE)* 90)</f>
        <v>3.1833333333333336</v>
      </c>
      <c r="BQ86" s="12003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  <v>4.65E-2</v>
      </c>
      <c r="BR86" s="12004">
        <f>0.0825*HLOOKUP("KP/90",A1:CV300,86,FALSE)</f>
        <v>0</v>
      </c>
      <c r="BS86" s="12005">
        <f>6*HLOOKUP("xG/90",A1:CV300,86,FALSE)+3*HLOOKUP("xA/90",A1:CV300,86,FALSE)</f>
        <v>0.27900000000000003</v>
      </c>
      <c r="BT86" s="12006">
        <f>HLOOKUP("xPts/90",A1:CV300,86,FALSE)-(6*0.75*(HLOOKUP("PK Gs",A1:CV300,86,FALSE)+HLOOKUP("PK Miss",A1:CV300,86,FALSE))*90/HLOOKUP("Mins",A1:CV300,86,FALSE))</f>
        <v>0.27900000000000003</v>
      </c>
      <c r="BU86" s="12007">
        <f>IF(HLOOKUP("Mins",A1:CV300,86,FALSE)=0,0,HLOOKUP("fsXG",A1:CV300,86,FALSE)/HLOOKUP("Mins",A1:CV300,86,FALSE)* 90)</f>
        <v>6.666666666666668E-2</v>
      </c>
      <c r="BV86" s="12008">
        <f>IF(HLOOKUP("Mins",A1:CV300,86,FALSE)=0,0,HLOOKUP("fsXA",A1:CV300,86,FALSE)/HLOOKUP("Mins",A1:CV300,86,FALSE)* 90)</f>
        <v>4.9999999999999992E-3</v>
      </c>
      <c r="BW86" s="12009">
        <f>6*HLOOKUP("fsXG/90",A1:CV300,86,FALSE)+3*HLOOKUP("fsXA/90",A1:CV300,86,FALSE)</f>
        <v>0.41500000000000009</v>
      </c>
      <c r="BX86" s="12010">
        <v>9.8644502460956573E-2</v>
      </c>
      <c r="BY86" s="12011">
        <v>0</v>
      </c>
      <c r="BZ86" s="12012">
        <f>6*HLOOKUP("uXG/90",A1:CV300,86,FALSE)+3*HLOOKUP("uXA/90",A1:CV300,86,FALSE)</f>
        <v>0.59186701476573944</v>
      </c>
    </row>
    <row r="87" spans="1:78" hidden="1" x14ac:dyDescent="0.3">
      <c r="A87" s="12013" t="s">
        <v>250</v>
      </c>
      <c r="B87" s="12014" t="s">
        <v>98</v>
      </c>
      <c r="C87" s="12015">
        <v>4.5999999046325684</v>
      </c>
      <c r="D87" s="12016">
        <v>558</v>
      </c>
      <c r="E87" s="12017">
        <v>8</v>
      </c>
      <c r="F87" s="12018">
        <v>9</v>
      </c>
      <c r="G87" s="12019">
        <v>0</v>
      </c>
      <c r="H87" s="12020">
        <v>0</v>
      </c>
      <c r="I87" s="12021">
        <v>64</v>
      </c>
      <c r="J87" s="12022">
        <f>HLOOKUP("BPS",A1:CV300,87,FALSE)-((-6*HLOOKUP("OG",A1:CV300,87,FALSE))+(-6*HLOOKUP("PK Miss",A1:CV300,87,FALSE))+(9*HLOOKUP("FPL As",A1:CV300,87,FALSE))+(12*HLOOKUP("CS",A1:CV300,87,FALSE))+(12*HLOOKUP("Gs",A1:CV300,87,FALSE)))</f>
        <v>55</v>
      </c>
      <c r="K87" s="12023">
        <v>0</v>
      </c>
      <c r="L87" s="12024">
        <v>0</v>
      </c>
      <c r="M87" s="12025">
        <v>9</v>
      </c>
      <c r="N87" s="12026">
        <v>2</v>
      </c>
      <c r="O87" s="12027">
        <v>2</v>
      </c>
      <c r="P87" s="12028">
        <f>IF(HLOOKUP("Shots",A1:CV300,87,FALSE)=0,0,HLOOKUP("SIB",A1:CV300,87,FALSE)/HLOOKUP("Shots",A1:CV300,87,FALSE))</f>
        <v>1</v>
      </c>
      <c r="Q87" s="12029">
        <v>0</v>
      </c>
      <c r="R87" s="12030">
        <f>IF(HLOOKUP("Shots",A1:CV300,87,FALSE)=0,0,HLOOKUP("S6YD",A1:CV300,87,FALSE)/HLOOKUP("Shots",A1:CV300,87,FALSE))</f>
        <v>0</v>
      </c>
      <c r="S87" s="12031">
        <v>0</v>
      </c>
      <c r="T87" s="12032">
        <f>IF(HLOOKUP("Shots",A1:CV300,87,FALSE)=0,0,HLOOKUP("Headers",A1:CV300,87,FALSE)/HLOOKUP("Shots",A1:CV300,87,FALSE))</f>
        <v>0</v>
      </c>
      <c r="U87" s="12033">
        <v>1</v>
      </c>
      <c r="V87" s="12034">
        <f>IF(HLOOKUP("Shots",A1:CV300,87,FALSE)=0,0,HLOOKUP("SOT",A1:CV300,87,FALSE)/HLOOKUP("Shots",A1:CV300,87,FALSE))</f>
        <v>0.5</v>
      </c>
      <c r="W87" s="12035">
        <f>IF(HLOOKUP("Shots",A1:CV300,87,FALSE)=0,0,HLOOKUP("Gs",A1:CV300,87,FALSE)/HLOOKUP("Shots",A1:CV300,87,FALSE))</f>
        <v>0</v>
      </c>
      <c r="X87" s="12036">
        <v>0</v>
      </c>
      <c r="Y87" s="12037">
        <v>1</v>
      </c>
      <c r="Z87" s="12038">
        <v>2</v>
      </c>
      <c r="AA87" s="12039">
        <f>IF(HLOOKUP("KP",A1:CV300,87,FALSE)=0,0,HLOOKUP("As",A1:CV300,87,FALSE)/HLOOKUP("KP",A1:CV300,87,FALSE))</f>
        <v>0</v>
      </c>
      <c r="AB87" s="12040">
        <v>17.600000000000001</v>
      </c>
      <c r="AC87" s="12041">
        <v>17</v>
      </c>
      <c r="AD87" s="12042">
        <v>2</v>
      </c>
      <c r="AE87" s="12043">
        <v>0</v>
      </c>
      <c r="AF87" s="12044">
        <v>0</v>
      </c>
      <c r="AG87" s="12045">
        <f>IF(HLOOKUP("BC",A1:CV300,87,FALSE)=0,0,HLOOKUP("Gs - BC",A1:CV300,87,FALSE)/HLOOKUP("BC",A1:CV300,87,FALSE))</f>
        <v>0</v>
      </c>
      <c r="AH87" s="12046">
        <f>HLOOKUP("BC",A1:CV300,87,FALSE) - HLOOKUP("BC Miss",A1:CV300,87,FALSE)</f>
        <v>0</v>
      </c>
      <c r="AI87" s="12047">
        <f>IF(HLOOKUP("Gs",A1:CV300,87,FALSE)=0,0,HLOOKUP("Gs - BC",A1:CV300,87,FALSE)/HLOOKUP("Gs",A1:CV300,87,FALSE))</f>
        <v>0</v>
      </c>
      <c r="AJ87" s="12048">
        <v>0</v>
      </c>
      <c r="AK87" s="12049">
        <v>0</v>
      </c>
      <c r="AL87" s="12050">
        <f>HLOOKUP("BC",A1:CV300,87,FALSE) - (HLOOKUP("PK Gs",A1:CV300,87,FALSE) + HLOOKUP("PK Miss",A1:CV300,87,FALSE))</f>
        <v>0</v>
      </c>
      <c r="AM87" s="12051">
        <f>HLOOKUP("BC Miss",A1:CV300,87,FALSE) - HLOOKUP("PK Miss",A1:CV300,87,FALSE)</f>
        <v>0</v>
      </c>
      <c r="AN87" s="12052">
        <f>IF(HLOOKUP("BC - Open",A1:CV300,87,FALSE)=0,0,HLOOKUP("BC - Open Miss",A1:CV300,87,FALSE)/HLOOKUP("BC - Open",A1:CV300,87,FALSE))</f>
        <v>0</v>
      </c>
      <c r="AO87" s="12053">
        <v>0</v>
      </c>
      <c r="AP87" s="12054">
        <f>IF(HLOOKUP("Gs",A1:CV300,87,FALSE)=0,0,HLOOKUP("GIB",A1:CV300,87,FALSE)/HLOOKUP("Gs",A1:CV300,87,FALSE))</f>
        <v>0</v>
      </c>
      <c r="AQ87" s="12055">
        <v>0</v>
      </c>
      <c r="AR87" s="12056">
        <f>IF(HLOOKUP("Gs",A1:CV300,87,FALSE)=0,0,HLOOKUP("Gs - Open",A1:CV300,87,FALSE)/HLOOKUP("Gs",A1:CV300,87,FALSE))</f>
        <v>0</v>
      </c>
      <c r="AS87" s="12057">
        <v>0.19</v>
      </c>
      <c r="AT87" s="12058">
        <v>0.72</v>
      </c>
      <c r="AU87" s="12059">
        <f>IF(HLOOKUP("Mins",A1:CV300,87,FALSE)=0,0,HLOOKUP("Pts",A1:CV300,87,FALSE)/HLOOKUP("Mins",A1:CV300,87,FALSE)* 90)</f>
        <v>1.4516129032258065</v>
      </c>
      <c r="AV87" s="12060">
        <f>IF(HLOOKUP("Apps",A1:CV300,87,FALSE)=0,0,HLOOKUP("Pts",A1:CV300,87,FALSE)/HLOOKUP("Apps",A1:CV300,87,FALSE)* 1)</f>
        <v>1.125</v>
      </c>
      <c r="AW87" s="12061">
        <f>IF(HLOOKUP("Mins",A1:CV300,87,FALSE)=0,0,HLOOKUP("Gs",A1:CV300,87,FALSE)/HLOOKUP("Mins",A1:CV300,87,FALSE)* 90)</f>
        <v>0</v>
      </c>
      <c r="AX87" s="12062">
        <f>IF(HLOOKUP("Mins",A1:CV300,87,FALSE)=0,0,HLOOKUP("Bonus",A1:CV300,87,FALSE)/HLOOKUP("Mins",A1:CV300,87,FALSE)* 90)</f>
        <v>0</v>
      </c>
      <c r="AY87" s="12063">
        <f>IF(HLOOKUP("Mins",A1:CV300,87,FALSE)=0,0,HLOOKUP("BPS",A1:CV300,87,FALSE)/HLOOKUP("Mins",A1:CV300,87,FALSE)* 90)</f>
        <v>10.32258064516129</v>
      </c>
      <c r="AZ87" s="12064">
        <f>IF(HLOOKUP("Mins",A1:CV300,87,FALSE)=0,0,HLOOKUP("Base BPS",A1:CV300,87,FALSE)/HLOOKUP("Mins",A1:CV300,87,FALSE)* 90)</f>
        <v>8.870967741935484</v>
      </c>
      <c r="BA87" s="12065">
        <f>IF(HLOOKUP("Mins",A1:CV300,87,FALSE)=0,0,HLOOKUP("PenTchs",A1:CV300,87,FALSE)/HLOOKUP("Mins",A1:CV300,87,FALSE)* 90)</f>
        <v>1.4516129032258065</v>
      </c>
      <c r="BB87" s="12066">
        <f>IF(HLOOKUP("Mins",A1:CV300,87,FALSE)=0,0,HLOOKUP("Shots",A1:CV300,87,FALSE)/HLOOKUP("Mins",A1:CV300,87,FALSE)* 90)</f>
        <v>0.32258064516129031</v>
      </c>
      <c r="BC87" s="12067">
        <f>IF(HLOOKUP("Mins",A1:CV300,87,FALSE)=0,0,HLOOKUP("SIB",A1:CV300,87,FALSE)/HLOOKUP("Mins",A1:CV300,87,FALSE)* 90)</f>
        <v>0.32258064516129031</v>
      </c>
      <c r="BD87" s="12068">
        <f>IF(HLOOKUP("Mins",A1:CV300,87,FALSE)=0,0,HLOOKUP("S6YD",A1:CV300,87,FALSE)/HLOOKUP("Mins",A1:CV300,87,FALSE)* 90)</f>
        <v>0</v>
      </c>
      <c r="BE87" s="12069">
        <f>IF(HLOOKUP("Mins",A1:CV300,87,FALSE)=0,0,HLOOKUP("Headers",A1:CV300,87,FALSE)/HLOOKUP("Mins",A1:CV300,87,FALSE)* 90)</f>
        <v>0</v>
      </c>
      <c r="BF87" s="12070">
        <f>IF(HLOOKUP("Mins",A1:CV300,87,FALSE)=0,0,HLOOKUP("SOT",A1:CV300,87,FALSE)/HLOOKUP("Mins",A1:CV300,87,FALSE)* 90)</f>
        <v>0.16129032258064516</v>
      </c>
      <c r="BG87" s="12071">
        <f>IF(HLOOKUP("Mins",A1:CV300,87,FALSE)=0,0,HLOOKUP("As",A1:CV300,87,FALSE)/HLOOKUP("Mins",A1:CV300,87,FALSE)* 90)</f>
        <v>0</v>
      </c>
      <c r="BH87" s="12072">
        <f>IF(HLOOKUP("Mins",A1:CV300,87,FALSE)=0,0,HLOOKUP("FPL As",A1:CV300,87,FALSE)/HLOOKUP("Mins",A1:CV300,87,FALSE)* 90)</f>
        <v>0.16129032258064516</v>
      </c>
      <c r="BI87" s="12073">
        <f>IF(HLOOKUP("Mins",A1:CV300,87,FALSE)=0,0,HLOOKUP("BC Created",A1:CV300,87,FALSE)/HLOOKUP("Mins",A1:CV300,87,FALSE)* 90)</f>
        <v>0.32258064516129031</v>
      </c>
      <c r="BJ87" s="12074">
        <f>IF(HLOOKUP("Mins",A1:CV300,87,FALSE)=0,0,HLOOKUP("KP",A1:CV300,87,FALSE)/HLOOKUP("Mins",A1:CV300,87,FALSE)* 90)</f>
        <v>0.32258064516129031</v>
      </c>
      <c r="BK87" s="12075">
        <f>IF(HLOOKUP("Mins",A1:CV300,87,FALSE)=0,0,HLOOKUP("BC",A1:CV300,87,FALSE)/HLOOKUP("Mins",A1:CV300,87,FALSE)* 90)</f>
        <v>0</v>
      </c>
      <c r="BL87" s="12076">
        <f>IF(HLOOKUP("Mins",A1:CV300,87,FALSE)=0,0,HLOOKUP("BC Miss",A1:CV300,87,FALSE)/HLOOKUP("Mins",A1:CV300,87,FALSE)* 90)</f>
        <v>0</v>
      </c>
      <c r="BM87" s="12077">
        <f>IF(HLOOKUP("Mins",A1:CV300,87,FALSE)=0,0,HLOOKUP("Gs - BC",A1:CV300,87,FALSE)/HLOOKUP("Mins",A1:CV300,87,FALSE)* 90)</f>
        <v>0</v>
      </c>
      <c r="BN87" s="12078">
        <f>IF(HLOOKUP("Mins",A1:CV300,87,FALSE)=0,0,HLOOKUP("GIB",A1:CV300,87,FALSE)/HLOOKUP("Mins",A1:CV300,87,FALSE)* 90)</f>
        <v>0</v>
      </c>
      <c r="BO87" s="12079">
        <f>IF(HLOOKUP("Mins",A1:CV300,87,FALSE)=0,0,HLOOKUP("Gs - Open",A1:CV300,87,FALSE)/HLOOKUP("Mins",A1:CV300,87,FALSE)* 90)</f>
        <v>0</v>
      </c>
      <c r="BP87" s="12080">
        <f>IF(HLOOKUP("Mins",A1:CV300,87,FALSE)=0,0,HLOOKUP("ICT Index",A1:CV300,87,FALSE)/HLOOKUP("Mins",A1:CV300,87,FALSE)* 90)</f>
        <v>2.838709677419355</v>
      </c>
      <c r="BQ87" s="12081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  <v>0.03</v>
      </c>
      <c r="BR87" s="12082">
        <f>0.0825*HLOOKUP("KP/90",A1:CV300,87,FALSE)</f>
        <v>2.6612903225806454E-2</v>
      </c>
      <c r="BS87" s="12083">
        <f>6*HLOOKUP("xG/90",A1:CV300,87,FALSE)+3*HLOOKUP("xA/90",A1:CV300,87,FALSE)</f>
        <v>0.25983870967741934</v>
      </c>
      <c r="BT87" s="12084">
        <f>HLOOKUP("xPts/90",A1:CV300,87,FALSE)-(6*0.75*(HLOOKUP("PK Gs",A1:CV300,87,FALSE)+HLOOKUP("PK Miss",A1:CV300,87,FALSE))*90/HLOOKUP("Mins",A1:CV300,87,FALSE))</f>
        <v>0.25983870967741934</v>
      </c>
      <c r="BU87" s="12085">
        <f>IF(HLOOKUP("Mins",A1:CV300,87,FALSE)=0,0,HLOOKUP("fsXG",A1:CV300,87,FALSE)/HLOOKUP("Mins",A1:CV300,87,FALSE)* 90)</f>
        <v>3.0645161290322579E-2</v>
      </c>
      <c r="BV87" s="12086">
        <f>IF(HLOOKUP("Mins",A1:CV300,87,FALSE)=0,0,HLOOKUP("fsXA",A1:CV300,87,FALSE)/HLOOKUP("Mins",A1:CV300,87,FALSE)* 90)</f>
        <v>0.11612903225806452</v>
      </c>
      <c r="BW87" s="12087">
        <f>6*HLOOKUP("fsXG/90",A1:CV300,87,FALSE)+3*HLOOKUP("fsXA/90",A1:CV300,87,FALSE)</f>
        <v>0.532258064516129</v>
      </c>
      <c r="BX87" s="12088">
        <v>3.3385492861270905E-2</v>
      </c>
      <c r="BY87" s="12089">
        <v>0.18144701421260834</v>
      </c>
      <c r="BZ87" s="12090">
        <f>6*HLOOKUP("uXG/90",A1:CV300,87,FALSE)+3*HLOOKUP("uXA/90",A1:CV300,87,FALSE)</f>
        <v>0.74465399980545044</v>
      </c>
    </row>
    <row r="88" spans="1:78" hidden="1" x14ac:dyDescent="0.3">
      <c r="A88" s="12091" t="s">
        <v>251</v>
      </c>
      <c r="B88" s="12092" t="s">
        <v>118</v>
      </c>
      <c r="C88" s="12093">
        <v>5.3000001907348633</v>
      </c>
      <c r="D88" s="12094">
        <v>1634</v>
      </c>
      <c r="E88" s="12095">
        <v>20</v>
      </c>
      <c r="F88" s="12096">
        <v>49</v>
      </c>
      <c r="G88" s="12097">
        <v>0</v>
      </c>
      <c r="H88" s="12098">
        <v>5</v>
      </c>
      <c r="I88" s="12099">
        <v>298</v>
      </c>
      <c r="J88" s="12100">
        <f>HLOOKUP("BPS",A1:CV300,88,FALSE)-((-6*HLOOKUP("OG",A1:CV300,88,FALSE))+(-6*HLOOKUP("PK Miss",A1:CV300,88,FALSE))+(9*HLOOKUP("FPL As",A1:CV300,88,FALSE))+(12*HLOOKUP("CS",A1:CV300,88,FALSE))+(12*HLOOKUP("Gs",A1:CV300,88,FALSE)))</f>
        <v>244</v>
      </c>
      <c r="K88" s="12101">
        <v>1</v>
      </c>
      <c r="L88" s="12102">
        <v>5</v>
      </c>
      <c r="M88" s="12103">
        <v>32</v>
      </c>
      <c r="N88" s="12104">
        <v>21</v>
      </c>
      <c r="O88" s="12105">
        <v>19</v>
      </c>
      <c r="P88" s="12106">
        <f>IF(HLOOKUP("Shots",A1:CV300,88,FALSE)=0,0,HLOOKUP("SIB",A1:CV300,88,FALSE)/HLOOKUP("Shots",A1:CV300,88,FALSE))</f>
        <v>0.90476190476190477</v>
      </c>
      <c r="Q88" s="12107">
        <v>3</v>
      </c>
      <c r="R88" s="12108">
        <f>IF(HLOOKUP("Shots",A1:CV300,88,FALSE)=0,0,HLOOKUP("S6YD",A1:CV300,88,FALSE)/HLOOKUP("Shots",A1:CV300,88,FALSE))</f>
        <v>0.14285714285714285</v>
      </c>
      <c r="S88" s="12109">
        <v>16</v>
      </c>
      <c r="T88" s="12110">
        <f>IF(HLOOKUP("Shots",A1:CV300,88,FALSE)=0,0,HLOOKUP("Headers",A1:CV300,88,FALSE)/HLOOKUP("Shots",A1:CV300,88,FALSE))</f>
        <v>0.76190476190476186</v>
      </c>
      <c r="U88" s="12111">
        <v>7</v>
      </c>
      <c r="V88" s="12112">
        <f>IF(HLOOKUP("Shots",A1:CV300,88,FALSE)=0,0,HLOOKUP("SOT",A1:CV300,88,FALSE)/HLOOKUP("Shots",A1:CV300,88,FALSE))</f>
        <v>0.33333333333333331</v>
      </c>
      <c r="W88" s="12113">
        <f>IF(HLOOKUP("Shots",A1:CV300,88,FALSE)=0,0,HLOOKUP("Gs",A1:CV300,88,FALSE)/HLOOKUP("Shots",A1:CV300,88,FALSE))</f>
        <v>0</v>
      </c>
      <c r="X88" s="12114">
        <v>0</v>
      </c>
      <c r="Y88" s="12115">
        <v>0</v>
      </c>
      <c r="Z88" s="12116">
        <v>5</v>
      </c>
      <c r="AA88" s="12117">
        <f>IF(HLOOKUP("KP",A1:CV300,88,FALSE)=0,0,HLOOKUP("As",A1:CV300,88,FALSE)/HLOOKUP("KP",A1:CV300,88,FALSE))</f>
        <v>0</v>
      </c>
      <c r="AB88" s="12118">
        <v>67.5</v>
      </c>
      <c r="AC88" s="12119">
        <v>0</v>
      </c>
      <c r="AD88" s="12120">
        <v>1</v>
      </c>
      <c r="AE88" s="12121">
        <v>1</v>
      </c>
      <c r="AF88" s="12122">
        <v>1</v>
      </c>
      <c r="AG88" s="12123">
        <f>IF(HLOOKUP("BC",A1:CV300,88,FALSE)=0,0,HLOOKUP("Gs - BC",A1:CV300,88,FALSE)/HLOOKUP("BC",A1:CV300,88,FALSE))</f>
        <v>0</v>
      </c>
      <c r="AH88" s="12124">
        <f>HLOOKUP("BC",A1:CV300,88,FALSE) - HLOOKUP("BC Miss",A1:CV300,88,FALSE)</f>
        <v>0</v>
      </c>
      <c r="AI88" s="12125">
        <f>IF(HLOOKUP("Gs",A1:CV300,88,FALSE)=0,0,HLOOKUP("Gs - BC",A1:CV300,88,FALSE)/HLOOKUP("Gs",A1:CV300,88,FALSE))</f>
        <v>0</v>
      </c>
      <c r="AJ88" s="12126">
        <v>0</v>
      </c>
      <c r="AK88" s="12127">
        <v>0</v>
      </c>
      <c r="AL88" s="12128">
        <f>HLOOKUP("BC",A1:CV300,88,FALSE) - (HLOOKUP("PK Gs",A1:CV300,88,FALSE) + HLOOKUP("PK Miss",A1:CV300,88,FALSE))</f>
        <v>1</v>
      </c>
      <c r="AM88" s="12129">
        <f>HLOOKUP("BC Miss",A1:CV300,88,FALSE) - HLOOKUP("PK Miss",A1:CV300,88,FALSE)</f>
        <v>1</v>
      </c>
      <c r="AN88" s="12130">
        <f>IF(HLOOKUP("BC - Open",A1:CV300,88,FALSE)=0,0,HLOOKUP("BC - Open Miss",A1:CV300,88,FALSE)/HLOOKUP("BC - Open",A1:CV300,88,FALSE))</f>
        <v>1</v>
      </c>
      <c r="AO88" s="12131">
        <v>0</v>
      </c>
      <c r="AP88" s="12132">
        <f>IF(HLOOKUP("Gs",A1:CV300,88,FALSE)=0,0,HLOOKUP("GIB",A1:CV300,88,FALSE)/HLOOKUP("Gs",A1:CV300,88,FALSE))</f>
        <v>0</v>
      </c>
      <c r="AQ88" s="12133">
        <v>0</v>
      </c>
      <c r="AR88" s="12134">
        <f>IF(HLOOKUP("Gs",A1:CV300,88,FALSE)=0,0,HLOOKUP("Gs - Open",A1:CV300,88,FALSE)/HLOOKUP("Gs",A1:CV300,88,FALSE))</f>
        <v>0</v>
      </c>
      <c r="AS88" s="12135">
        <v>1.81</v>
      </c>
      <c r="AT88" s="12136">
        <v>0.39</v>
      </c>
      <c r="AU88" s="12137">
        <f>IF(HLOOKUP("Mins",A1:CV300,88,FALSE)=0,0,HLOOKUP("Pts",A1:CV300,88,FALSE)/HLOOKUP("Mins",A1:CV300,88,FALSE)* 90)</f>
        <v>2.6988984088127297</v>
      </c>
      <c r="AV88" s="12138">
        <f>IF(HLOOKUP("Apps",A1:CV300,88,FALSE)=0,0,HLOOKUP("Pts",A1:CV300,88,FALSE)/HLOOKUP("Apps",A1:CV300,88,FALSE)* 1)</f>
        <v>2.4500000000000002</v>
      </c>
      <c r="AW88" s="12139">
        <f>IF(HLOOKUP("Mins",A1:CV300,88,FALSE)=0,0,HLOOKUP("Gs",A1:CV300,88,FALSE)/HLOOKUP("Mins",A1:CV300,88,FALSE)* 90)</f>
        <v>0</v>
      </c>
      <c r="AX88" s="12140">
        <f>IF(HLOOKUP("Mins",A1:CV300,88,FALSE)=0,0,HLOOKUP("Bonus",A1:CV300,88,FALSE)/HLOOKUP("Mins",A1:CV300,88,FALSE)* 90)</f>
        <v>0.2753977968176255</v>
      </c>
      <c r="AY88" s="12141">
        <f>IF(HLOOKUP("Mins",A1:CV300,88,FALSE)=0,0,HLOOKUP("BPS",A1:CV300,88,FALSE)/HLOOKUP("Mins",A1:CV300,88,FALSE)* 90)</f>
        <v>16.413708690330477</v>
      </c>
      <c r="AZ88" s="12142">
        <f>IF(HLOOKUP("Mins",A1:CV300,88,FALSE)=0,0,HLOOKUP("Base BPS",A1:CV300,88,FALSE)/HLOOKUP("Mins",A1:CV300,88,FALSE)* 90)</f>
        <v>13.439412484700123</v>
      </c>
      <c r="BA88" s="12143">
        <f>IF(HLOOKUP("Mins",A1:CV300,88,FALSE)=0,0,HLOOKUP("PenTchs",A1:CV300,88,FALSE)/HLOOKUP("Mins",A1:CV300,88,FALSE)* 90)</f>
        <v>1.7625458996328027</v>
      </c>
      <c r="BB88" s="12144">
        <f>IF(HLOOKUP("Mins",A1:CV300,88,FALSE)=0,0,HLOOKUP("Shots",A1:CV300,88,FALSE)/HLOOKUP("Mins",A1:CV300,88,FALSE)* 90)</f>
        <v>1.1566707466340269</v>
      </c>
      <c r="BC88" s="12145">
        <f>IF(HLOOKUP("Mins",A1:CV300,88,FALSE)=0,0,HLOOKUP("SIB",A1:CV300,88,FALSE)/HLOOKUP("Mins",A1:CV300,88,FALSE)* 90)</f>
        <v>1.0465116279069768</v>
      </c>
      <c r="BD88" s="12146">
        <f>IF(HLOOKUP("Mins",A1:CV300,88,FALSE)=0,0,HLOOKUP("S6YD",A1:CV300,88,FALSE)/HLOOKUP("Mins",A1:CV300,88,FALSE)* 90)</f>
        <v>0.16523867809057527</v>
      </c>
      <c r="BE88" s="12147">
        <f>IF(HLOOKUP("Mins",A1:CV300,88,FALSE)=0,0,HLOOKUP("Headers",A1:CV300,88,FALSE)/HLOOKUP("Mins",A1:CV300,88,FALSE)* 90)</f>
        <v>0.88127294981640136</v>
      </c>
      <c r="BF88" s="12148">
        <f>IF(HLOOKUP("Mins",A1:CV300,88,FALSE)=0,0,HLOOKUP("SOT",A1:CV300,88,FALSE)/HLOOKUP("Mins",A1:CV300,88,FALSE)* 90)</f>
        <v>0.38555691554467558</v>
      </c>
      <c r="BG88" s="12149">
        <f>IF(HLOOKUP("Mins",A1:CV300,88,FALSE)=0,0,HLOOKUP("As",A1:CV300,88,FALSE)/HLOOKUP("Mins",A1:CV300,88,FALSE)* 90)</f>
        <v>0</v>
      </c>
      <c r="BH88" s="12150">
        <f>IF(HLOOKUP("Mins",A1:CV300,88,FALSE)=0,0,HLOOKUP("FPL As",A1:CV300,88,FALSE)/HLOOKUP("Mins",A1:CV300,88,FALSE)* 90)</f>
        <v>0</v>
      </c>
      <c r="BI88" s="12151">
        <f>IF(HLOOKUP("Mins",A1:CV300,88,FALSE)=0,0,HLOOKUP("BC Created",A1:CV300,88,FALSE)/HLOOKUP("Mins",A1:CV300,88,FALSE)* 90)</f>
        <v>5.5079559363525085E-2</v>
      </c>
      <c r="BJ88" s="12152">
        <f>IF(HLOOKUP("Mins",A1:CV300,88,FALSE)=0,0,HLOOKUP("KP",A1:CV300,88,FALSE)/HLOOKUP("Mins",A1:CV300,88,FALSE)* 90)</f>
        <v>0.2753977968176255</v>
      </c>
      <c r="BK88" s="12153">
        <f>IF(HLOOKUP("Mins",A1:CV300,88,FALSE)=0,0,HLOOKUP("BC",A1:CV300,88,FALSE)/HLOOKUP("Mins",A1:CV300,88,FALSE)* 90)</f>
        <v>5.5079559363525085E-2</v>
      </c>
      <c r="BL88" s="12154">
        <f>IF(HLOOKUP("Mins",A1:CV300,88,FALSE)=0,0,HLOOKUP("BC Miss",A1:CV300,88,FALSE)/HLOOKUP("Mins",A1:CV300,88,FALSE)* 90)</f>
        <v>5.5079559363525085E-2</v>
      </c>
      <c r="BM88" s="12155">
        <f>IF(HLOOKUP("Mins",A1:CV300,88,FALSE)=0,0,HLOOKUP("Gs - BC",A1:CV300,88,FALSE)/HLOOKUP("Mins",A1:CV300,88,FALSE)* 90)</f>
        <v>0</v>
      </c>
      <c r="BN88" s="12156">
        <f>IF(HLOOKUP("Mins",A1:CV300,88,FALSE)=0,0,HLOOKUP("GIB",A1:CV300,88,FALSE)/HLOOKUP("Mins",A1:CV300,88,FALSE)* 90)</f>
        <v>0</v>
      </c>
      <c r="BO88" s="12157">
        <f>IF(HLOOKUP("Mins",A1:CV300,88,FALSE)=0,0,HLOOKUP("Gs - Open",A1:CV300,88,FALSE)/HLOOKUP("Mins",A1:CV300,88,FALSE)* 90)</f>
        <v>0</v>
      </c>
      <c r="BP88" s="12158">
        <f>IF(HLOOKUP("Mins",A1:CV300,88,FALSE)=0,0,HLOOKUP("ICT Index",A1:CV300,88,FALSE)/HLOOKUP("Mins",A1:CV300,88,FALSE)* 90)</f>
        <v>3.7178702570379434</v>
      </c>
      <c r="BQ88" s="12159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  <v>9.9528763769889839E-2</v>
      </c>
      <c r="BR88" s="12160">
        <f>0.0825*HLOOKUP("KP/90",A1:CV300,88,FALSE)</f>
        <v>2.2720318237454105E-2</v>
      </c>
      <c r="BS88" s="12161">
        <f>6*HLOOKUP("xG/90",A1:CV300,88,FALSE)+3*HLOOKUP("xA/90",A1:CV300,88,FALSE)</f>
        <v>0.66533353733170131</v>
      </c>
      <c r="BT88" s="12162">
        <f>HLOOKUP("xPts/90",A1:CV300,88,FALSE)-(6*0.75*(HLOOKUP("PK Gs",A1:CV300,88,FALSE)+HLOOKUP("PK Miss",A1:CV300,88,FALSE))*90/HLOOKUP("Mins",A1:CV300,88,FALSE))</f>
        <v>0.66533353733170131</v>
      </c>
      <c r="BU88" s="12163">
        <f>IF(HLOOKUP("Mins",A1:CV300,88,FALSE)=0,0,HLOOKUP("fsXG",A1:CV300,88,FALSE)/HLOOKUP("Mins",A1:CV300,88,FALSE)* 90)</f>
        <v>9.969400244798042E-2</v>
      </c>
      <c r="BV88" s="12164">
        <f>IF(HLOOKUP("Mins",A1:CV300,88,FALSE)=0,0,HLOOKUP("fsXA",A1:CV300,88,FALSE)/HLOOKUP("Mins",A1:CV300,88,FALSE)* 90)</f>
        <v>2.1481028151774786E-2</v>
      </c>
      <c r="BW88" s="12165">
        <f>6*HLOOKUP("fsXG/90",A1:CV300,88,FALSE)+3*HLOOKUP("fsXA/90",A1:CV300,88,FALSE)</f>
        <v>0.66260709914320681</v>
      </c>
      <c r="BX88" s="12166">
        <v>8.0510430037975311E-2</v>
      </c>
      <c r="BY88" s="12167">
        <v>4.6387087553739548E-2</v>
      </c>
      <c r="BZ88" s="12168">
        <f>6*HLOOKUP("uXG/90",A1:CV300,88,FALSE)+3*HLOOKUP("uXA/90",A1:CV300,88,FALSE)</f>
        <v>0.62222384288907051</v>
      </c>
    </row>
    <row r="89" spans="1:78" hidden="1" x14ac:dyDescent="0.3">
      <c r="A89" s="12169" t="s">
        <v>252</v>
      </c>
      <c r="B89" s="12170" t="s">
        <v>79</v>
      </c>
      <c r="C89" s="12171">
        <v>4.5</v>
      </c>
      <c r="D89" s="12172">
        <v>77</v>
      </c>
      <c r="E89" s="12173">
        <v>1</v>
      </c>
      <c r="F89" s="12174">
        <v>1</v>
      </c>
      <c r="G89" s="12175">
        <v>0</v>
      </c>
      <c r="H89" s="12176">
        <v>0</v>
      </c>
      <c r="I89" s="12177">
        <v>9</v>
      </c>
      <c r="J89" s="12178">
        <f>HLOOKUP("BPS",A1:CV300,89,FALSE)-((-6*HLOOKUP("OG",A1:CV300,89,FALSE))+(-6*HLOOKUP("PK Miss",A1:CV300,89,FALSE))+(9*HLOOKUP("FPL As",A1:CV300,89,FALSE))+(12*HLOOKUP("CS",A1:CV300,89,FALSE))+(12*HLOOKUP("Gs",A1:CV300,89,FALSE)))</f>
        <v>9</v>
      </c>
      <c r="K89" s="12179">
        <v>0</v>
      </c>
      <c r="L89" s="12180">
        <v>0</v>
      </c>
      <c r="M89" s="12181">
        <v>1</v>
      </c>
      <c r="N89" s="12182">
        <v>0</v>
      </c>
      <c r="O89" s="12183">
        <v>0</v>
      </c>
      <c r="P89" s="12184">
        <f>IF(HLOOKUP("Shots",A1:CV300,89,FALSE)=0,0,HLOOKUP("SIB",A1:CV300,89,FALSE)/HLOOKUP("Shots",A1:CV300,89,FALSE))</f>
        <v>0</v>
      </c>
      <c r="Q89" s="12185">
        <v>0</v>
      </c>
      <c r="R89" s="12186">
        <f>IF(HLOOKUP("Shots",A1:CV300,89,FALSE)=0,0,HLOOKUP("S6YD",A1:CV300,89,FALSE)/HLOOKUP("Shots",A1:CV300,89,FALSE))</f>
        <v>0</v>
      </c>
      <c r="S89" s="12187">
        <v>0</v>
      </c>
      <c r="T89" s="12188">
        <f>IF(HLOOKUP("Shots",A1:CV300,89,FALSE)=0,0,HLOOKUP("Headers",A1:CV300,89,FALSE)/HLOOKUP("Shots",A1:CV300,89,FALSE))</f>
        <v>0</v>
      </c>
      <c r="U89" s="12189">
        <v>0</v>
      </c>
      <c r="V89" s="12190">
        <f>IF(HLOOKUP("Shots",A1:CV300,89,FALSE)=0,0,HLOOKUP("SOT",A1:CV300,89,FALSE)/HLOOKUP("Shots",A1:CV300,89,FALSE))</f>
        <v>0</v>
      </c>
      <c r="W89" s="12191">
        <f>IF(HLOOKUP("Shots",A1:CV300,89,FALSE)=0,0,HLOOKUP("Gs",A1:CV300,89,FALSE)/HLOOKUP("Shots",A1:CV300,89,FALSE))</f>
        <v>0</v>
      </c>
      <c r="X89" s="12192">
        <v>0</v>
      </c>
      <c r="Y89" s="12193">
        <v>0</v>
      </c>
      <c r="Z89" s="12194">
        <v>0</v>
      </c>
      <c r="AA89" s="12195">
        <f>IF(HLOOKUP("KP",A1:CV300,89,FALSE)=0,0,HLOOKUP("As",A1:CV300,89,FALSE)/HLOOKUP("KP",A1:CV300,89,FALSE))</f>
        <v>0</v>
      </c>
      <c r="AB89" s="12196">
        <v>1.1000000000000001</v>
      </c>
      <c r="AC89" s="12197">
        <v>0</v>
      </c>
      <c r="AD89" s="12198">
        <v>0</v>
      </c>
      <c r="AE89" s="12199">
        <v>0</v>
      </c>
      <c r="AF89" s="12200">
        <v>0</v>
      </c>
      <c r="AG89" s="12201">
        <f>IF(HLOOKUP("BC",A1:CV300,89,FALSE)=0,0,HLOOKUP("Gs - BC",A1:CV300,89,FALSE)/HLOOKUP("BC",A1:CV300,89,FALSE))</f>
        <v>0</v>
      </c>
      <c r="AH89" s="12202">
        <f>HLOOKUP("BC",A1:CV300,89,FALSE) - HLOOKUP("BC Miss",A1:CV300,89,FALSE)</f>
        <v>0</v>
      </c>
      <c r="AI89" s="12203">
        <f>IF(HLOOKUP("Gs",A1:CV300,89,FALSE)=0,0,HLOOKUP("Gs - BC",A1:CV300,89,FALSE)/HLOOKUP("Gs",A1:CV300,89,FALSE))</f>
        <v>0</v>
      </c>
      <c r="AJ89" s="12204">
        <v>0</v>
      </c>
      <c r="AK89" s="12205">
        <v>0</v>
      </c>
      <c r="AL89" s="12206">
        <f>HLOOKUP("BC",A1:CV300,89,FALSE) - (HLOOKUP("PK Gs",A1:CV300,89,FALSE) + HLOOKUP("PK Miss",A1:CV300,89,FALSE))</f>
        <v>0</v>
      </c>
      <c r="AM89" s="12207">
        <f>HLOOKUP("BC Miss",A1:CV300,89,FALSE) - HLOOKUP("PK Miss",A1:CV300,89,FALSE)</f>
        <v>0</v>
      </c>
      <c r="AN89" s="12208">
        <f>IF(HLOOKUP("BC - Open",A1:CV300,89,FALSE)=0,0,HLOOKUP("BC - Open Miss",A1:CV300,89,FALSE)/HLOOKUP("BC - Open",A1:CV300,89,FALSE))</f>
        <v>0</v>
      </c>
      <c r="AO89" s="12209">
        <v>0</v>
      </c>
      <c r="AP89" s="12210">
        <f>IF(HLOOKUP("Gs",A1:CV300,89,FALSE)=0,0,HLOOKUP("GIB",A1:CV300,89,FALSE)/HLOOKUP("Gs",A1:CV300,89,FALSE))</f>
        <v>0</v>
      </c>
      <c r="AQ89" s="12211">
        <v>0</v>
      </c>
      <c r="AR89" s="12212">
        <f>IF(HLOOKUP("Gs",A1:CV300,89,FALSE)=0,0,HLOOKUP("Gs - Open",A1:CV300,89,FALSE)/HLOOKUP("Gs",A1:CV300,89,FALSE))</f>
        <v>0</v>
      </c>
      <c r="AS89" s="12213">
        <v>0</v>
      </c>
      <c r="AT89" s="12214">
        <v>0</v>
      </c>
      <c r="AU89" s="12215">
        <f>IF(HLOOKUP("Mins",A1:CV300,89,FALSE)=0,0,HLOOKUP("Pts",A1:CV300,89,FALSE)/HLOOKUP("Mins",A1:CV300,89,FALSE)* 90)</f>
        <v>1.168831168831169</v>
      </c>
      <c r="AV89" s="12216">
        <f>IF(HLOOKUP("Apps",A1:CV300,89,FALSE)=0,0,HLOOKUP("Pts",A1:CV300,89,FALSE)/HLOOKUP("Apps",A1:CV300,89,FALSE)* 1)</f>
        <v>1</v>
      </c>
      <c r="AW89" s="12217">
        <f>IF(HLOOKUP("Mins",A1:CV300,89,FALSE)=0,0,HLOOKUP("Gs",A1:CV300,89,FALSE)/HLOOKUP("Mins",A1:CV300,89,FALSE)* 90)</f>
        <v>0</v>
      </c>
      <c r="AX89" s="12218">
        <f>IF(HLOOKUP("Mins",A1:CV300,89,FALSE)=0,0,HLOOKUP("Bonus",A1:CV300,89,FALSE)/HLOOKUP("Mins",A1:CV300,89,FALSE)* 90)</f>
        <v>0</v>
      </c>
      <c r="AY89" s="12219">
        <f>IF(HLOOKUP("Mins",A1:CV300,89,FALSE)=0,0,HLOOKUP("BPS",A1:CV300,89,FALSE)/HLOOKUP("Mins",A1:CV300,89,FALSE)* 90)</f>
        <v>10.519480519480519</v>
      </c>
      <c r="AZ89" s="12220">
        <f>IF(HLOOKUP("Mins",A1:CV300,89,FALSE)=0,0,HLOOKUP("Base BPS",A1:CV300,89,FALSE)/HLOOKUP("Mins",A1:CV300,89,FALSE)* 90)</f>
        <v>10.519480519480519</v>
      </c>
      <c r="BA89" s="12221">
        <f>IF(HLOOKUP("Mins",A1:CV300,89,FALSE)=0,0,HLOOKUP("PenTchs",A1:CV300,89,FALSE)/HLOOKUP("Mins",A1:CV300,89,FALSE)* 90)</f>
        <v>1.168831168831169</v>
      </c>
      <c r="BB89" s="12222">
        <f>IF(HLOOKUP("Mins",A1:CV300,89,FALSE)=0,0,HLOOKUP("Shots",A1:CV300,89,FALSE)/HLOOKUP("Mins",A1:CV300,89,FALSE)* 90)</f>
        <v>0</v>
      </c>
      <c r="BC89" s="12223">
        <f>IF(HLOOKUP("Mins",A1:CV300,89,FALSE)=0,0,HLOOKUP("SIB",A1:CV300,89,FALSE)/HLOOKUP("Mins",A1:CV300,89,FALSE)* 90)</f>
        <v>0</v>
      </c>
      <c r="BD89" s="12224">
        <f>IF(HLOOKUP("Mins",A1:CV300,89,FALSE)=0,0,HLOOKUP("S6YD",A1:CV300,89,FALSE)/HLOOKUP("Mins",A1:CV300,89,FALSE)* 90)</f>
        <v>0</v>
      </c>
      <c r="BE89" s="12225">
        <f>IF(HLOOKUP("Mins",A1:CV300,89,FALSE)=0,0,HLOOKUP("Headers",A1:CV300,89,FALSE)/HLOOKUP("Mins",A1:CV300,89,FALSE)* 90)</f>
        <v>0</v>
      </c>
      <c r="BF89" s="12226">
        <f>IF(HLOOKUP("Mins",A1:CV300,89,FALSE)=0,0,HLOOKUP("SOT",A1:CV300,89,FALSE)/HLOOKUP("Mins",A1:CV300,89,FALSE)* 90)</f>
        <v>0</v>
      </c>
      <c r="BG89" s="12227">
        <f>IF(HLOOKUP("Mins",A1:CV300,89,FALSE)=0,0,HLOOKUP("As",A1:CV300,89,FALSE)/HLOOKUP("Mins",A1:CV300,89,FALSE)* 90)</f>
        <v>0</v>
      </c>
      <c r="BH89" s="12228">
        <f>IF(HLOOKUP("Mins",A1:CV300,89,FALSE)=0,0,HLOOKUP("FPL As",A1:CV300,89,FALSE)/HLOOKUP("Mins",A1:CV300,89,FALSE)* 90)</f>
        <v>0</v>
      </c>
      <c r="BI89" s="12229">
        <f>IF(HLOOKUP("Mins",A1:CV300,89,FALSE)=0,0,HLOOKUP("BC Created",A1:CV300,89,FALSE)/HLOOKUP("Mins",A1:CV300,89,FALSE)* 90)</f>
        <v>0</v>
      </c>
      <c r="BJ89" s="12230">
        <f>IF(HLOOKUP("Mins",A1:CV300,89,FALSE)=0,0,HLOOKUP("KP",A1:CV300,89,FALSE)/HLOOKUP("Mins",A1:CV300,89,FALSE)* 90)</f>
        <v>0</v>
      </c>
      <c r="BK89" s="12231">
        <f>IF(HLOOKUP("Mins",A1:CV300,89,FALSE)=0,0,HLOOKUP("BC",A1:CV300,89,FALSE)/HLOOKUP("Mins",A1:CV300,89,FALSE)* 90)</f>
        <v>0</v>
      </c>
      <c r="BL89" s="12232">
        <f>IF(HLOOKUP("Mins",A1:CV300,89,FALSE)=0,0,HLOOKUP("BC Miss",A1:CV300,89,FALSE)/HLOOKUP("Mins",A1:CV300,89,FALSE)* 90)</f>
        <v>0</v>
      </c>
      <c r="BM89" s="12233">
        <f>IF(HLOOKUP("Mins",A1:CV300,89,FALSE)=0,0,HLOOKUP("Gs - BC",A1:CV300,89,FALSE)/HLOOKUP("Mins",A1:CV300,89,FALSE)* 90)</f>
        <v>0</v>
      </c>
      <c r="BN89" s="12234">
        <f>IF(HLOOKUP("Mins",A1:CV300,89,FALSE)=0,0,HLOOKUP("GIB",A1:CV300,89,FALSE)/HLOOKUP("Mins",A1:CV300,89,FALSE)* 90)</f>
        <v>0</v>
      </c>
      <c r="BO89" s="12235">
        <f>IF(HLOOKUP("Mins",A1:CV300,89,FALSE)=0,0,HLOOKUP("Gs - Open",A1:CV300,89,FALSE)/HLOOKUP("Mins",A1:CV300,89,FALSE)* 90)</f>
        <v>0</v>
      </c>
      <c r="BP89" s="12236">
        <f>IF(HLOOKUP("Mins",A1:CV300,89,FALSE)=0,0,HLOOKUP("ICT Index",A1:CV300,89,FALSE)/HLOOKUP("Mins",A1:CV300,89,FALSE)* 90)</f>
        <v>1.2857142857142858</v>
      </c>
      <c r="BQ89" s="12237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  <v>0</v>
      </c>
      <c r="BR89" s="12238">
        <f>0.0825*HLOOKUP("KP/90",A1:CV300,89,FALSE)</f>
        <v>0</v>
      </c>
      <c r="BS89" s="12239">
        <f>6*HLOOKUP("xG/90",A1:CV300,89,FALSE)+3*HLOOKUP("xA/90",A1:CV300,89,FALSE)</f>
        <v>0</v>
      </c>
      <c r="BT89" s="12240">
        <f>HLOOKUP("xPts/90",A1:CV300,89,FALSE)-(6*0.75*(HLOOKUP("PK Gs",A1:CV300,89,FALSE)+HLOOKUP("PK Miss",A1:CV300,89,FALSE))*90/HLOOKUP("Mins",A1:CV300,89,FALSE))</f>
        <v>0</v>
      </c>
      <c r="BU89" s="12241">
        <f>IF(HLOOKUP("Mins",A1:CV300,89,FALSE)=0,0,HLOOKUP("fsXG",A1:CV300,89,FALSE)/HLOOKUP("Mins",A1:CV300,89,FALSE)* 90)</f>
        <v>0</v>
      </c>
      <c r="BV89" s="12242">
        <f>IF(HLOOKUP("Mins",A1:CV300,89,FALSE)=0,0,HLOOKUP("fsXA",A1:CV300,89,FALSE)/HLOOKUP("Mins",A1:CV300,89,FALSE)* 90)</f>
        <v>0</v>
      </c>
      <c r="BW89" s="12243">
        <f>6*HLOOKUP("fsXG/90",A1:CV300,89,FALSE)+3*HLOOKUP("fsXA/90",A1:CV300,89,FALSE)</f>
        <v>0</v>
      </c>
      <c r="BX89" s="12244">
        <v>0</v>
      </c>
      <c r="BY89" s="12245">
        <v>0</v>
      </c>
      <c r="BZ89" s="12246">
        <f>6*HLOOKUP("uXG/90",A1:CV300,89,FALSE)+3*HLOOKUP("uXA/90",A1:CV300,89,FALSE)</f>
        <v>0</v>
      </c>
    </row>
    <row r="90" spans="1:78" hidden="1" x14ac:dyDescent="0.3">
      <c r="A90" s="12247" t="s">
        <v>253</v>
      </c>
      <c r="B90" s="12248" t="s">
        <v>113</v>
      </c>
      <c r="C90" s="12249">
        <v>4.5</v>
      </c>
      <c r="D90" s="12250">
        <v>1538</v>
      </c>
      <c r="E90" s="12251">
        <v>18</v>
      </c>
      <c r="F90" s="12252">
        <v>55</v>
      </c>
      <c r="G90" s="12253">
        <v>0</v>
      </c>
      <c r="H90" s="12254">
        <v>5</v>
      </c>
      <c r="I90" s="12255">
        <v>296</v>
      </c>
      <c r="J90" s="12256">
        <f>HLOOKUP("BPS",A1:CV300,90,FALSE)-((-6*HLOOKUP("OG",A1:CV300,90,FALSE))+(-6*HLOOKUP("PK Miss",A1:CV300,90,FALSE))+(9*HLOOKUP("FPL As",A1:CV300,90,FALSE))+(12*HLOOKUP("CS",A1:CV300,90,FALSE))+(12*HLOOKUP("Gs",A1:CV300,90,FALSE)))</f>
        <v>206</v>
      </c>
      <c r="K90" s="12257">
        <v>0</v>
      </c>
      <c r="L90" s="12258">
        <v>6</v>
      </c>
      <c r="M90" s="12259">
        <v>26</v>
      </c>
      <c r="N90" s="12260">
        <v>0</v>
      </c>
      <c r="O90" s="12261">
        <v>0</v>
      </c>
      <c r="P90" s="12262">
        <f>IF(HLOOKUP("Shots",A1:CV300,90,FALSE)=0,0,HLOOKUP("SIB",A1:CV300,90,FALSE)/HLOOKUP("Shots",A1:CV300,90,FALSE))</f>
        <v>0</v>
      </c>
      <c r="Q90" s="12263">
        <v>0</v>
      </c>
      <c r="R90" s="12264">
        <f>IF(HLOOKUP("Shots",A1:CV300,90,FALSE)=0,0,HLOOKUP("S6YD",A1:CV300,90,FALSE)/HLOOKUP("Shots",A1:CV300,90,FALSE))</f>
        <v>0</v>
      </c>
      <c r="S90" s="12265">
        <v>0</v>
      </c>
      <c r="T90" s="12266">
        <f>IF(HLOOKUP("Shots",A1:CV300,90,FALSE)=0,0,HLOOKUP("Headers",A1:CV300,90,FALSE)/HLOOKUP("Shots",A1:CV300,90,FALSE))</f>
        <v>0</v>
      </c>
      <c r="U90" s="12267">
        <v>0</v>
      </c>
      <c r="V90" s="12268">
        <f>IF(HLOOKUP("Shots",A1:CV300,90,FALSE)=0,0,HLOOKUP("SOT",A1:CV300,90,FALSE)/HLOOKUP("Shots",A1:CV300,90,FALSE))</f>
        <v>0</v>
      </c>
      <c r="W90" s="12269">
        <f>IF(HLOOKUP("Shots",A1:CV300,90,FALSE)=0,0,HLOOKUP("Gs",A1:CV300,90,FALSE)/HLOOKUP("Shots",A1:CV300,90,FALSE))</f>
        <v>0</v>
      </c>
      <c r="X90" s="12270">
        <v>2</v>
      </c>
      <c r="Y90" s="12271">
        <v>2</v>
      </c>
      <c r="Z90" s="12272">
        <v>16</v>
      </c>
      <c r="AA90" s="12273">
        <f>IF(HLOOKUP("KP",A1:CV300,90,FALSE)=0,0,HLOOKUP("As",A1:CV300,90,FALSE)/HLOOKUP("KP",A1:CV300,90,FALSE))</f>
        <v>0.125</v>
      </c>
      <c r="AB90" s="12274">
        <v>62</v>
      </c>
      <c r="AC90" s="12275">
        <v>9</v>
      </c>
      <c r="AD90" s="12276">
        <v>1</v>
      </c>
      <c r="AE90" s="12277">
        <v>0</v>
      </c>
      <c r="AF90" s="12278">
        <v>0</v>
      </c>
      <c r="AG90" s="12279">
        <f>IF(HLOOKUP("BC",A1:CV300,90,FALSE)=0,0,HLOOKUP("Gs - BC",A1:CV300,90,FALSE)/HLOOKUP("BC",A1:CV300,90,FALSE))</f>
        <v>0</v>
      </c>
      <c r="AH90" s="12280">
        <f>HLOOKUP("BC",A1:CV300,90,FALSE) - HLOOKUP("BC Miss",A1:CV300,90,FALSE)</f>
        <v>0</v>
      </c>
      <c r="AI90" s="12281">
        <f>IF(HLOOKUP("Gs",A1:CV300,90,FALSE)=0,0,HLOOKUP("Gs - BC",A1:CV300,90,FALSE)/HLOOKUP("Gs",A1:CV300,90,FALSE))</f>
        <v>0</v>
      </c>
      <c r="AJ90" s="12282">
        <v>0</v>
      </c>
      <c r="AK90" s="12283">
        <v>0</v>
      </c>
      <c r="AL90" s="12284">
        <f>HLOOKUP("BC",A1:CV300,90,FALSE) - (HLOOKUP("PK Gs",A1:CV300,90,FALSE) + HLOOKUP("PK Miss",A1:CV300,90,FALSE))</f>
        <v>0</v>
      </c>
      <c r="AM90" s="12285">
        <f>HLOOKUP("BC Miss",A1:CV300,90,FALSE) - HLOOKUP("PK Miss",A1:CV300,90,FALSE)</f>
        <v>0</v>
      </c>
      <c r="AN90" s="12286">
        <f>IF(HLOOKUP("BC - Open",A1:CV300,90,FALSE)=0,0,HLOOKUP("BC - Open Miss",A1:CV300,90,FALSE)/HLOOKUP("BC - Open",A1:CV300,90,FALSE))</f>
        <v>0</v>
      </c>
      <c r="AO90" s="12287">
        <v>0</v>
      </c>
      <c r="AP90" s="12288">
        <f>IF(HLOOKUP("Gs",A1:CV300,90,FALSE)=0,0,HLOOKUP("GIB",A1:CV300,90,FALSE)/HLOOKUP("Gs",A1:CV300,90,FALSE))</f>
        <v>0</v>
      </c>
      <c r="AQ90" s="12289">
        <v>0</v>
      </c>
      <c r="AR90" s="12290">
        <f>IF(HLOOKUP("Gs",A1:CV300,90,FALSE)=0,0,HLOOKUP("Gs - Open",A1:CV300,90,FALSE)/HLOOKUP("Gs",A1:CV300,90,FALSE))</f>
        <v>0</v>
      </c>
      <c r="AS90" s="12291">
        <v>0</v>
      </c>
      <c r="AT90" s="12292">
        <v>2.08</v>
      </c>
      <c r="AU90" s="12293">
        <f>IF(HLOOKUP("Mins",A1:CV300,90,FALSE)=0,0,HLOOKUP("Pts",A1:CV300,90,FALSE)/HLOOKUP("Mins",A1:CV300,90,FALSE)* 90)</f>
        <v>3.2184655396618989</v>
      </c>
      <c r="AV90" s="12294">
        <f>IF(HLOOKUP("Apps",A1:CV300,90,FALSE)=0,0,HLOOKUP("Pts",A1:CV300,90,FALSE)/HLOOKUP("Apps",A1:CV300,90,FALSE)* 1)</f>
        <v>3.0555555555555554</v>
      </c>
      <c r="AW90" s="12295">
        <f>IF(HLOOKUP("Mins",A1:CV300,90,FALSE)=0,0,HLOOKUP("Gs",A1:CV300,90,FALSE)/HLOOKUP("Mins",A1:CV300,90,FALSE)* 90)</f>
        <v>0</v>
      </c>
      <c r="AX90" s="12296">
        <f>IF(HLOOKUP("Mins",A1:CV300,90,FALSE)=0,0,HLOOKUP("Bonus",A1:CV300,90,FALSE)/HLOOKUP("Mins",A1:CV300,90,FALSE)* 90)</f>
        <v>0.29258777633289984</v>
      </c>
      <c r="AY90" s="12297">
        <f>IF(HLOOKUP("Mins",A1:CV300,90,FALSE)=0,0,HLOOKUP("BPS",A1:CV300,90,FALSE)/HLOOKUP("Mins",A1:CV300,90,FALSE)* 90)</f>
        <v>17.321196358907674</v>
      </c>
      <c r="AZ90" s="12298">
        <f>IF(HLOOKUP("Mins",A1:CV300,90,FALSE)=0,0,HLOOKUP("Base BPS",A1:CV300,90,FALSE)/HLOOKUP("Mins",A1:CV300,90,FALSE)* 90)</f>
        <v>12.054616384915475</v>
      </c>
      <c r="BA90" s="12299">
        <f>IF(HLOOKUP("Mins",A1:CV300,90,FALSE)=0,0,HLOOKUP("PenTchs",A1:CV300,90,FALSE)/HLOOKUP("Mins",A1:CV300,90,FALSE)* 90)</f>
        <v>1.5214564369310795</v>
      </c>
      <c r="BB90" s="12300">
        <f>IF(HLOOKUP("Mins",A1:CV300,90,FALSE)=0,0,HLOOKUP("Shots",A1:CV300,90,FALSE)/HLOOKUP("Mins",A1:CV300,90,FALSE)* 90)</f>
        <v>0</v>
      </c>
      <c r="BC90" s="12301">
        <f>IF(HLOOKUP("Mins",A1:CV300,90,FALSE)=0,0,HLOOKUP("SIB",A1:CV300,90,FALSE)/HLOOKUP("Mins",A1:CV300,90,FALSE)* 90)</f>
        <v>0</v>
      </c>
      <c r="BD90" s="12302">
        <f>IF(HLOOKUP("Mins",A1:CV300,90,FALSE)=0,0,HLOOKUP("S6YD",A1:CV300,90,FALSE)/HLOOKUP("Mins",A1:CV300,90,FALSE)* 90)</f>
        <v>0</v>
      </c>
      <c r="BE90" s="12303">
        <f>IF(HLOOKUP("Mins",A1:CV300,90,FALSE)=0,0,HLOOKUP("Headers",A1:CV300,90,FALSE)/HLOOKUP("Mins",A1:CV300,90,FALSE)* 90)</f>
        <v>0</v>
      </c>
      <c r="BF90" s="12304">
        <f>IF(HLOOKUP("Mins",A1:CV300,90,FALSE)=0,0,HLOOKUP("SOT",A1:CV300,90,FALSE)/HLOOKUP("Mins",A1:CV300,90,FALSE)* 90)</f>
        <v>0</v>
      </c>
      <c r="BG90" s="12305">
        <f>IF(HLOOKUP("Mins",A1:CV300,90,FALSE)=0,0,HLOOKUP("As",A1:CV300,90,FALSE)/HLOOKUP("Mins",A1:CV300,90,FALSE)* 90)</f>
        <v>0.11703511053315994</v>
      </c>
      <c r="BH90" s="12306">
        <f>IF(HLOOKUP("Mins",A1:CV300,90,FALSE)=0,0,HLOOKUP("FPL As",A1:CV300,90,FALSE)/HLOOKUP("Mins",A1:CV300,90,FALSE)* 90)</f>
        <v>0.11703511053315994</v>
      </c>
      <c r="BI90" s="12307">
        <f>IF(HLOOKUP("Mins",A1:CV300,90,FALSE)=0,0,HLOOKUP("BC Created",A1:CV300,90,FALSE)/HLOOKUP("Mins",A1:CV300,90,FALSE)* 90)</f>
        <v>5.8517555266579972E-2</v>
      </c>
      <c r="BJ90" s="12308">
        <f>IF(HLOOKUP("Mins",A1:CV300,90,FALSE)=0,0,HLOOKUP("KP",A1:CV300,90,FALSE)/HLOOKUP("Mins",A1:CV300,90,FALSE)* 90)</f>
        <v>0.93628088426527956</v>
      </c>
      <c r="BK90" s="12309">
        <f>IF(HLOOKUP("Mins",A1:CV300,90,FALSE)=0,0,HLOOKUP("BC",A1:CV300,90,FALSE)/HLOOKUP("Mins",A1:CV300,90,FALSE)* 90)</f>
        <v>0</v>
      </c>
      <c r="BL90" s="12310">
        <f>IF(HLOOKUP("Mins",A1:CV300,90,FALSE)=0,0,HLOOKUP("BC Miss",A1:CV300,90,FALSE)/HLOOKUP("Mins",A1:CV300,90,FALSE)* 90)</f>
        <v>0</v>
      </c>
      <c r="BM90" s="12311">
        <f>IF(HLOOKUP("Mins",A1:CV300,90,FALSE)=0,0,HLOOKUP("Gs - BC",A1:CV300,90,FALSE)/HLOOKUP("Mins",A1:CV300,90,FALSE)* 90)</f>
        <v>0</v>
      </c>
      <c r="BN90" s="12312">
        <f>IF(HLOOKUP("Mins",A1:CV300,90,FALSE)=0,0,HLOOKUP("GIB",A1:CV300,90,FALSE)/HLOOKUP("Mins",A1:CV300,90,FALSE)* 90)</f>
        <v>0</v>
      </c>
      <c r="BO90" s="12313">
        <f>IF(HLOOKUP("Mins",A1:CV300,90,FALSE)=0,0,HLOOKUP("Gs - Open",A1:CV300,90,FALSE)/HLOOKUP("Mins",A1:CV300,90,FALSE)* 90)</f>
        <v>0</v>
      </c>
      <c r="BP90" s="12314">
        <f>IF(HLOOKUP("Mins",A1:CV300,90,FALSE)=0,0,HLOOKUP("ICT Index",A1:CV300,90,FALSE)/HLOOKUP("Mins",A1:CV300,90,FALSE)* 90)</f>
        <v>3.6280884265279587</v>
      </c>
      <c r="BQ90" s="12315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  <v>0</v>
      </c>
      <c r="BR90" s="12316">
        <f>0.0825*HLOOKUP("KP/90",A1:CV300,90,FALSE)</f>
        <v>7.7243172951885569E-2</v>
      </c>
      <c r="BS90" s="12317">
        <f>6*HLOOKUP("xG/90",A1:CV300,90,FALSE)+3*HLOOKUP("xA/90",A1:CV300,90,FALSE)</f>
        <v>0.23172951885565671</v>
      </c>
      <c r="BT90" s="12318">
        <f>HLOOKUP("xPts/90",A1:CV300,90,FALSE)-(6*0.75*(HLOOKUP("PK Gs",A1:CV300,90,FALSE)+HLOOKUP("PK Miss",A1:CV300,90,FALSE))*90/HLOOKUP("Mins",A1:CV300,90,FALSE))</f>
        <v>0.23172951885565671</v>
      </c>
      <c r="BU90" s="12319">
        <f>IF(HLOOKUP("Mins",A1:CV300,90,FALSE)=0,0,HLOOKUP("fsXG",A1:CV300,90,FALSE)/HLOOKUP("Mins",A1:CV300,90,FALSE)* 90)</f>
        <v>0</v>
      </c>
      <c r="BV90" s="12320">
        <f>IF(HLOOKUP("Mins",A1:CV300,90,FALSE)=0,0,HLOOKUP("fsXA",A1:CV300,90,FALSE)/HLOOKUP("Mins",A1:CV300,90,FALSE)* 90)</f>
        <v>0.12171651495448635</v>
      </c>
      <c r="BW90" s="12321">
        <f>6*HLOOKUP("fsXG/90",A1:CV300,90,FALSE)+3*HLOOKUP("fsXA/90",A1:CV300,90,FALSE)</f>
        <v>0.36514954486345907</v>
      </c>
      <c r="BX90" s="12322">
        <v>0</v>
      </c>
      <c r="BY90" s="12323">
        <v>8.8836550712585449E-2</v>
      </c>
      <c r="BZ90" s="12324">
        <f>6*HLOOKUP("uXG/90",A1:CV300,90,FALSE)+3*HLOOKUP("uXA/90",A1:CV300,90,FALSE)</f>
        <v>0.26650965213775635</v>
      </c>
    </row>
    <row r="91" spans="1:78" hidden="1" x14ac:dyDescent="0.3">
      <c r="A91" s="12325" t="s">
        <v>254</v>
      </c>
      <c r="B91" s="12326" t="s">
        <v>81</v>
      </c>
      <c r="C91" s="12327">
        <v>6.4000000953674316</v>
      </c>
      <c r="D91" s="12328">
        <v>1890</v>
      </c>
      <c r="E91" s="12329">
        <v>21</v>
      </c>
      <c r="F91" s="12330">
        <v>93</v>
      </c>
      <c r="G91" s="12331">
        <v>2</v>
      </c>
      <c r="H91" s="12332">
        <v>10</v>
      </c>
      <c r="I91" s="12333">
        <v>434</v>
      </c>
      <c r="J91" s="12334">
        <f>HLOOKUP("BPS",A1:CV300,91,FALSE)-((-6*HLOOKUP("OG",A1:CV300,91,FALSE))+(-6*HLOOKUP("PK Miss",A1:CV300,91,FALSE))+(9*HLOOKUP("FPL As",A1:CV300,91,FALSE))+(12*HLOOKUP("CS",A1:CV300,91,FALSE))+(12*HLOOKUP("Gs",A1:CV300,91,FALSE)))</f>
        <v>305</v>
      </c>
      <c r="K91" s="12335">
        <v>0</v>
      </c>
      <c r="L91" s="12336">
        <v>8</v>
      </c>
      <c r="M91" s="12337">
        <v>44</v>
      </c>
      <c r="N91" s="12338">
        <v>9</v>
      </c>
      <c r="O91" s="12339">
        <v>4</v>
      </c>
      <c r="P91" s="12340">
        <f>IF(HLOOKUP("Shots",A1:CV300,91,FALSE)=0,0,HLOOKUP("SIB",A1:CV300,91,FALSE)/HLOOKUP("Shots",A1:CV300,91,FALSE))</f>
        <v>0.44444444444444442</v>
      </c>
      <c r="Q91" s="12341">
        <v>0</v>
      </c>
      <c r="R91" s="12342">
        <f>IF(HLOOKUP("Shots",A1:CV300,91,FALSE)=0,0,HLOOKUP("S6YD",A1:CV300,91,FALSE)/HLOOKUP("Shots",A1:CV300,91,FALSE))</f>
        <v>0</v>
      </c>
      <c r="S91" s="12343">
        <v>1</v>
      </c>
      <c r="T91" s="12344">
        <f>IF(HLOOKUP("Shots",A1:CV300,91,FALSE)=0,0,HLOOKUP("Headers",A1:CV300,91,FALSE)/HLOOKUP("Shots",A1:CV300,91,FALSE))</f>
        <v>0.1111111111111111</v>
      </c>
      <c r="U91" s="12345">
        <v>3</v>
      </c>
      <c r="V91" s="12346">
        <f>IF(HLOOKUP("Shots",A1:CV300,91,FALSE)=0,0,HLOOKUP("SOT",A1:CV300,91,FALSE)/HLOOKUP("Shots",A1:CV300,91,FALSE))</f>
        <v>0.33333333333333331</v>
      </c>
      <c r="W91" s="12347">
        <f>IF(HLOOKUP("Shots",A1:CV300,91,FALSE)=0,0,HLOOKUP("Gs",A1:CV300,91,FALSE)/HLOOKUP("Shots",A1:CV300,91,FALSE))</f>
        <v>0.22222222222222221</v>
      </c>
      <c r="X91" s="12348">
        <v>1</v>
      </c>
      <c r="Y91" s="12349">
        <v>1</v>
      </c>
      <c r="Z91" s="12350">
        <v>16</v>
      </c>
      <c r="AA91" s="12351">
        <f>IF(HLOOKUP("KP",A1:CV300,91,FALSE)=0,0,HLOOKUP("As",A1:CV300,91,FALSE)/HLOOKUP("KP",A1:CV300,91,FALSE))</f>
        <v>6.25E-2</v>
      </c>
      <c r="AB91" s="12352">
        <v>98.1</v>
      </c>
      <c r="AC91" s="12353">
        <v>7</v>
      </c>
      <c r="AD91" s="12354">
        <v>3</v>
      </c>
      <c r="AE91" s="12355">
        <v>1</v>
      </c>
      <c r="AF91" s="12356">
        <v>0</v>
      </c>
      <c r="AG91" s="12357">
        <f>IF(HLOOKUP("BC",A1:CV300,91,FALSE)=0,0,HLOOKUP("Gs - BC",A1:CV300,91,FALSE)/HLOOKUP("BC",A1:CV300,91,FALSE))</f>
        <v>1</v>
      </c>
      <c r="AH91" s="12358">
        <f>HLOOKUP("BC",A1:CV300,91,FALSE) - HLOOKUP("BC Miss",A1:CV300,91,FALSE)</f>
        <v>1</v>
      </c>
      <c r="AI91" s="12359">
        <f>IF(HLOOKUP("Gs",A1:CV300,91,FALSE)=0,0,HLOOKUP("Gs - BC",A1:CV300,91,FALSE)/HLOOKUP("Gs",A1:CV300,91,FALSE))</f>
        <v>0.5</v>
      </c>
      <c r="AJ91" s="12360">
        <v>0</v>
      </c>
      <c r="AK91" s="12361">
        <v>0</v>
      </c>
      <c r="AL91" s="12362">
        <f>HLOOKUP("BC",A1:CV300,91,FALSE) - (HLOOKUP("PK Gs",A1:CV300,91,FALSE) + HLOOKUP("PK Miss",A1:CV300,91,FALSE))</f>
        <v>1</v>
      </c>
      <c r="AM91" s="12363">
        <f>HLOOKUP("BC Miss",A1:CV300,91,FALSE) - HLOOKUP("PK Miss",A1:CV300,91,FALSE)</f>
        <v>0</v>
      </c>
      <c r="AN91" s="12364">
        <f>IF(HLOOKUP("BC - Open",A1:CV300,91,FALSE)=0,0,HLOOKUP("BC - Open Miss",A1:CV300,91,FALSE)/HLOOKUP("BC - Open",A1:CV300,91,FALSE))</f>
        <v>0</v>
      </c>
      <c r="AO91" s="12365">
        <v>1</v>
      </c>
      <c r="AP91" s="12366">
        <f>IF(HLOOKUP("Gs",A1:CV300,91,FALSE)=0,0,HLOOKUP("GIB",A1:CV300,91,FALSE)/HLOOKUP("Gs",A1:CV300,91,FALSE))</f>
        <v>0.5</v>
      </c>
      <c r="AQ91" s="12367">
        <v>2</v>
      </c>
      <c r="AR91" s="12368">
        <f>IF(HLOOKUP("Gs",A1:CV300,91,FALSE)=0,0,HLOOKUP("Gs - Open",A1:CV300,91,FALSE)/HLOOKUP("Gs",A1:CV300,91,FALSE))</f>
        <v>1</v>
      </c>
      <c r="AS91" s="12369">
        <v>0.71</v>
      </c>
      <c r="AT91" s="12370">
        <v>2.04</v>
      </c>
      <c r="AU91" s="12371">
        <f>IF(HLOOKUP("Mins",A1:CV300,91,FALSE)=0,0,HLOOKUP("Pts",A1:CV300,91,FALSE)/HLOOKUP("Mins",A1:CV300,91,FALSE)* 90)</f>
        <v>4.4285714285714288</v>
      </c>
      <c r="AV91" s="12372">
        <f>IF(HLOOKUP("Apps",A1:CV300,91,FALSE)=0,0,HLOOKUP("Pts",A1:CV300,91,FALSE)/HLOOKUP("Apps",A1:CV300,91,FALSE)* 1)</f>
        <v>4.4285714285714288</v>
      </c>
      <c r="AW91" s="12373">
        <f>IF(HLOOKUP("Mins",A1:CV300,91,FALSE)=0,0,HLOOKUP("Gs",A1:CV300,91,FALSE)/HLOOKUP("Mins",A1:CV300,91,FALSE)* 90)</f>
        <v>9.5238095238095247E-2</v>
      </c>
      <c r="AX91" s="12374">
        <f>IF(HLOOKUP("Mins",A1:CV300,91,FALSE)=0,0,HLOOKUP("Bonus",A1:CV300,91,FALSE)/HLOOKUP("Mins",A1:CV300,91,FALSE)* 90)</f>
        <v>0.47619047619047616</v>
      </c>
      <c r="AY91" s="12375">
        <f>IF(HLOOKUP("Mins",A1:CV300,91,FALSE)=0,0,HLOOKUP("BPS",A1:CV300,91,FALSE)/HLOOKUP("Mins",A1:CV300,91,FALSE)* 90)</f>
        <v>20.666666666666668</v>
      </c>
      <c r="AZ91" s="12376">
        <f>IF(HLOOKUP("Mins",A1:CV300,91,FALSE)=0,0,HLOOKUP("Base BPS",A1:CV300,91,FALSE)/HLOOKUP("Mins",A1:CV300,91,FALSE)* 90)</f>
        <v>14.523809523809524</v>
      </c>
      <c r="BA91" s="12377">
        <f>IF(HLOOKUP("Mins",A1:CV300,91,FALSE)=0,0,HLOOKUP("PenTchs",A1:CV300,91,FALSE)/HLOOKUP("Mins",A1:CV300,91,FALSE)* 90)</f>
        <v>2.0952380952380953</v>
      </c>
      <c r="BB91" s="12378">
        <f>IF(HLOOKUP("Mins",A1:CV300,91,FALSE)=0,0,HLOOKUP("Shots",A1:CV300,91,FALSE)/HLOOKUP("Mins",A1:CV300,91,FALSE)* 90)</f>
        <v>0.4285714285714286</v>
      </c>
      <c r="BC91" s="12379">
        <f>IF(HLOOKUP("Mins",A1:CV300,91,FALSE)=0,0,HLOOKUP("SIB",A1:CV300,91,FALSE)/HLOOKUP("Mins",A1:CV300,91,FALSE)* 90)</f>
        <v>0.19047619047619049</v>
      </c>
      <c r="BD91" s="12380">
        <f>IF(HLOOKUP("Mins",A1:CV300,91,FALSE)=0,0,HLOOKUP("S6YD",A1:CV300,91,FALSE)/HLOOKUP("Mins",A1:CV300,91,FALSE)* 90)</f>
        <v>0</v>
      </c>
      <c r="BE91" s="12381">
        <f>IF(HLOOKUP("Mins",A1:CV300,91,FALSE)=0,0,HLOOKUP("Headers",A1:CV300,91,FALSE)/HLOOKUP("Mins",A1:CV300,91,FALSE)* 90)</f>
        <v>4.7619047619047623E-2</v>
      </c>
      <c r="BF91" s="12382">
        <f>IF(HLOOKUP("Mins",A1:CV300,91,FALSE)=0,0,HLOOKUP("SOT",A1:CV300,91,FALSE)/HLOOKUP("Mins",A1:CV300,91,FALSE)* 90)</f>
        <v>0.14285714285714285</v>
      </c>
      <c r="BG91" s="12383">
        <f>IF(HLOOKUP("Mins",A1:CV300,91,FALSE)=0,0,HLOOKUP("As",A1:CV300,91,FALSE)/HLOOKUP("Mins",A1:CV300,91,FALSE)* 90)</f>
        <v>4.7619047619047623E-2</v>
      </c>
      <c r="BH91" s="12384">
        <f>IF(HLOOKUP("Mins",A1:CV300,91,FALSE)=0,0,HLOOKUP("FPL As",A1:CV300,91,FALSE)/HLOOKUP("Mins",A1:CV300,91,FALSE)* 90)</f>
        <v>4.7619047619047623E-2</v>
      </c>
      <c r="BI91" s="12385">
        <f>IF(HLOOKUP("Mins",A1:CV300,91,FALSE)=0,0,HLOOKUP("BC Created",A1:CV300,91,FALSE)/HLOOKUP("Mins",A1:CV300,91,FALSE)* 90)</f>
        <v>0.14285714285714285</v>
      </c>
      <c r="BJ91" s="12386">
        <f>IF(HLOOKUP("Mins",A1:CV300,91,FALSE)=0,0,HLOOKUP("KP",A1:CV300,91,FALSE)/HLOOKUP("Mins",A1:CV300,91,FALSE)* 90)</f>
        <v>0.76190476190476197</v>
      </c>
      <c r="BK91" s="12387">
        <f>IF(HLOOKUP("Mins",A1:CV300,91,FALSE)=0,0,HLOOKUP("BC",A1:CV300,91,FALSE)/HLOOKUP("Mins",A1:CV300,91,FALSE)* 90)</f>
        <v>4.7619047619047623E-2</v>
      </c>
      <c r="BL91" s="12388">
        <f>IF(HLOOKUP("Mins",A1:CV300,91,FALSE)=0,0,HLOOKUP("BC Miss",A1:CV300,91,FALSE)/HLOOKUP("Mins",A1:CV300,91,FALSE)* 90)</f>
        <v>0</v>
      </c>
      <c r="BM91" s="12389">
        <f>IF(HLOOKUP("Mins",A1:CV300,91,FALSE)=0,0,HLOOKUP("Gs - BC",A1:CV300,91,FALSE)/HLOOKUP("Mins",A1:CV300,91,FALSE)* 90)</f>
        <v>4.7619047619047623E-2</v>
      </c>
      <c r="BN91" s="12390">
        <f>IF(HLOOKUP("Mins",A1:CV300,91,FALSE)=0,0,HLOOKUP("GIB",A1:CV300,91,FALSE)/HLOOKUP("Mins",A1:CV300,91,FALSE)* 90)</f>
        <v>4.7619047619047623E-2</v>
      </c>
      <c r="BO91" s="12391">
        <f>IF(HLOOKUP("Mins",A1:CV300,91,FALSE)=0,0,HLOOKUP("Gs - Open",A1:CV300,91,FALSE)/HLOOKUP("Mins",A1:CV300,91,FALSE)* 90)</f>
        <v>9.5238095238095247E-2</v>
      </c>
      <c r="BP91" s="12392">
        <f>IF(HLOOKUP("Mins",A1:CV300,91,FALSE)=0,0,HLOOKUP("ICT Index",A1:CV300,91,FALSE)/HLOOKUP("Mins",A1:CV300,91,FALSE)* 90)</f>
        <v>4.6714285714285717</v>
      </c>
      <c r="BQ91" s="12393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  <v>2.2476190476190476E-2</v>
      </c>
      <c r="BR91" s="12394">
        <f>0.0825*HLOOKUP("KP/90",A1:CV300,91,FALSE)</f>
        <v>6.2857142857142861E-2</v>
      </c>
      <c r="BS91" s="12395">
        <f>6*HLOOKUP("xG/90",A1:CV300,91,FALSE)+3*HLOOKUP("xA/90",A1:CV300,91,FALSE)</f>
        <v>0.3234285714285714</v>
      </c>
      <c r="BT91" s="12396">
        <f>HLOOKUP("xPts/90",A1:CV300,91,FALSE)-(6*0.75*(HLOOKUP("PK Gs",A1:CV300,91,FALSE)+HLOOKUP("PK Miss",A1:CV300,91,FALSE))*90/HLOOKUP("Mins",A1:CV300,91,FALSE))</f>
        <v>0.3234285714285714</v>
      </c>
      <c r="BU91" s="12397">
        <f>IF(HLOOKUP("Mins",A1:CV300,91,FALSE)=0,0,HLOOKUP("fsXG",A1:CV300,91,FALSE)/HLOOKUP("Mins",A1:CV300,91,FALSE)* 90)</f>
        <v>3.380952380952381E-2</v>
      </c>
      <c r="BV91" s="12398">
        <f>IF(HLOOKUP("Mins",A1:CV300,91,FALSE)=0,0,HLOOKUP("fsXA",A1:CV300,91,FALSE)/HLOOKUP("Mins",A1:CV300,91,FALSE)* 90)</f>
        <v>9.7142857142857142E-2</v>
      </c>
      <c r="BW91" s="12399">
        <f>6*HLOOKUP("fsXG/90",A1:CV300,91,FALSE)+3*HLOOKUP("fsXA/90",A1:CV300,91,FALSE)</f>
        <v>0.49428571428571427</v>
      </c>
      <c r="BX91" s="12400">
        <v>3.5050973296165466E-2</v>
      </c>
      <c r="BY91" s="12401">
        <v>9.7169280052185059E-2</v>
      </c>
      <c r="BZ91" s="12402">
        <f>6*HLOOKUP("uXG/90",A1:CV300,91,FALSE)+3*HLOOKUP("uXA/90",A1:CV300,91,FALSE)</f>
        <v>0.50181367993354797</v>
      </c>
    </row>
    <row r="92" spans="1:78" hidden="1" x14ac:dyDescent="0.3">
      <c r="A92" s="12403" t="s">
        <v>255</v>
      </c>
      <c r="B92" s="12404" t="s">
        <v>102</v>
      </c>
      <c r="C92" s="12405">
        <v>4.1999998092651367</v>
      </c>
      <c r="D92" s="12406">
        <v>1002</v>
      </c>
      <c r="E92" s="12407">
        <v>12</v>
      </c>
      <c r="F92" s="12408">
        <v>38</v>
      </c>
      <c r="G92" s="12409">
        <v>1</v>
      </c>
      <c r="H92" s="12410">
        <v>3</v>
      </c>
      <c r="I92" s="12411">
        <v>180</v>
      </c>
      <c r="J92" s="12412">
        <f>HLOOKUP("BPS",A1:CV300,92,FALSE)-((-6*HLOOKUP("OG",A1:CV300,92,FALSE))+(-6*HLOOKUP("PK Miss",A1:CV300,92,FALSE))+(9*HLOOKUP("FPL As",A1:CV300,92,FALSE))+(12*HLOOKUP("CS",A1:CV300,92,FALSE))+(12*HLOOKUP("Gs",A1:CV300,92,FALSE)))</f>
        <v>132</v>
      </c>
      <c r="K92" s="12413">
        <v>0</v>
      </c>
      <c r="L92" s="12414">
        <v>3</v>
      </c>
      <c r="M92" s="12415">
        <v>7</v>
      </c>
      <c r="N92" s="12416">
        <v>4</v>
      </c>
      <c r="O92" s="12417">
        <v>4</v>
      </c>
      <c r="P92" s="12418">
        <f>IF(HLOOKUP("Shots",A1:CV300,92,FALSE)=0,0,HLOOKUP("SIB",A1:CV300,92,FALSE)/HLOOKUP("Shots",A1:CV300,92,FALSE))</f>
        <v>1</v>
      </c>
      <c r="Q92" s="12419">
        <v>1</v>
      </c>
      <c r="R92" s="12420">
        <f>IF(HLOOKUP("Shots",A1:CV300,92,FALSE)=0,0,HLOOKUP("S6YD",A1:CV300,92,FALSE)/HLOOKUP("Shots",A1:CV300,92,FALSE))</f>
        <v>0.25</v>
      </c>
      <c r="S92" s="12421">
        <v>3</v>
      </c>
      <c r="T92" s="12422">
        <f>IF(HLOOKUP("Shots",A1:CV300,92,FALSE)=0,0,HLOOKUP("Headers",A1:CV300,92,FALSE)/HLOOKUP("Shots",A1:CV300,92,FALSE))</f>
        <v>0.75</v>
      </c>
      <c r="U92" s="12423">
        <v>1</v>
      </c>
      <c r="V92" s="12424">
        <f>IF(HLOOKUP("Shots",A1:CV300,92,FALSE)=0,0,HLOOKUP("SOT",A1:CV300,92,FALSE)/HLOOKUP("Shots",A1:CV300,92,FALSE))</f>
        <v>0.25</v>
      </c>
      <c r="W92" s="12425">
        <f>IF(HLOOKUP("Shots",A1:CV300,92,FALSE)=0,0,HLOOKUP("Gs",A1:CV300,92,FALSE)/HLOOKUP("Shots",A1:CV300,92,FALSE))</f>
        <v>0.25</v>
      </c>
      <c r="X92" s="12426">
        <v>0</v>
      </c>
      <c r="Y92" s="12427">
        <v>0</v>
      </c>
      <c r="Z92" s="12428">
        <v>1</v>
      </c>
      <c r="AA92" s="12429">
        <f>IF(HLOOKUP("KP",A1:CV300,92,FALSE)=0,0,HLOOKUP("As",A1:CV300,92,FALSE)/HLOOKUP("KP",A1:CV300,92,FALSE))</f>
        <v>0</v>
      </c>
      <c r="AB92" s="12430">
        <v>29.8</v>
      </c>
      <c r="AC92" s="12431">
        <v>11</v>
      </c>
      <c r="AD92" s="12432">
        <v>0</v>
      </c>
      <c r="AE92" s="12433">
        <v>0</v>
      </c>
      <c r="AF92" s="12434">
        <v>0</v>
      </c>
      <c r="AG92" s="12435">
        <f>IF(HLOOKUP("BC",A1:CV300,92,FALSE)=0,0,HLOOKUP("Gs - BC",A1:CV300,92,FALSE)/HLOOKUP("BC",A1:CV300,92,FALSE))</f>
        <v>0</v>
      </c>
      <c r="AH92" s="12436">
        <f>HLOOKUP("BC",A1:CV300,92,FALSE) - HLOOKUP("BC Miss",A1:CV300,92,FALSE)</f>
        <v>0</v>
      </c>
      <c r="AI92" s="12437">
        <f>IF(HLOOKUP("Gs",A1:CV300,92,FALSE)=0,0,HLOOKUP("Gs - BC",A1:CV300,92,FALSE)/HLOOKUP("Gs",A1:CV300,92,FALSE))</f>
        <v>0</v>
      </c>
      <c r="AJ92" s="12438">
        <v>0</v>
      </c>
      <c r="AK92" s="12439">
        <v>0</v>
      </c>
      <c r="AL92" s="12440">
        <f>HLOOKUP("BC",A1:CV300,92,FALSE) - (HLOOKUP("PK Gs",A1:CV300,92,FALSE) + HLOOKUP("PK Miss",A1:CV300,92,FALSE))</f>
        <v>0</v>
      </c>
      <c r="AM92" s="12441">
        <f>HLOOKUP("BC Miss",A1:CV300,92,FALSE) - HLOOKUP("PK Miss",A1:CV300,92,FALSE)</f>
        <v>0</v>
      </c>
      <c r="AN92" s="12442">
        <f>IF(HLOOKUP("BC - Open",A1:CV300,92,FALSE)=0,0,HLOOKUP("BC - Open Miss",A1:CV300,92,FALSE)/HLOOKUP("BC - Open",A1:CV300,92,FALSE))</f>
        <v>0</v>
      </c>
      <c r="AO92" s="12443">
        <v>1</v>
      </c>
      <c r="AP92" s="12444">
        <f>IF(HLOOKUP("Gs",A1:CV300,92,FALSE)=0,0,HLOOKUP("GIB",A1:CV300,92,FALSE)/HLOOKUP("Gs",A1:CV300,92,FALSE))</f>
        <v>1</v>
      </c>
      <c r="AQ92" s="12445">
        <v>1</v>
      </c>
      <c r="AR92" s="12446">
        <f>IF(HLOOKUP("Gs",A1:CV300,92,FALSE)=0,0,HLOOKUP("Gs - Open",A1:CV300,92,FALSE)/HLOOKUP("Gs",A1:CV300,92,FALSE))</f>
        <v>1</v>
      </c>
      <c r="AS92" s="12447">
        <v>0.3</v>
      </c>
      <c r="AT92" s="12448">
        <v>0.04</v>
      </c>
      <c r="AU92" s="12449">
        <f>IF(HLOOKUP("Mins",A1:CV300,92,FALSE)=0,0,HLOOKUP("Pts",A1:CV300,92,FALSE)/HLOOKUP("Mins",A1:CV300,92,FALSE)* 90)</f>
        <v>3.4131736526946108</v>
      </c>
      <c r="AV92" s="12450">
        <f>IF(HLOOKUP("Apps",A1:CV300,92,FALSE)=0,0,HLOOKUP("Pts",A1:CV300,92,FALSE)/HLOOKUP("Apps",A1:CV300,92,FALSE)* 1)</f>
        <v>3.1666666666666665</v>
      </c>
      <c r="AW92" s="12451">
        <f>IF(HLOOKUP("Mins",A1:CV300,92,FALSE)=0,0,HLOOKUP("Gs",A1:CV300,92,FALSE)/HLOOKUP("Mins",A1:CV300,92,FALSE)* 90)</f>
        <v>8.9820359281437112E-2</v>
      </c>
      <c r="AX92" s="12452">
        <f>IF(HLOOKUP("Mins",A1:CV300,92,FALSE)=0,0,HLOOKUP("Bonus",A1:CV300,92,FALSE)/HLOOKUP("Mins",A1:CV300,92,FALSE)* 90)</f>
        <v>0.26946107784431139</v>
      </c>
      <c r="AY92" s="12453">
        <f>IF(HLOOKUP("Mins",A1:CV300,92,FALSE)=0,0,HLOOKUP("BPS",A1:CV300,92,FALSE)/HLOOKUP("Mins",A1:CV300,92,FALSE)* 90)</f>
        <v>16.167664670658684</v>
      </c>
      <c r="AZ92" s="12454">
        <f>IF(HLOOKUP("Mins",A1:CV300,92,FALSE)=0,0,HLOOKUP("Base BPS",A1:CV300,92,FALSE)/HLOOKUP("Mins",A1:CV300,92,FALSE)* 90)</f>
        <v>11.856287425149702</v>
      </c>
      <c r="BA92" s="12455">
        <f>IF(HLOOKUP("Mins",A1:CV300,92,FALSE)=0,0,HLOOKUP("PenTchs",A1:CV300,92,FALSE)/HLOOKUP("Mins",A1:CV300,92,FALSE)* 90)</f>
        <v>0.62874251497005984</v>
      </c>
      <c r="BB92" s="12456">
        <f>IF(HLOOKUP("Mins",A1:CV300,92,FALSE)=0,0,HLOOKUP("Shots",A1:CV300,92,FALSE)/HLOOKUP("Mins",A1:CV300,92,FALSE)* 90)</f>
        <v>0.35928143712574845</v>
      </c>
      <c r="BC92" s="12457">
        <f>IF(HLOOKUP("Mins",A1:CV300,92,FALSE)=0,0,HLOOKUP("SIB",A1:CV300,92,FALSE)/HLOOKUP("Mins",A1:CV300,92,FALSE)* 90)</f>
        <v>0.35928143712574845</v>
      </c>
      <c r="BD92" s="12458">
        <f>IF(HLOOKUP("Mins",A1:CV300,92,FALSE)=0,0,HLOOKUP("S6YD",A1:CV300,92,FALSE)/HLOOKUP("Mins",A1:CV300,92,FALSE)* 90)</f>
        <v>8.9820359281437112E-2</v>
      </c>
      <c r="BE92" s="12459">
        <f>IF(HLOOKUP("Mins",A1:CV300,92,FALSE)=0,0,HLOOKUP("Headers",A1:CV300,92,FALSE)/HLOOKUP("Mins",A1:CV300,92,FALSE)* 90)</f>
        <v>0.26946107784431139</v>
      </c>
      <c r="BF92" s="12460">
        <f>IF(HLOOKUP("Mins",A1:CV300,92,FALSE)=0,0,HLOOKUP("SOT",A1:CV300,92,FALSE)/HLOOKUP("Mins",A1:CV300,92,FALSE)* 90)</f>
        <v>8.9820359281437112E-2</v>
      </c>
      <c r="BG92" s="12461">
        <f>IF(HLOOKUP("Mins",A1:CV300,92,FALSE)=0,0,HLOOKUP("As",A1:CV300,92,FALSE)/HLOOKUP("Mins",A1:CV300,92,FALSE)* 90)</f>
        <v>0</v>
      </c>
      <c r="BH92" s="12462">
        <f>IF(HLOOKUP("Mins",A1:CV300,92,FALSE)=0,0,HLOOKUP("FPL As",A1:CV300,92,FALSE)/HLOOKUP("Mins",A1:CV300,92,FALSE)* 90)</f>
        <v>0</v>
      </c>
      <c r="BI92" s="12463">
        <f>IF(HLOOKUP("Mins",A1:CV300,92,FALSE)=0,0,HLOOKUP("BC Created",A1:CV300,92,FALSE)/HLOOKUP("Mins",A1:CV300,92,FALSE)* 90)</f>
        <v>0</v>
      </c>
      <c r="BJ92" s="12464">
        <f>IF(HLOOKUP("Mins",A1:CV300,92,FALSE)=0,0,HLOOKUP("KP",A1:CV300,92,FALSE)/HLOOKUP("Mins",A1:CV300,92,FALSE)* 90)</f>
        <v>8.9820359281437112E-2</v>
      </c>
      <c r="BK92" s="12465">
        <f>IF(HLOOKUP("Mins",A1:CV300,92,FALSE)=0,0,HLOOKUP("BC",A1:CV300,92,FALSE)/HLOOKUP("Mins",A1:CV300,92,FALSE)* 90)</f>
        <v>0</v>
      </c>
      <c r="BL92" s="12466">
        <f>IF(HLOOKUP("Mins",A1:CV300,92,FALSE)=0,0,HLOOKUP("BC Miss",A1:CV300,92,FALSE)/HLOOKUP("Mins",A1:CV300,92,FALSE)* 90)</f>
        <v>0</v>
      </c>
      <c r="BM92" s="12467">
        <f>IF(HLOOKUP("Mins",A1:CV300,92,FALSE)=0,0,HLOOKUP("Gs - BC",A1:CV300,92,FALSE)/HLOOKUP("Mins",A1:CV300,92,FALSE)* 90)</f>
        <v>0</v>
      </c>
      <c r="BN92" s="12468">
        <f>IF(HLOOKUP("Mins",A1:CV300,92,FALSE)=0,0,HLOOKUP("GIB",A1:CV300,92,FALSE)/HLOOKUP("Mins",A1:CV300,92,FALSE)* 90)</f>
        <v>8.9820359281437112E-2</v>
      </c>
      <c r="BO92" s="12469">
        <f>IF(HLOOKUP("Mins",A1:CV300,92,FALSE)=0,0,HLOOKUP("Gs - Open",A1:CV300,92,FALSE)/HLOOKUP("Mins",A1:CV300,92,FALSE)* 90)</f>
        <v>8.9820359281437112E-2</v>
      </c>
      <c r="BP92" s="12470">
        <f>IF(HLOOKUP("Mins",A1:CV300,92,FALSE)=0,0,HLOOKUP("ICT Index",A1:CV300,92,FALSE)/HLOOKUP("Mins",A1:CV300,92,FALSE)* 90)</f>
        <v>2.6766467065868267</v>
      </c>
      <c r="BQ92" s="12471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  <v>3.3413173652694611E-2</v>
      </c>
      <c r="BR92" s="12472">
        <f>0.0825*HLOOKUP("KP/90",A1:CV300,92,FALSE)</f>
        <v>7.4101796407185618E-3</v>
      </c>
      <c r="BS92" s="12473">
        <f>6*HLOOKUP("xG/90",A1:CV300,92,FALSE)+3*HLOOKUP("xA/90",A1:CV300,92,FALSE)</f>
        <v>0.22270958083832335</v>
      </c>
      <c r="BT92" s="12474">
        <f>HLOOKUP("xPts/90",A1:CV300,92,FALSE)-(6*0.75*(HLOOKUP("PK Gs",A1:CV300,92,FALSE)+HLOOKUP("PK Miss",A1:CV300,92,FALSE))*90/HLOOKUP("Mins",A1:CV300,92,FALSE))</f>
        <v>0.22270958083832335</v>
      </c>
      <c r="BU92" s="12475">
        <f>IF(HLOOKUP("Mins",A1:CV300,92,FALSE)=0,0,HLOOKUP("fsXG",A1:CV300,92,FALSE)/HLOOKUP("Mins",A1:CV300,92,FALSE)* 90)</f>
        <v>2.6946107784431138E-2</v>
      </c>
      <c r="BV92" s="12476">
        <f>IF(HLOOKUP("Mins",A1:CV300,92,FALSE)=0,0,HLOOKUP("fsXA",A1:CV300,92,FALSE)/HLOOKUP("Mins",A1:CV300,92,FALSE)* 90)</f>
        <v>3.592814371257485E-3</v>
      </c>
      <c r="BW92" s="12477">
        <f>6*HLOOKUP("fsXG/90",A1:CV300,92,FALSE)+3*HLOOKUP("fsXA/90",A1:CV300,92,FALSE)</f>
        <v>0.17245508982035929</v>
      </c>
      <c r="BX92" s="12478">
        <v>2.2563250735402107E-2</v>
      </c>
      <c r="BY92" s="12479">
        <v>2.8947780374437571E-3</v>
      </c>
      <c r="BZ92" s="12480">
        <f>6*HLOOKUP("uXG/90",A1:CV300,92,FALSE)+3*HLOOKUP("uXA/90",A1:CV300,92,FALSE)</f>
        <v>0.14406383852474391</v>
      </c>
    </row>
    <row r="93" spans="1:78" hidden="1" x14ac:dyDescent="0.3">
      <c r="A93" s="12481" t="s">
        <v>256</v>
      </c>
      <c r="B93" s="12482" t="s">
        <v>118</v>
      </c>
      <c r="C93" s="12483">
        <v>5.3000001907348633</v>
      </c>
      <c r="D93" s="12484">
        <v>1459</v>
      </c>
      <c r="E93" s="12485">
        <v>18</v>
      </c>
      <c r="F93" s="12486">
        <v>50</v>
      </c>
      <c r="G93" s="12487">
        <v>1</v>
      </c>
      <c r="H93" s="12488">
        <v>3</v>
      </c>
      <c r="I93" s="12489">
        <v>261</v>
      </c>
      <c r="J93" s="12490">
        <f>HLOOKUP("BPS",A1:CV300,93,FALSE)-((-6*HLOOKUP("OG",A1:CV300,93,FALSE))+(-6*HLOOKUP("PK Miss",A1:CV300,93,FALSE))+(9*HLOOKUP("FPL As",A1:CV300,93,FALSE))+(12*HLOOKUP("CS",A1:CV300,93,FALSE))+(12*HLOOKUP("Gs",A1:CV300,93,FALSE)))</f>
        <v>201</v>
      </c>
      <c r="K93" s="12491">
        <v>0</v>
      </c>
      <c r="L93" s="12492">
        <v>4</v>
      </c>
      <c r="M93" s="12493">
        <v>26</v>
      </c>
      <c r="N93" s="12494">
        <v>11</v>
      </c>
      <c r="O93" s="12495">
        <v>11</v>
      </c>
      <c r="P93" s="12496">
        <f>IF(HLOOKUP("Shots",A1:CV300,93,FALSE)=0,0,HLOOKUP("SIB",A1:CV300,93,FALSE)/HLOOKUP("Shots",A1:CV300,93,FALSE))</f>
        <v>1</v>
      </c>
      <c r="Q93" s="12497">
        <v>4</v>
      </c>
      <c r="R93" s="12498">
        <f>IF(HLOOKUP("Shots",A1:CV300,93,FALSE)=0,0,HLOOKUP("S6YD",A1:CV300,93,FALSE)/HLOOKUP("Shots",A1:CV300,93,FALSE))</f>
        <v>0.36363636363636365</v>
      </c>
      <c r="S93" s="12499">
        <v>7</v>
      </c>
      <c r="T93" s="12500">
        <f>IF(HLOOKUP("Shots",A1:CV300,93,FALSE)=0,0,HLOOKUP("Headers",A1:CV300,93,FALSE)/HLOOKUP("Shots",A1:CV300,93,FALSE))</f>
        <v>0.63636363636363635</v>
      </c>
      <c r="U93" s="12501">
        <v>3</v>
      </c>
      <c r="V93" s="12502">
        <f>IF(HLOOKUP("Shots",A1:CV300,93,FALSE)=0,0,HLOOKUP("SOT",A1:CV300,93,FALSE)/HLOOKUP("Shots",A1:CV300,93,FALSE))</f>
        <v>0.27272727272727271</v>
      </c>
      <c r="W93" s="12503">
        <f>IF(HLOOKUP("Shots",A1:CV300,93,FALSE)=0,0,HLOOKUP("Gs",A1:CV300,93,FALSE)/HLOOKUP("Shots",A1:CV300,93,FALSE))</f>
        <v>9.0909090909090912E-2</v>
      </c>
      <c r="X93" s="12504">
        <v>0</v>
      </c>
      <c r="Y93" s="12505">
        <v>0</v>
      </c>
      <c r="Z93" s="12506">
        <v>2</v>
      </c>
      <c r="AA93" s="12507">
        <f>IF(HLOOKUP("KP",A1:CV300,93,FALSE)=0,0,HLOOKUP("As",A1:CV300,93,FALSE)/HLOOKUP("KP",A1:CV300,93,FALSE))</f>
        <v>0</v>
      </c>
      <c r="AB93" s="12508">
        <v>50.4</v>
      </c>
      <c r="AC93" s="12509">
        <v>5</v>
      </c>
      <c r="AD93" s="12510">
        <v>0</v>
      </c>
      <c r="AE93" s="12511">
        <v>3</v>
      </c>
      <c r="AF93" s="12512">
        <v>2</v>
      </c>
      <c r="AG93" s="12513">
        <f>IF(HLOOKUP("BC",A1:CV300,93,FALSE)=0,0,HLOOKUP("Gs - BC",A1:CV300,93,FALSE)/HLOOKUP("BC",A1:CV300,93,FALSE))</f>
        <v>0.33333333333333331</v>
      </c>
      <c r="AH93" s="12514">
        <f>HLOOKUP("BC",A1:CV300,93,FALSE) - HLOOKUP("BC Miss",A1:CV300,93,FALSE)</f>
        <v>1</v>
      </c>
      <c r="AI93" s="12515">
        <f>IF(HLOOKUP("Gs",A1:CV300,93,FALSE)=0,0,HLOOKUP("Gs - BC",A1:CV300,93,FALSE)/HLOOKUP("Gs",A1:CV300,93,FALSE))</f>
        <v>1</v>
      </c>
      <c r="AJ93" s="12516">
        <v>0</v>
      </c>
      <c r="AK93" s="12517">
        <v>0</v>
      </c>
      <c r="AL93" s="12518">
        <f>HLOOKUP("BC",A1:CV300,93,FALSE) - (HLOOKUP("PK Gs",A1:CV300,93,FALSE) + HLOOKUP("PK Miss",A1:CV300,93,FALSE))</f>
        <v>3</v>
      </c>
      <c r="AM93" s="12519">
        <f>HLOOKUP("BC Miss",A1:CV300,93,FALSE) - HLOOKUP("PK Miss",A1:CV300,93,FALSE)</f>
        <v>2</v>
      </c>
      <c r="AN93" s="12520">
        <f>IF(HLOOKUP("BC - Open",A1:CV300,93,FALSE)=0,0,HLOOKUP("BC - Open Miss",A1:CV300,93,FALSE)/HLOOKUP("BC - Open",A1:CV300,93,FALSE))</f>
        <v>0.66666666666666663</v>
      </c>
      <c r="AO93" s="12521">
        <v>1</v>
      </c>
      <c r="AP93" s="12522">
        <f>IF(HLOOKUP("Gs",A1:CV300,93,FALSE)=0,0,HLOOKUP("GIB",A1:CV300,93,FALSE)/HLOOKUP("Gs",A1:CV300,93,FALSE))</f>
        <v>1</v>
      </c>
      <c r="AQ93" s="12523">
        <v>0</v>
      </c>
      <c r="AR93" s="12524">
        <f>IF(HLOOKUP("Gs",A1:CV300,93,FALSE)=0,0,HLOOKUP("Gs - Open",A1:CV300,93,FALSE)/HLOOKUP("Gs",A1:CV300,93,FALSE))</f>
        <v>0</v>
      </c>
      <c r="AS93" s="12525">
        <v>1.56</v>
      </c>
      <c r="AT93" s="12526">
        <v>0.21</v>
      </c>
      <c r="AU93" s="12527">
        <f>IF(HLOOKUP("Mins",A1:CV300,93,FALSE)=0,0,HLOOKUP("Pts",A1:CV300,93,FALSE)/HLOOKUP("Mins",A1:CV300,93,FALSE)* 90)</f>
        <v>3.084304318026045</v>
      </c>
      <c r="AV93" s="12528">
        <f>IF(HLOOKUP("Apps",A1:CV300,93,FALSE)=0,0,HLOOKUP("Pts",A1:CV300,93,FALSE)/HLOOKUP("Apps",A1:CV300,93,FALSE)* 1)</f>
        <v>2.7777777777777777</v>
      </c>
      <c r="AW93" s="12529">
        <f>IF(HLOOKUP("Mins",A1:CV300,93,FALSE)=0,0,HLOOKUP("Gs",A1:CV300,93,FALSE)/HLOOKUP("Mins",A1:CV300,93,FALSE)* 90)</f>
        <v>6.1686086360520906E-2</v>
      </c>
      <c r="AX93" s="12530">
        <f>IF(HLOOKUP("Mins",A1:CV300,93,FALSE)=0,0,HLOOKUP("Bonus",A1:CV300,93,FALSE)/HLOOKUP("Mins",A1:CV300,93,FALSE)* 90)</f>
        <v>0.1850582590815627</v>
      </c>
      <c r="AY93" s="12531">
        <f>IF(HLOOKUP("Mins",A1:CV300,93,FALSE)=0,0,HLOOKUP("BPS",A1:CV300,93,FALSE)/HLOOKUP("Mins",A1:CV300,93,FALSE)* 90)</f>
        <v>16.100068540095954</v>
      </c>
      <c r="AZ93" s="12532">
        <f>IF(HLOOKUP("Mins",A1:CV300,93,FALSE)=0,0,HLOOKUP("Base BPS",A1:CV300,93,FALSE)/HLOOKUP("Mins",A1:CV300,93,FALSE)* 90)</f>
        <v>12.398903358464702</v>
      </c>
      <c r="BA93" s="12533">
        <f>IF(HLOOKUP("Mins",A1:CV300,93,FALSE)=0,0,HLOOKUP("PenTchs",A1:CV300,93,FALSE)/HLOOKUP("Mins",A1:CV300,93,FALSE)* 90)</f>
        <v>1.6038382453735436</v>
      </c>
      <c r="BB93" s="12534">
        <f>IF(HLOOKUP("Mins",A1:CV300,93,FALSE)=0,0,HLOOKUP("Shots",A1:CV300,93,FALSE)/HLOOKUP("Mins",A1:CV300,93,FALSE)* 90)</f>
        <v>0.67854694996572995</v>
      </c>
      <c r="BC93" s="12535">
        <f>IF(HLOOKUP("Mins",A1:CV300,93,FALSE)=0,0,HLOOKUP("SIB",A1:CV300,93,FALSE)/HLOOKUP("Mins",A1:CV300,93,FALSE)* 90)</f>
        <v>0.67854694996572995</v>
      </c>
      <c r="BD93" s="12536">
        <f>IF(HLOOKUP("Mins",A1:CV300,93,FALSE)=0,0,HLOOKUP("S6YD",A1:CV300,93,FALSE)/HLOOKUP("Mins",A1:CV300,93,FALSE)* 90)</f>
        <v>0.24674434544208362</v>
      </c>
      <c r="BE93" s="12537">
        <f>IF(HLOOKUP("Mins",A1:CV300,93,FALSE)=0,0,HLOOKUP("Headers",A1:CV300,93,FALSE)/HLOOKUP("Mins",A1:CV300,93,FALSE)* 90)</f>
        <v>0.43180260452364633</v>
      </c>
      <c r="BF93" s="12538">
        <f>IF(HLOOKUP("Mins",A1:CV300,93,FALSE)=0,0,HLOOKUP("SOT",A1:CV300,93,FALSE)/HLOOKUP("Mins",A1:CV300,93,FALSE)* 90)</f>
        <v>0.1850582590815627</v>
      </c>
      <c r="BG93" s="12539">
        <f>IF(HLOOKUP("Mins",A1:CV300,93,FALSE)=0,0,HLOOKUP("As",A1:CV300,93,FALSE)/HLOOKUP("Mins",A1:CV300,93,FALSE)* 90)</f>
        <v>0</v>
      </c>
      <c r="BH93" s="12540">
        <f>IF(HLOOKUP("Mins",A1:CV300,93,FALSE)=0,0,HLOOKUP("FPL As",A1:CV300,93,FALSE)/HLOOKUP("Mins",A1:CV300,93,FALSE)* 90)</f>
        <v>0</v>
      </c>
      <c r="BI93" s="12541">
        <f>IF(HLOOKUP("Mins",A1:CV300,93,FALSE)=0,0,HLOOKUP("BC Created",A1:CV300,93,FALSE)/HLOOKUP("Mins",A1:CV300,93,FALSE)* 90)</f>
        <v>0</v>
      </c>
      <c r="BJ93" s="12542">
        <f>IF(HLOOKUP("Mins",A1:CV300,93,FALSE)=0,0,HLOOKUP("KP",A1:CV300,93,FALSE)/HLOOKUP("Mins",A1:CV300,93,FALSE)* 90)</f>
        <v>0.12337217272104181</v>
      </c>
      <c r="BK93" s="12543">
        <f>IF(HLOOKUP("Mins",A1:CV300,93,FALSE)=0,0,HLOOKUP("BC",A1:CV300,93,FALSE)/HLOOKUP("Mins",A1:CV300,93,FALSE)* 90)</f>
        <v>0.1850582590815627</v>
      </c>
      <c r="BL93" s="12544">
        <f>IF(HLOOKUP("Mins",A1:CV300,93,FALSE)=0,0,HLOOKUP("BC Miss",A1:CV300,93,FALSE)/HLOOKUP("Mins",A1:CV300,93,FALSE)* 90)</f>
        <v>0.12337217272104181</v>
      </c>
      <c r="BM93" s="12545">
        <f>IF(HLOOKUP("Mins",A1:CV300,93,FALSE)=0,0,HLOOKUP("Gs - BC",A1:CV300,93,FALSE)/HLOOKUP("Mins",A1:CV300,93,FALSE)* 90)</f>
        <v>6.1686086360520906E-2</v>
      </c>
      <c r="BN93" s="12546">
        <f>IF(HLOOKUP("Mins",A1:CV300,93,FALSE)=0,0,HLOOKUP("GIB",A1:CV300,93,FALSE)/HLOOKUP("Mins",A1:CV300,93,FALSE)* 90)</f>
        <v>6.1686086360520906E-2</v>
      </c>
      <c r="BO93" s="12547">
        <f>IF(HLOOKUP("Mins",A1:CV300,93,FALSE)=0,0,HLOOKUP("Gs - Open",A1:CV300,93,FALSE)/HLOOKUP("Mins",A1:CV300,93,FALSE)* 90)</f>
        <v>0</v>
      </c>
      <c r="BP93" s="12548">
        <f>IF(HLOOKUP("Mins",A1:CV300,93,FALSE)=0,0,HLOOKUP("ICT Index",A1:CV300,93,FALSE)/HLOOKUP("Mins",A1:CV300,93,FALSE)* 90)</f>
        <v>3.1089787525702532</v>
      </c>
      <c r="BQ93" s="12549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  <v>6.310486634681288E-2</v>
      </c>
      <c r="BR93" s="12550">
        <f>0.0825*HLOOKUP("KP/90",A1:CV300,93,FALSE)</f>
        <v>1.0178204249485951E-2</v>
      </c>
      <c r="BS93" s="12551">
        <f>6*HLOOKUP("xG/90",A1:CV300,93,FALSE)+3*HLOOKUP("xA/90",A1:CV300,93,FALSE)</f>
        <v>0.40916381082933512</v>
      </c>
      <c r="BT93" s="12552">
        <f>HLOOKUP("xPts/90",A1:CV300,93,FALSE)-(6*0.75*(HLOOKUP("PK Gs",A1:CV300,93,FALSE)+HLOOKUP("PK Miss",A1:CV300,93,FALSE))*90/HLOOKUP("Mins",A1:CV300,93,FALSE))</f>
        <v>0.40916381082933512</v>
      </c>
      <c r="BU93" s="12553">
        <f>IF(HLOOKUP("Mins",A1:CV300,93,FALSE)=0,0,HLOOKUP("fsXG",A1:CV300,93,FALSE)/HLOOKUP("Mins",A1:CV300,93,FALSE)* 90)</f>
        <v>9.623029472241261E-2</v>
      </c>
      <c r="BV93" s="12554">
        <f>IF(HLOOKUP("Mins",A1:CV300,93,FALSE)=0,0,HLOOKUP("fsXA",A1:CV300,93,FALSE)/HLOOKUP("Mins",A1:CV300,93,FALSE)* 90)</f>
        <v>1.2954078135709389E-2</v>
      </c>
      <c r="BW93" s="12555">
        <f>6*HLOOKUP("fsXG/90",A1:CV300,93,FALSE)+3*HLOOKUP("fsXA/90",A1:CV300,93,FALSE)</f>
        <v>0.61624400274160385</v>
      </c>
      <c r="BX93" s="12556">
        <v>0.11268597841262817</v>
      </c>
      <c r="BY93" s="12557">
        <v>1.1543960310518742E-2</v>
      </c>
      <c r="BZ93" s="12558">
        <f>6*HLOOKUP("uXG/90",A1:CV300,93,FALSE)+3*HLOOKUP("uXA/90",A1:CV300,93,FALSE)</f>
        <v>0.71074775140732527</v>
      </c>
    </row>
    <row r="94" spans="1:78" hidden="1" x14ac:dyDescent="0.3">
      <c r="A94" s="12559" t="s">
        <v>257</v>
      </c>
      <c r="B94" s="12560" t="s">
        <v>89</v>
      </c>
      <c r="C94" s="12561">
        <v>5.1999998092651367</v>
      </c>
      <c r="D94" s="12562">
        <v>1199</v>
      </c>
      <c r="E94" s="12563">
        <v>14</v>
      </c>
      <c r="F94" s="12564">
        <v>41</v>
      </c>
      <c r="G94" s="12565">
        <v>1</v>
      </c>
      <c r="H94" s="12566">
        <v>4</v>
      </c>
      <c r="I94" s="12567">
        <v>248</v>
      </c>
      <c r="J94" s="12568">
        <f>HLOOKUP("BPS",A1:CV300,94,FALSE)-((-6*HLOOKUP("OG",A1:CV300,94,FALSE))+(-6*HLOOKUP("PK Miss",A1:CV300,94,FALSE))+(9*HLOOKUP("FPL As",A1:CV300,94,FALSE))+(12*HLOOKUP("CS",A1:CV300,94,FALSE))+(12*HLOOKUP("Gs",A1:CV300,94,FALSE)))</f>
        <v>203</v>
      </c>
      <c r="K94" s="12569">
        <v>0</v>
      </c>
      <c r="L94" s="12570">
        <v>2</v>
      </c>
      <c r="M94" s="12571">
        <v>5</v>
      </c>
      <c r="N94" s="12572">
        <v>3</v>
      </c>
      <c r="O94" s="12573">
        <v>3</v>
      </c>
      <c r="P94" s="12574">
        <f>IF(HLOOKUP("Shots",A1:CV300,94,FALSE)=0,0,HLOOKUP("SIB",A1:CV300,94,FALSE)/HLOOKUP("Shots",A1:CV300,94,FALSE))</f>
        <v>1</v>
      </c>
      <c r="Q94" s="12575">
        <v>1</v>
      </c>
      <c r="R94" s="12576">
        <f>IF(HLOOKUP("Shots",A1:CV300,94,FALSE)=0,0,HLOOKUP("S6YD",A1:CV300,94,FALSE)/HLOOKUP("Shots",A1:CV300,94,FALSE))</f>
        <v>0.33333333333333331</v>
      </c>
      <c r="S94" s="12577">
        <v>2</v>
      </c>
      <c r="T94" s="12578">
        <f>IF(HLOOKUP("Shots",A1:CV300,94,FALSE)=0,0,HLOOKUP("Headers",A1:CV300,94,FALSE)/HLOOKUP("Shots",A1:CV300,94,FALSE))</f>
        <v>0.66666666666666663</v>
      </c>
      <c r="U94" s="12579">
        <v>2</v>
      </c>
      <c r="V94" s="12580">
        <f>IF(HLOOKUP("Shots",A1:CV300,94,FALSE)=0,0,HLOOKUP("SOT",A1:CV300,94,FALSE)/HLOOKUP("Shots",A1:CV300,94,FALSE))</f>
        <v>0.66666666666666663</v>
      </c>
      <c r="W94" s="12581">
        <f>IF(HLOOKUP("Shots",A1:CV300,94,FALSE)=0,0,HLOOKUP("Gs",A1:CV300,94,FALSE)/HLOOKUP("Shots",A1:CV300,94,FALSE))</f>
        <v>0.33333333333333331</v>
      </c>
      <c r="X94" s="12582">
        <v>1</v>
      </c>
      <c r="Y94" s="12583">
        <v>1</v>
      </c>
      <c r="Z94" s="12584">
        <v>3</v>
      </c>
      <c r="AA94" s="12585">
        <f>IF(HLOOKUP("KP",A1:CV300,94,FALSE)=0,0,HLOOKUP("As",A1:CV300,94,FALSE)/HLOOKUP("KP",A1:CV300,94,FALSE))</f>
        <v>0.33333333333333331</v>
      </c>
      <c r="AB94" s="12586">
        <v>41.5</v>
      </c>
      <c r="AC94" s="12587">
        <v>9</v>
      </c>
      <c r="AD94" s="12588">
        <v>2</v>
      </c>
      <c r="AE94" s="12589">
        <v>1</v>
      </c>
      <c r="AF94" s="12590">
        <v>1</v>
      </c>
      <c r="AG94" s="12591">
        <f>IF(HLOOKUP("BC",A1:CV300,94,FALSE)=0,0,HLOOKUP("Gs - BC",A1:CV300,94,FALSE)/HLOOKUP("BC",A1:CV300,94,FALSE))</f>
        <v>0</v>
      </c>
      <c r="AH94" s="12592">
        <f>HLOOKUP("BC",A1:CV300,94,FALSE) - HLOOKUP("BC Miss",A1:CV300,94,FALSE)</f>
        <v>0</v>
      </c>
      <c r="AI94" s="12593">
        <f>IF(HLOOKUP("Gs",A1:CV300,94,FALSE)=0,0,HLOOKUP("Gs - BC",A1:CV300,94,FALSE)/HLOOKUP("Gs",A1:CV300,94,FALSE))</f>
        <v>0</v>
      </c>
      <c r="AJ94" s="12594">
        <v>0</v>
      </c>
      <c r="AK94" s="12595">
        <v>0</v>
      </c>
      <c r="AL94" s="12596">
        <f>HLOOKUP("BC",A1:CV300,94,FALSE) - (HLOOKUP("PK Gs",A1:CV300,94,FALSE) + HLOOKUP("PK Miss",A1:CV300,94,FALSE))</f>
        <v>1</v>
      </c>
      <c r="AM94" s="12597">
        <f>HLOOKUP("BC Miss",A1:CV300,94,FALSE) - HLOOKUP("PK Miss",A1:CV300,94,FALSE)</f>
        <v>1</v>
      </c>
      <c r="AN94" s="12598">
        <f>IF(HLOOKUP("BC - Open",A1:CV300,94,FALSE)=0,0,HLOOKUP("BC - Open Miss",A1:CV300,94,FALSE)/HLOOKUP("BC - Open",A1:CV300,94,FALSE))</f>
        <v>1</v>
      </c>
      <c r="AO94" s="12599">
        <v>1</v>
      </c>
      <c r="AP94" s="12600">
        <f>IF(HLOOKUP("Gs",A1:CV300,94,FALSE)=0,0,HLOOKUP("GIB",A1:CV300,94,FALSE)/HLOOKUP("Gs",A1:CV300,94,FALSE))</f>
        <v>1</v>
      </c>
      <c r="AQ94" s="12601">
        <v>0</v>
      </c>
      <c r="AR94" s="12602">
        <f>IF(HLOOKUP("Gs",A1:CV300,94,FALSE)=0,0,HLOOKUP("Gs - Open",A1:CV300,94,FALSE)/HLOOKUP("Gs",A1:CV300,94,FALSE))</f>
        <v>0</v>
      </c>
      <c r="AS94" s="12603">
        <v>0.38</v>
      </c>
      <c r="AT94" s="12604">
        <v>0.23</v>
      </c>
      <c r="AU94" s="12605">
        <f>IF(HLOOKUP("Mins",A1:CV300,94,FALSE)=0,0,HLOOKUP("Pts",A1:CV300,94,FALSE)/HLOOKUP("Mins",A1:CV300,94,FALSE)* 90)</f>
        <v>3.077564637197665</v>
      </c>
      <c r="AV94" s="12606">
        <f>IF(HLOOKUP("Apps",A1:CV300,94,FALSE)=0,0,HLOOKUP("Pts",A1:CV300,94,FALSE)/HLOOKUP("Apps",A1:CV300,94,FALSE)* 1)</f>
        <v>2.9285714285714284</v>
      </c>
      <c r="AW94" s="12607">
        <f>IF(HLOOKUP("Mins",A1:CV300,94,FALSE)=0,0,HLOOKUP("Gs",A1:CV300,94,FALSE)/HLOOKUP("Mins",A1:CV300,94,FALSE)* 90)</f>
        <v>7.5062552126772306E-2</v>
      </c>
      <c r="AX94" s="12608">
        <f>IF(HLOOKUP("Mins",A1:CV300,94,FALSE)=0,0,HLOOKUP("Bonus",A1:CV300,94,FALSE)/HLOOKUP("Mins",A1:CV300,94,FALSE)* 90)</f>
        <v>0.30025020850708922</v>
      </c>
      <c r="AY94" s="12609">
        <f>IF(HLOOKUP("Mins",A1:CV300,94,FALSE)=0,0,HLOOKUP("BPS",A1:CV300,94,FALSE)/HLOOKUP("Mins",A1:CV300,94,FALSE)* 90)</f>
        <v>18.615512927439532</v>
      </c>
      <c r="AZ94" s="12610">
        <f>IF(HLOOKUP("Mins",A1:CV300,94,FALSE)=0,0,HLOOKUP("Base BPS",A1:CV300,94,FALSE)/HLOOKUP("Mins",A1:CV300,94,FALSE)* 90)</f>
        <v>15.237698081734779</v>
      </c>
      <c r="BA94" s="12611">
        <f>IF(HLOOKUP("Mins",A1:CV300,94,FALSE)=0,0,HLOOKUP("PenTchs",A1:CV300,94,FALSE)/HLOOKUP("Mins",A1:CV300,94,FALSE)* 90)</f>
        <v>0.37531276063386154</v>
      </c>
      <c r="BB94" s="12612">
        <f>IF(HLOOKUP("Mins",A1:CV300,94,FALSE)=0,0,HLOOKUP("Shots",A1:CV300,94,FALSE)/HLOOKUP("Mins",A1:CV300,94,FALSE)* 90)</f>
        <v>0.22518765638031693</v>
      </c>
      <c r="BC94" s="12613">
        <f>IF(HLOOKUP("Mins",A1:CV300,94,FALSE)=0,0,HLOOKUP("SIB",A1:CV300,94,FALSE)/HLOOKUP("Mins",A1:CV300,94,FALSE)* 90)</f>
        <v>0.22518765638031693</v>
      </c>
      <c r="BD94" s="12614">
        <f>IF(HLOOKUP("Mins",A1:CV300,94,FALSE)=0,0,HLOOKUP("S6YD",A1:CV300,94,FALSE)/HLOOKUP("Mins",A1:CV300,94,FALSE)* 90)</f>
        <v>7.5062552126772306E-2</v>
      </c>
      <c r="BE94" s="12615">
        <f>IF(HLOOKUP("Mins",A1:CV300,94,FALSE)=0,0,HLOOKUP("Headers",A1:CV300,94,FALSE)/HLOOKUP("Mins",A1:CV300,94,FALSE)* 90)</f>
        <v>0.15012510425354461</v>
      </c>
      <c r="BF94" s="12616">
        <f>IF(HLOOKUP("Mins",A1:CV300,94,FALSE)=0,0,HLOOKUP("SOT",A1:CV300,94,FALSE)/HLOOKUP("Mins",A1:CV300,94,FALSE)* 90)</f>
        <v>0.15012510425354461</v>
      </c>
      <c r="BG94" s="12617">
        <f>IF(HLOOKUP("Mins",A1:CV300,94,FALSE)=0,0,HLOOKUP("As",A1:CV300,94,FALSE)/HLOOKUP("Mins",A1:CV300,94,FALSE)* 90)</f>
        <v>7.5062552126772306E-2</v>
      </c>
      <c r="BH94" s="12618">
        <f>IF(HLOOKUP("Mins",A1:CV300,94,FALSE)=0,0,HLOOKUP("FPL As",A1:CV300,94,FALSE)/HLOOKUP("Mins",A1:CV300,94,FALSE)* 90)</f>
        <v>7.5062552126772306E-2</v>
      </c>
      <c r="BI94" s="12619">
        <f>IF(HLOOKUP("Mins",A1:CV300,94,FALSE)=0,0,HLOOKUP("BC Created",A1:CV300,94,FALSE)/HLOOKUP("Mins",A1:CV300,94,FALSE)* 90)</f>
        <v>0.15012510425354461</v>
      </c>
      <c r="BJ94" s="12620">
        <f>IF(HLOOKUP("Mins",A1:CV300,94,FALSE)=0,0,HLOOKUP("KP",A1:CV300,94,FALSE)/HLOOKUP("Mins",A1:CV300,94,FALSE)* 90)</f>
        <v>0.22518765638031693</v>
      </c>
      <c r="BK94" s="12621">
        <f>IF(HLOOKUP("Mins",A1:CV300,94,FALSE)=0,0,HLOOKUP("BC",A1:CV300,94,FALSE)/HLOOKUP("Mins",A1:CV300,94,FALSE)* 90)</f>
        <v>7.5062552126772306E-2</v>
      </c>
      <c r="BL94" s="12622">
        <f>IF(HLOOKUP("Mins",A1:CV300,94,FALSE)=0,0,HLOOKUP("BC Miss",A1:CV300,94,FALSE)/HLOOKUP("Mins",A1:CV300,94,FALSE)* 90)</f>
        <v>7.5062552126772306E-2</v>
      </c>
      <c r="BM94" s="12623">
        <f>IF(HLOOKUP("Mins",A1:CV300,94,FALSE)=0,0,HLOOKUP("Gs - BC",A1:CV300,94,FALSE)/HLOOKUP("Mins",A1:CV300,94,FALSE)* 90)</f>
        <v>0</v>
      </c>
      <c r="BN94" s="12624">
        <f>IF(HLOOKUP("Mins",A1:CV300,94,FALSE)=0,0,HLOOKUP("GIB",A1:CV300,94,FALSE)/HLOOKUP("Mins",A1:CV300,94,FALSE)* 90)</f>
        <v>7.5062552126772306E-2</v>
      </c>
      <c r="BO94" s="12625">
        <f>IF(HLOOKUP("Mins",A1:CV300,94,FALSE)=0,0,HLOOKUP("Gs - Open",A1:CV300,94,FALSE)/HLOOKUP("Mins",A1:CV300,94,FALSE)* 90)</f>
        <v>0</v>
      </c>
      <c r="BP94" s="12626">
        <f>IF(HLOOKUP("Mins",A1:CV300,94,FALSE)=0,0,HLOOKUP("ICT Index",A1:CV300,94,FALSE)/HLOOKUP("Mins",A1:CV300,94,FALSE)* 90)</f>
        <v>3.115095913261051</v>
      </c>
      <c r="BQ94" s="12627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  <v>2.0942452043369478E-2</v>
      </c>
      <c r="BR94" s="12628">
        <f>0.0825*HLOOKUP("KP/90",A1:CV300,94,FALSE)</f>
        <v>1.8577981651376148E-2</v>
      </c>
      <c r="BS94" s="12629">
        <f>6*HLOOKUP("xG/90",A1:CV300,94,FALSE)+3*HLOOKUP("xA/90",A1:CV300,94,FALSE)</f>
        <v>0.18138865721434533</v>
      </c>
      <c r="BT94" s="12630">
        <f>HLOOKUP("xPts/90",A1:CV300,94,FALSE)-(6*0.75*(HLOOKUP("PK Gs",A1:CV300,94,FALSE)+HLOOKUP("PK Miss",A1:CV300,94,FALSE))*90/HLOOKUP("Mins",A1:CV300,94,FALSE))</f>
        <v>0.18138865721434533</v>
      </c>
      <c r="BU94" s="12631">
        <f>IF(HLOOKUP("Mins",A1:CV300,94,FALSE)=0,0,HLOOKUP("fsXG",A1:CV300,94,FALSE)/HLOOKUP("Mins",A1:CV300,94,FALSE)* 90)</f>
        <v>2.852376980817348E-2</v>
      </c>
      <c r="BV94" s="12632">
        <f>IF(HLOOKUP("Mins",A1:CV300,94,FALSE)=0,0,HLOOKUP("fsXA",A1:CV300,94,FALSE)/HLOOKUP("Mins",A1:CV300,94,FALSE)* 90)</f>
        <v>1.726438698915763E-2</v>
      </c>
      <c r="BW94" s="12633">
        <f>6*HLOOKUP("fsXG/90",A1:CV300,94,FALSE)+3*HLOOKUP("fsXA/90",A1:CV300,94,FALSE)</f>
        <v>0.22293577981651377</v>
      </c>
      <c r="BX94" s="12634">
        <v>4.5115258544683456E-2</v>
      </c>
      <c r="BY94" s="12635">
        <v>7.5964316725730896E-2</v>
      </c>
      <c r="BZ94" s="12636">
        <f>6*HLOOKUP("uXG/90",A1:CV300,94,FALSE)+3*HLOOKUP("uXA/90",A1:CV300,94,FALSE)</f>
        <v>0.49858450144529343</v>
      </c>
    </row>
    <row r="95" spans="1:78" x14ac:dyDescent="0.3">
      <c r="A95" s="12637" t="s">
        <v>258</v>
      </c>
      <c r="B95" s="12638" t="s">
        <v>109</v>
      </c>
      <c r="C95" s="12639">
        <v>4.5</v>
      </c>
      <c r="D95" s="12640">
        <v>1822</v>
      </c>
      <c r="E95" s="12641">
        <v>21</v>
      </c>
      <c r="F95" s="12642">
        <v>47</v>
      </c>
      <c r="G95" s="12643">
        <v>0</v>
      </c>
      <c r="H95" s="12644">
        <v>0</v>
      </c>
      <c r="I95" s="12645">
        <v>313</v>
      </c>
      <c r="J95" s="12646">
        <f>HLOOKUP("BPS",A1:CV300,95,FALSE)-((-6*HLOOKUP("OG",A1:CV300,95,FALSE))+(-6*HLOOKUP("PK Miss",A1:CV300,95,FALSE))+(9*HLOOKUP("FPL As",A1:CV300,95,FALSE))+(12*HLOOKUP("CS",A1:CV300,95,FALSE))+(12*HLOOKUP("Gs",A1:CV300,95,FALSE)))</f>
        <v>253</v>
      </c>
      <c r="K95" s="12647">
        <v>0</v>
      </c>
      <c r="L95" s="12648">
        <v>5</v>
      </c>
      <c r="M95" s="12649">
        <v>18</v>
      </c>
      <c r="N95" s="12650">
        <v>10</v>
      </c>
      <c r="O95" s="12651">
        <v>7</v>
      </c>
      <c r="P95" s="12652">
        <f>IF(HLOOKUP("Shots",A1:CV300,95,FALSE)=0,0,HLOOKUP("SIB",A1:CV300,95,FALSE)/HLOOKUP("Shots",A1:CV300,95,FALSE))</f>
        <v>0.7</v>
      </c>
      <c r="Q95" s="12653">
        <v>2</v>
      </c>
      <c r="R95" s="12654">
        <f>IF(HLOOKUP("Shots",A1:CV300,95,FALSE)=0,0,HLOOKUP("S6YD",A1:CV300,95,FALSE)/HLOOKUP("Shots",A1:CV300,95,FALSE))</f>
        <v>0.2</v>
      </c>
      <c r="S95" s="12655">
        <v>3</v>
      </c>
      <c r="T95" s="12656">
        <f>IF(HLOOKUP("Shots",A1:CV300,95,FALSE)=0,0,HLOOKUP("Headers",A1:CV300,95,FALSE)/HLOOKUP("Shots",A1:CV300,95,FALSE))</f>
        <v>0.3</v>
      </c>
      <c r="U95" s="12657">
        <v>0</v>
      </c>
      <c r="V95" s="12658">
        <f>IF(HLOOKUP("Shots",A1:CV300,95,FALSE)=0,0,HLOOKUP("SOT",A1:CV300,95,FALSE)/HLOOKUP("Shots",A1:CV300,95,FALSE))</f>
        <v>0</v>
      </c>
      <c r="W95" s="12659">
        <f>IF(HLOOKUP("Shots",A1:CV300,95,FALSE)=0,0,HLOOKUP("Gs",A1:CV300,95,FALSE)/HLOOKUP("Shots",A1:CV300,95,FALSE))</f>
        <v>0</v>
      </c>
      <c r="X95" s="12660">
        <v>0</v>
      </c>
      <c r="Y95" s="12661">
        <v>0</v>
      </c>
      <c r="Z95" s="12662">
        <v>15</v>
      </c>
      <c r="AA95" s="12663">
        <f>IF(HLOOKUP("KP",A1:CV300,95,FALSE)=0,0,HLOOKUP("As",A1:CV300,95,FALSE)/HLOOKUP("KP",A1:CV300,95,FALSE))</f>
        <v>0</v>
      </c>
      <c r="AB95" s="12664">
        <v>71.8</v>
      </c>
      <c r="AC95" s="12665">
        <v>0</v>
      </c>
      <c r="AD95" s="12666">
        <v>2</v>
      </c>
      <c r="AE95" s="12667">
        <v>2</v>
      </c>
      <c r="AF95" s="12668">
        <v>2</v>
      </c>
      <c r="AG95" s="12669">
        <f>IF(HLOOKUP("BC",A1:CV300,95,FALSE)=0,0,HLOOKUP("Gs - BC",A1:CV300,95,FALSE)/HLOOKUP("BC",A1:CV300,95,FALSE))</f>
        <v>0</v>
      </c>
      <c r="AH95" s="12670">
        <f>HLOOKUP("BC",A1:CV300,95,FALSE) - HLOOKUP("BC Miss",A1:CV300,95,FALSE)</f>
        <v>0</v>
      </c>
      <c r="AI95" s="12671">
        <f>IF(HLOOKUP("Gs",A1:CV300,95,FALSE)=0,0,HLOOKUP("Gs - BC",A1:CV300,95,FALSE)/HLOOKUP("Gs",A1:CV300,95,FALSE))</f>
        <v>0</v>
      </c>
      <c r="AJ95" s="12672">
        <v>0</v>
      </c>
      <c r="AK95" s="12673">
        <v>0</v>
      </c>
      <c r="AL95" s="12674">
        <f>HLOOKUP("BC",A1:CV300,95,FALSE) - (HLOOKUP("PK Gs",A1:CV300,95,FALSE) + HLOOKUP("PK Miss",A1:CV300,95,FALSE))</f>
        <v>2</v>
      </c>
      <c r="AM95" s="12675">
        <f>HLOOKUP("BC Miss",A1:CV300,95,FALSE) - HLOOKUP("PK Miss",A1:CV300,95,FALSE)</f>
        <v>2</v>
      </c>
      <c r="AN95" s="12676">
        <f>IF(HLOOKUP("BC - Open",A1:CV300,95,FALSE)=0,0,HLOOKUP("BC - Open Miss",A1:CV300,95,FALSE)/HLOOKUP("BC - Open",A1:CV300,95,FALSE))</f>
        <v>1</v>
      </c>
      <c r="AO95" s="12677">
        <v>0</v>
      </c>
      <c r="AP95" s="12678">
        <f>IF(HLOOKUP("Gs",A1:CV300,95,FALSE)=0,0,HLOOKUP("GIB",A1:CV300,95,FALSE)/HLOOKUP("Gs",A1:CV300,95,FALSE))</f>
        <v>0</v>
      </c>
      <c r="AQ95" s="12679">
        <v>0</v>
      </c>
      <c r="AR95" s="12680">
        <f>IF(HLOOKUP("Gs",A1:CV300,95,FALSE)=0,0,HLOOKUP("Gs - Open",A1:CV300,95,FALSE)/HLOOKUP("Gs",A1:CV300,95,FALSE))</f>
        <v>0</v>
      </c>
      <c r="AS95" s="12681">
        <v>0.84</v>
      </c>
      <c r="AT95" s="12682">
        <v>1.54</v>
      </c>
      <c r="AU95" s="12683">
        <f>IF(HLOOKUP("Mins",A1:CV300,95,FALSE)=0,0,HLOOKUP("Pts",A1:CV300,95,FALSE)/HLOOKUP("Mins",A1:CV300,95,FALSE)* 90)</f>
        <v>2.3216245883644349</v>
      </c>
      <c r="AV95" s="12684">
        <f>IF(HLOOKUP("Apps",A1:CV300,95,FALSE)=0,0,HLOOKUP("Pts",A1:CV300,95,FALSE)/HLOOKUP("Apps",A1:CV300,95,FALSE)* 1)</f>
        <v>2.2380952380952381</v>
      </c>
      <c r="AW95" s="12685">
        <f>IF(HLOOKUP("Mins",A1:CV300,95,FALSE)=0,0,HLOOKUP("Gs",A1:CV300,95,FALSE)/HLOOKUP("Mins",A1:CV300,95,FALSE)* 90)</f>
        <v>0</v>
      </c>
      <c r="AX95" s="12686">
        <f>IF(HLOOKUP("Mins",A1:CV300,95,FALSE)=0,0,HLOOKUP("Bonus",A1:CV300,95,FALSE)/HLOOKUP("Mins",A1:CV300,95,FALSE)* 90)</f>
        <v>0</v>
      </c>
      <c r="AY95" s="12687">
        <f>IF(HLOOKUP("Mins",A1:CV300,95,FALSE)=0,0,HLOOKUP("BPS",A1:CV300,95,FALSE)/HLOOKUP("Mins",A1:CV300,95,FALSE)* 90)</f>
        <v>15.461031833150384</v>
      </c>
      <c r="AZ95" s="12688">
        <f>IF(HLOOKUP("Mins",A1:CV300,95,FALSE)=0,0,HLOOKUP("Base BPS",A1:CV300,95,FALSE)/HLOOKUP("Mins",A1:CV300,95,FALSE)* 90)</f>
        <v>12.497255762897915</v>
      </c>
      <c r="BA95" s="12689">
        <f>IF(HLOOKUP("Mins",A1:CV300,95,FALSE)=0,0,HLOOKUP("PenTchs",A1:CV300,95,FALSE)/HLOOKUP("Mins",A1:CV300,95,FALSE)* 90)</f>
        <v>0.88913282107574088</v>
      </c>
      <c r="BB95" s="12690">
        <f>IF(HLOOKUP("Mins",A1:CV300,95,FALSE)=0,0,HLOOKUP("Shots",A1:CV300,95,FALSE)/HLOOKUP("Mins",A1:CV300,95,FALSE)* 90)</f>
        <v>0.49396267837541169</v>
      </c>
      <c r="BC95" s="12691">
        <f>IF(HLOOKUP("Mins",A1:CV300,95,FALSE)=0,0,HLOOKUP("SIB",A1:CV300,95,FALSE)/HLOOKUP("Mins",A1:CV300,95,FALSE)* 90)</f>
        <v>0.34577387486278816</v>
      </c>
      <c r="BD95" s="12692">
        <f>IF(HLOOKUP("Mins",A1:CV300,95,FALSE)=0,0,HLOOKUP("S6YD",A1:CV300,95,FALSE)/HLOOKUP("Mins",A1:CV300,95,FALSE)* 90)</f>
        <v>9.8792535675082324E-2</v>
      </c>
      <c r="BE95" s="12693">
        <f>IF(HLOOKUP("Mins",A1:CV300,95,FALSE)=0,0,HLOOKUP("Headers",A1:CV300,95,FALSE)/HLOOKUP("Mins",A1:CV300,95,FALSE)* 90)</f>
        <v>0.14818880351262348</v>
      </c>
      <c r="BF95" s="12694">
        <f>IF(HLOOKUP("Mins",A1:CV300,95,FALSE)=0,0,HLOOKUP("SOT",A1:CV300,95,FALSE)/HLOOKUP("Mins",A1:CV300,95,FALSE)* 90)</f>
        <v>0</v>
      </c>
      <c r="BG95" s="12695">
        <f>IF(HLOOKUP("Mins",A1:CV300,95,FALSE)=0,0,HLOOKUP("As",A1:CV300,95,FALSE)/HLOOKUP("Mins",A1:CV300,95,FALSE)* 90)</f>
        <v>0</v>
      </c>
      <c r="BH95" s="12696">
        <f>IF(HLOOKUP("Mins",A1:CV300,95,FALSE)=0,0,HLOOKUP("FPL As",A1:CV300,95,FALSE)/HLOOKUP("Mins",A1:CV300,95,FALSE)* 90)</f>
        <v>0</v>
      </c>
      <c r="BI95" s="12697">
        <f>IF(HLOOKUP("Mins",A1:CV300,95,FALSE)=0,0,HLOOKUP("BC Created",A1:CV300,95,FALSE)/HLOOKUP("Mins",A1:CV300,95,FALSE)* 90)</f>
        <v>9.8792535675082324E-2</v>
      </c>
      <c r="BJ95" s="12698">
        <f>IF(HLOOKUP("Mins",A1:CV300,95,FALSE)=0,0,HLOOKUP("KP",A1:CV300,95,FALSE)/HLOOKUP("Mins",A1:CV300,95,FALSE)* 90)</f>
        <v>0.74094401756311745</v>
      </c>
      <c r="BK95" s="12699">
        <f>IF(HLOOKUP("Mins",A1:CV300,95,FALSE)=0,0,HLOOKUP("BC",A1:CV300,95,FALSE)/HLOOKUP("Mins",A1:CV300,95,FALSE)* 90)</f>
        <v>9.8792535675082324E-2</v>
      </c>
      <c r="BL95" s="12700">
        <f>IF(HLOOKUP("Mins",A1:CV300,95,FALSE)=0,0,HLOOKUP("BC Miss",A1:CV300,95,FALSE)/HLOOKUP("Mins",A1:CV300,95,FALSE)* 90)</f>
        <v>9.8792535675082324E-2</v>
      </c>
      <c r="BM95" s="12701">
        <f>IF(HLOOKUP("Mins",A1:CV300,95,FALSE)=0,0,HLOOKUP("Gs - BC",A1:CV300,95,FALSE)/HLOOKUP("Mins",A1:CV300,95,FALSE)* 90)</f>
        <v>0</v>
      </c>
      <c r="BN95" s="12702">
        <f>IF(HLOOKUP("Mins",A1:CV300,95,FALSE)=0,0,HLOOKUP("GIB",A1:CV300,95,FALSE)/HLOOKUP("Mins",A1:CV300,95,FALSE)* 90)</f>
        <v>0</v>
      </c>
      <c r="BO95" s="12703">
        <f>IF(HLOOKUP("Mins",A1:CV300,95,FALSE)=0,0,HLOOKUP("Gs - Open",A1:CV300,95,FALSE)/HLOOKUP("Mins",A1:CV300,95,FALSE)* 90)</f>
        <v>0</v>
      </c>
      <c r="BP95" s="12704">
        <f>IF(HLOOKUP("Mins",A1:CV300,95,FALSE)=0,0,HLOOKUP("ICT Index",A1:CV300,95,FALSE)/HLOOKUP("Mins",A1:CV300,95,FALSE)* 90)</f>
        <v>3.5466520307354559</v>
      </c>
      <c r="BQ95" s="12705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  <v>3.5120746432491773E-2</v>
      </c>
      <c r="BR95" s="12706">
        <f>0.0825*HLOOKUP("KP/90",A1:CV300,95,FALSE)</f>
        <v>6.1127881448957193E-2</v>
      </c>
      <c r="BS95" s="12707">
        <f>6*HLOOKUP("xG/90",A1:CV300,95,FALSE)+3*HLOOKUP("xA/90",A1:CV300,95,FALSE)</f>
        <v>0.39410812294182218</v>
      </c>
      <c r="BT95" s="12708">
        <f>HLOOKUP("xPts/90",A1:CV300,95,FALSE)-(6*0.75*(HLOOKUP("PK Gs",A1:CV300,95,FALSE)+HLOOKUP("PK Miss",A1:CV300,95,FALSE))*90/HLOOKUP("Mins",A1:CV300,95,FALSE))</f>
        <v>0.39410812294182218</v>
      </c>
      <c r="BU95" s="12709">
        <f>IF(HLOOKUP("Mins",A1:CV300,95,FALSE)=0,0,HLOOKUP("fsXG",A1:CV300,95,FALSE)/HLOOKUP("Mins",A1:CV300,95,FALSE)* 90)</f>
        <v>4.1492864983534578E-2</v>
      </c>
      <c r="BV95" s="12710">
        <f>IF(HLOOKUP("Mins",A1:CV300,95,FALSE)=0,0,HLOOKUP("fsXA",A1:CV300,95,FALSE)/HLOOKUP("Mins",A1:CV300,95,FALSE)* 90)</f>
        <v>7.6070252469813401E-2</v>
      </c>
      <c r="BW95" s="12711">
        <f>6*HLOOKUP("fsXG/90",A1:CV300,95,FALSE)+3*HLOOKUP("fsXA/90",A1:CV300,95,FALSE)</f>
        <v>0.47716794731064766</v>
      </c>
      <c r="BX95" s="12712">
        <v>5.64151331782341E-2</v>
      </c>
      <c r="BY95" s="12713">
        <v>7.5556568801403046E-2</v>
      </c>
      <c r="BZ95" s="12714">
        <f>6*HLOOKUP("uXG/90",A1:CV300,95,FALSE)+3*HLOOKUP("uXA/90",A1:CV300,95,FALSE)</f>
        <v>0.56516050547361374</v>
      </c>
    </row>
    <row r="96" spans="1:78" hidden="1" x14ac:dyDescent="0.3">
      <c r="A96" s="12715" t="s">
        <v>259</v>
      </c>
      <c r="B96" s="12716" t="s">
        <v>151</v>
      </c>
      <c r="C96" s="12717">
        <v>5.3000001907348633</v>
      </c>
      <c r="D96" s="12718">
        <v>1701</v>
      </c>
      <c r="E96" s="12719">
        <v>19</v>
      </c>
      <c r="F96" s="12720">
        <v>49</v>
      </c>
      <c r="G96" s="12721">
        <v>0</v>
      </c>
      <c r="H96" s="12722">
        <v>6</v>
      </c>
      <c r="I96" s="12723">
        <v>320</v>
      </c>
      <c r="J96" s="12724">
        <f>HLOOKUP("BPS",A1:CV300,96,FALSE)-((-6*HLOOKUP("OG",A1:CV300,96,FALSE))+(-6*HLOOKUP("PK Miss",A1:CV300,96,FALSE))+(9*HLOOKUP("FPL As",A1:CV300,96,FALSE))+(12*HLOOKUP("CS",A1:CV300,96,FALSE))+(12*HLOOKUP("Gs",A1:CV300,96,FALSE)))</f>
        <v>275</v>
      </c>
      <c r="K96" s="12725">
        <v>0</v>
      </c>
      <c r="L96" s="12726">
        <v>3</v>
      </c>
      <c r="M96" s="12727">
        <v>25</v>
      </c>
      <c r="N96" s="12728">
        <v>3</v>
      </c>
      <c r="O96" s="12729">
        <v>2</v>
      </c>
      <c r="P96" s="12730">
        <f>IF(HLOOKUP("Shots",A1:CV300,96,FALSE)=0,0,HLOOKUP("SIB",A1:CV300,96,FALSE)/HLOOKUP("Shots",A1:CV300,96,FALSE))</f>
        <v>0.66666666666666663</v>
      </c>
      <c r="Q96" s="12731">
        <v>0</v>
      </c>
      <c r="R96" s="12732">
        <f>IF(HLOOKUP("Shots",A1:CV300,96,FALSE)=0,0,HLOOKUP("S6YD",A1:CV300,96,FALSE)/HLOOKUP("Shots",A1:CV300,96,FALSE))</f>
        <v>0</v>
      </c>
      <c r="S96" s="12733">
        <v>0</v>
      </c>
      <c r="T96" s="12734">
        <f>IF(HLOOKUP("Shots",A1:CV300,96,FALSE)=0,0,HLOOKUP("Headers",A1:CV300,96,FALSE)/HLOOKUP("Shots",A1:CV300,96,FALSE))</f>
        <v>0</v>
      </c>
      <c r="U96" s="12735">
        <v>1</v>
      </c>
      <c r="V96" s="12736">
        <f>IF(HLOOKUP("Shots",A1:CV300,96,FALSE)=0,0,HLOOKUP("SOT",A1:CV300,96,FALSE)/HLOOKUP("Shots",A1:CV300,96,FALSE))</f>
        <v>0.33333333333333331</v>
      </c>
      <c r="W96" s="12737">
        <f>IF(HLOOKUP("Shots",A1:CV300,96,FALSE)=0,0,HLOOKUP("Gs",A1:CV300,96,FALSE)/HLOOKUP("Shots",A1:CV300,96,FALSE))</f>
        <v>0</v>
      </c>
      <c r="X96" s="12738">
        <v>1</v>
      </c>
      <c r="Y96" s="12739">
        <v>1</v>
      </c>
      <c r="Z96" s="12740">
        <v>9</v>
      </c>
      <c r="AA96" s="12741">
        <f>IF(HLOOKUP("KP",A1:CV300,96,FALSE)=0,0,HLOOKUP("As",A1:CV300,96,FALSE)/HLOOKUP("KP",A1:CV300,96,FALSE))</f>
        <v>0.1111111111111111</v>
      </c>
      <c r="AB96" s="12742">
        <v>67.900000000000006</v>
      </c>
      <c r="AC96" s="12743">
        <v>3</v>
      </c>
      <c r="AD96" s="12744">
        <v>1</v>
      </c>
      <c r="AE96" s="12745">
        <v>1</v>
      </c>
      <c r="AF96" s="12746">
        <v>1</v>
      </c>
      <c r="AG96" s="12747">
        <f>IF(HLOOKUP("BC",A1:CV300,96,FALSE)=0,0,HLOOKUP("Gs - BC",A1:CV300,96,FALSE)/HLOOKUP("BC",A1:CV300,96,FALSE))</f>
        <v>0</v>
      </c>
      <c r="AH96" s="12748">
        <f>HLOOKUP("BC",A1:CV300,96,FALSE) - HLOOKUP("BC Miss",A1:CV300,96,FALSE)</f>
        <v>0</v>
      </c>
      <c r="AI96" s="12749">
        <f>IF(HLOOKUP("Gs",A1:CV300,96,FALSE)=0,0,HLOOKUP("Gs - BC",A1:CV300,96,FALSE)/HLOOKUP("Gs",A1:CV300,96,FALSE))</f>
        <v>0</v>
      </c>
      <c r="AJ96" s="12750">
        <v>0</v>
      </c>
      <c r="AK96" s="12751">
        <v>0</v>
      </c>
      <c r="AL96" s="12752">
        <f>HLOOKUP("BC",A1:CV300,96,FALSE) - (HLOOKUP("PK Gs",A1:CV300,96,FALSE) + HLOOKUP("PK Miss",A1:CV300,96,FALSE))</f>
        <v>1</v>
      </c>
      <c r="AM96" s="12753">
        <f>HLOOKUP("BC Miss",A1:CV300,96,FALSE) - HLOOKUP("PK Miss",A1:CV300,96,FALSE)</f>
        <v>1</v>
      </c>
      <c r="AN96" s="12754">
        <f>IF(HLOOKUP("BC - Open",A1:CV300,96,FALSE)=0,0,HLOOKUP("BC - Open Miss",A1:CV300,96,FALSE)/HLOOKUP("BC - Open",A1:CV300,96,FALSE))</f>
        <v>1</v>
      </c>
      <c r="AO96" s="12755">
        <v>0</v>
      </c>
      <c r="AP96" s="12756">
        <f>IF(HLOOKUP("Gs",A1:CV300,96,FALSE)=0,0,HLOOKUP("GIB",A1:CV300,96,FALSE)/HLOOKUP("Gs",A1:CV300,96,FALSE))</f>
        <v>0</v>
      </c>
      <c r="AQ96" s="12757">
        <v>0</v>
      </c>
      <c r="AR96" s="12758">
        <f>IF(HLOOKUP("Gs",A1:CV300,96,FALSE)=0,0,HLOOKUP("Gs - Open",A1:CV300,96,FALSE)/HLOOKUP("Gs",A1:CV300,96,FALSE))</f>
        <v>0</v>
      </c>
      <c r="AS96" s="12759">
        <v>0.31</v>
      </c>
      <c r="AT96" s="12760">
        <v>0.78</v>
      </c>
      <c r="AU96" s="12761">
        <f>IF(HLOOKUP("Mins",A1:CV300,96,FALSE)=0,0,HLOOKUP("Pts",A1:CV300,96,FALSE)/HLOOKUP("Mins",A1:CV300,96,FALSE)* 90)</f>
        <v>2.5925925925925926</v>
      </c>
      <c r="AV96" s="12762">
        <f>IF(HLOOKUP("Apps",A1:CV300,96,FALSE)=0,0,HLOOKUP("Pts",A1:CV300,96,FALSE)/HLOOKUP("Apps",A1:CV300,96,FALSE)* 1)</f>
        <v>2.5789473684210527</v>
      </c>
      <c r="AW96" s="12763">
        <f>IF(HLOOKUP("Mins",A1:CV300,96,FALSE)=0,0,HLOOKUP("Gs",A1:CV300,96,FALSE)/HLOOKUP("Mins",A1:CV300,96,FALSE)* 90)</f>
        <v>0</v>
      </c>
      <c r="AX96" s="12764">
        <f>IF(HLOOKUP("Mins",A1:CV300,96,FALSE)=0,0,HLOOKUP("Bonus",A1:CV300,96,FALSE)/HLOOKUP("Mins",A1:CV300,96,FALSE)* 90)</f>
        <v>0.31746031746031744</v>
      </c>
      <c r="AY96" s="12765">
        <f>IF(HLOOKUP("Mins",A1:CV300,96,FALSE)=0,0,HLOOKUP("BPS",A1:CV300,96,FALSE)/HLOOKUP("Mins",A1:CV300,96,FALSE)* 90)</f>
        <v>16.93121693121693</v>
      </c>
      <c r="AZ96" s="12766">
        <f>IF(HLOOKUP("Mins",A1:CV300,96,FALSE)=0,0,HLOOKUP("Base BPS",A1:CV300,96,FALSE)/HLOOKUP("Mins",A1:CV300,96,FALSE)* 90)</f>
        <v>14.550264550264551</v>
      </c>
      <c r="BA96" s="12767">
        <f>IF(HLOOKUP("Mins",A1:CV300,96,FALSE)=0,0,HLOOKUP("PenTchs",A1:CV300,96,FALSE)/HLOOKUP("Mins",A1:CV300,96,FALSE)* 90)</f>
        <v>1.3227513227513228</v>
      </c>
      <c r="BB96" s="12768">
        <f>IF(HLOOKUP("Mins",A1:CV300,96,FALSE)=0,0,HLOOKUP("Shots",A1:CV300,96,FALSE)/HLOOKUP("Mins",A1:CV300,96,FALSE)* 90)</f>
        <v>0.15873015873015872</v>
      </c>
      <c r="BC96" s="12769">
        <f>IF(HLOOKUP("Mins",A1:CV300,96,FALSE)=0,0,HLOOKUP("SIB",A1:CV300,96,FALSE)/HLOOKUP("Mins",A1:CV300,96,FALSE)* 90)</f>
        <v>0.10582010582010581</v>
      </c>
      <c r="BD96" s="12770">
        <f>IF(HLOOKUP("Mins",A1:CV300,96,FALSE)=0,0,HLOOKUP("S6YD",A1:CV300,96,FALSE)/HLOOKUP("Mins",A1:CV300,96,FALSE)* 90)</f>
        <v>0</v>
      </c>
      <c r="BE96" s="12771">
        <f>IF(HLOOKUP("Mins",A1:CV300,96,FALSE)=0,0,HLOOKUP("Headers",A1:CV300,96,FALSE)/HLOOKUP("Mins",A1:CV300,96,FALSE)* 90)</f>
        <v>0</v>
      </c>
      <c r="BF96" s="12772">
        <f>IF(HLOOKUP("Mins",A1:CV300,96,FALSE)=0,0,HLOOKUP("SOT",A1:CV300,96,FALSE)/HLOOKUP("Mins",A1:CV300,96,FALSE)* 90)</f>
        <v>5.2910052910052907E-2</v>
      </c>
      <c r="BG96" s="12773">
        <f>IF(HLOOKUP("Mins",A1:CV300,96,FALSE)=0,0,HLOOKUP("As",A1:CV300,96,FALSE)/HLOOKUP("Mins",A1:CV300,96,FALSE)* 90)</f>
        <v>5.2910052910052907E-2</v>
      </c>
      <c r="BH96" s="12774">
        <f>IF(HLOOKUP("Mins",A1:CV300,96,FALSE)=0,0,HLOOKUP("FPL As",A1:CV300,96,FALSE)/HLOOKUP("Mins",A1:CV300,96,FALSE)* 90)</f>
        <v>5.2910052910052907E-2</v>
      </c>
      <c r="BI96" s="12775">
        <f>IF(HLOOKUP("Mins",A1:CV300,96,FALSE)=0,0,HLOOKUP("BC Created",A1:CV300,96,FALSE)/HLOOKUP("Mins",A1:CV300,96,FALSE)* 90)</f>
        <v>5.2910052910052907E-2</v>
      </c>
      <c r="BJ96" s="12776">
        <f>IF(HLOOKUP("Mins",A1:CV300,96,FALSE)=0,0,HLOOKUP("KP",A1:CV300,96,FALSE)/HLOOKUP("Mins",A1:CV300,96,FALSE)* 90)</f>
        <v>0.47619047619047616</v>
      </c>
      <c r="BK96" s="12777">
        <f>IF(HLOOKUP("Mins",A1:CV300,96,FALSE)=0,0,HLOOKUP("BC",A1:CV300,96,FALSE)/HLOOKUP("Mins",A1:CV300,96,FALSE)* 90)</f>
        <v>5.2910052910052907E-2</v>
      </c>
      <c r="BL96" s="12778">
        <f>IF(HLOOKUP("Mins",A1:CV300,96,FALSE)=0,0,HLOOKUP("BC Miss",A1:CV300,96,FALSE)/HLOOKUP("Mins",A1:CV300,96,FALSE)* 90)</f>
        <v>5.2910052910052907E-2</v>
      </c>
      <c r="BM96" s="12779">
        <f>IF(HLOOKUP("Mins",A1:CV300,96,FALSE)=0,0,HLOOKUP("Gs - BC",A1:CV300,96,FALSE)/HLOOKUP("Mins",A1:CV300,96,FALSE)* 90)</f>
        <v>0</v>
      </c>
      <c r="BN96" s="12780">
        <f>IF(HLOOKUP("Mins",A1:CV300,96,FALSE)=0,0,HLOOKUP("GIB",A1:CV300,96,FALSE)/HLOOKUP("Mins",A1:CV300,96,FALSE)* 90)</f>
        <v>0</v>
      </c>
      <c r="BO96" s="12781">
        <f>IF(HLOOKUP("Mins",A1:CV300,96,FALSE)=0,0,HLOOKUP("Gs - Open",A1:CV300,96,FALSE)/HLOOKUP("Mins",A1:CV300,96,FALSE)* 90)</f>
        <v>0</v>
      </c>
      <c r="BP96" s="12782">
        <f>IF(HLOOKUP("Mins",A1:CV300,96,FALSE)=0,0,HLOOKUP("ICT Index",A1:CV300,96,FALSE)/HLOOKUP("Mins",A1:CV300,96,FALSE)* 90)</f>
        <v>3.592592592592593</v>
      </c>
      <c r="BQ96" s="12783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  <v>1.0899470899470898E-2</v>
      </c>
      <c r="BR96" s="12784">
        <f>0.0825*HLOOKUP("KP/90",A1:CV300,96,FALSE)</f>
        <v>3.9285714285714285E-2</v>
      </c>
      <c r="BS96" s="12785">
        <f>6*HLOOKUP("xG/90",A1:CV300,96,FALSE)+3*HLOOKUP("xA/90",A1:CV300,96,FALSE)</f>
        <v>0.18325396825396825</v>
      </c>
      <c r="BT96" s="12786">
        <f>HLOOKUP("xPts/90",A1:CV300,96,FALSE)-(6*0.75*(HLOOKUP("PK Gs",A1:CV300,96,FALSE)+HLOOKUP("PK Miss",A1:CV300,96,FALSE))*90/HLOOKUP("Mins",A1:CV300,96,FALSE))</f>
        <v>0.18325396825396825</v>
      </c>
      <c r="BU96" s="12787">
        <f>IF(HLOOKUP("Mins",A1:CV300,96,FALSE)=0,0,HLOOKUP("fsXG",A1:CV300,96,FALSE)/HLOOKUP("Mins",A1:CV300,96,FALSE)* 90)</f>
        <v>1.6402116402116401E-2</v>
      </c>
      <c r="BV96" s="12788">
        <f>IF(HLOOKUP("Mins",A1:CV300,96,FALSE)=0,0,HLOOKUP("fsXA",A1:CV300,96,FALSE)/HLOOKUP("Mins",A1:CV300,96,FALSE)* 90)</f>
        <v>4.1269841269841276E-2</v>
      </c>
      <c r="BW96" s="12789">
        <f>6*HLOOKUP("fsXG/90",A1:CV300,96,FALSE)+3*HLOOKUP("fsXA/90",A1:CV300,96,FALSE)</f>
        <v>0.22222222222222221</v>
      </c>
      <c r="BX96" s="12790">
        <v>2.0990539342164993E-2</v>
      </c>
      <c r="BY96" s="12791">
        <v>4.8881791532039642E-2</v>
      </c>
      <c r="BZ96" s="12792">
        <f>6*HLOOKUP("uXG/90",A1:CV300,96,FALSE)+3*HLOOKUP("uXA/90",A1:CV300,96,FALSE)</f>
        <v>0.27258861064910889</v>
      </c>
    </row>
    <row r="97" spans="1:78" hidden="1" x14ac:dyDescent="0.3">
      <c r="A97" s="12793" t="s">
        <v>260</v>
      </c>
      <c r="B97" s="12794" t="s">
        <v>147</v>
      </c>
      <c r="C97" s="12795">
        <v>5.8000001907348633</v>
      </c>
      <c r="D97" s="12796">
        <v>1790</v>
      </c>
      <c r="E97" s="12797">
        <v>20</v>
      </c>
      <c r="F97" s="12798">
        <v>68</v>
      </c>
      <c r="G97" s="12799">
        <v>1</v>
      </c>
      <c r="H97" s="12800">
        <v>7</v>
      </c>
      <c r="I97" s="12801">
        <v>366</v>
      </c>
      <c r="J97" s="12802">
        <f>HLOOKUP("BPS",A1:CV300,97,FALSE)-((-6*HLOOKUP("OG",A1:CV300,97,FALSE))+(-6*HLOOKUP("PK Miss",A1:CV300,97,FALSE))+(9*HLOOKUP("FPL As",A1:CV300,97,FALSE))+(12*HLOOKUP("CS",A1:CV300,97,FALSE))+(12*HLOOKUP("Gs",A1:CV300,97,FALSE)))</f>
        <v>279</v>
      </c>
      <c r="K97" s="12803">
        <v>0</v>
      </c>
      <c r="L97" s="12804">
        <v>4</v>
      </c>
      <c r="M97" s="12805">
        <v>56</v>
      </c>
      <c r="N97" s="12806">
        <v>11</v>
      </c>
      <c r="O97" s="12807">
        <v>10</v>
      </c>
      <c r="P97" s="12808">
        <f>IF(HLOOKUP("Shots",A1:CV300,97,FALSE)=0,0,HLOOKUP("SIB",A1:CV300,97,FALSE)/HLOOKUP("Shots",A1:CV300,97,FALSE))</f>
        <v>0.90909090909090906</v>
      </c>
      <c r="Q97" s="12809">
        <v>3</v>
      </c>
      <c r="R97" s="12810">
        <f>IF(HLOOKUP("Shots",A1:CV300,97,FALSE)=0,0,HLOOKUP("S6YD",A1:CV300,97,FALSE)/HLOOKUP("Shots",A1:CV300,97,FALSE))</f>
        <v>0.27272727272727271</v>
      </c>
      <c r="S97" s="12811">
        <v>6</v>
      </c>
      <c r="T97" s="12812">
        <f>IF(HLOOKUP("Shots",A1:CV300,97,FALSE)=0,0,HLOOKUP("Headers",A1:CV300,97,FALSE)/HLOOKUP("Shots",A1:CV300,97,FALSE))</f>
        <v>0.54545454545454541</v>
      </c>
      <c r="U97" s="12813">
        <v>2</v>
      </c>
      <c r="V97" s="12814">
        <f>IF(HLOOKUP("Shots",A1:CV300,97,FALSE)=0,0,HLOOKUP("SOT",A1:CV300,97,FALSE)/HLOOKUP("Shots",A1:CV300,97,FALSE))</f>
        <v>0.18181818181818182</v>
      </c>
      <c r="W97" s="12815">
        <f>IF(HLOOKUP("Shots",A1:CV300,97,FALSE)=0,0,HLOOKUP("Gs",A1:CV300,97,FALSE)/HLOOKUP("Shots",A1:CV300,97,FALSE))</f>
        <v>9.0909090909090912E-2</v>
      </c>
      <c r="X97" s="12816">
        <v>3</v>
      </c>
      <c r="Y97" s="12817">
        <v>3</v>
      </c>
      <c r="Z97" s="12818">
        <v>25</v>
      </c>
      <c r="AA97" s="12819">
        <f>IF(HLOOKUP("KP",A1:CV300,97,FALSE)=0,0,HLOOKUP("As",A1:CV300,97,FALSE)/HLOOKUP("KP",A1:CV300,97,FALSE))</f>
        <v>0.12</v>
      </c>
      <c r="AB97" s="12820">
        <v>108.3</v>
      </c>
      <c r="AC97" s="12821">
        <v>11</v>
      </c>
      <c r="AD97" s="12822">
        <v>4</v>
      </c>
      <c r="AE97" s="12823">
        <v>1</v>
      </c>
      <c r="AF97" s="12824">
        <v>0</v>
      </c>
      <c r="AG97" s="12825">
        <f>IF(HLOOKUP("BC",A1:CV300,97,FALSE)=0,0,HLOOKUP("Gs - BC",A1:CV300,97,FALSE)/HLOOKUP("BC",A1:CV300,97,FALSE))</f>
        <v>1</v>
      </c>
      <c r="AH97" s="12826">
        <f>HLOOKUP("BC",A1:CV300,97,FALSE) - HLOOKUP("BC Miss",A1:CV300,97,FALSE)</f>
        <v>1</v>
      </c>
      <c r="AI97" s="12827">
        <f>IF(HLOOKUP("Gs",A1:CV300,97,FALSE)=0,0,HLOOKUP("Gs - BC",A1:CV300,97,FALSE)/HLOOKUP("Gs",A1:CV300,97,FALSE))</f>
        <v>1</v>
      </c>
      <c r="AJ97" s="12828">
        <v>0</v>
      </c>
      <c r="AK97" s="12829">
        <v>0</v>
      </c>
      <c r="AL97" s="12830">
        <f>HLOOKUP("BC",A1:CV300,97,FALSE) - (HLOOKUP("PK Gs",A1:CV300,97,FALSE) + HLOOKUP("PK Miss",A1:CV300,97,FALSE))</f>
        <v>1</v>
      </c>
      <c r="AM97" s="12831">
        <f>HLOOKUP("BC Miss",A1:CV300,97,FALSE) - HLOOKUP("PK Miss",A1:CV300,97,FALSE)</f>
        <v>0</v>
      </c>
      <c r="AN97" s="12832">
        <f>IF(HLOOKUP("BC - Open",A1:CV300,97,FALSE)=0,0,HLOOKUP("BC - Open Miss",A1:CV300,97,FALSE)/HLOOKUP("BC - Open",A1:CV300,97,FALSE))</f>
        <v>0</v>
      </c>
      <c r="AO97" s="12833">
        <v>1</v>
      </c>
      <c r="AP97" s="12834">
        <f>IF(HLOOKUP("Gs",A1:CV300,97,FALSE)=0,0,HLOOKUP("GIB",A1:CV300,97,FALSE)/HLOOKUP("Gs",A1:CV300,97,FALSE))</f>
        <v>1</v>
      </c>
      <c r="AQ97" s="12835">
        <v>0</v>
      </c>
      <c r="AR97" s="12836">
        <f>IF(HLOOKUP("Gs",A1:CV300,97,FALSE)=0,0,HLOOKUP("Gs - Open",A1:CV300,97,FALSE)/HLOOKUP("Gs",A1:CV300,97,FALSE))</f>
        <v>0</v>
      </c>
      <c r="AS97" s="12837">
        <v>1.31</v>
      </c>
      <c r="AT97" s="12838">
        <v>2.77</v>
      </c>
      <c r="AU97" s="12839">
        <f>IF(HLOOKUP("Mins",A1:CV300,97,FALSE)=0,0,HLOOKUP("Pts",A1:CV300,97,FALSE)/HLOOKUP("Mins",A1:CV300,97,FALSE)* 90)</f>
        <v>3.4189944134078214</v>
      </c>
      <c r="AV97" s="12840">
        <f>IF(HLOOKUP("Apps",A1:CV300,97,FALSE)=0,0,HLOOKUP("Pts",A1:CV300,97,FALSE)/HLOOKUP("Apps",A1:CV300,97,FALSE)* 1)</f>
        <v>3.4</v>
      </c>
      <c r="AW97" s="12841">
        <f>IF(HLOOKUP("Mins",A1:CV300,97,FALSE)=0,0,HLOOKUP("Gs",A1:CV300,97,FALSE)/HLOOKUP("Mins",A1:CV300,97,FALSE)* 90)</f>
        <v>5.0279329608938543E-2</v>
      </c>
      <c r="AX97" s="12842">
        <f>IF(HLOOKUP("Mins",A1:CV300,97,FALSE)=0,0,HLOOKUP("Bonus",A1:CV300,97,FALSE)/HLOOKUP("Mins",A1:CV300,97,FALSE)* 90)</f>
        <v>0.35195530726256985</v>
      </c>
      <c r="AY97" s="12843">
        <f>IF(HLOOKUP("Mins",A1:CV300,97,FALSE)=0,0,HLOOKUP("BPS",A1:CV300,97,FALSE)/HLOOKUP("Mins",A1:CV300,97,FALSE)* 90)</f>
        <v>18.402234636871508</v>
      </c>
      <c r="AZ97" s="12844">
        <f>IF(HLOOKUP("Mins",A1:CV300,97,FALSE)=0,0,HLOOKUP("Base BPS",A1:CV300,97,FALSE)/HLOOKUP("Mins",A1:CV300,97,FALSE)* 90)</f>
        <v>14.027932960893855</v>
      </c>
      <c r="BA97" s="12845">
        <f>IF(HLOOKUP("Mins",A1:CV300,97,FALSE)=0,0,HLOOKUP("PenTchs",A1:CV300,97,FALSE)/HLOOKUP("Mins",A1:CV300,97,FALSE)* 90)</f>
        <v>2.8156424581005588</v>
      </c>
      <c r="BB97" s="12846">
        <f>IF(HLOOKUP("Mins",A1:CV300,97,FALSE)=0,0,HLOOKUP("Shots",A1:CV300,97,FALSE)/HLOOKUP("Mins",A1:CV300,97,FALSE)* 90)</f>
        <v>0.55307262569832394</v>
      </c>
      <c r="BC97" s="12847">
        <f>IF(HLOOKUP("Mins",A1:CV300,97,FALSE)=0,0,HLOOKUP("SIB",A1:CV300,97,FALSE)/HLOOKUP("Mins",A1:CV300,97,FALSE)* 90)</f>
        <v>0.5027932960893855</v>
      </c>
      <c r="BD97" s="12848">
        <f>IF(HLOOKUP("Mins",A1:CV300,97,FALSE)=0,0,HLOOKUP("S6YD",A1:CV300,97,FALSE)/HLOOKUP("Mins",A1:CV300,97,FALSE)* 90)</f>
        <v>0.15083798882681565</v>
      </c>
      <c r="BE97" s="12849">
        <f>IF(HLOOKUP("Mins",A1:CV300,97,FALSE)=0,0,HLOOKUP("Headers",A1:CV300,97,FALSE)/HLOOKUP("Mins",A1:CV300,97,FALSE)* 90)</f>
        <v>0.3016759776536313</v>
      </c>
      <c r="BF97" s="12850">
        <f>IF(HLOOKUP("Mins",A1:CV300,97,FALSE)=0,0,HLOOKUP("SOT",A1:CV300,97,FALSE)/HLOOKUP("Mins",A1:CV300,97,FALSE)* 90)</f>
        <v>0.10055865921787709</v>
      </c>
      <c r="BG97" s="12851">
        <f>IF(HLOOKUP("Mins",A1:CV300,97,FALSE)=0,0,HLOOKUP("As",A1:CV300,97,FALSE)/HLOOKUP("Mins",A1:CV300,97,FALSE)* 90)</f>
        <v>0.15083798882681565</v>
      </c>
      <c r="BH97" s="12852">
        <f>IF(HLOOKUP("Mins",A1:CV300,97,FALSE)=0,0,HLOOKUP("FPL As",A1:CV300,97,FALSE)/HLOOKUP("Mins",A1:CV300,97,FALSE)* 90)</f>
        <v>0.15083798882681565</v>
      </c>
      <c r="BI97" s="12853">
        <f>IF(HLOOKUP("Mins",A1:CV300,97,FALSE)=0,0,HLOOKUP("BC Created",A1:CV300,97,FALSE)/HLOOKUP("Mins",A1:CV300,97,FALSE)* 90)</f>
        <v>0.20111731843575417</v>
      </c>
      <c r="BJ97" s="12854">
        <f>IF(HLOOKUP("Mins",A1:CV300,97,FALSE)=0,0,HLOOKUP("KP",A1:CV300,97,FALSE)/HLOOKUP("Mins",A1:CV300,97,FALSE)* 90)</f>
        <v>1.2569832402234635</v>
      </c>
      <c r="BK97" s="12855">
        <f>IF(HLOOKUP("Mins",A1:CV300,97,FALSE)=0,0,HLOOKUP("BC",A1:CV300,97,FALSE)/HLOOKUP("Mins",A1:CV300,97,FALSE)* 90)</f>
        <v>5.0279329608938543E-2</v>
      </c>
      <c r="BL97" s="12856">
        <f>IF(HLOOKUP("Mins",A1:CV300,97,FALSE)=0,0,HLOOKUP("BC Miss",A1:CV300,97,FALSE)/HLOOKUP("Mins",A1:CV300,97,FALSE)* 90)</f>
        <v>0</v>
      </c>
      <c r="BM97" s="12857">
        <f>IF(HLOOKUP("Mins",A1:CV300,97,FALSE)=0,0,HLOOKUP("Gs - BC",A1:CV300,97,FALSE)/HLOOKUP("Mins",A1:CV300,97,FALSE)* 90)</f>
        <v>5.0279329608938543E-2</v>
      </c>
      <c r="BN97" s="12858">
        <f>IF(HLOOKUP("Mins",A1:CV300,97,FALSE)=0,0,HLOOKUP("GIB",A1:CV300,97,FALSE)/HLOOKUP("Mins",A1:CV300,97,FALSE)* 90)</f>
        <v>5.0279329608938543E-2</v>
      </c>
      <c r="BO97" s="12859">
        <f>IF(HLOOKUP("Mins",A1:CV300,97,FALSE)=0,0,HLOOKUP("Gs - Open",A1:CV300,97,FALSE)/HLOOKUP("Mins",A1:CV300,97,FALSE)* 90)</f>
        <v>0</v>
      </c>
      <c r="BP97" s="12860">
        <f>IF(HLOOKUP("Mins",A1:CV300,97,FALSE)=0,0,HLOOKUP("ICT Index",A1:CV300,97,FALSE)/HLOOKUP("Mins",A1:CV300,97,FALSE)* 90)</f>
        <v>5.445251396648044</v>
      </c>
      <c r="BQ97" s="12861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  <v>4.7765363128491611E-2</v>
      </c>
      <c r="BR97" s="12862">
        <f>0.0825*HLOOKUP("KP/90",A1:CV300,97,FALSE)</f>
        <v>0.10370111731843575</v>
      </c>
      <c r="BS97" s="12863">
        <f>6*HLOOKUP("xG/90",A1:CV300,97,FALSE)+3*HLOOKUP("xA/90",A1:CV300,97,FALSE)</f>
        <v>0.59769553072625692</v>
      </c>
      <c r="BT97" s="12864">
        <f>HLOOKUP("xPts/90",A1:CV300,97,FALSE)-(6*0.75*(HLOOKUP("PK Gs",A1:CV300,97,FALSE)+HLOOKUP("PK Miss",A1:CV300,97,FALSE))*90/HLOOKUP("Mins",A1:CV300,97,FALSE))</f>
        <v>0.59769553072625692</v>
      </c>
      <c r="BU97" s="12865">
        <f>IF(HLOOKUP("Mins",A1:CV300,97,FALSE)=0,0,HLOOKUP("fsXG",A1:CV300,97,FALSE)/HLOOKUP("Mins",A1:CV300,97,FALSE)* 90)</f>
        <v>6.5865921787709503E-2</v>
      </c>
      <c r="BV97" s="12866">
        <f>IF(HLOOKUP("Mins",A1:CV300,97,FALSE)=0,0,HLOOKUP("fsXA",A1:CV300,97,FALSE)/HLOOKUP("Mins",A1:CV300,97,FALSE)* 90)</f>
        <v>0.13927374301675977</v>
      </c>
      <c r="BW97" s="12867">
        <f>6*HLOOKUP("fsXG/90",A1:CV300,97,FALSE)+3*HLOOKUP("fsXA/90",A1:CV300,97,FALSE)</f>
        <v>0.81301675977653631</v>
      </c>
      <c r="BX97" s="12868">
        <v>6.6342793405056E-2</v>
      </c>
      <c r="BY97" s="12869">
        <v>0.16487866640090942</v>
      </c>
      <c r="BZ97" s="12870">
        <f>6*HLOOKUP("uXG/90",A1:CV300,97,FALSE)+3*HLOOKUP("uXA/90",A1:CV300,97,FALSE)</f>
        <v>0.89269275963306427</v>
      </c>
    </row>
    <row r="98" spans="1:78" hidden="1" x14ac:dyDescent="0.3">
      <c r="A98" s="12871" t="s">
        <v>261</v>
      </c>
      <c r="B98" s="12872" t="s">
        <v>115</v>
      </c>
      <c r="C98" s="12873">
        <v>4.1999998092651367</v>
      </c>
      <c r="D98" s="12874">
        <v>1346</v>
      </c>
      <c r="E98" s="12875">
        <v>17</v>
      </c>
      <c r="F98" s="12876">
        <v>29</v>
      </c>
      <c r="G98" s="12877">
        <v>0</v>
      </c>
      <c r="H98" s="12878">
        <v>0</v>
      </c>
      <c r="I98" s="12879">
        <v>231</v>
      </c>
      <c r="J98" s="12880">
        <f>HLOOKUP("BPS",A1:CV300,98,FALSE)-((-6*HLOOKUP("OG",A1:CV300,98,FALSE))+(-6*HLOOKUP("PK Miss",A1:CV300,98,FALSE))+(9*HLOOKUP("FPL As",A1:CV300,98,FALSE))+(12*HLOOKUP("CS",A1:CV300,98,FALSE))+(12*HLOOKUP("Gs",A1:CV300,98,FALSE)))</f>
        <v>195</v>
      </c>
      <c r="K98" s="12881">
        <v>0</v>
      </c>
      <c r="L98" s="12882">
        <v>3</v>
      </c>
      <c r="M98" s="12883">
        <v>15</v>
      </c>
      <c r="N98" s="12884">
        <v>4</v>
      </c>
      <c r="O98" s="12885">
        <v>0</v>
      </c>
      <c r="P98" s="12886">
        <f>IF(HLOOKUP("Shots",A1:CV300,98,FALSE)=0,0,HLOOKUP("SIB",A1:CV300,98,FALSE)/HLOOKUP("Shots",A1:CV300,98,FALSE))</f>
        <v>0</v>
      </c>
      <c r="Q98" s="12887">
        <v>0</v>
      </c>
      <c r="R98" s="12888">
        <f>IF(HLOOKUP("Shots",A1:CV300,98,FALSE)=0,0,HLOOKUP("S6YD",A1:CV300,98,FALSE)/HLOOKUP("Shots",A1:CV300,98,FALSE))</f>
        <v>0</v>
      </c>
      <c r="S98" s="12889">
        <v>0</v>
      </c>
      <c r="T98" s="12890">
        <f>IF(HLOOKUP("Shots",A1:CV300,98,FALSE)=0,0,HLOOKUP("Headers",A1:CV300,98,FALSE)/HLOOKUP("Shots",A1:CV300,98,FALSE))</f>
        <v>0</v>
      </c>
      <c r="U98" s="12891">
        <v>1</v>
      </c>
      <c r="V98" s="12892">
        <f>IF(HLOOKUP("Shots",A1:CV300,98,FALSE)=0,0,HLOOKUP("SOT",A1:CV300,98,FALSE)/HLOOKUP("Shots",A1:CV300,98,FALSE))</f>
        <v>0.25</v>
      </c>
      <c r="W98" s="12893">
        <f>IF(HLOOKUP("Shots",A1:CV300,98,FALSE)=0,0,HLOOKUP("Gs",A1:CV300,98,FALSE)/HLOOKUP("Shots",A1:CV300,98,FALSE))</f>
        <v>0</v>
      </c>
      <c r="X98" s="12894">
        <v>0</v>
      </c>
      <c r="Y98" s="12895">
        <v>0</v>
      </c>
      <c r="Z98" s="12896">
        <v>12</v>
      </c>
      <c r="AA98" s="12897">
        <f>IF(HLOOKUP("KP",A1:CV300,98,FALSE)=0,0,HLOOKUP("As",A1:CV300,98,FALSE)/HLOOKUP("KP",A1:CV300,98,FALSE))</f>
        <v>0</v>
      </c>
      <c r="AB98" s="12898">
        <v>47.5</v>
      </c>
      <c r="AC98" s="12899">
        <v>0</v>
      </c>
      <c r="AD98" s="12900">
        <v>1</v>
      </c>
      <c r="AE98" s="12901">
        <v>0</v>
      </c>
      <c r="AF98" s="12902">
        <v>0</v>
      </c>
      <c r="AG98" s="12903">
        <f>IF(HLOOKUP("BC",A1:CV300,98,FALSE)=0,0,HLOOKUP("Gs - BC",A1:CV300,98,FALSE)/HLOOKUP("BC",A1:CV300,98,FALSE))</f>
        <v>0</v>
      </c>
      <c r="AH98" s="12904">
        <f>HLOOKUP("BC",A1:CV300,98,FALSE) - HLOOKUP("BC Miss",A1:CV300,98,FALSE)</f>
        <v>0</v>
      </c>
      <c r="AI98" s="12905">
        <f>IF(HLOOKUP("Gs",A1:CV300,98,FALSE)=0,0,HLOOKUP("Gs - BC",A1:CV300,98,FALSE)/HLOOKUP("Gs",A1:CV300,98,FALSE))</f>
        <v>0</v>
      </c>
      <c r="AJ98" s="12906">
        <v>0</v>
      </c>
      <c r="AK98" s="12907">
        <v>0</v>
      </c>
      <c r="AL98" s="12908">
        <f>HLOOKUP("BC",A1:CV300,98,FALSE) - (HLOOKUP("PK Gs",A1:CV300,98,FALSE) + HLOOKUP("PK Miss",A1:CV300,98,FALSE))</f>
        <v>0</v>
      </c>
      <c r="AM98" s="12909">
        <f>HLOOKUP("BC Miss",A1:CV300,98,FALSE) - HLOOKUP("PK Miss",A1:CV300,98,FALSE)</f>
        <v>0</v>
      </c>
      <c r="AN98" s="12910">
        <f>IF(HLOOKUP("BC - Open",A1:CV300,98,FALSE)=0,0,HLOOKUP("BC - Open Miss",A1:CV300,98,FALSE)/HLOOKUP("BC - Open",A1:CV300,98,FALSE))</f>
        <v>0</v>
      </c>
      <c r="AO98" s="12911">
        <v>0</v>
      </c>
      <c r="AP98" s="12912">
        <f>IF(HLOOKUP("Gs",A1:CV300,98,FALSE)=0,0,HLOOKUP("GIB",A1:CV300,98,FALSE)/HLOOKUP("Gs",A1:CV300,98,FALSE))</f>
        <v>0</v>
      </c>
      <c r="AQ98" s="12913">
        <v>0</v>
      </c>
      <c r="AR98" s="12914">
        <f>IF(HLOOKUP("Gs",A1:CV300,98,FALSE)=0,0,HLOOKUP("Gs - Open",A1:CV300,98,FALSE)/HLOOKUP("Gs",A1:CV300,98,FALSE))</f>
        <v>0</v>
      </c>
      <c r="AS98" s="12915">
        <v>0.11</v>
      </c>
      <c r="AT98" s="12916">
        <v>1.2</v>
      </c>
      <c r="AU98" s="12917">
        <f>IF(HLOOKUP("Mins",A1:CV300,98,FALSE)=0,0,HLOOKUP("Pts",A1:CV300,98,FALSE)/HLOOKUP("Mins",A1:CV300,98,FALSE)* 90)</f>
        <v>1.9390787518573551</v>
      </c>
      <c r="AV98" s="12918">
        <f>IF(HLOOKUP("Apps",A1:CV300,98,FALSE)=0,0,HLOOKUP("Pts",A1:CV300,98,FALSE)/HLOOKUP("Apps",A1:CV300,98,FALSE)* 1)</f>
        <v>1.7058823529411764</v>
      </c>
      <c r="AW98" s="12919">
        <f>IF(HLOOKUP("Mins",A1:CV300,98,FALSE)=0,0,HLOOKUP("Gs",A1:CV300,98,FALSE)/HLOOKUP("Mins",A1:CV300,98,FALSE)* 90)</f>
        <v>0</v>
      </c>
      <c r="AX98" s="12920">
        <f>IF(HLOOKUP("Mins",A1:CV300,98,FALSE)=0,0,HLOOKUP("Bonus",A1:CV300,98,FALSE)/HLOOKUP("Mins",A1:CV300,98,FALSE)* 90)</f>
        <v>0</v>
      </c>
      <c r="AY98" s="12921">
        <f>IF(HLOOKUP("Mins",A1:CV300,98,FALSE)=0,0,HLOOKUP("BPS",A1:CV300,98,FALSE)/HLOOKUP("Mins",A1:CV300,98,FALSE)* 90)</f>
        <v>15.445765230312036</v>
      </c>
      <c r="AZ98" s="12922">
        <f>IF(HLOOKUP("Mins",A1:CV300,98,FALSE)=0,0,HLOOKUP("Base BPS",A1:CV300,98,FALSE)/HLOOKUP("Mins",A1:CV300,98,FALSE)* 90)</f>
        <v>13.038632986627045</v>
      </c>
      <c r="BA98" s="12923">
        <f>IF(HLOOKUP("Mins",A1:CV300,98,FALSE)=0,0,HLOOKUP("PenTchs",A1:CV300,98,FALSE)/HLOOKUP("Mins",A1:CV300,98,FALSE)* 90)</f>
        <v>1.0029717682020802</v>
      </c>
      <c r="BB98" s="12924">
        <f>IF(HLOOKUP("Mins",A1:CV300,98,FALSE)=0,0,HLOOKUP("Shots",A1:CV300,98,FALSE)/HLOOKUP("Mins",A1:CV300,98,FALSE)* 90)</f>
        <v>0.26745913818722139</v>
      </c>
      <c r="BC98" s="12925">
        <f>IF(HLOOKUP("Mins",A1:CV300,98,FALSE)=0,0,HLOOKUP("SIB",A1:CV300,98,FALSE)/HLOOKUP("Mins",A1:CV300,98,FALSE)* 90)</f>
        <v>0</v>
      </c>
      <c r="BD98" s="12926">
        <f>IF(HLOOKUP("Mins",A1:CV300,98,FALSE)=0,0,HLOOKUP("S6YD",A1:CV300,98,FALSE)/HLOOKUP("Mins",A1:CV300,98,FALSE)* 90)</f>
        <v>0</v>
      </c>
      <c r="BE98" s="12927">
        <f>IF(HLOOKUP("Mins",A1:CV300,98,FALSE)=0,0,HLOOKUP("Headers",A1:CV300,98,FALSE)/HLOOKUP("Mins",A1:CV300,98,FALSE)* 90)</f>
        <v>0</v>
      </c>
      <c r="BF98" s="12928">
        <f>IF(HLOOKUP("Mins",A1:CV300,98,FALSE)=0,0,HLOOKUP("SOT",A1:CV300,98,FALSE)/HLOOKUP("Mins",A1:CV300,98,FALSE)* 90)</f>
        <v>6.6864784546805348E-2</v>
      </c>
      <c r="BG98" s="12929">
        <f>IF(HLOOKUP("Mins",A1:CV300,98,FALSE)=0,0,HLOOKUP("As",A1:CV300,98,FALSE)/HLOOKUP("Mins",A1:CV300,98,FALSE)* 90)</f>
        <v>0</v>
      </c>
      <c r="BH98" s="12930">
        <f>IF(HLOOKUP("Mins",A1:CV300,98,FALSE)=0,0,HLOOKUP("FPL As",A1:CV300,98,FALSE)/HLOOKUP("Mins",A1:CV300,98,FALSE)* 90)</f>
        <v>0</v>
      </c>
      <c r="BI98" s="12931">
        <f>IF(HLOOKUP("Mins",A1:CV300,98,FALSE)=0,0,HLOOKUP("BC Created",A1:CV300,98,FALSE)/HLOOKUP("Mins",A1:CV300,98,FALSE)* 90)</f>
        <v>6.6864784546805348E-2</v>
      </c>
      <c r="BJ98" s="12932">
        <f>IF(HLOOKUP("Mins",A1:CV300,98,FALSE)=0,0,HLOOKUP("KP",A1:CV300,98,FALSE)/HLOOKUP("Mins",A1:CV300,98,FALSE)* 90)</f>
        <v>0.80237741456166412</v>
      </c>
      <c r="BK98" s="12933">
        <f>IF(HLOOKUP("Mins",A1:CV300,98,FALSE)=0,0,HLOOKUP("BC",A1:CV300,98,FALSE)/HLOOKUP("Mins",A1:CV300,98,FALSE)* 90)</f>
        <v>0</v>
      </c>
      <c r="BL98" s="12934">
        <f>IF(HLOOKUP("Mins",A1:CV300,98,FALSE)=0,0,HLOOKUP("BC Miss",A1:CV300,98,FALSE)/HLOOKUP("Mins",A1:CV300,98,FALSE)* 90)</f>
        <v>0</v>
      </c>
      <c r="BM98" s="12935">
        <f>IF(HLOOKUP("Mins",A1:CV300,98,FALSE)=0,0,HLOOKUP("Gs - BC",A1:CV300,98,FALSE)/HLOOKUP("Mins",A1:CV300,98,FALSE)* 90)</f>
        <v>0</v>
      </c>
      <c r="BN98" s="12936">
        <f>IF(HLOOKUP("Mins",A1:CV300,98,FALSE)=0,0,HLOOKUP("GIB",A1:CV300,98,FALSE)/HLOOKUP("Mins",A1:CV300,98,FALSE)* 90)</f>
        <v>0</v>
      </c>
      <c r="BO98" s="12937">
        <f>IF(HLOOKUP("Mins",A1:CV300,98,FALSE)=0,0,HLOOKUP("Gs - Open",A1:CV300,98,FALSE)/HLOOKUP("Mins",A1:CV300,98,FALSE)* 90)</f>
        <v>0</v>
      </c>
      <c r="BP98" s="12938">
        <f>IF(HLOOKUP("Mins",A1:CV300,98,FALSE)=0,0,HLOOKUP("ICT Index",A1:CV300,98,FALSE)/HLOOKUP("Mins",A1:CV300,98,FALSE)* 90)</f>
        <v>3.1760772659732539</v>
      </c>
      <c r="BQ98" s="12939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  <v>5.349182763744428E-3</v>
      </c>
      <c r="BR98" s="12940">
        <f>0.0825*HLOOKUP("KP/90",A1:CV300,98,FALSE)</f>
        <v>6.6196136701337296E-2</v>
      </c>
      <c r="BS98" s="12941">
        <f>6*HLOOKUP("xG/90",A1:CV300,98,FALSE)+3*HLOOKUP("xA/90",A1:CV300,98,FALSE)</f>
        <v>0.23068350668647847</v>
      </c>
      <c r="BT98" s="12942">
        <f>HLOOKUP("xPts/90",A1:CV300,98,FALSE)-(6*0.75*(HLOOKUP("PK Gs",A1:CV300,98,FALSE)+HLOOKUP("PK Miss",A1:CV300,98,FALSE))*90/HLOOKUP("Mins",A1:CV300,98,FALSE))</f>
        <v>0.23068350668647847</v>
      </c>
      <c r="BU98" s="12943">
        <f>IF(HLOOKUP("Mins",A1:CV300,98,FALSE)=0,0,HLOOKUP("fsXG",A1:CV300,98,FALSE)/HLOOKUP("Mins",A1:CV300,98,FALSE)* 90)</f>
        <v>7.3551263001485892E-3</v>
      </c>
      <c r="BV98" s="12944">
        <f>IF(HLOOKUP("Mins",A1:CV300,98,FALSE)=0,0,HLOOKUP("fsXA",A1:CV300,98,FALSE)/HLOOKUP("Mins",A1:CV300,98,FALSE)* 90)</f>
        <v>8.0237741456166412E-2</v>
      </c>
      <c r="BW98" s="12945">
        <f>6*HLOOKUP("fsXG/90",A1:CV300,98,FALSE)+3*HLOOKUP("fsXA/90",A1:CV300,98,FALSE)</f>
        <v>0.28484398216939077</v>
      </c>
      <c r="BX98" s="12946">
        <v>7.5301136821508408E-3</v>
      </c>
      <c r="BY98" s="12947">
        <v>5.7318035513162613E-2</v>
      </c>
      <c r="BZ98" s="12948">
        <f>6*HLOOKUP("uXG/90",A1:CV300,98,FALSE)+3*HLOOKUP("uXA/90",A1:CV300,98,FALSE)</f>
        <v>0.21713478863239288</v>
      </c>
    </row>
    <row r="99" spans="1:78" hidden="1" x14ac:dyDescent="0.3">
      <c r="A99" s="12949" t="s">
        <v>262</v>
      </c>
      <c r="B99" s="12950" t="s">
        <v>115</v>
      </c>
      <c r="C99" s="12951">
        <v>4.8000001907348633</v>
      </c>
      <c r="D99" s="12952">
        <v>1280</v>
      </c>
      <c r="E99" s="12953">
        <v>17</v>
      </c>
      <c r="F99" s="12954">
        <v>29</v>
      </c>
      <c r="G99" s="12955">
        <v>0</v>
      </c>
      <c r="H99" s="12956">
        <v>0</v>
      </c>
      <c r="I99" s="12957">
        <v>193</v>
      </c>
      <c r="J99" s="12958">
        <f>HLOOKUP("BPS",A1:CV300,99,FALSE)-((-6*HLOOKUP("OG",A1:CV300,99,FALSE))+(-6*HLOOKUP("PK Miss",A1:CV300,99,FALSE))+(9*HLOOKUP("FPL As",A1:CV300,99,FALSE))+(12*HLOOKUP("CS",A1:CV300,99,FALSE))+(12*HLOOKUP("Gs",A1:CV300,99,FALSE)))</f>
        <v>157</v>
      </c>
      <c r="K99" s="12959">
        <v>0</v>
      </c>
      <c r="L99" s="12960">
        <v>3</v>
      </c>
      <c r="M99" s="12961">
        <v>16</v>
      </c>
      <c r="N99" s="12962">
        <v>9</v>
      </c>
      <c r="O99" s="12963">
        <v>9</v>
      </c>
      <c r="P99" s="12964">
        <f>IF(HLOOKUP("Shots",A1:CV300,99,FALSE)=0,0,HLOOKUP("SIB",A1:CV300,99,FALSE)/HLOOKUP("Shots",A1:CV300,99,FALSE))</f>
        <v>1</v>
      </c>
      <c r="Q99" s="12965">
        <v>2</v>
      </c>
      <c r="R99" s="12966">
        <f>IF(HLOOKUP("Shots",A1:CV300,99,FALSE)=0,0,HLOOKUP("S6YD",A1:CV300,99,FALSE)/HLOOKUP("Shots",A1:CV300,99,FALSE))</f>
        <v>0.22222222222222221</v>
      </c>
      <c r="S99" s="12967">
        <v>6</v>
      </c>
      <c r="T99" s="12968">
        <f>IF(HLOOKUP("Shots",A1:CV300,99,FALSE)=0,0,HLOOKUP("Headers",A1:CV300,99,FALSE)/HLOOKUP("Shots",A1:CV300,99,FALSE))</f>
        <v>0.66666666666666663</v>
      </c>
      <c r="U99" s="12969">
        <v>2</v>
      </c>
      <c r="V99" s="12970">
        <f>IF(HLOOKUP("Shots",A1:CV300,99,FALSE)=0,0,HLOOKUP("SOT",A1:CV300,99,FALSE)/HLOOKUP("Shots",A1:CV300,99,FALSE))</f>
        <v>0.22222222222222221</v>
      </c>
      <c r="W99" s="12971">
        <f>IF(HLOOKUP("Shots",A1:CV300,99,FALSE)=0,0,HLOOKUP("Gs",A1:CV300,99,FALSE)/HLOOKUP("Shots",A1:CV300,99,FALSE))</f>
        <v>0</v>
      </c>
      <c r="X99" s="12972">
        <v>0</v>
      </c>
      <c r="Y99" s="12973">
        <v>0</v>
      </c>
      <c r="Z99" s="12974">
        <v>1</v>
      </c>
      <c r="AA99" s="12975">
        <f>IF(HLOOKUP("KP",A1:CV300,99,FALSE)=0,0,HLOOKUP("As",A1:CV300,99,FALSE)/HLOOKUP("KP",A1:CV300,99,FALSE))</f>
        <v>0</v>
      </c>
      <c r="AB99" s="12976">
        <v>45.7</v>
      </c>
      <c r="AC99" s="12977">
        <v>0</v>
      </c>
      <c r="AD99" s="12978">
        <v>0</v>
      </c>
      <c r="AE99" s="12979">
        <v>1</v>
      </c>
      <c r="AF99" s="12980">
        <v>1</v>
      </c>
      <c r="AG99" s="12981">
        <f>IF(HLOOKUP("BC",A1:CV300,99,FALSE)=0,0,HLOOKUP("Gs - BC",A1:CV300,99,FALSE)/HLOOKUP("BC",A1:CV300,99,FALSE))</f>
        <v>0</v>
      </c>
      <c r="AH99" s="12982">
        <f>HLOOKUP("BC",A1:CV300,99,FALSE) - HLOOKUP("BC Miss",A1:CV300,99,FALSE)</f>
        <v>0</v>
      </c>
      <c r="AI99" s="12983">
        <f>IF(HLOOKUP("Gs",A1:CV300,99,FALSE)=0,0,HLOOKUP("Gs - BC",A1:CV300,99,FALSE)/HLOOKUP("Gs",A1:CV300,99,FALSE))</f>
        <v>0</v>
      </c>
      <c r="AJ99" s="12984">
        <v>0</v>
      </c>
      <c r="AK99" s="12985">
        <v>0</v>
      </c>
      <c r="AL99" s="12986">
        <f>HLOOKUP("BC",A1:CV300,99,FALSE) - (HLOOKUP("PK Gs",A1:CV300,99,FALSE) + HLOOKUP("PK Miss",A1:CV300,99,FALSE))</f>
        <v>1</v>
      </c>
      <c r="AM99" s="12987">
        <f>HLOOKUP("BC Miss",A1:CV300,99,FALSE) - HLOOKUP("PK Miss",A1:CV300,99,FALSE)</f>
        <v>1</v>
      </c>
      <c r="AN99" s="12988">
        <f>IF(HLOOKUP("BC - Open",A1:CV300,99,FALSE)=0,0,HLOOKUP("BC - Open Miss",A1:CV300,99,FALSE)/HLOOKUP("BC - Open",A1:CV300,99,FALSE))</f>
        <v>1</v>
      </c>
      <c r="AO99" s="12989">
        <v>0</v>
      </c>
      <c r="AP99" s="12990">
        <f>IF(HLOOKUP("Gs",A1:CV300,99,FALSE)=0,0,HLOOKUP("GIB",A1:CV300,99,FALSE)/HLOOKUP("Gs",A1:CV300,99,FALSE))</f>
        <v>0</v>
      </c>
      <c r="AQ99" s="12991">
        <v>0</v>
      </c>
      <c r="AR99" s="12992">
        <f>IF(HLOOKUP("Gs",A1:CV300,99,FALSE)=0,0,HLOOKUP("Gs - Open",A1:CV300,99,FALSE)/HLOOKUP("Gs",A1:CV300,99,FALSE))</f>
        <v>0</v>
      </c>
      <c r="AS99" s="12993">
        <v>0.77</v>
      </c>
      <c r="AT99" s="12994">
        <v>0.04</v>
      </c>
      <c r="AU99" s="12995">
        <f>IF(HLOOKUP("Mins",A1:CV300,99,FALSE)=0,0,HLOOKUP("Pts",A1:CV300,99,FALSE)/HLOOKUP("Mins",A1:CV300,99,FALSE)* 90)</f>
        <v>2.0390625</v>
      </c>
      <c r="AV99" s="12996">
        <f>IF(HLOOKUP("Apps",A1:CV300,99,FALSE)=0,0,HLOOKUP("Pts",A1:CV300,99,FALSE)/HLOOKUP("Apps",A1:CV300,99,FALSE)* 1)</f>
        <v>1.7058823529411764</v>
      </c>
      <c r="AW99" s="12997">
        <f>IF(HLOOKUP("Mins",A1:CV300,99,FALSE)=0,0,HLOOKUP("Gs",A1:CV300,99,FALSE)/HLOOKUP("Mins",A1:CV300,99,FALSE)* 90)</f>
        <v>0</v>
      </c>
      <c r="AX99" s="12998">
        <f>IF(HLOOKUP("Mins",A1:CV300,99,FALSE)=0,0,HLOOKUP("Bonus",A1:CV300,99,FALSE)/HLOOKUP("Mins",A1:CV300,99,FALSE)* 90)</f>
        <v>0</v>
      </c>
      <c r="AY99" s="12999">
        <f>IF(HLOOKUP("Mins",A1:CV300,99,FALSE)=0,0,HLOOKUP("BPS",A1:CV300,99,FALSE)/HLOOKUP("Mins",A1:CV300,99,FALSE)* 90)</f>
        <v>13.5703125</v>
      </c>
      <c r="AZ99" s="13000">
        <f>IF(HLOOKUP("Mins",A1:CV300,99,FALSE)=0,0,HLOOKUP("Base BPS",A1:CV300,99,FALSE)/HLOOKUP("Mins",A1:CV300,99,FALSE)* 90)</f>
        <v>11.0390625</v>
      </c>
      <c r="BA99" s="13001">
        <f>IF(HLOOKUP("Mins",A1:CV300,99,FALSE)=0,0,HLOOKUP("PenTchs",A1:CV300,99,FALSE)/HLOOKUP("Mins",A1:CV300,99,FALSE)* 90)</f>
        <v>1.125</v>
      </c>
      <c r="BB99" s="13002">
        <f>IF(HLOOKUP("Mins",A1:CV300,99,FALSE)=0,0,HLOOKUP("Shots",A1:CV300,99,FALSE)/HLOOKUP("Mins",A1:CV300,99,FALSE)* 90)</f>
        <v>0.6328125</v>
      </c>
      <c r="BC99" s="13003">
        <f>IF(HLOOKUP("Mins",A1:CV300,99,FALSE)=0,0,HLOOKUP("SIB",A1:CV300,99,FALSE)/HLOOKUP("Mins",A1:CV300,99,FALSE)* 90)</f>
        <v>0.6328125</v>
      </c>
      <c r="BD99" s="13004">
        <f>IF(HLOOKUP("Mins",A1:CV300,99,FALSE)=0,0,HLOOKUP("S6YD",A1:CV300,99,FALSE)/HLOOKUP("Mins",A1:CV300,99,FALSE)* 90)</f>
        <v>0.140625</v>
      </c>
      <c r="BE99" s="13005">
        <f>IF(HLOOKUP("Mins",A1:CV300,99,FALSE)=0,0,HLOOKUP("Headers",A1:CV300,99,FALSE)/HLOOKUP("Mins",A1:CV300,99,FALSE)* 90)</f>
        <v>0.421875</v>
      </c>
      <c r="BF99" s="13006">
        <f>IF(HLOOKUP("Mins",A1:CV300,99,FALSE)=0,0,HLOOKUP("SOT",A1:CV300,99,FALSE)/HLOOKUP("Mins",A1:CV300,99,FALSE)* 90)</f>
        <v>0.140625</v>
      </c>
      <c r="BG99" s="13007">
        <f>IF(HLOOKUP("Mins",A1:CV300,99,FALSE)=0,0,HLOOKUP("As",A1:CV300,99,FALSE)/HLOOKUP("Mins",A1:CV300,99,FALSE)* 90)</f>
        <v>0</v>
      </c>
      <c r="BH99" s="13008">
        <f>IF(HLOOKUP("Mins",A1:CV300,99,FALSE)=0,0,HLOOKUP("FPL As",A1:CV300,99,FALSE)/HLOOKUP("Mins",A1:CV300,99,FALSE)* 90)</f>
        <v>0</v>
      </c>
      <c r="BI99" s="13009">
        <f>IF(HLOOKUP("Mins",A1:CV300,99,FALSE)=0,0,HLOOKUP("BC Created",A1:CV300,99,FALSE)/HLOOKUP("Mins",A1:CV300,99,FALSE)* 90)</f>
        <v>0</v>
      </c>
      <c r="BJ99" s="13010">
        <f>IF(HLOOKUP("Mins",A1:CV300,99,FALSE)=0,0,HLOOKUP("KP",A1:CV300,99,FALSE)/HLOOKUP("Mins",A1:CV300,99,FALSE)* 90)</f>
        <v>7.03125E-2</v>
      </c>
      <c r="BK99" s="13011">
        <f>IF(HLOOKUP("Mins",A1:CV300,99,FALSE)=0,0,HLOOKUP("BC",A1:CV300,99,FALSE)/HLOOKUP("Mins",A1:CV300,99,FALSE)* 90)</f>
        <v>7.03125E-2</v>
      </c>
      <c r="BL99" s="13012">
        <f>IF(HLOOKUP("Mins",A1:CV300,99,FALSE)=0,0,HLOOKUP("BC Miss",A1:CV300,99,FALSE)/HLOOKUP("Mins",A1:CV300,99,FALSE)* 90)</f>
        <v>7.03125E-2</v>
      </c>
      <c r="BM99" s="13013">
        <f>IF(HLOOKUP("Mins",A1:CV300,99,FALSE)=0,0,HLOOKUP("Gs - BC",A1:CV300,99,FALSE)/HLOOKUP("Mins",A1:CV300,99,FALSE)* 90)</f>
        <v>0</v>
      </c>
      <c r="BN99" s="13014">
        <f>IF(HLOOKUP("Mins",A1:CV300,99,FALSE)=0,0,HLOOKUP("GIB",A1:CV300,99,FALSE)/HLOOKUP("Mins",A1:CV300,99,FALSE)* 90)</f>
        <v>0</v>
      </c>
      <c r="BO99" s="13015">
        <f>IF(HLOOKUP("Mins",A1:CV300,99,FALSE)=0,0,HLOOKUP("Gs - Open",A1:CV300,99,FALSE)/HLOOKUP("Mins",A1:CV300,99,FALSE)* 90)</f>
        <v>0</v>
      </c>
      <c r="BP99" s="13016">
        <f>IF(HLOOKUP("Mins",A1:CV300,99,FALSE)=0,0,HLOOKUP("ICT Index",A1:CV300,99,FALSE)/HLOOKUP("Mins",A1:CV300,99,FALSE)* 90)</f>
        <v>3.2132812500000001</v>
      </c>
      <c r="BQ99" s="13017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  <v>5.8851562499999996E-2</v>
      </c>
      <c r="BR99" s="13018">
        <f>0.0825*HLOOKUP("KP/90",A1:CV300,99,FALSE)</f>
        <v>5.8007812500000004E-3</v>
      </c>
      <c r="BS99" s="13019">
        <f>6*HLOOKUP("xG/90",A1:CV300,99,FALSE)+3*HLOOKUP("xA/90",A1:CV300,99,FALSE)</f>
        <v>0.37051171874999994</v>
      </c>
      <c r="BT99" s="13020">
        <f>HLOOKUP("xPts/90",A1:CV300,99,FALSE)-(6*0.75*(HLOOKUP("PK Gs",A1:CV300,99,FALSE)+HLOOKUP("PK Miss",A1:CV300,99,FALSE))*90/HLOOKUP("Mins",A1:CV300,99,FALSE))</f>
        <v>0.37051171874999994</v>
      </c>
      <c r="BU99" s="13021">
        <f>IF(HLOOKUP("Mins",A1:CV300,99,FALSE)=0,0,HLOOKUP("fsXG",A1:CV300,99,FALSE)/HLOOKUP("Mins",A1:CV300,99,FALSE)* 90)</f>
        <v>5.4140624999999998E-2</v>
      </c>
      <c r="BV99" s="13022">
        <f>IF(HLOOKUP("Mins",A1:CV300,99,FALSE)=0,0,HLOOKUP("fsXA",A1:CV300,99,FALSE)/HLOOKUP("Mins",A1:CV300,99,FALSE)* 90)</f>
        <v>2.8124999999999999E-3</v>
      </c>
      <c r="BW99" s="13023">
        <f>6*HLOOKUP("fsXG/90",A1:CV300,99,FALSE)+3*HLOOKUP("fsXA/90",A1:CV300,99,FALSE)</f>
        <v>0.33328124999999997</v>
      </c>
      <c r="BX99" s="13024">
        <v>5.5810164660215378E-2</v>
      </c>
      <c r="BY99" s="13025">
        <v>5.606877151876688E-3</v>
      </c>
      <c r="BZ99" s="13026">
        <f>6*HLOOKUP("uXG/90",A1:CV300,99,FALSE)+3*HLOOKUP("uXA/90",A1:CV300,99,FALSE)</f>
        <v>0.35168161941692233</v>
      </c>
    </row>
    <row r="100" spans="1:78" hidden="1" x14ac:dyDescent="0.3">
      <c r="A100" s="13027" t="s">
        <v>263</v>
      </c>
      <c r="B100" s="13028" t="s">
        <v>89</v>
      </c>
      <c r="C100" s="13029">
        <v>4</v>
      </c>
      <c r="D100" s="13030">
        <v>90</v>
      </c>
      <c r="E100" s="13031">
        <v>1</v>
      </c>
      <c r="F100" s="13032">
        <v>2</v>
      </c>
      <c r="G100" s="13033">
        <v>0</v>
      </c>
      <c r="H100" s="13034">
        <v>0</v>
      </c>
      <c r="I100" s="13035">
        <v>20</v>
      </c>
      <c r="J100" s="13036">
        <f>HLOOKUP("BPS",A1:CV300,100,FALSE)-((-6*HLOOKUP("OG",A1:CV300,100,FALSE))+(-6*HLOOKUP("PK Miss",A1:CV300,100,FALSE))+(9*HLOOKUP("FPL As",A1:CV300,100,FALSE))+(12*HLOOKUP("CS",A1:CV300,100,FALSE))+(12*HLOOKUP("Gs",A1:CV300,100,FALSE)))</f>
        <v>20</v>
      </c>
      <c r="K100" s="13037">
        <v>0</v>
      </c>
      <c r="L100" s="13038">
        <v>0</v>
      </c>
      <c r="M100" s="13039">
        <v>0</v>
      </c>
      <c r="N100" s="13040">
        <v>0</v>
      </c>
      <c r="O100" s="13041">
        <v>0</v>
      </c>
      <c r="P100" s="13042">
        <f>IF(HLOOKUP("Shots",A1:CV300,100,FALSE)=0,0,HLOOKUP("SIB",A1:CV300,100,FALSE)/HLOOKUP("Shots",A1:CV300,100,FALSE))</f>
        <v>0</v>
      </c>
      <c r="Q100" s="13043">
        <v>0</v>
      </c>
      <c r="R100" s="13044">
        <f>IF(HLOOKUP("Shots",A1:CV300,100,FALSE)=0,0,HLOOKUP("S6YD",A1:CV300,100,FALSE)/HLOOKUP("Shots",A1:CV300,100,FALSE))</f>
        <v>0</v>
      </c>
      <c r="S100" s="13045">
        <v>0</v>
      </c>
      <c r="T100" s="13046">
        <f>IF(HLOOKUP("Shots",A1:CV300,100,FALSE)=0,0,HLOOKUP("Headers",A1:CV300,100,FALSE)/HLOOKUP("Shots",A1:CV300,100,FALSE))</f>
        <v>0</v>
      </c>
      <c r="U100" s="13047">
        <v>0</v>
      </c>
      <c r="V100" s="13048">
        <f>IF(HLOOKUP("Shots",A1:CV300,100,FALSE)=0,0,HLOOKUP("SOT",A1:CV300,100,FALSE)/HLOOKUP("Shots",A1:CV300,100,FALSE))</f>
        <v>0</v>
      </c>
      <c r="W100" s="13049">
        <f>IF(HLOOKUP("Shots",A1:CV300,100,FALSE)=0,0,HLOOKUP("Gs",A1:CV300,100,FALSE)/HLOOKUP("Shots",A1:CV300,100,FALSE))</f>
        <v>0</v>
      </c>
      <c r="X100" s="13050">
        <v>0</v>
      </c>
      <c r="Y100" s="13051">
        <v>0</v>
      </c>
      <c r="Z100" s="13052">
        <v>0</v>
      </c>
      <c r="AA100" s="13053">
        <f>IF(HLOOKUP("KP",A1:CV300,100,FALSE)=0,0,HLOOKUP("As",A1:CV300,100,FALSE)/HLOOKUP("KP",A1:CV300,100,FALSE))</f>
        <v>0</v>
      </c>
      <c r="AB100" s="13054">
        <v>2.6</v>
      </c>
      <c r="AC100" s="13055">
        <v>0</v>
      </c>
      <c r="AD100" s="13056">
        <v>0</v>
      </c>
      <c r="AE100" s="13057">
        <v>0</v>
      </c>
      <c r="AF100" s="13058">
        <v>0</v>
      </c>
      <c r="AG100" s="13059">
        <f>IF(HLOOKUP("BC",A1:CV300,100,FALSE)=0,0,HLOOKUP("Gs - BC",A1:CV300,100,FALSE)/HLOOKUP("BC",A1:CV300,100,FALSE))</f>
        <v>0</v>
      </c>
      <c r="AH100" s="13060">
        <f>HLOOKUP("BC",A1:CV300,100,FALSE) - HLOOKUP("BC Miss",A1:CV300,100,FALSE)</f>
        <v>0</v>
      </c>
      <c r="AI100" s="13061">
        <f>IF(HLOOKUP("Gs",A1:CV300,100,FALSE)=0,0,HLOOKUP("Gs - BC",A1:CV300,100,FALSE)/HLOOKUP("Gs",A1:CV300,100,FALSE))</f>
        <v>0</v>
      </c>
      <c r="AJ100" s="13062">
        <v>0</v>
      </c>
      <c r="AK100" s="13063">
        <v>0</v>
      </c>
      <c r="AL100" s="13064">
        <f>HLOOKUP("BC",A1:CV300,100,FALSE) - (HLOOKUP("PK Gs",A1:CV300,100,FALSE) + HLOOKUP("PK Miss",A1:CV300,100,FALSE))</f>
        <v>0</v>
      </c>
      <c r="AM100" s="13065">
        <f>HLOOKUP("BC Miss",A1:CV300,100,FALSE) - HLOOKUP("PK Miss",A1:CV300,100,FALSE)</f>
        <v>0</v>
      </c>
      <c r="AN100" s="13066">
        <f>IF(HLOOKUP("BC - Open",A1:CV300,100,FALSE)=0,0,HLOOKUP("BC - Open Miss",A1:CV300,100,FALSE)/HLOOKUP("BC - Open",A1:CV300,100,FALSE))</f>
        <v>0</v>
      </c>
      <c r="AO100" s="13067">
        <v>0</v>
      </c>
      <c r="AP100" s="13068">
        <f>IF(HLOOKUP("Gs",A1:CV300,100,FALSE)=0,0,HLOOKUP("GIB",A1:CV300,100,FALSE)/HLOOKUP("Gs",A1:CV300,100,FALSE))</f>
        <v>0</v>
      </c>
      <c r="AQ100" s="13069">
        <v>0</v>
      </c>
      <c r="AR100" s="13070">
        <f>IF(HLOOKUP("Gs",A1:CV300,100,FALSE)=0,0,HLOOKUP("Gs - Open",A1:CV300,100,FALSE)/HLOOKUP("Gs",A1:CV300,100,FALSE))</f>
        <v>0</v>
      </c>
      <c r="AS100" s="13071">
        <v>0</v>
      </c>
      <c r="AT100" s="13072">
        <v>0</v>
      </c>
      <c r="AU100" s="13073">
        <f>IF(HLOOKUP("Mins",A1:CV300,100,FALSE)=0,0,HLOOKUP("Pts",A1:CV300,100,FALSE)/HLOOKUP("Mins",A1:CV300,100,FALSE)* 90)</f>
        <v>2</v>
      </c>
      <c r="AV100" s="13074">
        <f>IF(HLOOKUP("Apps",A1:CV300,100,FALSE)=0,0,HLOOKUP("Pts",A1:CV300,100,FALSE)/HLOOKUP("Apps",A1:CV300,100,FALSE)* 1)</f>
        <v>2</v>
      </c>
      <c r="AW100" s="13075">
        <f>IF(HLOOKUP("Mins",A1:CV300,100,FALSE)=0,0,HLOOKUP("Gs",A1:CV300,100,FALSE)/HLOOKUP("Mins",A1:CV300,100,FALSE)* 90)</f>
        <v>0</v>
      </c>
      <c r="AX100" s="13076">
        <f>IF(HLOOKUP("Mins",A1:CV300,100,FALSE)=0,0,HLOOKUP("Bonus",A1:CV300,100,FALSE)/HLOOKUP("Mins",A1:CV300,100,FALSE)* 90)</f>
        <v>0</v>
      </c>
      <c r="AY100" s="13077">
        <f>IF(HLOOKUP("Mins",A1:CV300,100,FALSE)=0,0,HLOOKUP("BPS",A1:CV300,100,FALSE)/HLOOKUP("Mins",A1:CV300,100,FALSE)* 90)</f>
        <v>20</v>
      </c>
      <c r="AZ100" s="13078">
        <f>IF(HLOOKUP("Mins",A1:CV300,100,FALSE)=0,0,HLOOKUP("Base BPS",A1:CV300,100,FALSE)/HLOOKUP("Mins",A1:CV300,100,FALSE)* 90)</f>
        <v>20</v>
      </c>
      <c r="BA100" s="13079">
        <f>IF(HLOOKUP("Mins",A1:CV300,100,FALSE)=0,0,HLOOKUP("PenTchs",A1:CV300,100,FALSE)/HLOOKUP("Mins",A1:CV300,100,FALSE)* 90)</f>
        <v>0</v>
      </c>
      <c r="BB100" s="13080">
        <f>IF(HLOOKUP("Mins",A1:CV300,100,FALSE)=0,0,HLOOKUP("Shots",A1:CV300,100,FALSE)/HLOOKUP("Mins",A1:CV300,100,FALSE)* 90)</f>
        <v>0</v>
      </c>
      <c r="BC100" s="13081">
        <f>IF(HLOOKUP("Mins",A1:CV300,100,FALSE)=0,0,HLOOKUP("SIB",A1:CV300,100,FALSE)/HLOOKUP("Mins",A1:CV300,100,FALSE)* 90)</f>
        <v>0</v>
      </c>
      <c r="BD100" s="13082">
        <f>IF(HLOOKUP("Mins",A1:CV300,100,FALSE)=0,0,HLOOKUP("S6YD",A1:CV300,100,FALSE)/HLOOKUP("Mins",A1:CV300,100,FALSE)* 90)</f>
        <v>0</v>
      </c>
      <c r="BE100" s="13083">
        <f>IF(HLOOKUP("Mins",A1:CV300,100,FALSE)=0,0,HLOOKUP("Headers",A1:CV300,100,FALSE)/HLOOKUP("Mins",A1:CV300,100,FALSE)* 90)</f>
        <v>0</v>
      </c>
      <c r="BF100" s="13084">
        <f>IF(HLOOKUP("Mins",A1:CV300,100,FALSE)=0,0,HLOOKUP("SOT",A1:CV300,100,FALSE)/HLOOKUP("Mins",A1:CV300,100,FALSE)* 90)</f>
        <v>0</v>
      </c>
      <c r="BG100" s="13085">
        <f>IF(HLOOKUP("Mins",A1:CV300,100,FALSE)=0,0,HLOOKUP("As",A1:CV300,100,FALSE)/HLOOKUP("Mins",A1:CV300,100,FALSE)* 90)</f>
        <v>0</v>
      </c>
      <c r="BH100" s="13086">
        <f>IF(HLOOKUP("Mins",A1:CV300,100,FALSE)=0,0,HLOOKUP("FPL As",A1:CV300,100,FALSE)/HLOOKUP("Mins",A1:CV300,100,FALSE)* 90)</f>
        <v>0</v>
      </c>
      <c r="BI100" s="13087">
        <f>IF(HLOOKUP("Mins",A1:CV300,100,FALSE)=0,0,HLOOKUP("BC Created",A1:CV300,100,FALSE)/HLOOKUP("Mins",A1:CV300,100,FALSE)* 90)</f>
        <v>0</v>
      </c>
      <c r="BJ100" s="13088">
        <f>IF(HLOOKUP("Mins",A1:CV300,100,FALSE)=0,0,HLOOKUP("KP",A1:CV300,100,FALSE)/HLOOKUP("Mins",A1:CV300,100,FALSE)* 90)</f>
        <v>0</v>
      </c>
      <c r="BK100" s="13089">
        <f>IF(HLOOKUP("Mins",A1:CV300,100,FALSE)=0,0,HLOOKUP("BC",A1:CV300,100,FALSE)/HLOOKUP("Mins",A1:CV300,100,FALSE)* 90)</f>
        <v>0</v>
      </c>
      <c r="BL100" s="13090">
        <f>IF(HLOOKUP("Mins",A1:CV300,100,FALSE)=0,0,HLOOKUP("BC Miss",A1:CV300,100,FALSE)/HLOOKUP("Mins",A1:CV300,100,FALSE)* 90)</f>
        <v>0</v>
      </c>
      <c r="BM100" s="13091">
        <f>IF(HLOOKUP("Mins",A1:CV300,100,FALSE)=0,0,HLOOKUP("Gs - BC",A1:CV300,100,FALSE)/HLOOKUP("Mins",A1:CV300,100,FALSE)* 90)</f>
        <v>0</v>
      </c>
      <c r="BN100" s="13092">
        <f>IF(HLOOKUP("Mins",A1:CV300,100,FALSE)=0,0,HLOOKUP("GIB",A1:CV300,100,FALSE)/HLOOKUP("Mins",A1:CV300,100,FALSE)* 90)</f>
        <v>0</v>
      </c>
      <c r="BO100" s="13093">
        <f>IF(HLOOKUP("Mins",A1:CV300,100,FALSE)=0,0,HLOOKUP("Gs - Open",A1:CV300,100,FALSE)/HLOOKUP("Mins",A1:CV300,100,FALSE)* 90)</f>
        <v>0</v>
      </c>
      <c r="BP100" s="13094">
        <f>IF(HLOOKUP("Mins",A1:CV300,100,FALSE)=0,0,HLOOKUP("ICT Index",A1:CV300,100,FALSE)/HLOOKUP("Mins",A1:CV300,100,FALSE)* 90)</f>
        <v>2.6</v>
      </c>
      <c r="BQ100" s="13095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  <v>0</v>
      </c>
      <c r="BR100" s="13096">
        <f>0.0825*HLOOKUP("KP/90",A1:CV300,100,FALSE)</f>
        <v>0</v>
      </c>
      <c r="BS100" s="13097">
        <f>6*HLOOKUP("xG/90",A1:CV300,100,FALSE)+3*HLOOKUP("xA/90",A1:CV300,100,FALSE)</f>
        <v>0</v>
      </c>
      <c r="BT100" s="13098">
        <f>HLOOKUP("xPts/90",A1:CV300,100,FALSE)-(6*0.75*(HLOOKUP("PK Gs",A1:CV300,100,FALSE)+HLOOKUP("PK Miss",A1:CV300,100,FALSE))*90/HLOOKUP("Mins",A1:CV300,100,FALSE))</f>
        <v>0</v>
      </c>
      <c r="BU100" s="13099">
        <f>IF(HLOOKUP("Mins",A1:CV300,100,FALSE)=0,0,HLOOKUP("fsXG",A1:CV300,100,FALSE)/HLOOKUP("Mins",A1:CV300,100,FALSE)* 90)</f>
        <v>0</v>
      </c>
      <c r="BV100" s="13100">
        <f>IF(HLOOKUP("Mins",A1:CV300,100,FALSE)=0,0,HLOOKUP("fsXA",A1:CV300,100,FALSE)/HLOOKUP("Mins",A1:CV300,100,FALSE)* 90)</f>
        <v>0</v>
      </c>
      <c r="BW100" s="13101">
        <f>6*HLOOKUP("fsXG/90",A1:CV300,100,FALSE)+3*HLOOKUP("fsXA/90",A1:CV300,100,FALSE)</f>
        <v>0</v>
      </c>
      <c r="BX100" s="13102">
        <v>0</v>
      </c>
      <c r="BY100" s="13103">
        <v>0</v>
      </c>
      <c r="BZ100" s="13104">
        <f>6*HLOOKUP("uXG/90",A1:CV300,100,FALSE)+3*HLOOKUP("uXA/90",A1:CV300,100,FALSE)</f>
        <v>0</v>
      </c>
    </row>
    <row r="101" spans="1:78" hidden="1" x14ac:dyDescent="0.3">
      <c r="A101" s="13105" t="s">
        <v>264</v>
      </c>
      <c r="B101" s="13106" t="s">
        <v>91</v>
      </c>
      <c r="C101" s="13107">
        <v>4</v>
      </c>
      <c r="D101" s="13108">
        <v>710</v>
      </c>
      <c r="E101" s="13109">
        <v>8</v>
      </c>
      <c r="F101" s="13110">
        <v>5</v>
      </c>
      <c r="G101" s="13111">
        <v>0</v>
      </c>
      <c r="H101" s="13112">
        <v>0</v>
      </c>
      <c r="I101" s="13113">
        <v>91</v>
      </c>
      <c r="J101" s="13114">
        <f>HLOOKUP("BPS",A1:CV300,101,FALSE)-((-6*HLOOKUP("OG",A1:CV300,101,FALSE))+(-6*HLOOKUP("PK Miss",A1:CV300,101,FALSE))+(9*HLOOKUP("FPL As",A1:CV300,101,FALSE))+(12*HLOOKUP("CS",A1:CV300,101,FALSE))+(12*HLOOKUP("Gs",A1:CV300,101,FALSE)))</f>
        <v>97</v>
      </c>
      <c r="K101" s="13115">
        <v>1</v>
      </c>
      <c r="L101" s="13116">
        <v>0</v>
      </c>
      <c r="M101" s="13117">
        <v>8</v>
      </c>
      <c r="N101" s="13118">
        <v>6</v>
      </c>
      <c r="O101" s="13119">
        <v>6</v>
      </c>
      <c r="P101" s="13120">
        <f>IF(HLOOKUP("Shots",A1:CV300,101,FALSE)=0,0,HLOOKUP("SIB",A1:CV300,101,FALSE)/HLOOKUP("Shots",A1:CV300,101,FALSE))</f>
        <v>1</v>
      </c>
      <c r="Q101" s="13121">
        <v>0</v>
      </c>
      <c r="R101" s="13122">
        <f>IF(HLOOKUP("Shots",A1:CV300,101,FALSE)=0,0,HLOOKUP("S6YD",A1:CV300,101,FALSE)/HLOOKUP("Shots",A1:CV300,101,FALSE))</f>
        <v>0</v>
      </c>
      <c r="S101" s="13123">
        <v>5</v>
      </c>
      <c r="T101" s="13124">
        <f>IF(HLOOKUP("Shots",A1:CV300,101,FALSE)=0,0,HLOOKUP("Headers",A1:CV300,101,FALSE)/HLOOKUP("Shots",A1:CV300,101,FALSE))</f>
        <v>0.83333333333333337</v>
      </c>
      <c r="U101" s="13125">
        <v>2</v>
      </c>
      <c r="V101" s="13126">
        <f>IF(HLOOKUP("Shots",A1:CV300,101,FALSE)=0,0,HLOOKUP("SOT",A1:CV300,101,FALSE)/HLOOKUP("Shots",A1:CV300,101,FALSE))</f>
        <v>0.33333333333333331</v>
      </c>
      <c r="W101" s="13127">
        <f>IF(HLOOKUP("Shots",A1:CV300,101,FALSE)=0,0,HLOOKUP("Gs",A1:CV300,101,FALSE)/HLOOKUP("Shots",A1:CV300,101,FALSE))</f>
        <v>0</v>
      </c>
      <c r="X101" s="13128">
        <v>0</v>
      </c>
      <c r="Y101" s="13129">
        <v>0</v>
      </c>
      <c r="Z101" s="13130">
        <v>0</v>
      </c>
      <c r="AA101" s="13131">
        <f>IF(HLOOKUP("KP",A1:CV300,101,FALSE)=0,0,HLOOKUP("As",A1:CV300,101,FALSE)/HLOOKUP("KP",A1:CV300,101,FALSE))</f>
        <v>0</v>
      </c>
      <c r="AB101" s="13132">
        <v>21.8</v>
      </c>
      <c r="AC101" s="13133">
        <v>0</v>
      </c>
      <c r="AD101" s="13134">
        <v>0</v>
      </c>
      <c r="AE101" s="13135">
        <v>0</v>
      </c>
      <c r="AF101" s="13136">
        <v>0</v>
      </c>
      <c r="AG101" s="13137">
        <f>IF(HLOOKUP("BC",A1:CV300,101,FALSE)=0,0,HLOOKUP("Gs - BC",A1:CV300,101,FALSE)/HLOOKUP("BC",A1:CV300,101,FALSE))</f>
        <v>0</v>
      </c>
      <c r="AH101" s="13138">
        <f>HLOOKUP("BC",A1:CV300,101,FALSE) - HLOOKUP("BC Miss",A1:CV300,101,FALSE)</f>
        <v>0</v>
      </c>
      <c r="AI101" s="13139">
        <f>IF(HLOOKUP("Gs",A1:CV300,101,FALSE)=0,0,HLOOKUP("Gs - BC",A1:CV300,101,FALSE)/HLOOKUP("Gs",A1:CV300,101,FALSE))</f>
        <v>0</v>
      </c>
      <c r="AJ101" s="13140">
        <v>0</v>
      </c>
      <c r="AK101" s="13141">
        <v>0</v>
      </c>
      <c r="AL101" s="13142">
        <f>HLOOKUP("BC",A1:CV300,101,FALSE) - (HLOOKUP("PK Gs",A1:CV300,101,FALSE) + HLOOKUP("PK Miss",A1:CV300,101,FALSE))</f>
        <v>0</v>
      </c>
      <c r="AM101" s="13143">
        <f>HLOOKUP("BC Miss",A1:CV300,101,FALSE) - HLOOKUP("PK Miss",A1:CV300,101,FALSE)</f>
        <v>0</v>
      </c>
      <c r="AN101" s="13144">
        <f>IF(HLOOKUP("BC - Open",A1:CV300,101,FALSE)=0,0,HLOOKUP("BC - Open Miss",A1:CV300,101,FALSE)/HLOOKUP("BC - Open",A1:CV300,101,FALSE))</f>
        <v>0</v>
      </c>
      <c r="AO101" s="13145">
        <v>0</v>
      </c>
      <c r="AP101" s="13146">
        <f>IF(HLOOKUP("Gs",A1:CV300,101,FALSE)=0,0,HLOOKUP("GIB",A1:CV300,101,FALSE)/HLOOKUP("Gs",A1:CV300,101,FALSE))</f>
        <v>0</v>
      </c>
      <c r="AQ101" s="13147">
        <v>0</v>
      </c>
      <c r="AR101" s="13148">
        <f>IF(HLOOKUP("Gs",A1:CV300,101,FALSE)=0,0,HLOOKUP("Gs - Open",A1:CV300,101,FALSE)/HLOOKUP("Gs",A1:CV300,101,FALSE))</f>
        <v>0</v>
      </c>
      <c r="AS101" s="13149">
        <v>0.47</v>
      </c>
      <c r="AT101" s="13150">
        <v>0.02</v>
      </c>
      <c r="AU101" s="13151">
        <f>IF(HLOOKUP("Mins",A1:CV300,101,FALSE)=0,0,HLOOKUP("Pts",A1:CV300,101,FALSE)/HLOOKUP("Mins",A1:CV300,101,FALSE)* 90)</f>
        <v>0.63380281690140849</v>
      </c>
      <c r="AV101" s="13152">
        <f>IF(HLOOKUP("Apps",A1:CV300,101,FALSE)=0,0,HLOOKUP("Pts",A1:CV300,101,FALSE)/HLOOKUP("Apps",A1:CV300,101,FALSE)* 1)</f>
        <v>0.625</v>
      </c>
      <c r="AW101" s="13153">
        <f>IF(HLOOKUP("Mins",A1:CV300,101,FALSE)=0,0,HLOOKUP("Gs",A1:CV300,101,FALSE)/HLOOKUP("Mins",A1:CV300,101,FALSE)* 90)</f>
        <v>0</v>
      </c>
      <c r="AX101" s="13154">
        <f>IF(HLOOKUP("Mins",A1:CV300,101,FALSE)=0,0,HLOOKUP("Bonus",A1:CV300,101,FALSE)/HLOOKUP("Mins",A1:CV300,101,FALSE)* 90)</f>
        <v>0</v>
      </c>
      <c r="AY101" s="13155">
        <f>IF(HLOOKUP("Mins",A1:CV300,101,FALSE)=0,0,HLOOKUP("BPS",A1:CV300,101,FALSE)/HLOOKUP("Mins",A1:CV300,101,FALSE)* 90)</f>
        <v>11.535211267605634</v>
      </c>
      <c r="AZ101" s="13156">
        <f>IF(HLOOKUP("Mins",A1:CV300,101,FALSE)=0,0,HLOOKUP("Base BPS",A1:CV300,101,FALSE)/HLOOKUP("Mins",A1:CV300,101,FALSE)* 90)</f>
        <v>12.295774647887326</v>
      </c>
      <c r="BA101" s="13157">
        <f>IF(HLOOKUP("Mins",A1:CV300,101,FALSE)=0,0,HLOOKUP("PenTchs",A1:CV300,101,FALSE)/HLOOKUP("Mins",A1:CV300,101,FALSE)* 90)</f>
        <v>1.0140845070422535</v>
      </c>
      <c r="BB101" s="13158">
        <f>IF(HLOOKUP("Mins",A1:CV300,101,FALSE)=0,0,HLOOKUP("Shots",A1:CV300,101,FALSE)/HLOOKUP("Mins",A1:CV300,101,FALSE)* 90)</f>
        <v>0.76056338028169002</v>
      </c>
      <c r="BC101" s="13159">
        <f>IF(HLOOKUP("Mins",A1:CV300,101,FALSE)=0,0,HLOOKUP("SIB",A1:CV300,101,FALSE)/HLOOKUP("Mins",A1:CV300,101,FALSE)* 90)</f>
        <v>0.76056338028169002</v>
      </c>
      <c r="BD101" s="13160">
        <f>IF(HLOOKUP("Mins",A1:CV300,101,FALSE)=0,0,HLOOKUP("S6YD",A1:CV300,101,FALSE)/HLOOKUP("Mins",A1:CV300,101,FALSE)* 90)</f>
        <v>0</v>
      </c>
      <c r="BE101" s="13161">
        <f>IF(HLOOKUP("Mins",A1:CV300,101,FALSE)=0,0,HLOOKUP("Headers",A1:CV300,101,FALSE)/HLOOKUP("Mins",A1:CV300,101,FALSE)* 90)</f>
        <v>0.63380281690140849</v>
      </c>
      <c r="BF101" s="13162">
        <f>IF(HLOOKUP("Mins",A1:CV300,101,FALSE)=0,0,HLOOKUP("SOT",A1:CV300,101,FALSE)/HLOOKUP("Mins",A1:CV300,101,FALSE)* 90)</f>
        <v>0.25352112676056338</v>
      </c>
      <c r="BG101" s="13163">
        <f>IF(HLOOKUP("Mins",A1:CV300,101,FALSE)=0,0,HLOOKUP("As",A1:CV300,101,FALSE)/HLOOKUP("Mins",A1:CV300,101,FALSE)* 90)</f>
        <v>0</v>
      </c>
      <c r="BH101" s="13164">
        <f>IF(HLOOKUP("Mins",A1:CV300,101,FALSE)=0,0,HLOOKUP("FPL As",A1:CV300,101,FALSE)/HLOOKUP("Mins",A1:CV300,101,FALSE)* 90)</f>
        <v>0</v>
      </c>
      <c r="BI101" s="13165">
        <f>IF(HLOOKUP("Mins",A1:CV300,101,FALSE)=0,0,HLOOKUP("BC Created",A1:CV300,101,FALSE)/HLOOKUP("Mins",A1:CV300,101,FALSE)* 90)</f>
        <v>0</v>
      </c>
      <c r="BJ101" s="13166">
        <f>IF(HLOOKUP("Mins",A1:CV300,101,FALSE)=0,0,HLOOKUP("KP",A1:CV300,101,FALSE)/HLOOKUP("Mins",A1:CV300,101,FALSE)* 90)</f>
        <v>0</v>
      </c>
      <c r="BK101" s="13167">
        <f>IF(HLOOKUP("Mins",A1:CV300,101,FALSE)=0,0,HLOOKUP("BC",A1:CV300,101,FALSE)/HLOOKUP("Mins",A1:CV300,101,FALSE)* 90)</f>
        <v>0</v>
      </c>
      <c r="BL101" s="13168">
        <f>IF(HLOOKUP("Mins",A1:CV300,101,FALSE)=0,0,HLOOKUP("BC Miss",A1:CV300,101,FALSE)/HLOOKUP("Mins",A1:CV300,101,FALSE)* 90)</f>
        <v>0</v>
      </c>
      <c r="BM101" s="13169">
        <f>IF(HLOOKUP("Mins",A1:CV300,101,FALSE)=0,0,HLOOKUP("Gs - BC",A1:CV300,101,FALSE)/HLOOKUP("Mins",A1:CV300,101,FALSE)* 90)</f>
        <v>0</v>
      </c>
      <c r="BN101" s="13170">
        <f>IF(HLOOKUP("Mins",A1:CV300,101,FALSE)=0,0,HLOOKUP("GIB",A1:CV300,101,FALSE)/HLOOKUP("Mins",A1:CV300,101,FALSE)* 90)</f>
        <v>0</v>
      </c>
      <c r="BO101" s="13171">
        <f>IF(HLOOKUP("Mins",A1:CV300,101,FALSE)=0,0,HLOOKUP("Gs - Open",A1:CV300,101,FALSE)/HLOOKUP("Mins",A1:CV300,101,FALSE)* 90)</f>
        <v>0</v>
      </c>
      <c r="BP101" s="13172">
        <f>IF(HLOOKUP("Mins",A1:CV300,101,FALSE)=0,0,HLOOKUP("ICT Index",A1:CV300,101,FALSE)/HLOOKUP("Mins",A1:CV300,101,FALSE)* 90)</f>
        <v>2.7633802816901412</v>
      </c>
      <c r="BQ101" s="13173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  <v>7.0732394366197188E-2</v>
      </c>
      <c r="BR101" s="13174">
        <f>0.0825*HLOOKUP("KP/90",A1:CV300,101,FALSE)</f>
        <v>0</v>
      </c>
      <c r="BS101" s="13175">
        <f>6*HLOOKUP("xG/90",A1:CV300,101,FALSE)+3*HLOOKUP("xA/90",A1:CV300,101,FALSE)</f>
        <v>0.42439436619718313</v>
      </c>
      <c r="BT101" s="13176">
        <f>HLOOKUP("xPts/90",A1:CV300,101,FALSE)-(6*0.75*(HLOOKUP("PK Gs",A1:CV300,101,FALSE)+HLOOKUP("PK Miss",A1:CV300,101,FALSE))*90/HLOOKUP("Mins",A1:CV300,101,FALSE))</f>
        <v>0.42439436619718313</v>
      </c>
      <c r="BU101" s="13177">
        <f>IF(HLOOKUP("Mins",A1:CV300,101,FALSE)=0,0,HLOOKUP("fsXG",A1:CV300,101,FALSE)/HLOOKUP("Mins",A1:CV300,101,FALSE)* 90)</f>
        <v>5.9577464788732389E-2</v>
      </c>
      <c r="BV101" s="13178">
        <f>IF(HLOOKUP("Mins",A1:CV300,101,FALSE)=0,0,HLOOKUP("fsXA",A1:CV300,101,FALSE)/HLOOKUP("Mins",A1:CV300,101,FALSE)* 90)</f>
        <v>2.5352112676056337E-3</v>
      </c>
      <c r="BW101" s="13179">
        <f>6*HLOOKUP("fsXG/90",A1:CV300,101,FALSE)+3*HLOOKUP("fsXA/90",A1:CV300,101,FALSE)</f>
        <v>0.36507042253521127</v>
      </c>
      <c r="BX101" s="13180">
        <v>4.0211018174886703E-2</v>
      </c>
      <c r="BY101" s="13181">
        <v>0</v>
      </c>
      <c r="BZ101" s="13182">
        <f>6*HLOOKUP("uXG/90",A1:CV300,101,FALSE)+3*HLOOKUP("uXA/90",A1:CV300,101,FALSE)</f>
        <v>0.24126610904932022</v>
      </c>
    </row>
    <row r="102" spans="1:78" hidden="1" x14ac:dyDescent="0.3">
      <c r="A102" s="13183" t="s">
        <v>265</v>
      </c>
      <c r="B102" s="13184" t="s">
        <v>91</v>
      </c>
      <c r="C102" s="13185">
        <v>4.4000000953674316</v>
      </c>
      <c r="D102" s="13186">
        <v>936</v>
      </c>
      <c r="E102" s="13187">
        <v>11</v>
      </c>
      <c r="F102" s="13188">
        <v>19</v>
      </c>
      <c r="G102" s="13189">
        <v>0</v>
      </c>
      <c r="H102" s="13190">
        <v>0</v>
      </c>
      <c r="I102" s="13191">
        <v>157</v>
      </c>
      <c r="J102" s="13192">
        <f>HLOOKUP("BPS",A1:CV300,102,FALSE)-((-6*HLOOKUP("OG",A1:CV300,102,FALSE))+(-6*HLOOKUP("PK Miss",A1:CV300,102,FALSE))+(9*HLOOKUP("FPL As",A1:CV300,102,FALSE))+(12*HLOOKUP("CS",A1:CV300,102,FALSE))+(12*HLOOKUP("Gs",A1:CV300,102,FALSE)))</f>
        <v>136</v>
      </c>
      <c r="K102" s="13193">
        <v>0</v>
      </c>
      <c r="L102" s="13194">
        <v>1</v>
      </c>
      <c r="M102" s="13195">
        <v>6</v>
      </c>
      <c r="N102" s="13196">
        <v>3</v>
      </c>
      <c r="O102" s="13197">
        <v>2</v>
      </c>
      <c r="P102" s="13198">
        <f>IF(HLOOKUP("Shots",A1:CV300,102,FALSE)=0,0,HLOOKUP("SIB",A1:CV300,102,FALSE)/HLOOKUP("Shots",A1:CV300,102,FALSE))</f>
        <v>0.66666666666666663</v>
      </c>
      <c r="Q102" s="13199">
        <v>1</v>
      </c>
      <c r="R102" s="13200">
        <f>IF(HLOOKUP("Shots",A1:CV300,102,FALSE)=0,0,HLOOKUP("S6YD",A1:CV300,102,FALSE)/HLOOKUP("Shots",A1:CV300,102,FALSE))</f>
        <v>0.33333333333333331</v>
      </c>
      <c r="S102" s="13201">
        <v>1</v>
      </c>
      <c r="T102" s="13202">
        <f>IF(HLOOKUP("Shots",A1:CV300,102,FALSE)=0,0,HLOOKUP("Headers",A1:CV300,102,FALSE)/HLOOKUP("Shots",A1:CV300,102,FALSE))</f>
        <v>0.33333333333333331</v>
      </c>
      <c r="U102" s="13203">
        <v>1</v>
      </c>
      <c r="V102" s="13204">
        <f>IF(HLOOKUP("Shots",A1:CV300,102,FALSE)=0,0,HLOOKUP("SOT",A1:CV300,102,FALSE)/HLOOKUP("Shots",A1:CV300,102,FALSE))</f>
        <v>0.33333333333333331</v>
      </c>
      <c r="W102" s="13205">
        <f>IF(HLOOKUP("Shots",A1:CV300,102,FALSE)=0,0,HLOOKUP("Gs",A1:CV300,102,FALSE)/HLOOKUP("Shots",A1:CV300,102,FALSE))</f>
        <v>0</v>
      </c>
      <c r="X102" s="13206">
        <v>1</v>
      </c>
      <c r="Y102" s="13207">
        <v>1</v>
      </c>
      <c r="Z102" s="13208">
        <v>1</v>
      </c>
      <c r="AA102" s="13209">
        <f>IF(HLOOKUP("KP",A1:CV300,102,FALSE)=0,0,HLOOKUP("As",A1:CV300,102,FALSE)/HLOOKUP("KP",A1:CV300,102,FALSE))</f>
        <v>1</v>
      </c>
      <c r="AB102" s="13210">
        <v>30.6</v>
      </c>
      <c r="AC102" s="13211">
        <v>9</v>
      </c>
      <c r="AD102" s="13212">
        <v>0</v>
      </c>
      <c r="AE102" s="13213">
        <v>0</v>
      </c>
      <c r="AF102" s="13214">
        <v>0</v>
      </c>
      <c r="AG102" s="13215">
        <f>IF(HLOOKUP("BC",A1:CV300,102,FALSE)=0,0,HLOOKUP("Gs - BC",A1:CV300,102,FALSE)/HLOOKUP("BC",A1:CV300,102,FALSE))</f>
        <v>0</v>
      </c>
      <c r="AH102" s="13216">
        <f>HLOOKUP("BC",A1:CV300,102,FALSE) - HLOOKUP("BC Miss",A1:CV300,102,FALSE)</f>
        <v>0</v>
      </c>
      <c r="AI102" s="13217">
        <f>IF(HLOOKUP("Gs",A1:CV300,102,FALSE)=0,0,HLOOKUP("Gs - BC",A1:CV300,102,FALSE)/HLOOKUP("Gs",A1:CV300,102,FALSE))</f>
        <v>0</v>
      </c>
      <c r="AJ102" s="13218">
        <v>0</v>
      </c>
      <c r="AK102" s="13219">
        <v>0</v>
      </c>
      <c r="AL102" s="13220">
        <f>HLOOKUP("BC",A1:CV300,102,FALSE) - (HLOOKUP("PK Gs",A1:CV300,102,FALSE) + HLOOKUP("PK Miss",A1:CV300,102,FALSE))</f>
        <v>0</v>
      </c>
      <c r="AM102" s="13221">
        <f>HLOOKUP("BC Miss",A1:CV300,102,FALSE) - HLOOKUP("PK Miss",A1:CV300,102,FALSE)</f>
        <v>0</v>
      </c>
      <c r="AN102" s="13222">
        <f>IF(HLOOKUP("BC - Open",A1:CV300,102,FALSE)=0,0,HLOOKUP("BC - Open Miss",A1:CV300,102,FALSE)/HLOOKUP("BC - Open",A1:CV300,102,FALSE))</f>
        <v>0</v>
      </c>
      <c r="AO102" s="13223">
        <v>0</v>
      </c>
      <c r="AP102" s="13224">
        <f>IF(HLOOKUP("Gs",A1:CV300,102,FALSE)=0,0,HLOOKUP("GIB",A1:CV300,102,FALSE)/HLOOKUP("Gs",A1:CV300,102,FALSE))</f>
        <v>0</v>
      </c>
      <c r="AQ102" s="13225">
        <v>0</v>
      </c>
      <c r="AR102" s="13226">
        <f>IF(HLOOKUP("Gs",A1:CV300,102,FALSE)=0,0,HLOOKUP("Gs - Open",A1:CV300,102,FALSE)/HLOOKUP("Gs",A1:CV300,102,FALSE))</f>
        <v>0</v>
      </c>
      <c r="AS102" s="13227">
        <v>0.16</v>
      </c>
      <c r="AT102" s="13228">
        <v>0.04</v>
      </c>
      <c r="AU102" s="13229">
        <f>IF(HLOOKUP("Mins",A1:CV300,102,FALSE)=0,0,HLOOKUP("Pts",A1:CV300,102,FALSE)/HLOOKUP("Mins",A1:CV300,102,FALSE)* 90)</f>
        <v>1.8269230769230771</v>
      </c>
      <c r="AV102" s="13230">
        <f>IF(HLOOKUP("Apps",A1:CV300,102,FALSE)=0,0,HLOOKUP("Pts",A1:CV300,102,FALSE)/HLOOKUP("Apps",A1:CV300,102,FALSE)* 1)</f>
        <v>1.7272727272727273</v>
      </c>
      <c r="AW102" s="13231">
        <f>IF(HLOOKUP("Mins",A1:CV300,102,FALSE)=0,0,HLOOKUP("Gs",A1:CV300,102,FALSE)/HLOOKUP("Mins",A1:CV300,102,FALSE)* 90)</f>
        <v>0</v>
      </c>
      <c r="AX102" s="13232">
        <f>IF(HLOOKUP("Mins",A1:CV300,102,FALSE)=0,0,HLOOKUP("Bonus",A1:CV300,102,FALSE)/HLOOKUP("Mins",A1:CV300,102,FALSE)* 90)</f>
        <v>0</v>
      </c>
      <c r="AY102" s="13233">
        <f>IF(HLOOKUP("Mins",A1:CV300,102,FALSE)=0,0,HLOOKUP("BPS",A1:CV300,102,FALSE)/HLOOKUP("Mins",A1:CV300,102,FALSE)* 90)</f>
        <v>15.096153846153845</v>
      </c>
      <c r="AZ102" s="13234">
        <f>IF(HLOOKUP("Mins",A1:CV300,102,FALSE)=0,0,HLOOKUP("Base BPS",A1:CV300,102,FALSE)/HLOOKUP("Mins",A1:CV300,102,FALSE)* 90)</f>
        <v>13.076923076923078</v>
      </c>
      <c r="BA102" s="13235">
        <f>IF(HLOOKUP("Mins",A1:CV300,102,FALSE)=0,0,HLOOKUP("PenTchs",A1:CV300,102,FALSE)/HLOOKUP("Mins",A1:CV300,102,FALSE)* 90)</f>
        <v>0.57692307692307687</v>
      </c>
      <c r="BB102" s="13236">
        <f>IF(HLOOKUP("Mins",A1:CV300,102,FALSE)=0,0,HLOOKUP("Shots",A1:CV300,102,FALSE)/HLOOKUP("Mins",A1:CV300,102,FALSE)* 90)</f>
        <v>0.28846153846153844</v>
      </c>
      <c r="BC102" s="13237">
        <f>IF(HLOOKUP("Mins",A1:CV300,102,FALSE)=0,0,HLOOKUP("SIB",A1:CV300,102,FALSE)/HLOOKUP("Mins",A1:CV300,102,FALSE)* 90)</f>
        <v>0.19230769230769232</v>
      </c>
      <c r="BD102" s="13238">
        <f>IF(HLOOKUP("Mins",A1:CV300,102,FALSE)=0,0,HLOOKUP("S6YD",A1:CV300,102,FALSE)/HLOOKUP("Mins",A1:CV300,102,FALSE)* 90)</f>
        <v>9.6153846153846159E-2</v>
      </c>
      <c r="BE102" s="13239">
        <f>IF(HLOOKUP("Mins",A1:CV300,102,FALSE)=0,0,HLOOKUP("Headers",A1:CV300,102,FALSE)/HLOOKUP("Mins",A1:CV300,102,FALSE)* 90)</f>
        <v>9.6153846153846159E-2</v>
      </c>
      <c r="BF102" s="13240">
        <f>IF(HLOOKUP("Mins",A1:CV300,102,FALSE)=0,0,HLOOKUP("SOT",A1:CV300,102,FALSE)/HLOOKUP("Mins",A1:CV300,102,FALSE)* 90)</f>
        <v>9.6153846153846159E-2</v>
      </c>
      <c r="BG102" s="13241">
        <f>IF(HLOOKUP("Mins",A1:CV300,102,FALSE)=0,0,HLOOKUP("As",A1:CV300,102,FALSE)/HLOOKUP("Mins",A1:CV300,102,FALSE)* 90)</f>
        <v>9.6153846153846159E-2</v>
      </c>
      <c r="BH102" s="13242">
        <f>IF(HLOOKUP("Mins",A1:CV300,102,FALSE)=0,0,HLOOKUP("FPL As",A1:CV300,102,FALSE)/HLOOKUP("Mins",A1:CV300,102,FALSE)* 90)</f>
        <v>9.6153846153846159E-2</v>
      </c>
      <c r="BI102" s="13243">
        <f>IF(HLOOKUP("Mins",A1:CV300,102,FALSE)=0,0,HLOOKUP("BC Created",A1:CV300,102,FALSE)/HLOOKUP("Mins",A1:CV300,102,FALSE)* 90)</f>
        <v>0</v>
      </c>
      <c r="BJ102" s="13244">
        <f>IF(HLOOKUP("Mins",A1:CV300,102,FALSE)=0,0,HLOOKUP("KP",A1:CV300,102,FALSE)/HLOOKUP("Mins",A1:CV300,102,FALSE)* 90)</f>
        <v>9.6153846153846159E-2</v>
      </c>
      <c r="BK102" s="13245">
        <f>IF(HLOOKUP("Mins",A1:CV300,102,FALSE)=0,0,HLOOKUP("BC",A1:CV300,102,FALSE)/HLOOKUP("Mins",A1:CV300,102,FALSE)* 90)</f>
        <v>0</v>
      </c>
      <c r="BL102" s="13246">
        <f>IF(HLOOKUP("Mins",A1:CV300,102,FALSE)=0,0,HLOOKUP("BC Miss",A1:CV300,102,FALSE)/HLOOKUP("Mins",A1:CV300,102,FALSE)* 90)</f>
        <v>0</v>
      </c>
      <c r="BM102" s="13247">
        <f>IF(HLOOKUP("Mins",A1:CV300,102,FALSE)=0,0,HLOOKUP("Gs - BC",A1:CV300,102,FALSE)/HLOOKUP("Mins",A1:CV300,102,FALSE)* 90)</f>
        <v>0</v>
      </c>
      <c r="BN102" s="13248">
        <f>IF(HLOOKUP("Mins",A1:CV300,102,FALSE)=0,0,HLOOKUP("GIB",A1:CV300,102,FALSE)/HLOOKUP("Mins",A1:CV300,102,FALSE)* 90)</f>
        <v>0</v>
      </c>
      <c r="BO102" s="13249">
        <f>IF(HLOOKUP("Mins",A1:CV300,102,FALSE)=0,0,HLOOKUP("Gs - Open",A1:CV300,102,FALSE)/HLOOKUP("Mins",A1:CV300,102,FALSE)* 90)</f>
        <v>0</v>
      </c>
      <c r="BP102" s="13250">
        <f>IF(HLOOKUP("Mins",A1:CV300,102,FALSE)=0,0,HLOOKUP("ICT Index",A1:CV300,102,FALSE)/HLOOKUP("Mins",A1:CV300,102,FALSE)* 90)</f>
        <v>2.9423076923076925</v>
      </c>
      <c r="BQ102" s="13251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  <v>1.9807692307692307E-2</v>
      </c>
      <c r="BR102" s="13252">
        <f>0.0825*HLOOKUP("KP/90",A1:CV300,102,FALSE)</f>
        <v>7.932692307692309E-3</v>
      </c>
      <c r="BS102" s="13253">
        <f>6*HLOOKUP("xG/90",A1:CV300,102,FALSE)+3*HLOOKUP("xA/90",A1:CV300,102,FALSE)</f>
        <v>0.14264423076923077</v>
      </c>
      <c r="BT102" s="13254">
        <f>HLOOKUP("xPts/90",A1:CV300,102,FALSE)-(6*0.75*(HLOOKUP("PK Gs",A1:CV300,102,FALSE)+HLOOKUP("PK Miss",A1:CV300,102,FALSE))*90/HLOOKUP("Mins",A1:CV300,102,FALSE))</f>
        <v>0.14264423076923077</v>
      </c>
      <c r="BU102" s="13255">
        <f>IF(HLOOKUP("Mins",A1:CV300,102,FALSE)=0,0,HLOOKUP("fsXG",A1:CV300,102,FALSE)/HLOOKUP("Mins",A1:CV300,102,FALSE)* 90)</f>
        <v>1.5384615384615385E-2</v>
      </c>
      <c r="BV102" s="13256">
        <f>IF(HLOOKUP("Mins",A1:CV300,102,FALSE)=0,0,HLOOKUP("fsXA",A1:CV300,102,FALSE)/HLOOKUP("Mins",A1:CV300,102,FALSE)* 90)</f>
        <v>3.8461538461538464E-3</v>
      </c>
      <c r="BW102" s="13257">
        <f>6*HLOOKUP("fsXG/90",A1:CV300,102,FALSE)+3*HLOOKUP("fsXA/90",A1:CV300,102,FALSE)</f>
        <v>0.10384615384615385</v>
      </c>
      <c r="BX102" s="13258">
        <v>9.2320656403899193E-3</v>
      </c>
      <c r="BY102" s="13259">
        <v>4.3555507436394691E-3</v>
      </c>
      <c r="BZ102" s="13260">
        <f>6*HLOOKUP("uXG/90",A1:CV300,102,FALSE)+3*HLOOKUP("uXA/90",A1:CV300,102,FALSE)</f>
        <v>6.8459046073257923E-2</v>
      </c>
    </row>
    <row r="103" spans="1:78" hidden="1" x14ac:dyDescent="0.3">
      <c r="A103" s="13261" t="s">
        <v>266</v>
      </c>
      <c r="B103" s="13262" t="s">
        <v>96</v>
      </c>
      <c r="C103" s="13263">
        <v>4.3000001907348633</v>
      </c>
      <c r="D103" s="13264">
        <v>2</v>
      </c>
      <c r="E103" s="13265">
        <v>1</v>
      </c>
      <c r="F103" s="13266">
        <v>1</v>
      </c>
      <c r="G103" s="13267">
        <v>0</v>
      </c>
      <c r="H103" s="13268">
        <v>0</v>
      </c>
      <c r="I103" s="13269">
        <v>2</v>
      </c>
      <c r="J103" s="13270">
        <f>HLOOKUP("BPS",A1:CV300,103,FALSE)-((-6*HLOOKUP("OG",A1:CV300,103,FALSE))+(-6*HLOOKUP("PK Miss",A1:CV300,103,FALSE))+(9*HLOOKUP("FPL As",A1:CV300,103,FALSE))+(12*HLOOKUP("CS",A1:CV300,103,FALSE))+(12*HLOOKUP("Gs",A1:CV300,103,FALSE)))</f>
        <v>2</v>
      </c>
      <c r="K103" s="13271">
        <v>0</v>
      </c>
      <c r="L103" s="13272">
        <v>0</v>
      </c>
      <c r="M103" s="13273">
        <v>0</v>
      </c>
      <c r="N103" s="13274">
        <v>0</v>
      </c>
      <c r="O103" s="13275">
        <v>0</v>
      </c>
      <c r="P103" s="13276">
        <f>IF(HLOOKUP("Shots",A1:CV300,103,FALSE)=0,0,HLOOKUP("SIB",A1:CV300,103,FALSE)/HLOOKUP("Shots",A1:CV300,103,FALSE))</f>
        <v>0</v>
      </c>
      <c r="Q103" s="13277">
        <v>0</v>
      </c>
      <c r="R103" s="13278">
        <f>IF(HLOOKUP("Shots",A1:CV300,103,FALSE)=0,0,HLOOKUP("S6YD",A1:CV300,103,FALSE)/HLOOKUP("Shots",A1:CV300,103,FALSE))</f>
        <v>0</v>
      </c>
      <c r="S103" s="13279">
        <v>0</v>
      </c>
      <c r="T103" s="13280">
        <f>IF(HLOOKUP("Shots",A1:CV300,103,FALSE)=0,0,HLOOKUP("Headers",A1:CV300,103,FALSE)/HLOOKUP("Shots",A1:CV300,103,FALSE))</f>
        <v>0</v>
      </c>
      <c r="U103" s="13281">
        <v>0</v>
      </c>
      <c r="V103" s="13282">
        <f>IF(HLOOKUP("Shots",A1:CV300,103,FALSE)=0,0,HLOOKUP("SOT",A1:CV300,103,FALSE)/HLOOKUP("Shots",A1:CV300,103,FALSE))</f>
        <v>0</v>
      </c>
      <c r="W103" s="13283">
        <f>IF(HLOOKUP("Shots",A1:CV300,103,FALSE)=0,0,HLOOKUP("Gs",A1:CV300,103,FALSE)/HLOOKUP("Shots",A1:CV300,103,FALSE))</f>
        <v>0</v>
      </c>
      <c r="X103" s="13284">
        <v>0</v>
      </c>
      <c r="Y103" s="13285">
        <v>0</v>
      </c>
      <c r="Z103" s="13286">
        <v>0</v>
      </c>
      <c r="AA103" s="13287">
        <f>IF(HLOOKUP("KP",A1:CV300,103,FALSE)=0,0,HLOOKUP("As",A1:CV300,103,FALSE)/HLOOKUP("KP",A1:CV300,103,FALSE))</f>
        <v>0</v>
      </c>
      <c r="AB103" s="13288">
        <v>0</v>
      </c>
      <c r="AC103" s="13289">
        <v>0</v>
      </c>
      <c r="AD103" s="13290">
        <v>0</v>
      </c>
      <c r="AE103" s="13291">
        <v>0</v>
      </c>
      <c r="AF103" s="13292">
        <v>0</v>
      </c>
      <c r="AG103" s="13293">
        <f>IF(HLOOKUP("BC",A1:CV300,103,FALSE)=0,0,HLOOKUP("Gs - BC",A1:CV300,103,FALSE)/HLOOKUP("BC",A1:CV300,103,FALSE))</f>
        <v>0</v>
      </c>
      <c r="AH103" s="13294">
        <f>HLOOKUP("BC",A1:CV300,103,FALSE) - HLOOKUP("BC Miss",A1:CV300,103,FALSE)</f>
        <v>0</v>
      </c>
      <c r="AI103" s="13295">
        <f>IF(HLOOKUP("Gs",A1:CV300,103,FALSE)=0,0,HLOOKUP("Gs - BC",A1:CV300,103,FALSE)/HLOOKUP("Gs",A1:CV300,103,FALSE))</f>
        <v>0</v>
      </c>
      <c r="AJ103" s="13296">
        <v>0</v>
      </c>
      <c r="AK103" s="13297">
        <v>0</v>
      </c>
      <c r="AL103" s="13298">
        <f>HLOOKUP("BC",A1:CV300,103,FALSE) - (HLOOKUP("PK Gs",A1:CV300,103,FALSE) + HLOOKUP("PK Miss",A1:CV300,103,FALSE))</f>
        <v>0</v>
      </c>
      <c r="AM103" s="13299">
        <f>HLOOKUP("BC Miss",A1:CV300,103,FALSE) - HLOOKUP("PK Miss",A1:CV300,103,FALSE)</f>
        <v>0</v>
      </c>
      <c r="AN103" s="13300">
        <f>IF(HLOOKUP("BC - Open",A1:CV300,103,FALSE)=0,0,HLOOKUP("BC - Open Miss",A1:CV300,103,FALSE)/HLOOKUP("BC - Open",A1:CV300,103,FALSE))</f>
        <v>0</v>
      </c>
      <c r="AO103" s="13301">
        <v>0</v>
      </c>
      <c r="AP103" s="13302">
        <f>IF(HLOOKUP("Gs",A1:CV300,103,FALSE)=0,0,HLOOKUP("GIB",A1:CV300,103,FALSE)/HLOOKUP("Gs",A1:CV300,103,FALSE))</f>
        <v>0</v>
      </c>
      <c r="AQ103" s="13303">
        <v>0</v>
      </c>
      <c r="AR103" s="13304">
        <f>IF(HLOOKUP("Gs",A1:CV300,103,FALSE)=0,0,HLOOKUP("Gs - Open",A1:CV300,103,FALSE)/HLOOKUP("Gs",A1:CV300,103,FALSE))</f>
        <v>0</v>
      </c>
      <c r="AS103" s="13305">
        <v>0</v>
      </c>
      <c r="AT103" s="13306">
        <v>0</v>
      </c>
      <c r="AU103" s="13307">
        <f>IF(HLOOKUP("Mins",A1:CV300,103,FALSE)=0,0,HLOOKUP("Pts",A1:CV300,103,FALSE)/HLOOKUP("Mins",A1:CV300,103,FALSE)* 90)</f>
        <v>45</v>
      </c>
      <c r="AV103" s="13308">
        <f>IF(HLOOKUP("Apps",A1:CV300,103,FALSE)=0,0,HLOOKUP("Pts",A1:CV300,103,FALSE)/HLOOKUP("Apps",A1:CV300,103,FALSE)* 1)</f>
        <v>1</v>
      </c>
      <c r="AW103" s="13309">
        <f>IF(HLOOKUP("Mins",A1:CV300,103,FALSE)=0,0,HLOOKUP("Gs",A1:CV300,103,FALSE)/HLOOKUP("Mins",A1:CV300,103,FALSE)* 90)</f>
        <v>0</v>
      </c>
      <c r="AX103" s="13310">
        <f>IF(HLOOKUP("Mins",A1:CV300,103,FALSE)=0,0,HLOOKUP("Bonus",A1:CV300,103,FALSE)/HLOOKUP("Mins",A1:CV300,103,FALSE)* 90)</f>
        <v>0</v>
      </c>
      <c r="AY103" s="13311">
        <f>IF(HLOOKUP("Mins",A1:CV300,103,FALSE)=0,0,HLOOKUP("BPS",A1:CV300,103,FALSE)/HLOOKUP("Mins",A1:CV300,103,FALSE)* 90)</f>
        <v>90</v>
      </c>
      <c r="AZ103" s="13312">
        <f>IF(HLOOKUP("Mins",A1:CV300,103,FALSE)=0,0,HLOOKUP("Base BPS",A1:CV300,103,FALSE)/HLOOKUP("Mins",A1:CV300,103,FALSE)* 90)</f>
        <v>90</v>
      </c>
      <c r="BA103" s="13313">
        <f>IF(HLOOKUP("Mins",A1:CV300,103,FALSE)=0,0,HLOOKUP("PenTchs",A1:CV300,103,FALSE)/HLOOKUP("Mins",A1:CV300,103,FALSE)* 90)</f>
        <v>0</v>
      </c>
      <c r="BB103" s="13314">
        <f>IF(HLOOKUP("Mins",A1:CV300,103,FALSE)=0,0,HLOOKUP("Shots",A1:CV300,103,FALSE)/HLOOKUP("Mins",A1:CV300,103,FALSE)* 90)</f>
        <v>0</v>
      </c>
      <c r="BC103" s="13315">
        <f>IF(HLOOKUP("Mins",A1:CV300,103,FALSE)=0,0,HLOOKUP("SIB",A1:CV300,103,FALSE)/HLOOKUP("Mins",A1:CV300,103,FALSE)* 90)</f>
        <v>0</v>
      </c>
      <c r="BD103" s="13316">
        <f>IF(HLOOKUP("Mins",A1:CV300,103,FALSE)=0,0,HLOOKUP("S6YD",A1:CV300,103,FALSE)/HLOOKUP("Mins",A1:CV300,103,FALSE)* 90)</f>
        <v>0</v>
      </c>
      <c r="BE103" s="13317">
        <f>IF(HLOOKUP("Mins",A1:CV300,103,FALSE)=0,0,HLOOKUP("Headers",A1:CV300,103,FALSE)/HLOOKUP("Mins",A1:CV300,103,FALSE)* 90)</f>
        <v>0</v>
      </c>
      <c r="BF103" s="13318">
        <f>IF(HLOOKUP("Mins",A1:CV300,103,FALSE)=0,0,HLOOKUP("SOT",A1:CV300,103,FALSE)/HLOOKUP("Mins",A1:CV300,103,FALSE)* 90)</f>
        <v>0</v>
      </c>
      <c r="BG103" s="13319">
        <f>IF(HLOOKUP("Mins",A1:CV300,103,FALSE)=0,0,HLOOKUP("As",A1:CV300,103,FALSE)/HLOOKUP("Mins",A1:CV300,103,FALSE)* 90)</f>
        <v>0</v>
      </c>
      <c r="BH103" s="13320">
        <f>IF(HLOOKUP("Mins",A1:CV300,103,FALSE)=0,0,HLOOKUP("FPL As",A1:CV300,103,FALSE)/HLOOKUP("Mins",A1:CV300,103,FALSE)* 90)</f>
        <v>0</v>
      </c>
      <c r="BI103" s="13321">
        <f>IF(HLOOKUP("Mins",A1:CV300,103,FALSE)=0,0,HLOOKUP("BC Created",A1:CV300,103,FALSE)/HLOOKUP("Mins",A1:CV300,103,FALSE)* 90)</f>
        <v>0</v>
      </c>
      <c r="BJ103" s="13322">
        <f>IF(HLOOKUP("Mins",A1:CV300,103,FALSE)=0,0,HLOOKUP("KP",A1:CV300,103,FALSE)/HLOOKUP("Mins",A1:CV300,103,FALSE)* 90)</f>
        <v>0</v>
      </c>
      <c r="BK103" s="13323">
        <f>IF(HLOOKUP("Mins",A1:CV300,103,FALSE)=0,0,HLOOKUP("BC",A1:CV300,103,FALSE)/HLOOKUP("Mins",A1:CV300,103,FALSE)* 90)</f>
        <v>0</v>
      </c>
      <c r="BL103" s="13324">
        <f>IF(HLOOKUP("Mins",A1:CV300,103,FALSE)=0,0,HLOOKUP("BC Miss",A1:CV300,103,FALSE)/HLOOKUP("Mins",A1:CV300,103,FALSE)* 90)</f>
        <v>0</v>
      </c>
      <c r="BM103" s="13325">
        <f>IF(HLOOKUP("Mins",A1:CV300,103,FALSE)=0,0,HLOOKUP("Gs - BC",A1:CV300,103,FALSE)/HLOOKUP("Mins",A1:CV300,103,FALSE)* 90)</f>
        <v>0</v>
      </c>
      <c r="BN103" s="13326">
        <f>IF(HLOOKUP("Mins",A1:CV300,103,FALSE)=0,0,HLOOKUP("GIB",A1:CV300,103,FALSE)/HLOOKUP("Mins",A1:CV300,103,FALSE)* 90)</f>
        <v>0</v>
      </c>
      <c r="BO103" s="13327">
        <f>IF(HLOOKUP("Mins",A1:CV300,103,FALSE)=0,0,HLOOKUP("Gs - Open",A1:CV300,103,FALSE)/HLOOKUP("Mins",A1:CV300,103,FALSE)* 90)</f>
        <v>0</v>
      </c>
      <c r="BP103" s="13328">
        <f>IF(HLOOKUP("Mins",A1:CV300,103,FALSE)=0,0,HLOOKUP("ICT Index",A1:CV300,103,FALSE)/HLOOKUP("Mins",A1:CV300,103,FALSE)* 90)</f>
        <v>0</v>
      </c>
      <c r="BQ103" s="13329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  <v>0</v>
      </c>
      <c r="BR103" s="13330">
        <f>0.0825*HLOOKUP("KP/90",A1:CV300,103,FALSE)</f>
        <v>0</v>
      </c>
      <c r="BS103" s="13331">
        <f>6*HLOOKUP("xG/90",A1:CV300,103,FALSE)+3*HLOOKUP("xA/90",A1:CV300,103,FALSE)</f>
        <v>0</v>
      </c>
      <c r="BT103" s="13332">
        <f>HLOOKUP("xPts/90",A1:CV300,103,FALSE)-(6*0.75*(HLOOKUP("PK Gs",A1:CV300,103,FALSE)+HLOOKUP("PK Miss",A1:CV300,103,FALSE))*90/HLOOKUP("Mins",A1:CV300,103,FALSE))</f>
        <v>0</v>
      </c>
      <c r="BU103" s="13333">
        <f>IF(HLOOKUP("Mins",A1:CV300,103,FALSE)=0,0,HLOOKUP("fsXG",A1:CV300,103,FALSE)/HLOOKUP("Mins",A1:CV300,103,FALSE)* 90)</f>
        <v>0</v>
      </c>
      <c r="BV103" s="13334">
        <f>IF(HLOOKUP("Mins",A1:CV300,103,FALSE)=0,0,HLOOKUP("fsXA",A1:CV300,103,FALSE)/HLOOKUP("Mins",A1:CV300,103,FALSE)* 90)</f>
        <v>0</v>
      </c>
      <c r="BW103" s="13335">
        <f>6*HLOOKUP("fsXG/90",A1:CV300,103,FALSE)+3*HLOOKUP("fsXA/90",A1:CV300,103,FALSE)</f>
        <v>0</v>
      </c>
      <c r="BX103" s="13336">
        <v>0</v>
      </c>
      <c r="BY103" s="13337">
        <v>0</v>
      </c>
      <c r="BZ103" s="13338">
        <f>6*HLOOKUP("uXG/90",A1:CV300,103,FALSE)+3*HLOOKUP("uXA/90",A1:CV300,103,FALSE)</f>
        <v>0</v>
      </c>
    </row>
    <row r="104" spans="1:78" hidden="1" x14ac:dyDescent="0.3">
      <c r="A104" s="13339" t="s">
        <v>267</v>
      </c>
      <c r="B104" s="13340" t="s">
        <v>115</v>
      </c>
      <c r="C104" s="13341">
        <v>4.1999998092651367</v>
      </c>
      <c r="D104" s="13342">
        <v>867</v>
      </c>
      <c r="E104" s="13343">
        <v>11</v>
      </c>
      <c r="F104" s="13344">
        <v>17</v>
      </c>
      <c r="G104" s="13345">
        <v>0</v>
      </c>
      <c r="H104" s="13346">
        <v>1</v>
      </c>
      <c r="I104" s="13347">
        <v>126</v>
      </c>
      <c r="J104" s="13348">
        <f>HLOOKUP("BPS",A1:CV300,104,FALSE)-((-6*HLOOKUP("OG",A1:CV300,104,FALSE))+(-6*HLOOKUP("PK Miss",A1:CV300,104,FALSE))+(9*HLOOKUP("FPL As",A1:CV300,104,FALSE))+(12*HLOOKUP("CS",A1:CV300,104,FALSE))+(12*HLOOKUP("Gs",A1:CV300,104,FALSE)))</f>
        <v>102</v>
      </c>
      <c r="K104" s="13349">
        <v>0</v>
      </c>
      <c r="L104" s="13350">
        <v>2</v>
      </c>
      <c r="M104" s="13351">
        <v>6</v>
      </c>
      <c r="N104" s="13352">
        <v>3</v>
      </c>
      <c r="O104" s="13353">
        <v>3</v>
      </c>
      <c r="P104" s="13354">
        <f>IF(HLOOKUP("Shots",A1:CV300,104,FALSE)=0,0,HLOOKUP("SIB",A1:CV300,104,FALSE)/HLOOKUP("Shots",A1:CV300,104,FALSE))</f>
        <v>1</v>
      </c>
      <c r="Q104" s="13355">
        <v>0</v>
      </c>
      <c r="R104" s="13356">
        <f>IF(HLOOKUP("Shots",A1:CV300,104,FALSE)=0,0,HLOOKUP("S6YD",A1:CV300,104,FALSE)/HLOOKUP("Shots",A1:CV300,104,FALSE))</f>
        <v>0</v>
      </c>
      <c r="S104" s="13357">
        <v>3</v>
      </c>
      <c r="T104" s="13358">
        <f>IF(HLOOKUP("Shots",A1:CV300,104,FALSE)=0,0,HLOOKUP("Headers",A1:CV300,104,FALSE)/HLOOKUP("Shots",A1:CV300,104,FALSE))</f>
        <v>1</v>
      </c>
      <c r="U104" s="13359">
        <v>0</v>
      </c>
      <c r="V104" s="13360">
        <f>IF(HLOOKUP("Shots",A1:CV300,104,FALSE)=0,0,HLOOKUP("SOT",A1:CV300,104,FALSE)/HLOOKUP("Shots",A1:CV300,104,FALSE))</f>
        <v>0</v>
      </c>
      <c r="W104" s="13361">
        <f>IF(HLOOKUP("Shots",A1:CV300,104,FALSE)=0,0,HLOOKUP("Gs",A1:CV300,104,FALSE)/HLOOKUP("Shots",A1:CV300,104,FALSE))</f>
        <v>0</v>
      </c>
      <c r="X104" s="13362">
        <v>0</v>
      </c>
      <c r="Y104" s="13363">
        <v>0</v>
      </c>
      <c r="Z104" s="13364">
        <v>3</v>
      </c>
      <c r="AA104" s="13365">
        <f>IF(HLOOKUP("KP",A1:CV300,104,FALSE)=0,0,HLOOKUP("As",A1:CV300,104,FALSE)/HLOOKUP("KP",A1:CV300,104,FALSE))</f>
        <v>0</v>
      </c>
      <c r="AB104" s="13366">
        <v>21.9</v>
      </c>
      <c r="AC104" s="13367">
        <v>0</v>
      </c>
      <c r="AD104" s="13368">
        <v>0</v>
      </c>
      <c r="AE104" s="13369">
        <v>0</v>
      </c>
      <c r="AF104" s="13370">
        <v>0</v>
      </c>
      <c r="AG104" s="13371">
        <f>IF(HLOOKUP("BC",A1:CV300,104,FALSE)=0,0,HLOOKUP("Gs - BC",A1:CV300,104,FALSE)/HLOOKUP("BC",A1:CV300,104,FALSE))</f>
        <v>0</v>
      </c>
      <c r="AH104" s="13372">
        <f>HLOOKUP("BC",A1:CV300,104,FALSE) - HLOOKUP("BC Miss",A1:CV300,104,FALSE)</f>
        <v>0</v>
      </c>
      <c r="AI104" s="13373">
        <f>IF(HLOOKUP("Gs",A1:CV300,104,FALSE)=0,0,HLOOKUP("Gs - BC",A1:CV300,104,FALSE)/HLOOKUP("Gs",A1:CV300,104,FALSE))</f>
        <v>0</v>
      </c>
      <c r="AJ104" s="13374">
        <v>0</v>
      </c>
      <c r="AK104" s="13375">
        <v>0</v>
      </c>
      <c r="AL104" s="13376">
        <f>HLOOKUP("BC",A1:CV300,104,FALSE) - (HLOOKUP("PK Gs",A1:CV300,104,FALSE) + HLOOKUP("PK Miss",A1:CV300,104,FALSE))</f>
        <v>0</v>
      </c>
      <c r="AM104" s="13377">
        <f>HLOOKUP("BC Miss",A1:CV300,104,FALSE) - HLOOKUP("PK Miss",A1:CV300,104,FALSE)</f>
        <v>0</v>
      </c>
      <c r="AN104" s="13378">
        <f>IF(HLOOKUP("BC - Open",A1:CV300,104,FALSE)=0,0,HLOOKUP("BC - Open Miss",A1:CV300,104,FALSE)/HLOOKUP("BC - Open",A1:CV300,104,FALSE))</f>
        <v>0</v>
      </c>
      <c r="AO104" s="13379">
        <v>0</v>
      </c>
      <c r="AP104" s="13380">
        <f>IF(HLOOKUP("Gs",A1:CV300,104,FALSE)=0,0,HLOOKUP("GIB",A1:CV300,104,FALSE)/HLOOKUP("Gs",A1:CV300,104,FALSE))</f>
        <v>0</v>
      </c>
      <c r="AQ104" s="13381">
        <v>0</v>
      </c>
      <c r="AR104" s="13382">
        <f>IF(HLOOKUP("Gs",A1:CV300,104,FALSE)=0,0,HLOOKUP("Gs - Open",A1:CV300,104,FALSE)/HLOOKUP("Gs",A1:CV300,104,FALSE))</f>
        <v>0</v>
      </c>
      <c r="AS104" s="13383">
        <v>0.24</v>
      </c>
      <c r="AT104" s="13384">
        <v>0.1</v>
      </c>
      <c r="AU104" s="13385">
        <f>IF(HLOOKUP("Mins",A1:CV300,104,FALSE)=0,0,HLOOKUP("Pts",A1:CV300,104,FALSE)/HLOOKUP("Mins",A1:CV300,104,FALSE)* 90)</f>
        <v>1.7647058823529411</v>
      </c>
      <c r="AV104" s="13386">
        <f>IF(HLOOKUP("Apps",A1:CV300,104,FALSE)=0,0,HLOOKUP("Pts",A1:CV300,104,FALSE)/HLOOKUP("Apps",A1:CV300,104,FALSE)* 1)</f>
        <v>1.5454545454545454</v>
      </c>
      <c r="AW104" s="13387">
        <f>IF(HLOOKUP("Mins",A1:CV300,104,FALSE)=0,0,HLOOKUP("Gs",A1:CV300,104,FALSE)/HLOOKUP("Mins",A1:CV300,104,FALSE)* 90)</f>
        <v>0</v>
      </c>
      <c r="AX104" s="13388">
        <f>IF(HLOOKUP("Mins",A1:CV300,104,FALSE)=0,0,HLOOKUP("Bonus",A1:CV300,104,FALSE)/HLOOKUP("Mins",A1:CV300,104,FALSE)* 90)</f>
        <v>0.10380622837370243</v>
      </c>
      <c r="AY104" s="13389">
        <f>IF(HLOOKUP("Mins",A1:CV300,104,FALSE)=0,0,HLOOKUP("BPS",A1:CV300,104,FALSE)/HLOOKUP("Mins",A1:CV300,104,FALSE)* 90)</f>
        <v>13.079584775086506</v>
      </c>
      <c r="AZ104" s="13390">
        <f>IF(HLOOKUP("Mins",A1:CV300,104,FALSE)=0,0,HLOOKUP("Base BPS",A1:CV300,104,FALSE)/HLOOKUP("Mins",A1:CV300,104,FALSE)* 90)</f>
        <v>10.588235294117647</v>
      </c>
      <c r="BA104" s="13391">
        <f>IF(HLOOKUP("Mins",A1:CV300,104,FALSE)=0,0,HLOOKUP("PenTchs",A1:CV300,104,FALSE)/HLOOKUP("Mins",A1:CV300,104,FALSE)* 90)</f>
        <v>0.62283737024221453</v>
      </c>
      <c r="BB104" s="13392">
        <f>IF(HLOOKUP("Mins",A1:CV300,104,FALSE)=0,0,HLOOKUP("Shots",A1:CV300,104,FALSE)/HLOOKUP("Mins",A1:CV300,104,FALSE)* 90)</f>
        <v>0.31141868512110726</v>
      </c>
      <c r="BC104" s="13393">
        <f>IF(HLOOKUP("Mins",A1:CV300,104,FALSE)=0,0,HLOOKUP("SIB",A1:CV300,104,FALSE)/HLOOKUP("Mins",A1:CV300,104,FALSE)* 90)</f>
        <v>0.31141868512110726</v>
      </c>
      <c r="BD104" s="13394">
        <f>IF(HLOOKUP("Mins",A1:CV300,104,FALSE)=0,0,HLOOKUP("S6YD",A1:CV300,104,FALSE)/HLOOKUP("Mins",A1:CV300,104,FALSE)* 90)</f>
        <v>0</v>
      </c>
      <c r="BE104" s="13395">
        <f>IF(HLOOKUP("Mins",A1:CV300,104,FALSE)=0,0,HLOOKUP("Headers",A1:CV300,104,FALSE)/HLOOKUP("Mins",A1:CV300,104,FALSE)* 90)</f>
        <v>0.31141868512110726</v>
      </c>
      <c r="BF104" s="13396">
        <f>IF(HLOOKUP("Mins",A1:CV300,104,FALSE)=0,0,HLOOKUP("SOT",A1:CV300,104,FALSE)/HLOOKUP("Mins",A1:CV300,104,FALSE)* 90)</f>
        <v>0</v>
      </c>
      <c r="BG104" s="13397">
        <f>IF(HLOOKUP("Mins",A1:CV300,104,FALSE)=0,0,HLOOKUP("As",A1:CV300,104,FALSE)/HLOOKUP("Mins",A1:CV300,104,FALSE)* 90)</f>
        <v>0</v>
      </c>
      <c r="BH104" s="13398">
        <f>IF(HLOOKUP("Mins",A1:CV300,104,FALSE)=0,0,HLOOKUP("FPL As",A1:CV300,104,FALSE)/HLOOKUP("Mins",A1:CV300,104,FALSE)* 90)</f>
        <v>0</v>
      </c>
      <c r="BI104" s="13399">
        <f>IF(HLOOKUP("Mins",A1:CV300,104,FALSE)=0,0,HLOOKUP("BC Created",A1:CV300,104,FALSE)/HLOOKUP("Mins",A1:CV300,104,FALSE)* 90)</f>
        <v>0</v>
      </c>
      <c r="BJ104" s="13400">
        <f>IF(HLOOKUP("Mins",A1:CV300,104,FALSE)=0,0,HLOOKUP("KP",A1:CV300,104,FALSE)/HLOOKUP("Mins",A1:CV300,104,FALSE)* 90)</f>
        <v>0.31141868512110726</v>
      </c>
      <c r="BK104" s="13401">
        <f>IF(HLOOKUP("Mins",A1:CV300,104,FALSE)=0,0,HLOOKUP("BC",A1:CV300,104,FALSE)/HLOOKUP("Mins",A1:CV300,104,FALSE)* 90)</f>
        <v>0</v>
      </c>
      <c r="BL104" s="13402">
        <f>IF(HLOOKUP("Mins",A1:CV300,104,FALSE)=0,0,HLOOKUP("BC Miss",A1:CV300,104,FALSE)/HLOOKUP("Mins",A1:CV300,104,FALSE)* 90)</f>
        <v>0</v>
      </c>
      <c r="BM104" s="13403">
        <f>IF(HLOOKUP("Mins",A1:CV300,104,FALSE)=0,0,HLOOKUP("Gs - BC",A1:CV300,104,FALSE)/HLOOKUP("Mins",A1:CV300,104,FALSE)* 90)</f>
        <v>0</v>
      </c>
      <c r="BN104" s="13404">
        <f>IF(HLOOKUP("Mins",A1:CV300,104,FALSE)=0,0,HLOOKUP("GIB",A1:CV300,104,FALSE)/HLOOKUP("Mins",A1:CV300,104,FALSE)* 90)</f>
        <v>0</v>
      </c>
      <c r="BO104" s="13405">
        <f>IF(HLOOKUP("Mins",A1:CV300,104,FALSE)=0,0,HLOOKUP("Gs - Open",A1:CV300,104,FALSE)/HLOOKUP("Mins",A1:CV300,104,FALSE)* 90)</f>
        <v>0</v>
      </c>
      <c r="BP104" s="13406">
        <f>IF(HLOOKUP("Mins",A1:CV300,104,FALSE)=0,0,HLOOKUP("ICT Index",A1:CV300,104,FALSE)/HLOOKUP("Mins",A1:CV300,104,FALSE)* 90)</f>
        <v>2.273356401384083</v>
      </c>
      <c r="BQ104" s="13407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  <v>2.8961937716262976E-2</v>
      </c>
      <c r="BR104" s="13408">
        <f>0.0825*HLOOKUP("KP/90",A1:CV300,104,FALSE)</f>
        <v>2.5692041522491351E-2</v>
      </c>
      <c r="BS104" s="13409">
        <f>6*HLOOKUP("xG/90",A1:CV300,104,FALSE)+3*HLOOKUP("xA/90",A1:CV300,104,FALSE)</f>
        <v>0.2508477508650519</v>
      </c>
      <c r="BT104" s="13410">
        <f>HLOOKUP("xPts/90",A1:CV300,104,FALSE)-(6*0.75*(HLOOKUP("PK Gs",A1:CV300,104,FALSE)+HLOOKUP("PK Miss",A1:CV300,104,FALSE))*90/HLOOKUP("Mins",A1:CV300,104,FALSE))</f>
        <v>0.2508477508650519</v>
      </c>
      <c r="BU104" s="13411">
        <f>IF(HLOOKUP("Mins",A1:CV300,104,FALSE)=0,0,HLOOKUP("fsXG",A1:CV300,104,FALSE)/HLOOKUP("Mins",A1:CV300,104,FALSE)* 90)</f>
        <v>2.4913494809688578E-2</v>
      </c>
      <c r="BV104" s="13412">
        <f>IF(HLOOKUP("Mins",A1:CV300,104,FALSE)=0,0,HLOOKUP("fsXA",A1:CV300,104,FALSE)/HLOOKUP("Mins",A1:CV300,104,FALSE)* 90)</f>
        <v>1.0380622837370242E-2</v>
      </c>
      <c r="BW104" s="13413">
        <f>6*HLOOKUP("fsXG/90",A1:CV300,104,FALSE)+3*HLOOKUP("fsXA/90",A1:CV300,104,FALSE)</f>
        <v>0.18062283737024221</v>
      </c>
      <c r="BX104" s="13414">
        <v>1.7332866787910461E-2</v>
      </c>
      <c r="BY104" s="13415">
        <v>1.7499351873993874E-2</v>
      </c>
      <c r="BZ104" s="13416">
        <f>6*HLOOKUP("uXG/90",A1:CV300,104,FALSE)+3*HLOOKUP("uXA/90",A1:CV300,104,FALSE)</f>
        <v>0.15649525634944439</v>
      </c>
    </row>
    <row r="105" spans="1:78" hidden="1" x14ac:dyDescent="0.3">
      <c r="A105" s="13417" t="s">
        <v>268</v>
      </c>
      <c r="B105" s="13418" t="s">
        <v>100</v>
      </c>
      <c r="C105" s="13419">
        <v>6.0999999046325684</v>
      </c>
      <c r="D105" s="13420">
        <v>1520</v>
      </c>
      <c r="E105" s="13421">
        <v>20</v>
      </c>
      <c r="F105" s="13422">
        <v>75</v>
      </c>
      <c r="G105" s="13423">
        <v>3</v>
      </c>
      <c r="H105" s="13424">
        <v>6</v>
      </c>
      <c r="I105" s="13425">
        <v>258</v>
      </c>
      <c r="J105" s="13426">
        <f>HLOOKUP("BPS",A1:CV300,105,FALSE)-((-6*HLOOKUP("OG",A1:CV300,105,FALSE))+(-6*HLOOKUP("PK Miss",A1:CV300,105,FALSE))+(9*HLOOKUP("FPL As",A1:CV300,105,FALSE))+(12*HLOOKUP("CS",A1:CV300,105,FALSE))+(12*HLOOKUP("Gs",A1:CV300,105,FALSE)))</f>
        <v>159</v>
      </c>
      <c r="K105" s="13427">
        <v>0</v>
      </c>
      <c r="L105" s="13428">
        <v>3</v>
      </c>
      <c r="M105" s="13429">
        <v>58</v>
      </c>
      <c r="N105" s="13430">
        <v>22</v>
      </c>
      <c r="O105" s="13431">
        <v>22</v>
      </c>
      <c r="P105" s="13432">
        <f>IF(HLOOKUP("Shots",A1:CV300,105,FALSE)=0,0,HLOOKUP("SIB",A1:CV300,105,FALSE)/HLOOKUP("Shots",A1:CV300,105,FALSE))</f>
        <v>1</v>
      </c>
      <c r="Q105" s="13433">
        <v>5</v>
      </c>
      <c r="R105" s="13434">
        <f>IF(HLOOKUP("Shots",A1:CV300,105,FALSE)=0,0,HLOOKUP("S6YD",A1:CV300,105,FALSE)/HLOOKUP("Shots",A1:CV300,105,FALSE))</f>
        <v>0.22727272727272727</v>
      </c>
      <c r="S105" s="13435">
        <v>9</v>
      </c>
      <c r="T105" s="13436">
        <f>IF(HLOOKUP("Shots",A1:CV300,105,FALSE)=0,0,HLOOKUP("Headers",A1:CV300,105,FALSE)/HLOOKUP("Shots",A1:CV300,105,FALSE))</f>
        <v>0.40909090909090912</v>
      </c>
      <c r="U105" s="13437">
        <v>11</v>
      </c>
      <c r="V105" s="13438">
        <f>IF(HLOOKUP("Shots",A1:CV300,105,FALSE)=0,0,HLOOKUP("SOT",A1:CV300,105,FALSE)/HLOOKUP("Shots",A1:CV300,105,FALSE))</f>
        <v>0.5</v>
      </c>
      <c r="W105" s="13439">
        <f>IF(HLOOKUP("Shots",A1:CV300,105,FALSE)=0,0,HLOOKUP("Gs",A1:CV300,105,FALSE)/HLOOKUP("Shots",A1:CV300,105,FALSE))</f>
        <v>0.13636363636363635</v>
      </c>
      <c r="X105" s="13440">
        <v>0</v>
      </c>
      <c r="Y105" s="13441">
        <v>3</v>
      </c>
      <c r="Z105" s="13442">
        <v>8</v>
      </c>
      <c r="AA105" s="13443">
        <f>IF(HLOOKUP("KP",A1:CV300,105,FALSE)=0,0,HLOOKUP("As",A1:CV300,105,FALSE)/HLOOKUP("KP",A1:CV300,105,FALSE))</f>
        <v>0</v>
      </c>
      <c r="AB105" s="13444">
        <v>89.9</v>
      </c>
      <c r="AC105" s="13445">
        <v>24</v>
      </c>
      <c r="AD105" s="13446">
        <v>0</v>
      </c>
      <c r="AE105" s="13447">
        <v>9</v>
      </c>
      <c r="AF105" s="13448">
        <v>7</v>
      </c>
      <c r="AG105" s="13449">
        <f>IF(HLOOKUP("BC",A1:CV300,105,FALSE)=0,0,HLOOKUP("Gs - BC",A1:CV300,105,FALSE)/HLOOKUP("BC",A1:CV300,105,FALSE))</f>
        <v>0.22222222222222221</v>
      </c>
      <c r="AH105" s="13450">
        <f>HLOOKUP("BC",A1:CV300,105,FALSE) - HLOOKUP("BC Miss",A1:CV300,105,FALSE)</f>
        <v>2</v>
      </c>
      <c r="AI105" s="13451">
        <f>IF(HLOOKUP("Gs",A1:CV300,105,FALSE)=0,0,HLOOKUP("Gs - BC",A1:CV300,105,FALSE)/HLOOKUP("Gs",A1:CV300,105,FALSE))</f>
        <v>0.66666666666666663</v>
      </c>
      <c r="AJ105" s="13452">
        <v>0</v>
      </c>
      <c r="AK105" s="13453">
        <v>0</v>
      </c>
      <c r="AL105" s="13454">
        <f>HLOOKUP("BC",A1:CV300,105,FALSE) - (HLOOKUP("PK Gs",A1:CV300,105,FALSE) + HLOOKUP("PK Miss",A1:CV300,105,FALSE))</f>
        <v>9</v>
      </c>
      <c r="AM105" s="13455">
        <f>HLOOKUP("BC Miss",A1:CV300,105,FALSE) - HLOOKUP("PK Miss",A1:CV300,105,FALSE)</f>
        <v>7</v>
      </c>
      <c r="AN105" s="13456">
        <f>IF(HLOOKUP("BC - Open",A1:CV300,105,FALSE)=0,0,HLOOKUP("BC - Open Miss",A1:CV300,105,FALSE)/HLOOKUP("BC - Open",A1:CV300,105,FALSE))</f>
        <v>0.77777777777777779</v>
      </c>
      <c r="AO105" s="13457">
        <v>3</v>
      </c>
      <c r="AP105" s="13458">
        <f>IF(HLOOKUP("Gs",A1:CV300,105,FALSE)=0,0,HLOOKUP("GIB",A1:CV300,105,FALSE)/HLOOKUP("Gs",A1:CV300,105,FALSE))</f>
        <v>1</v>
      </c>
      <c r="AQ105" s="13459">
        <v>3</v>
      </c>
      <c r="AR105" s="13460">
        <f>IF(HLOOKUP("Gs",A1:CV300,105,FALSE)=0,0,HLOOKUP("Gs - Open",A1:CV300,105,FALSE)/HLOOKUP("Gs",A1:CV300,105,FALSE))</f>
        <v>1</v>
      </c>
      <c r="AS105" s="13461">
        <v>4.71</v>
      </c>
      <c r="AT105" s="13462">
        <v>0.6</v>
      </c>
      <c r="AU105" s="13463">
        <f>IF(HLOOKUP("Mins",A1:CV300,105,FALSE)=0,0,HLOOKUP("Pts",A1:CV300,105,FALSE)/HLOOKUP("Mins",A1:CV300,105,FALSE)* 90)</f>
        <v>4.4407894736842106</v>
      </c>
      <c r="AV105" s="13464">
        <f>IF(HLOOKUP("Apps",A1:CV300,105,FALSE)=0,0,HLOOKUP("Pts",A1:CV300,105,FALSE)/HLOOKUP("Apps",A1:CV300,105,FALSE)* 1)</f>
        <v>3.75</v>
      </c>
      <c r="AW105" s="13465">
        <f>IF(HLOOKUP("Mins",A1:CV300,105,FALSE)=0,0,HLOOKUP("Gs",A1:CV300,105,FALSE)/HLOOKUP("Mins",A1:CV300,105,FALSE)* 90)</f>
        <v>0.17763157894736842</v>
      </c>
      <c r="AX105" s="13466">
        <f>IF(HLOOKUP("Mins",A1:CV300,105,FALSE)=0,0,HLOOKUP("Bonus",A1:CV300,105,FALSE)/HLOOKUP("Mins",A1:CV300,105,FALSE)* 90)</f>
        <v>0.35526315789473684</v>
      </c>
      <c r="AY105" s="13467">
        <f>IF(HLOOKUP("Mins",A1:CV300,105,FALSE)=0,0,HLOOKUP("BPS",A1:CV300,105,FALSE)/HLOOKUP("Mins",A1:CV300,105,FALSE)* 90)</f>
        <v>15.276315789473685</v>
      </c>
      <c r="AZ105" s="13468">
        <f>IF(HLOOKUP("Mins",A1:CV300,105,FALSE)=0,0,HLOOKUP("Base BPS",A1:CV300,105,FALSE)/HLOOKUP("Mins",A1:CV300,105,FALSE)* 90)</f>
        <v>9.4144736842105274</v>
      </c>
      <c r="BA105" s="13469">
        <f>IF(HLOOKUP("Mins",A1:CV300,105,FALSE)=0,0,HLOOKUP("PenTchs",A1:CV300,105,FALSE)/HLOOKUP("Mins",A1:CV300,105,FALSE)* 90)</f>
        <v>3.4342105263157894</v>
      </c>
      <c r="BB105" s="13470">
        <f>IF(HLOOKUP("Mins",A1:CV300,105,FALSE)=0,0,HLOOKUP("Shots",A1:CV300,105,FALSE)/HLOOKUP("Mins",A1:CV300,105,FALSE)* 90)</f>
        <v>1.3026315789473684</v>
      </c>
      <c r="BC105" s="13471">
        <f>IF(HLOOKUP("Mins",A1:CV300,105,FALSE)=0,0,HLOOKUP("SIB",A1:CV300,105,FALSE)/HLOOKUP("Mins",A1:CV300,105,FALSE)* 90)</f>
        <v>1.3026315789473684</v>
      </c>
      <c r="BD105" s="13472">
        <f>IF(HLOOKUP("Mins",A1:CV300,105,FALSE)=0,0,HLOOKUP("S6YD",A1:CV300,105,FALSE)/HLOOKUP("Mins",A1:CV300,105,FALSE)* 90)</f>
        <v>0.29605263157894735</v>
      </c>
      <c r="BE105" s="13473">
        <f>IF(HLOOKUP("Mins",A1:CV300,105,FALSE)=0,0,HLOOKUP("Headers",A1:CV300,105,FALSE)/HLOOKUP("Mins",A1:CV300,105,FALSE)* 90)</f>
        <v>0.53289473684210531</v>
      </c>
      <c r="BF105" s="13474">
        <f>IF(HLOOKUP("Mins",A1:CV300,105,FALSE)=0,0,HLOOKUP("SOT",A1:CV300,105,FALSE)/HLOOKUP("Mins",A1:CV300,105,FALSE)* 90)</f>
        <v>0.65131578947368418</v>
      </c>
      <c r="BG105" s="13475">
        <f>IF(HLOOKUP("Mins",A1:CV300,105,FALSE)=0,0,HLOOKUP("As",A1:CV300,105,FALSE)/HLOOKUP("Mins",A1:CV300,105,FALSE)* 90)</f>
        <v>0</v>
      </c>
      <c r="BH105" s="13476">
        <f>IF(HLOOKUP("Mins",A1:CV300,105,FALSE)=0,0,HLOOKUP("FPL As",A1:CV300,105,FALSE)/HLOOKUP("Mins",A1:CV300,105,FALSE)* 90)</f>
        <v>0.17763157894736842</v>
      </c>
      <c r="BI105" s="13477">
        <f>IF(HLOOKUP("Mins",A1:CV300,105,FALSE)=0,0,HLOOKUP("BC Created",A1:CV300,105,FALSE)/HLOOKUP("Mins",A1:CV300,105,FALSE)* 90)</f>
        <v>0</v>
      </c>
      <c r="BJ105" s="13478">
        <f>IF(HLOOKUP("Mins",A1:CV300,105,FALSE)=0,0,HLOOKUP("KP",A1:CV300,105,FALSE)/HLOOKUP("Mins",A1:CV300,105,FALSE)* 90)</f>
        <v>0.47368421052631576</v>
      </c>
      <c r="BK105" s="13479">
        <f>IF(HLOOKUP("Mins",A1:CV300,105,FALSE)=0,0,HLOOKUP("BC",A1:CV300,105,FALSE)/HLOOKUP("Mins",A1:CV300,105,FALSE)* 90)</f>
        <v>0.53289473684210531</v>
      </c>
      <c r="BL105" s="13480">
        <f>IF(HLOOKUP("Mins",A1:CV300,105,FALSE)=0,0,HLOOKUP("BC Miss",A1:CV300,105,FALSE)/HLOOKUP("Mins",A1:CV300,105,FALSE)* 90)</f>
        <v>0.41447368421052627</v>
      </c>
      <c r="BM105" s="13481">
        <f>IF(HLOOKUP("Mins",A1:CV300,105,FALSE)=0,0,HLOOKUP("Gs - BC",A1:CV300,105,FALSE)/HLOOKUP("Mins",A1:CV300,105,FALSE)* 90)</f>
        <v>0.11842105263157894</v>
      </c>
      <c r="BN105" s="13482">
        <f>IF(HLOOKUP("Mins",A1:CV300,105,FALSE)=0,0,HLOOKUP("GIB",A1:CV300,105,FALSE)/HLOOKUP("Mins",A1:CV300,105,FALSE)* 90)</f>
        <v>0.17763157894736842</v>
      </c>
      <c r="BO105" s="13483">
        <f>IF(HLOOKUP("Mins",A1:CV300,105,FALSE)=0,0,HLOOKUP("Gs - Open",A1:CV300,105,FALSE)/HLOOKUP("Mins",A1:CV300,105,FALSE)* 90)</f>
        <v>0.17763157894736842</v>
      </c>
      <c r="BP105" s="13484">
        <f>IF(HLOOKUP("Mins",A1:CV300,105,FALSE)=0,0,HLOOKUP("ICT Index",A1:CV300,105,FALSE)/HLOOKUP("Mins",A1:CV300,105,FALSE)* 90)</f>
        <v>5.3230263157894742</v>
      </c>
      <c r="BQ105" s="13485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  <v>0.12114473684210525</v>
      </c>
      <c r="BR105" s="13486">
        <f>0.0825*HLOOKUP("KP/90",A1:CV300,105,FALSE)</f>
        <v>3.9078947368421053E-2</v>
      </c>
      <c r="BS105" s="13487">
        <f>6*HLOOKUP("xG/90",A1:CV300,105,FALSE)+3*HLOOKUP("xA/90",A1:CV300,105,FALSE)</f>
        <v>0.84410526315789469</v>
      </c>
      <c r="BT105" s="13488">
        <f>HLOOKUP("xPts/90",A1:CV300,105,FALSE)-(6*0.75*(HLOOKUP("PK Gs",A1:CV300,105,FALSE)+HLOOKUP("PK Miss",A1:CV300,105,FALSE))*90/HLOOKUP("Mins",A1:CV300,105,FALSE))</f>
        <v>0.84410526315789469</v>
      </c>
      <c r="BU105" s="13489">
        <f>IF(HLOOKUP("Mins",A1:CV300,105,FALSE)=0,0,HLOOKUP("fsXG",A1:CV300,105,FALSE)/HLOOKUP("Mins",A1:CV300,105,FALSE)* 90)</f>
        <v>0.27888157894736842</v>
      </c>
      <c r="BV105" s="13490">
        <f>IF(HLOOKUP("Mins",A1:CV300,105,FALSE)=0,0,HLOOKUP("fsXA",A1:CV300,105,FALSE)/HLOOKUP("Mins",A1:CV300,105,FALSE)* 90)</f>
        <v>3.5526315789473684E-2</v>
      </c>
      <c r="BW105" s="13491">
        <f>6*HLOOKUP("fsXG/90",A1:CV300,105,FALSE)+3*HLOOKUP("fsXA/90",A1:CV300,105,FALSE)</f>
        <v>1.7798684210526317</v>
      </c>
      <c r="BX105" s="13492">
        <v>0.28126430511474609</v>
      </c>
      <c r="BY105" s="13493">
        <v>2.0153330639004707E-2</v>
      </c>
      <c r="BZ105" s="13494">
        <f>6*HLOOKUP("uXG/90",A1:CV300,105,FALSE)+3*HLOOKUP("uXA/90",A1:CV300,105,FALSE)</f>
        <v>1.7480458226054907</v>
      </c>
    </row>
    <row r="106" spans="1:78" hidden="1" x14ac:dyDescent="0.3">
      <c r="A106" s="13495" t="s">
        <v>269</v>
      </c>
      <c r="B106" s="13496" t="s">
        <v>98</v>
      </c>
      <c r="C106" s="13497">
        <v>4.8000001907348633</v>
      </c>
      <c r="D106" s="13498">
        <v>1198</v>
      </c>
      <c r="E106" s="13499">
        <v>14</v>
      </c>
      <c r="F106" s="13500">
        <v>38</v>
      </c>
      <c r="G106" s="13501">
        <v>0</v>
      </c>
      <c r="H106" s="13502">
        <v>3</v>
      </c>
      <c r="I106" s="13503">
        <v>200</v>
      </c>
      <c r="J106" s="13504">
        <f>HLOOKUP("BPS",A1:CV300,106,FALSE)-((-6*HLOOKUP("OG",A1:CV300,106,FALSE))+(-6*HLOOKUP("PK Miss",A1:CV300,106,FALSE))+(9*HLOOKUP("FPL As",A1:CV300,106,FALSE))+(12*HLOOKUP("CS",A1:CV300,106,FALSE))+(12*HLOOKUP("Gs",A1:CV300,106,FALSE)))</f>
        <v>164</v>
      </c>
      <c r="K106" s="13505">
        <v>0</v>
      </c>
      <c r="L106" s="13506">
        <v>3</v>
      </c>
      <c r="M106" s="13507">
        <v>16</v>
      </c>
      <c r="N106" s="13508">
        <v>8</v>
      </c>
      <c r="O106" s="13509">
        <v>2</v>
      </c>
      <c r="P106" s="13510">
        <f>IF(HLOOKUP("Shots",A1:CV300,106,FALSE)=0,0,HLOOKUP("SIB",A1:CV300,106,FALSE)/HLOOKUP("Shots",A1:CV300,106,FALSE))</f>
        <v>0.25</v>
      </c>
      <c r="Q106" s="13511">
        <v>0</v>
      </c>
      <c r="R106" s="13512">
        <f>IF(HLOOKUP("Shots",A1:CV300,106,FALSE)=0,0,HLOOKUP("S6YD",A1:CV300,106,FALSE)/HLOOKUP("Shots",A1:CV300,106,FALSE))</f>
        <v>0</v>
      </c>
      <c r="S106" s="13513">
        <v>1</v>
      </c>
      <c r="T106" s="13514">
        <f>IF(HLOOKUP("Shots",A1:CV300,106,FALSE)=0,0,HLOOKUP("Headers",A1:CV300,106,FALSE)/HLOOKUP("Shots",A1:CV300,106,FALSE))</f>
        <v>0.125</v>
      </c>
      <c r="U106" s="13515">
        <v>3</v>
      </c>
      <c r="V106" s="13516">
        <f>IF(HLOOKUP("Shots",A1:CV300,106,FALSE)=0,0,HLOOKUP("SOT",A1:CV300,106,FALSE)/HLOOKUP("Shots",A1:CV300,106,FALSE))</f>
        <v>0.375</v>
      </c>
      <c r="W106" s="13517">
        <f>IF(HLOOKUP("Shots",A1:CV300,106,FALSE)=0,0,HLOOKUP("Gs",A1:CV300,106,FALSE)/HLOOKUP("Shots",A1:CV300,106,FALSE))</f>
        <v>0</v>
      </c>
      <c r="X106" s="13518">
        <v>0</v>
      </c>
      <c r="Y106" s="13519">
        <v>0</v>
      </c>
      <c r="Z106" s="13520">
        <v>9</v>
      </c>
      <c r="AA106" s="13521">
        <f>IF(HLOOKUP("KP",A1:CV300,106,FALSE)=0,0,HLOOKUP("As",A1:CV300,106,FALSE)/HLOOKUP("KP",A1:CV300,106,FALSE))</f>
        <v>0</v>
      </c>
      <c r="AB106" s="13522">
        <v>49.6</v>
      </c>
      <c r="AC106" s="13523">
        <v>0</v>
      </c>
      <c r="AD106" s="13524">
        <v>0</v>
      </c>
      <c r="AE106" s="13525">
        <v>1</v>
      </c>
      <c r="AF106" s="13526">
        <v>1</v>
      </c>
      <c r="AG106" s="13527">
        <f>IF(HLOOKUP("BC",A1:CV300,106,FALSE)=0,0,HLOOKUP("Gs - BC",A1:CV300,106,FALSE)/HLOOKUP("BC",A1:CV300,106,FALSE))</f>
        <v>0</v>
      </c>
      <c r="AH106" s="13528">
        <f>HLOOKUP("BC",A1:CV300,106,FALSE) - HLOOKUP("BC Miss",A1:CV300,106,FALSE)</f>
        <v>0</v>
      </c>
      <c r="AI106" s="13529">
        <f>IF(HLOOKUP("Gs",A1:CV300,106,FALSE)=0,0,HLOOKUP("Gs - BC",A1:CV300,106,FALSE)/HLOOKUP("Gs",A1:CV300,106,FALSE))</f>
        <v>0</v>
      </c>
      <c r="AJ106" s="13530">
        <v>0</v>
      </c>
      <c r="AK106" s="13531">
        <v>0</v>
      </c>
      <c r="AL106" s="13532">
        <f>HLOOKUP("BC",A1:CV300,106,FALSE) - (HLOOKUP("PK Gs",A1:CV300,106,FALSE) + HLOOKUP("PK Miss",A1:CV300,106,FALSE))</f>
        <v>1</v>
      </c>
      <c r="AM106" s="13533">
        <f>HLOOKUP("BC Miss",A1:CV300,106,FALSE) - HLOOKUP("PK Miss",A1:CV300,106,FALSE)</f>
        <v>1</v>
      </c>
      <c r="AN106" s="13534">
        <f>IF(HLOOKUP("BC - Open",A1:CV300,106,FALSE)=0,0,HLOOKUP("BC - Open Miss",A1:CV300,106,FALSE)/HLOOKUP("BC - Open",A1:CV300,106,FALSE))</f>
        <v>1</v>
      </c>
      <c r="AO106" s="13535">
        <v>0</v>
      </c>
      <c r="AP106" s="13536">
        <f>IF(HLOOKUP("Gs",A1:CV300,106,FALSE)=0,0,HLOOKUP("GIB",A1:CV300,106,FALSE)/HLOOKUP("Gs",A1:CV300,106,FALSE))</f>
        <v>0</v>
      </c>
      <c r="AQ106" s="13537">
        <v>0</v>
      </c>
      <c r="AR106" s="13538">
        <f>IF(HLOOKUP("Gs",A1:CV300,106,FALSE)=0,0,HLOOKUP("Gs - Open",A1:CV300,106,FALSE)/HLOOKUP("Gs",A1:CV300,106,FALSE))</f>
        <v>0</v>
      </c>
      <c r="AS106" s="13539">
        <v>0.53</v>
      </c>
      <c r="AT106" s="13540">
        <v>1.02</v>
      </c>
      <c r="AU106" s="13541">
        <f>IF(HLOOKUP("Mins",A1:CV300,106,FALSE)=0,0,HLOOKUP("Pts",A1:CV300,106,FALSE)/HLOOKUP("Mins",A1:CV300,106,FALSE)* 90)</f>
        <v>2.8547579298831383</v>
      </c>
      <c r="AV106" s="13542">
        <f>IF(HLOOKUP("Apps",A1:CV300,106,FALSE)=0,0,HLOOKUP("Pts",A1:CV300,106,FALSE)/HLOOKUP("Apps",A1:CV300,106,FALSE)* 1)</f>
        <v>2.7142857142857144</v>
      </c>
      <c r="AW106" s="13543">
        <f>IF(HLOOKUP("Mins",A1:CV300,106,FALSE)=0,0,HLOOKUP("Gs",A1:CV300,106,FALSE)/HLOOKUP("Mins",A1:CV300,106,FALSE)* 90)</f>
        <v>0</v>
      </c>
      <c r="AX106" s="13544">
        <f>IF(HLOOKUP("Mins",A1:CV300,106,FALSE)=0,0,HLOOKUP("Bonus",A1:CV300,106,FALSE)/HLOOKUP("Mins",A1:CV300,106,FALSE)* 90)</f>
        <v>0.22537562604340566</v>
      </c>
      <c r="AY106" s="13545">
        <f>IF(HLOOKUP("Mins",A1:CV300,106,FALSE)=0,0,HLOOKUP("BPS",A1:CV300,106,FALSE)/HLOOKUP("Mins",A1:CV300,106,FALSE)* 90)</f>
        <v>15.025041736227045</v>
      </c>
      <c r="AZ106" s="13546">
        <f>IF(HLOOKUP("Mins",A1:CV300,106,FALSE)=0,0,HLOOKUP("Base BPS",A1:CV300,106,FALSE)/HLOOKUP("Mins",A1:CV300,106,FALSE)* 90)</f>
        <v>12.320534223706177</v>
      </c>
      <c r="BA106" s="13547">
        <f>IF(HLOOKUP("Mins",A1:CV300,106,FALSE)=0,0,HLOOKUP("PenTchs",A1:CV300,106,FALSE)/HLOOKUP("Mins",A1:CV300,106,FALSE)* 90)</f>
        <v>1.2020033388981637</v>
      </c>
      <c r="BB106" s="13548">
        <f>IF(HLOOKUP("Mins",A1:CV300,106,FALSE)=0,0,HLOOKUP("Shots",A1:CV300,106,FALSE)/HLOOKUP("Mins",A1:CV300,106,FALSE)* 90)</f>
        <v>0.60100166944908184</v>
      </c>
      <c r="BC106" s="13549">
        <f>IF(HLOOKUP("Mins",A1:CV300,106,FALSE)=0,0,HLOOKUP("SIB",A1:CV300,106,FALSE)/HLOOKUP("Mins",A1:CV300,106,FALSE)* 90)</f>
        <v>0.15025041736227046</v>
      </c>
      <c r="BD106" s="13550">
        <f>IF(HLOOKUP("Mins",A1:CV300,106,FALSE)=0,0,HLOOKUP("S6YD",A1:CV300,106,FALSE)/HLOOKUP("Mins",A1:CV300,106,FALSE)* 90)</f>
        <v>0</v>
      </c>
      <c r="BE106" s="13551">
        <f>IF(HLOOKUP("Mins",A1:CV300,106,FALSE)=0,0,HLOOKUP("Headers",A1:CV300,106,FALSE)/HLOOKUP("Mins",A1:CV300,106,FALSE)* 90)</f>
        <v>7.512520868113523E-2</v>
      </c>
      <c r="BF106" s="13552">
        <f>IF(HLOOKUP("Mins",A1:CV300,106,FALSE)=0,0,HLOOKUP("SOT",A1:CV300,106,FALSE)/HLOOKUP("Mins",A1:CV300,106,FALSE)* 90)</f>
        <v>0.22537562604340566</v>
      </c>
      <c r="BG106" s="13553">
        <f>IF(HLOOKUP("Mins",A1:CV300,106,FALSE)=0,0,HLOOKUP("As",A1:CV300,106,FALSE)/HLOOKUP("Mins",A1:CV300,106,FALSE)* 90)</f>
        <v>0</v>
      </c>
      <c r="BH106" s="13554">
        <f>IF(HLOOKUP("Mins",A1:CV300,106,FALSE)=0,0,HLOOKUP("FPL As",A1:CV300,106,FALSE)/HLOOKUP("Mins",A1:CV300,106,FALSE)* 90)</f>
        <v>0</v>
      </c>
      <c r="BI106" s="13555">
        <f>IF(HLOOKUP("Mins",A1:CV300,106,FALSE)=0,0,HLOOKUP("BC Created",A1:CV300,106,FALSE)/HLOOKUP("Mins",A1:CV300,106,FALSE)* 90)</f>
        <v>0</v>
      </c>
      <c r="BJ106" s="13556">
        <f>IF(HLOOKUP("Mins",A1:CV300,106,FALSE)=0,0,HLOOKUP("KP",A1:CV300,106,FALSE)/HLOOKUP("Mins",A1:CV300,106,FALSE)* 90)</f>
        <v>0.6761268781302171</v>
      </c>
      <c r="BK106" s="13557">
        <f>IF(HLOOKUP("Mins",A1:CV300,106,FALSE)=0,0,HLOOKUP("BC",A1:CV300,106,FALSE)/HLOOKUP("Mins",A1:CV300,106,FALSE)* 90)</f>
        <v>7.512520868113523E-2</v>
      </c>
      <c r="BL106" s="13558">
        <f>IF(HLOOKUP("Mins",A1:CV300,106,FALSE)=0,0,HLOOKUP("BC Miss",A1:CV300,106,FALSE)/HLOOKUP("Mins",A1:CV300,106,FALSE)* 90)</f>
        <v>7.512520868113523E-2</v>
      </c>
      <c r="BM106" s="13559">
        <f>IF(HLOOKUP("Mins",A1:CV300,106,FALSE)=0,0,HLOOKUP("Gs - BC",A1:CV300,106,FALSE)/HLOOKUP("Mins",A1:CV300,106,FALSE)* 90)</f>
        <v>0</v>
      </c>
      <c r="BN106" s="13560">
        <f>IF(HLOOKUP("Mins",A1:CV300,106,FALSE)=0,0,HLOOKUP("GIB",A1:CV300,106,FALSE)/HLOOKUP("Mins",A1:CV300,106,FALSE)* 90)</f>
        <v>0</v>
      </c>
      <c r="BO106" s="13561">
        <f>IF(HLOOKUP("Mins",A1:CV300,106,FALSE)=0,0,HLOOKUP("Gs - Open",A1:CV300,106,FALSE)/HLOOKUP("Mins",A1:CV300,106,FALSE)* 90)</f>
        <v>0</v>
      </c>
      <c r="BP106" s="13562">
        <f>IF(HLOOKUP("Mins",A1:CV300,106,FALSE)=0,0,HLOOKUP("ICT Index",A1:CV300,106,FALSE)/HLOOKUP("Mins",A1:CV300,106,FALSE)* 90)</f>
        <v>3.7262103505843069</v>
      </c>
      <c r="BQ106" s="13563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  <v>2.2988313856427377E-2</v>
      </c>
      <c r="BR106" s="13564">
        <f>0.0825*HLOOKUP("KP/90",A1:CV300,106,FALSE)</f>
        <v>5.5780467445742915E-2</v>
      </c>
      <c r="BS106" s="13565">
        <f>6*HLOOKUP("xG/90",A1:CV300,106,FALSE)+3*HLOOKUP("xA/90",A1:CV300,106,FALSE)</f>
        <v>0.30527128547579296</v>
      </c>
      <c r="BT106" s="13566">
        <f>HLOOKUP("xPts/90",A1:CV300,106,FALSE)-(6*0.75*(HLOOKUP("PK Gs",A1:CV300,106,FALSE)+HLOOKUP("PK Miss",A1:CV300,106,FALSE))*90/HLOOKUP("Mins",A1:CV300,106,FALSE))</f>
        <v>0.30527128547579296</v>
      </c>
      <c r="BU106" s="13567">
        <f>IF(HLOOKUP("Mins",A1:CV300,106,FALSE)=0,0,HLOOKUP("fsXG",A1:CV300,106,FALSE)/HLOOKUP("Mins",A1:CV300,106,FALSE)* 90)</f>
        <v>3.9816360601001674E-2</v>
      </c>
      <c r="BV106" s="13568">
        <f>IF(HLOOKUP("Mins",A1:CV300,106,FALSE)=0,0,HLOOKUP("fsXA",A1:CV300,106,FALSE)/HLOOKUP("Mins",A1:CV300,106,FALSE)* 90)</f>
        <v>7.6627712854757932E-2</v>
      </c>
      <c r="BW106" s="13569">
        <f>6*HLOOKUP("fsXG/90",A1:CV300,106,FALSE)+3*HLOOKUP("fsXA/90",A1:CV300,106,FALSE)</f>
        <v>0.4687813021702838</v>
      </c>
      <c r="BX106" s="13570">
        <v>3.9223212748765945E-2</v>
      </c>
      <c r="BY106" s="13571">
        <v>4.753575474023819E-2</v>
      </c>
      <c r="BZ106" s="13572">
        <f>6*HLOOKUP("uXG/90",A1:CV300,106,FALSE)+3*HLOOKUP("uXA/90",A1:CV300,106,FALSE)</f>
        <v>0.37794654071331024</v>
      </c>
    </row>
    <row r="107" spans="1:78" hidden="1" x14ac:dyDescent="0.3">
      <c r="A107" s="13573" t="s">
        <v>270</v>
      </c>
      <c r="B107" s="13574" t="s">
        <v>147</v>
      </c>
      <c r="C107" s="13575">
        <v>4.6999998092651367</v>
      </c>
      <c r="D107" s="13576">
        <v>1668</v>
      </c>
      <c r="E107" s="13577">
        <v>20</v>
      </c>
      <c r="F107" s="13578">
        <v>37</v>
      </c>
      <c r="G107" s="13579">
        <v>0</v>
      </c>
      <c r="H107" s="13580">
        <v>1</v>
      </c>
      <c r="I107" s="13581">
        <v>281</v>
      </c>
      <c r="J107" s="13582">
        <f>HLOOKUP("BPS",A1:CV300,107,FALSE)-((-6*HLOOKUP("OG",A1:CV300,107,FALSE))+(-6*HLOOKUP("PK Miss",A1:CV300,107,FALSE))+(9*HLOOKUP("FPL As",A1:CV300,107,FALSE))+(12*HLOOKUP("CS",A1:CV300,107,FALSE))+(12*HLOOKUP("Gs",A1:CV300,107,FALSE)))</f>
        <v>251</v>
      </c>
      <c r="K107" s="13583">
        <v>1</v>
      </c>
      <c r="L107" s="13584">
        <v>3</v>
      </c>
      <c r="M107" s="13585">
        <v>17</v>
      </c>
      <c r="N107" s="13586">
        <v>12</v>
      </c>
      <c r="O107" s="13587">
        <v>11</v>
      </c>
      <c r="P107" s="13588">
        <f>IF(HLOOKUP("Shots",A1:CV300,107,FALSE)=0,0,HLOOKUP("SIB",A1:CV300,107,FALSE)/HLOOKUP("Shots",A1:CV300,107,FALSE))</f>
        <v>0.91666666666666663</v>
      </c>
      <c r="Q107" s="13589">
        <v>1</v>
      </c>
      <c r="R107" s="13590">
        <f>IF(HLOOKUP("Shots",A1:CV300,107,FALSE)=0,0,HLOOKUP("S6YD",A1:CV300,107,FALSE)/HLOOKUP("Shots",A1:CV300,107,FALSE))</f>
        <v>8.3333333333333329E-2</v>
      </c>
      <c r="S107" s="13591">
        <v>10</v>
      </c>
      <c r="T107" s="13592">
        <f>IF(HLOOKUP("Shots",A1:CV300,107,FALSE)=0,0,HLOOKUP("Headers",A1:CV300,107,FALSE)/HLOOKUP("Shots",A1:CV300,107,FALSE))</f>
        <v>0.83333333333333337</v>
      </c>
      <c r="U107" s="13593">
        <v>4</v>
      </c>
      <c r="V107" s="13594">
        <f>IF(HLOOKUP("Shots",A1:CV300,107,FALSE)=0,0,HLOOKUP("SOT",A1:CV300,107,FALSE)/HLOOKUP("Shots",A1:CV300,107,FALSE))</f>
        <v>0.33333333333333331</v>
      </c>
      <c r="W107" s="13595">
        <f>IF(HLOOKUP("Shots",A1:CV300,107,FALSE)=0,0,HLOOKUP("Gs",A1:CV300,107,FALSE)/HLOOKUP("Shots",A1:CV300,107,FALSE))</f>
        <v>0</v>
      </c>
      <c r="X107" s="13596">
        <v>0</v>
      </c>
      <c r="Y107" s="13597">
        <v>0</v>
      </c>
      <c r="Z107" s="13598">
        <v>1</v>
      </c>
      <c r="AA107" s="13599">
        <f>IF(HLOOKUP("KP",A1:CV300,107,FALSE)=0,0,HLOOKUP("As",A1:CV300,107,FALSE)/HLOOKUP("KP",A1:CV300,107,FALSE))</f>
        <v>0</v>
      </c>
      <c r="AB107" s="13600">
        <v>53</v>
      </c>
      <c r="AC107" s="13601">
        <v>0</v>
      </c>
      <c r="AD107" s="13602">
        <v>0</v>
      </c>
      <c r="AE107" s="13603">
        <v>1</v>
      </c>
      <c r="AF107" s="13604">
        <v>1</v>
      </c>
      <c r="AG107" s="13605">
        <f>IF(HLOOKUP("BC",A1:CV300,107,FALSE)=0,0,HLOOKUP("Gs - BC",A1:CV300,107,FALSE)/HLOOKUP("BC",A1:CV300,107,FALSE))</f>
        <v>0</v>
      </c>
      <c r="AH107" s="13606">
        <f>HLOOKUP("BC",A1:CV300,107,FALSE) - HLOOKUP("BC Miss",A1:CV300,107,FALSE)</f>
        <v>0</v>
      </c>
      <c r="AI107" s="13607">
        <f>IF(HLOOKUP("Gs",A1:CV300,107,FALSE)=0,0,HLOOKUP("Gs - BC",A1:CV300,107,FALSE)/HLOOKUP("Gs",A1:CV300,107,FALSE))</f>
        <v>0</v>
      </c>
      <c r="AJ107" s="13608">
        <v>0</v>
      </c>
      <c r="AK107" s="13609">
        <v>0</v>
      </c>
      <c r="AL107" s="13610">
        <f>HLOOKUP("BC",A1:CV300,107,FALSE) - (HLOOKUP("PK Gs",A1:CV300,107,FALSE) + HLOOKUP("PK Miss",A1:CV300,107,FALSE))</f>
        <v>1</v>
      </c>
      <c r="AM107" s="13611">
        <f>HLOOKUP("BC Miss",A1:CV300,107,FALSE) - HLOOKUP("PK Miss",A1:CV300,107,FALSE)</f>
        <v>1</v>
      </c>
      <c r="AN107" s="13612">
        <f>IF(HLOOKUP("BC - Open",A1:CV300,107,FALSE)=0,0,HLOOKUP("BC - Open Miss",A1:CV300,107,FALSE)/HLOOKUP("BC - Open",A1:CV300,107,FALSE))</f>
        <v>1</v>
      </c>
      <c r="AO107" s="13613">
        <v>0</v>
      </c>
      <c r="AP107" s="13614">
        <f>IF(HLOOKUP("Gs",A1:CV300,107,FALSE)=0,0,HLOOKUP("GIB",A1:CV300,107,FALSE)/HLOOKUP("Gs",A1:CV300,107,FALSE))</f>
        <v>0</v>
      </c>
      <c r="AQ107" s="13615">
        <v>0</v>
      </c>
      <c r="AR107" s="13616">
        <f>IF(HLOOKUP("Gs",A1:CV300,107,FALSE)=0,0,HLOOKUP("Gs - Open",A1:CV300,107,FALSE)/HLOOKUP("Gs",A1:CV300,107,FALSE))</f>
        <v>0</v>
      </c>
      <c r="AS107" s="13617">
        <v>0.95</v>
      </c>
      <c r="AT107" s="13618">
        <v>0.3</v>
      </c>
      <c r="AU107" s="13619">
        <f>IF(HLOOKUP("Mins",A1:CV300,107,FALSE)=0,0,HLOOKUP("Pts",A1:CV300,107,FALSE)/HLOOKUP("Mins",A1:CV300,107,FALSE)* 90)</f>
        <v>1.9964028776978417</v>
      </c>
      <c r="AV107" s="13620">
        <f>IF(HLOOKUP("Apps",A1:CV300,107,FALSE)=0,0,HLOOKUP("Pts",A1:CV300,107,FALSE)/HLOOKUP("Apps",A1:CV300,107,FALSE)* 1)</f>
        <v>1.85</v>
      </c>
      <c r="AW107" s="13621">
        <f>IF(HLOOKUP("Mins",A1:CV300,107,FALSE)=0,0,HLOOKUP("Gs",A1:CV300,107,FALSE)/HLOOKUP("Mins",A1:CV300,107,FALSE)* 90)</f>
        <v>0</v>
      </c>
      <c r="AX107" s="13622">
        <f>IF(HLOOKUP("Mins",A1:CV300,107,FALSE)=0,0,HLOOKUP("Bonus",A1:CV300,107,FALSE)/HLOOKUP("Mins",A1:CV300,107,FALSE)* 90)</f>
        <v>5.3956834532374098E-2</v>
      </c>
      <c r="AY107" s="13623">
        <f>IF(HLOOKUP("Mins",A1:CV300,107,FALSE)=0,0,HLOOKUP("BPS",A1:CV300,107,FALSE)/HLOOKUP("Mins",A1:CV300,107,FALSE)* 90)</f>
        <v>15.161870503597124</v>
      </c>
      <c r="AZ107" s="13624">
        <f>IF(HLOOKUP("Mins",A1:CV300,107,FALSE)=0,0,HLOOKUP("Base BPS",A1:CV300,107,FALSE)/HLOOKUP("Mins",A1:CV300,107,FALSE)* 90)</f>
        <v>13.543165467625901</v>
      </c>
      <c r="BA107" s="13625">
        <f>IF(HLOOKUP("Mins",A1:CV300,107,FALSE)=0,0,HLOOKUP("PenTchs",A1:CV300,107,FALSE)/HLOOKUP("Mins",A1:CV300,107,FALSE)* 90)</f>
        <v>0.91726618705035978</v>
      </c>
      <c r="BB107" s="13626">
        <f>IF(HLOOKUP("Mins",A1:CV300,107,FALSE)=0,0,HLOOKUP("Shots",A1:CV300,107,FALSE)/HLOOKUP("Mins",A1:CV300,107,FALSE)* 90)</f>
        <v>0.64748201438848929</v>
      </c>
      <c r="BC107" s="13627">
        <f>IF(HLOOKUP("Mins",A1:CV300,107,FALSE)=0,0,HLOOKUP("SIB",A1:CV300,107,FALSE)/HLOOKUP("Mins",A1:CV300,107,FALSE)* 90)</f>
        <v>0.59352517985611508</v>
      </c>
      <c r="BD107" s="13628">
        <f>IF(HLOOKUP("Mins",A1:CV300,107,FALSE)=0,0,HLOOKUP("S6YD",A1:CV300,107,FALSE)/HLOOKUP("Mins",A1:CV300,107,FALSE)* 90)</f>
        <v>5.3956834532374098E-2</v>
      </c>
      <c r="BE107" s="13629">
        <f>IF(HLOOKUP("Mins",A1:CV300,107,FALSE)=0,0,HLOOKUP("Headers",A1:CV300,107,FALSE)/HLOOKUP("Mins",A1:CV300,107,FALSE)* 90)</f>
        <v>0.53956834532374098</v>
      </c>
      <c r="BF107" s="13630">
        <f>IF(HLOOKUP("Mins",A1:CV300,107,FALSE)=0,0,HLOOKUP("SOT",A1:CV300,107,FALSE)/HLOOKUP("Mins",A1:CV300,107,FALSE)* 90)</f>
        <v>0.21582733812949639</v>
      </c>
      <c r="BG107" s="13631">
        <f>IF(HLOOKUP("Mins",A1:CV300,107,FALSE)=0,0,HLOOKUP("As",A1:CV300,107,FALSE)/HLOOKUP("Mins",A1:CV300,107,FALSE)* 90)</f>
        <v>0</v>
      </c>
      <c r="BH107" s="13632">
        <f>IF(HLOOKUP("Mins",A1:CV300,107,FALSE)=0,0,HLOOKUP("FPL As",A1:CV300,107,FALSE)/HLOOKUP("Mins",A1:CV300,107,FALSE)* 90)</f>
        <v>0</v>
      </c>
      <c r="BI107" s="13633">
        <f>IF(HLOOKUP("Mins",A1:CV300,107,FALSE)=0,0,HLOOKUP("BC Created",A1:CV300,107,FALSE)/HLOOKUP("Mins",A1:CV300,107,FALSE)* 90)</f>
        <v>0</v>
      </c>
      <c r="BJ107" s="13634">
        <f>IF(HLOOKUP("Mins",A1:CV300,107,FALSE)=0,0,HLOOKUP("KP",A1:CV300,107,FALSE)/HLOOKUP("Mins",A1:CV300,107,FALSE)* 90)</f>
        <v>5.3956834532374098E-2</v>
      </c>
      <c r="BK107" s="13635">
        <f>IF(HLOOKUP("Mins",A1:CV300,107,FALSE)=0,0,HLOOKUP("BC",A1:CV300,107,FALSE)/HLOOKUP("Mins",A1:CV300,107,FALSE)* 90)</f>
        <v>5.3956834532374098E-2</v>
      </c>
      <c r="BL107" s="13636">
        <f>IF(HLOOKUP("Mins",A1:CV300,107,FALSE)=0,0,HLOOKUP("BC Miss",A1:CV300,107,FALSE)/HLOOKUP("Mins",A1:CV300,107,FALSE)* 90)</f>
        <v>5.3956834532374098E-2</v>
      </c>
      <c r="BM107" s="13637">
        <f>IF(HLOOKUP("Mins",A1:CV300,107,FALSE)=0,0,HLOOKUP("Gs - BC",A1:CV300,107,FALSE)/HLOOKUP("Mins",A1:CV300,107,FALSE)* 90)</f>
        <v>0</v>
      </c>
      <c r="BN107" s="13638">
        <f>IF(HLOOKUP("Mins",A1:CV300,107,FALSE)=0,0,HLOOKUP("GIB",A1:CV300,107,FALSE)/HLOOKUP("Mins",A1:CV300,107,FALSE)* 90)</f>
        <v>0</v>
      </c>
      <c r="BO107" s="13639">
        <f>IF(HLOOKUP("Mins",A1:CV300,107,FALSE)=0,0,HLOOKUP("Gs - Open",A1:CV300,107,FALSE)/HLOOKUP("Mins",A1:CV300,107,FALSE)* 90)</f>
        <v>0</v>
      </c>
      <c r="BP107" s="13640">
        <f>IF(HLOOKUP("Mins",A1:CV300,107,FALSE)=0,0,HLOOKUP("ICT Index",A1:CV300,107,FALSE)/HLOOKUP("Mins",A1:CV300,107,FALSE)* 90)</f>
        <v>2.8597122302158269</v>
      </c>
      <c r="BQ107" s="13641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  <v>5.6276978417266185E-2</v>
      </c>
      <c r="BR107" s="13642">
        <f>0.0825*HLOOKUP("KP/90",A1:CV300,107,FALSE)</f>
        <v>4.4514388489208636E-3</v>
      </c>
      <c r="BS107" s="13643">
        <f>6*HLOOKUP("xG/90",A1:CV300,107,FALSE)+3*HLOOKUP("xA/90",A1:CV300,107,FALSE)</f>
        <v>0.3510161870503597</v>
      </c>
      <c r="BT107" s="13644">
        <f>HLOOKUP("xPts/90",A1:CV300,107,FALSE)-(6*0.75*(HLOOKUP("PK Gs",A1:CV300,107,FALSE)+HLOOKUP("PK Miss",A1:CV300,107,FALSE))*90/HLOOKUP("Mins",A1:CV300,107,FALSE))</f>
        <v>0.3510161870503597</v>
      </c>
      <c r="BU107" s="13645">
        <f>IF(HLOOKUP("Mins",A1:CV300,107,FALSE)=0,0,HLOOKUP("fsXG",A1:CV300,107,FALSE)/HLOOKUP("Mins",A1:CV300,107,FALSE)* 90)</f>
        <v>5.1258992805755396E-2</v>
      </c>
      <c r="BV107" s="13646">
        <f>IF(HLOOKUP("Mins",A1:CV300,107,FALSE)=0,0,HLOOKUP("fsXA",A1:CV300,107,FALSE)/HLOOKUP("Mins",A1:CV300,107,FALSE)* 90)</f>
        <v>1.618705035971223E-2</v>
      </c>
      <c r="BW107" s="13647">
        <f>6*HLOOKUP("fsXG/90",A1:CV300,107,FALSE)+3*HLOOKUP("fsXA/90",A1:CV300,107,FALSE)</f>
        <v>0.35611510791366907</v>
      </c>
      <c r="BX107" s="13648">
        <v>5.2895676344633102E-2</v>
      </c>
      <c r="BY107" s="13649">
        <v>6.574142724275589E-3</v>
      </c>
      <c r="BZ107" s="13650">
        <f>6*HLOOKUP("uXG/90",A1:CV300,107,FALSE)+3*HLOOKUP("uXA/90",A1:CV300,107,FALSE)</f>
        <v>0.33709648624062538</v>
      </c>
    </row>
    <row r="108" spans="1:78" hidden="1" x14ac:dyDescent="0.3">
      <c r="A108" s="13651" t="s">
        <v>271</v>
      </c>
      <c r="B108" s="13652" t="s">
        <v>96</v>
      </c>
      <c r="C108" s="13653">
        <v>5</v>
      </c>
      <c r="D108" s="13654">
        <v>1980</v>
      </c>
      <c r="E108" s="13655">
        <v>22</v>
      </c>
      <c r="F108" s="13656">
        <v>54</v>
      </c>
      <c r="G108" s="13657">
        <v>0</v>
      </c>
      <c r="H108" s="13658">
        <v>0</v>
      </c>
      <c r="I108" s="13659">
        <v>345</v>
      </c>
      <c r="J108" s="13660">
        <f>HLOOKUP("BPS",A1:CV300,108,FALSE)-((-6*HLOOKUP("OG",A1:CV300,108,FALSE))+(-6*HLOOKUP("PK Miss",A1:CV300,108,FALSE))+(9*HLOOKUP("FPL As",A1:CV300,108,FALSE))+(12*HLOOKUP("CS",A1:CV300,108,FALSE))+(12*HLOOKUP("Gs",A1:CV300,108,FALSE)))</f>
        <v>261</v>
      </c>
      <c r="K108" s="13661">
        <v>0</v>
      </c>
      <c r="L108" s="13662">
        <v>7</v>
      </c>
      <c r="M108" s="13663">
        <v>30</v>
      </c>
      <c r="N108" s="13664">
        <v>9</v>
      </c>
      <c r="O108" s="13665">
        <v>9</v>
      </c>
      <c r="P108" s="13666">
        <f>IF(HLOOKUP("Shots",A1:CV300,108,FALSE)=0,0,HLOOKUP("SIB",A1:CV300,108,FALSE)/HLOOKUP("Shots",A1:CV300,108,FALSE))</f>
        <v>1</v>
      </c>
      <c r="Q108" s="13667">
        <v>4</v>
      </c>
      <c r="R108" s="13668">
        <f>IF(HLOOKUP("Shots",A1:CV300,108,FALSE)=0,0,HLOOKUP("S6YD",A1:CV300,108,FALSE)/HLOOKUP("Shots",A1:CV300,108,FALSE))</f>
        <v>0.44444444444444442</v>
      </c>
      <c r="S108" s="13669">
        <v>9</v>
      </c>
      <c r="T108" s="13670">
        <f>IF(HLOOKUP("Shots",A1:CV300,108,FALSE)=0,0,HLOOKUP("Headers",A1:CV300,108,FALSE)/HLOOKUP("Shots",A1:CV300,108,FALSE))</f>
        <v>1</v>
      </c>
      <c r="U108" s="13671">
        <v>4</v>
      </c>
      <c r="V108" s="13672">
        <f>IF(HLOOKUP("Shots",A1:CV300,108,FALSE)=0,0,HLOOKUP("SOT",A1:CV300,108,FALSE)/HLOOKUP("Shots",A1:CV300,108,FALSE))</f>
        <v>0.44444444444444442</v>
      </c>
      <c r="W108" s="13673">
        <f>IF(HLOOKUP("Shots",A1:CV300,108,FALSE)=0,0,HLOOKUP("Gs",A1:CV300,108,FALSE)/HLOOKUP("Shots",A1:CV300,108,FALSE))</f>
        <v>0</v>
      </c>
      <c r="X108" s="13674">
        <v>0</v>
      </c>
      <c r="Y108" s="13675">
        <v>0</v>
      </c>
      <c r="Z108" s="13676">
        <v>5</v>
      </c>
      <c r="AA108" s="13677">
        <f>IF(HLOOKUP("KP",A1:CV300,108,FALSE)=0,0,HLOOKUP("As",A1:CV300,108,FALSE)/HLOOKUP("KP",A1:CV300,108,FALSE))</f>
        <v>0</v>
      </c>
      <c r="AB108" s="13678">
        <v>72.400000000000006</v>
      </c>
      <c r="AC108" s="13679">
        <v>0</v>
      </c>
      <c r="AD108" s="13680">
        <v>1</v>
      </c>
      <c r="AE108" s="13681">
        <v>1</v>
      </c>
      <c r="AF108" s="13682">
        <v>1</v>
      </c>
      <c r="AG108" s="13683">
        <f>IF(HLOOKUP("BC",A1:CV300,108,FALSE)=0,0,HLOOKUP("Gs - BC",A1:CV300,108,FALSE)/HLOOKUP("BC",A1:CV300,108,FALSE))</f>
        <v>0</v>
      </c>
      <c r="AH108" s="13684">
        <f>HLOOKUP("BC",A1:CV300,108,FALSE) - HLOOKUP("BC Miss",A1:CV300,108,FALSE)</f>
        <v>0</v>
      </c>
      <c r="AI108" s="13685">
        <f>IF(HLOOKUP("Gs",A1:CV300,108,FALSE)=0,0,HLOOKUP("Gs - BC",A1:CV300,108,FALSE)/HLOOKUP("Gs",A1:CV300,108,FALSE))</f>
        <v>0</v>
      </c>
      <c r="AJ108" s="13686">
        <v>0</v>
      </c>
      <c r="AK108" s="13687">
        <v>0</v>
      </c>
      <c r="AL108" s="13688">
        <f>HLOOKUP("BC",A1:CV300,108,FALSE) - (HLOOKUP("PK Gs",A1:CV300,108,FALSE) + HLOOKUP("PK Miss",A1:CV300,108,FALSE))</f>
        <v>1</v>
      </c>
      <c r="AM108" s="13689">
        <f>HLOOKUP("BC Miss",A1:CV300,108,FALSE) - HLOOKUP("PK Miss",A1:CV300,108,FALSE)</f>
        <v>1</v>
      </c>
      <c r="AN108" s="13690">
        <f>IF(HLOOKUP("BC - Open",A1:CV300,108,FALSE)=0,0,HLOOKUP("BC - Open Miss",A1:CV300,108,FALSE)/HLOOKUP("BC - Open",A1:CV300,108,FALSE))</f>
        <v>1</v>
      </c>
      <c r="AO108" s="13691">
        <v>0</v>
      </c>
      <c r="AP108" s="13692">
        <f>IF(HLOOKUP("Gs",A1:CV300,108,FALSE)=0,0,HLOOKUP("GIB",A1:CV300,108,FALSE)/HLOOKUP("Gs",A1:CV300,108,FALSE))</f>
        <v>0</v>
      </c>
      <c r="AQ108" s="13693">
        <v>0</v>
      </c>
      <c r="AR108" s="13694">
        <f>IF(HLOOKUP("Gs",A1:CV300,108,FALSE)=0,0,HLOOKUP("Gs - Open",A1:CV300,108,FALSE)/HLOOKUP("Gs",A1:CV300,108,FALSE))</f>
        <v>0</v>
      </c>
      <c r="AS108" s="13695">
        <v>0.89</v>
      </c>
      <c r="AT108" s="13696">
        <v>0.93</v>
      </c>
      <c r="AU108" s="13697">
        <f>IF(HLOOKUP("Mins",A1:CV300,108,FALSE)=0,0,HLOOKUP("Pts",A1:CV300,108,FALSE)/HLOOKUP("Mins",A1:CV300,108,FALSE)* 90)</f>
        <v>2.4545454545454546</v>
      </c>
      <c r="AV108" s="13698">
        <f>IF(HLOOKUP("Apps",A1:CV300,108,FALSE)=0,0,HLOOKUP("Pts",A1:CV300,108,FALSE)/HLOOKUP("Apps",A1:CV300,108,FALSE)* 1)</f>
        <v>2.4545454545454546</v>
      </c>
      <c r="AW108" s="13699">
        <f>IF(HLOOKUP("Mins",A1:CV300,108,FALSE)=0,0,HLOOKUP("Gs",A1:CV300,108,FALSE)/HLOOKUP("Mins",A1:CV300,108,FALSE)* 90)</f>
        <v>0</v>
      </c>
      <c r="AX108" s="13700">
        <f>IF(HLOOKUP("Mins",A1:CV300,108,FALSE)=0,0,HLOOKUP("Bonus",A1:CV300,108,FALSE)/HLOOKUP("Mins",A1:CV300,108,FALSE)* 90)</f>
        <v>0</v>
      </c>
      <c r="AY108" s="13701">
        <f>IF(HLOOKUP("Mins",A1:CV300,108,FALSE)=0,0,HLOOKUP("BPS",A1:CV300,108,FALSE)/HLOOKUP("Mins",A1:CV300,108,FALSE)* 90)</f>
        <v>15.681818181818183</v>
      </c>
      <c r="AZ108" s="13702">
        <f>IF(HLOOKUP("Mins",A1:CV300,108,FALSE)=0,0,HLOOKUP("Base BPS",A1:CV300,108,FALSE)/HLOOKUP("Mins",A1:CV300,108,FALSE)* 90)</f>
        <v>11.863636363636363</v>
      </c>
      <c r="BA108" s="13703">
        <f>IF(HLOOKUP("Mins",A1:CV300,108,FALSE)=0,0,HLOOKUP("PenTchs",A1:CV300,108,FALSE)/HLOOKUP("Mins",A1:CV300,108,FALSE)* 90)</f>
        <v>1.3636363636363638</v>
      </c>
      <c r="BB108" s="13704">
        <f>IF(HLOOKUP("Mins",A1:CV300,108,FALSE)=0,0,HLOOKUP("Shots",A1:CV300,108,FALSE)/HLOOKUP("Mins",A1:CV300,108,FALSE)* 90)</f>
        <v>0.40909090909090906</v>
      </c>
      <c r="BC108" s="13705">
        <f>IF(HLOOKUP("Mins",A1:CV300,108,FALSE)=0,0,HLOOKUP("SIB",A1:CV300,108,FALSE)/HLOOKUP("Mins",A1:CV300,108,FALSE)* 90)</f>
        <v>0.40909090909090906</v>
      </c>
      <c r="BD108" s="13706">
        <f>IF(HLOOKUP("Mins",A1:CV300,108,FALSE)=0,0,HLOOKUP("S6YD",A1:CV300,108,FALSE)/HLOOKUP("Mins",A1:CV300,108,FALSE)* 90)</f>
        <v>0.18181818181818182</v>
      </c>
      <c r="BE108" s="13707">
        <f>IF(HLOOKUP("Mins",A1:CV300,108,FALSE)=0,0,HLOOKUP("Headers",A1:CV300,108,FALSE)/HLOOKUP("Mins",A1:CV300,108,FALSE)* 90)</f>
        <v>0.40909090909090906</v>
      </c>
      <c r="BF108" s="13708">
        <f>IF(HLOOKUP("Mins",A1:CV300,108,FALSE)=0,0,HLOOKUP("SOT",A1:CV300,108,FALSE)/HLOOKUP("Mins",A1:CV300,108,FALSE)* 90)</f>
        <v>0.18181818181818182</v>
      </c>
      <c r="BG108" s="13709">
        <f>IF(HLOOKUP("Mins",A1:CV300,108,FALSE)=0,0,HLOOKUP("As",A1:CV300,108,FALSE)/HLOOKUP("Mins",A1:CV300,108,FALSE)* 90)</f>
        <v>0</v>
      </c>
      <c r="BH108" s="13710">
        <f>IF(HLOOKUP("Mins",A1:CV300,108,FALSE)=0,0,HLOOKUP("FPL As",A1:CV300,108,FALSE)/HLOOKUP("Mins",A1:CV300,108,FALSE)* 90)</f>
        <v>0</v>
      </c>
      <c r="BI108" s="13711">
        <f>IF(HLOOKUP("Mins",A1:CV300,108,FALSE)=0,0,HLOOKUP("BC Created",A1:CV300,108,FALSE)/HLOOKUP("Mins",A1:CV300,108,FALSE)* 90)</f>
        <v>4.5454545454545456E-2</v>
      </c>
      <c r="BJ108" s="13712">
        <f>IF(HLOOKUP("Mins",A1:CV300,108,FALSE)=0,0,HLOOKUP("KP",A1:CV300,108,FALSE)/HLOOKUP("Mins",A1:CV300,108,FALSE)* 90)</f>
        <v>0.22727272727272729</v>
      </c>
      <c r="BK108" s="13713">
        <f>IF(HLOOKUP("Mins",A1:CV300,108,FALSE)=0,0,HLOOKUP("BC",A1:CV300,108,FALSE)/HLOOKUP("Mins",A1:CV300,108,FALSE)* 90)</f>
        <v>4.5454545454545456E-2</v>
      </c>
      <c r="BL108" s="13714">
        <f>IF(HLOOKUP("Mins",A1:CV300,108,FALSE)=0,0,HLOOKUP("BC Miss",A1:CV300,108,FALSE)/HLOOKUP("Mins",A1:CV300,108,FALSE)* 90)</f>
        <v>4.5454545454545456E-2</v>
      </c>
      <c r="BM108" s="13715">
        <f>IF(HLOOKUP("Mins",A1:CV300,108,FALSE)=0,0,HLOOKUP("Gs - BC",A1:CV300,108,FALSE)/HLOOKUP("Mins",A1:CV300,108,FALSE)* 90)</f>
        <v>0</v>
      </c>
      <c r="BN108" s="13716">
        <f>IF(HLOOKUP("Mins",A1:CV300,108,FALSE)=0,0,HLOOKUP("GIB",A1:CV300,108,FALSE)/HLOOKUP("Mins",A1:CV300,108,FALSE)* 90)</f>
        <v>0</v>
      </c>
      <c r="BO108" s="13717">
        <f>IF(HLOOKUP("Mins",A1:CV300,108,FALSE)=0,0,HLOOKUP("Gs - Open",A1:CV300,108,FALSE)/HLOOKUP("Mins",A1:CV300,108,FALSE)* 90)</f>
        <v>0</v>
      </c>
      <c r="BP108" s="13718">
        <f>IF(HLOOKUP("Mins",A1:CV300,108,FALSE)=0,0,HLOOKUP("ICT Index",A1:CV300,108,FALSE)/HLOOKUP("Mins",A1:CV300,108,FALSE)* 90)</f>
        <v>3.290909090909091</v>
      </c>
      <c r="BQ108" s="13719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  <v>3.8045454545454542E-2</v>
      </c>
      <c r="BR108" s="13720">
        <f>0.0825*HLOOKUP("KP/90",A1:CV300,108,FALSE)</f>
        <v>1.8750000000000003E-2</v>
      </c>
      <c r="BS108" s="13721">
        <f>6*HLOOKUP("xG/90",A1:CV300,108,FALSE)+3*HLOOKUP("xA/90",A1:CV300,108,FALSE)</f>
        <v>0.28452272727272726</v>
      </c>
      <c r="BT108" s="13722">
        <f>HLOOKUP("xPts/90",A1:CV300,108,FALSE)-(6*0.75*(HLOOKUP("PK Gs",A1:CV300,108,FALSE)+HLOOKUP("PK Miss",A1:CV300,108,FALSE))*90/HLOOKUP("Mins",A1:CV300,108,FALSE))</f>
        <v>0.28452272727272726</v>
      </c>
      <c r="BU108" s="13723">
        <f>IF(HLOOKUP("Mins",A1:CV300,108,FALSE)=0,0,HLOOKUP("fsXG",A1:CV300,108,FALSE)/HLOOKUP("Mins",A1:CV300,108,FALSE)* 90)</f>
        <v>4.0454545454545458E-2</v>
      </c>
      <c r="BV108" s="13724">
        <f>IF(HLOOKUP("Mins",A1:CV300,108,FALSE)=0,0,HLOOKUP("fsXA",A1:CV300,108,FALSE)/HLOOKUP("Mins",A1:CV300,108,FALSE)* 90)</f>
        <v>4.2272727272727274E-2</v>
      </c>
      <c r="BW108" s="13725">
        <f>6*HLOOKUP("fsXG/90",A1:CV300,108,FALSE)+3*HLOOKUP("fsXA/90",A1:CV300,108,FALSE)</f>
        <v>0.36954545454545457</v>
      </c>
      <c r="BX108" s="13726">
        <v>1.3005254790186882E-2</v>
      </c>
      <c r="BY108" s="13727">
        <v>4.3008804321289063E-2</v>
      </c>
      <c r="BZ108" s="13728">
        <f>6*HLOOKUP("uXG/90",A1:CV300,108,FALSE)+3*HLOOKUP("uXA/90",A1:CV300,108,FALSE)</f>
        <v>0.20705794170498848</v>
      </c>
    </row>
    <row r="109" spans="1:78" hidden="1" x14ac:dyDescent="0.3">
      <c r="A109" s="13729" t="s">
        <v>272</v>
      </c>
      <c r="B109" s="13730" t="s">
        <v>98</v>
      </c>
      <c r="C109" s="13731">
        <v>4.4000000953674316</v>
      </c>
      <c r="D109" s="13732">
        <v>1978</v>
      </c>
      <c r="E109" s="13733">
        <v>22</v>
      </c>
      <c r="F109" s="13734">
        <v>47</v>
      </c>
      <c r="G109" s="13735">
        <v>0</v>
      </c>
      <c r="H109" s="13736">
        <v>3</v>
      </c>
      <c r="I109" s="13737">
        <v>324</v>
      </c>
      <c r="J109" s="13738">
        <f>HLOOKUP("BPS",A1:CV300,109,FALSE)-((-6*HLOOKUP("OG",A1:CV300,109,FALSE))+(-6*HLOOKUP("PK Miss",A1:CV300,109,FALSE))+(9*HLOOKUP("FPL As",A1:CV300,109,FALSE))+(12*HLOOKUP("CS",A1:CV300,109,FALSE))+(12*HLOOKUP("Gs",A1:CV300,109,FALSE)))</f>
        <v>276</v>
      </c>
      <c r="K109" s="13739">
        <v>0</v>
      </c>
      <c r="L109" s="13740">
        <v>4</v>
      </c>
      <c r="M109" s="13741">
        <v>8</v>
      </c>
      <c r="N109" s="13742">
        <v>4</v>
      </c>
      <c r="O109" s="13743">
        <v>4</v>
      </c>
      <c r="P109" s="13744">
        <f>IF(HLOOKUP("Shots",A1:CV300,109,FALSE)=0,0,HLOOKUP("SIB",A1:CV300,109,FALSE)/HLOOKUP("Shots",A1:CV300,109,FALSE))</f>
        <v>1</v>
      </c>
      <c r="Q109" s="13745">
        <v>1</v>
      </c>
      <c r="R109" s="13746">
        <f>IF(HLOOKUP("Shots",A1:CV300,109,FALSE)=0,0,HLOOKUP("S6YD",A1:CV300,109,FALSE)/HLOOKUP("Shots",A1:CV300,109,FALSE))</f>
        <v>0.25</v>
      </c>
      <c r="S109" s="13747">
        <v>1</v>
      </c>
      <c r="T109" s="13748">
        <f>IF(HLOOKUP("Shots",A1:CV300,109,FALSE)=0,0,HLOOKUP("Headers",A1:CV300,109,FALSE)/HLOOKUP("Shots",A1:CV300,109,FALSE))</f>
        <v>0.25</v>
      </c>
      <c r="U109" s="13749">
        <v>0</v>
      </c>
      <c r="V109" s="13750">
        <f>IF(HLOOKUP("Shots",A1:CV300,109,FALSE)=0,0,HLOOKUP("SOT",A1:CV300,109,FALSE)/HLOOKUP("Shots",A1:CV300,109,FALSE))</f>
        <v>0</v>
      </c>
      <c r="W109" s="13751">
        <f>IF(HLOOKUP("Shots",A1:CV300,109,FALSE)=0,0,HLOOKUP("Gs",A1:CV300,109,FALSE)/HLOOKUP("Shots",A1:CV300,109,FALSE))</f>
        <v>0</v>
      </c>
      <c r="X109" s="13752">
        <v>0</v>
      </c>
      <c r="Y109" s="13753">
        <v>0</v>
      </c>
      <c r="Z109" s="13754">
        <v>1</v>
      </c>
      <c r="AA109" s="13755">
        <f>IF(HLOOKUP("KP",A1:CV300,109,FALSE)=0,0,HLOOKUP("As",A1:CV300,109,FALSE)/HLOOKUP("KP",A1:CV300,109,FALSE))</f>
        <v>0</v>
      </c>
      <c r="AB109" s="13756">
        <v>47.4</v>
      </c>
      <c r="AC109" s="13757">
        <v>0</v>
      </c>
      <c r="AD109" s="13758">
        <v>0</v>
      </c>
      <c r="AE109" s="13759">
        <v>1</v>
      </c>
      <c r="AF109" s="13760">
        <v>1</v>
      </c>
      <c r="AG109" s="13761">
        <f>IF(HLOOKUP("BC",A1:CV300,109,FALSE)=0,0,HLOOKUP("Gs - BC",A1:CV300,109,FALSE)/HLOOKUP("BC",A1:CV300,109,FALSE))</f>
        <v>0</v>
      </c>
      <c r="AH109" s="13762">
        <f>HLOOKUP("BC",A1:CV300,109,FALSE) - HLOOKUP("BC Miss",A1:CV300,109,FALSE)</f>
        <v>0</v>
      </c>
      <c r="AI109" s="13763">
        <f>IF(HLOOKUP("Gs",A1:CV300,109,FALSE)=0,0,HLOOKUP("Gs - BC",A1:CV300,109,FALSE)/HLOOKUP("Gs",A1:CV300,109,FALSE))</f>
        <v>0</v>
      </c>
      <c r="AJ109" s="13764">
        <v>0</v>
      </c>
      <c r="AK109" s="13765">
        <v>0</v>
      </c>
      <c r="AL109" s="13766">
        <f>HLOOKUP("BC",A1:CV300,109,FALSE) - (HLOOKUP("PK Gs",A1:CV300,109,FALSE) + HLOOKUP("PK Miss",A1:CV300,109,FALSE))</f>
        <v>1</v>
      </c>
      <c r="AM109" s="13767">
        <f>HLOOKUP("BC Miss",A1:CV300,109,FALSE) - HLOOKUP("PK Miss",A1:CV300,109,FALSE)</f>
        <v>1</v>
      </c>
      <c r="AN109" s="13768">
        <f>IF(HLOOKUP("BC - Open",A1:CV300,109,FALSE)=0,0,HLOOKUP("BC - Open Miss",A1:CV300,109,FALSE)/HLOOKUP("BC - Open",A1:CV300,109,FALSE))</f>
        <v>1</v>
      </c>
      <c r="AO109" s="13769">
        <v>0</v>
      </c>
      <c r="AP109" s="13770">
        <f>IF(HLOOKUP("Gs",A1:CV300,109,FALSE)=0,0,HLOOKUP("GIB",A1:CV300,109,FALSE)/HLOOKUP("Gs",A1:CV300,109,FALSE))</f>
        <v>0</v>
      </c>
      <c r="AQ109" s="13771">
        <v>0</v>
      </c>
      <c r="AR109" s="13772">
        <f>IF(HLOOKUP("Gs",A1:CV300,109,FALSE)=0,0,HLOOKUP("Gs - Open",A1:CV300,109,FALSE)/HLOOKUP("Gs",A1:CV300,109,FALSE))</f>
        <v>0</v>
      </c>
      <c r="AS109" s="13773">
        <v>0.68</v>
      </c>
      <c r="AT109" s="13774">
        <v>0.63</v>
      </c>
      <c r="AU109" s="13775">
        <f>IF(HLOOKUP("Mins",A1:CV300,109,FALSE)=0,0,HLOOKUP("Pts",A1:CV300,109,FALSE)/HLOOKUP("Mins",A1:CV300,109,FALSE)* 90)</f>
        <v>2.1385237613751262</v>
      </c>
      <c r="AV109" s="13776">
        <f>IF(HLOOKUP("Apps",A1:CV300,109,FALSE)=0,0,HLOOKUP("Pts",A1:CV300,109,FALSE)/HLOOKUP("Apps",A1:CV300,109,FALSE)* 1)</f>
        <v>2.1363636363636362</v>
      </c>
      <c r="AW109" s="13777">
        <f>IF(HLOOKUP("Mins",A1:CV300,109,FALSE)=0,0,HLOOKUP("Gs",A1:CV300,109,FALSE)/HLOOKUP("Mins",A1:CV300,109,FALSE)* 90)</f>
        <v>0</v>
      </c>
      <c r="AX109" s="13778">
        <f>IF(HLOOKUP("Mins",A1:CV300,109,FALSE)=0,0,HLOOKUP("Bonus",A1:CV300,109,FALSE)/HLOOKUP("Mins",A1:CV300,109,FALSE)* 90)</f>
        <v>0.1365015166835187</v>
      </c>
      <c r="AY109" s="13779">
        <f>IF(HLOOKUP("Mins",A1:CV300,109,FALSE)=0,0,HLOOKUP("BPS",A1:CV300,109,FALSE)/HLOOKUP("Mins",A1:CV300,109,FALSE)* 90)</f>
        <v>14.74216380182002</v>
      </c>
      <c r="AZ109" s="13780">
        <f>IF(HLOOKUP("Mins",A1:CV300,109,FALSE)=0,0,HLOOKUP("Base BPS",A1:CV300,109,FALSE)/HLOOKUP("Mins",A1:CV300,109,FALSE)* 90)</f>
        <v>12.55813953488372</v>
      </c>
      <c r="BA109" s="13781">
        <f>IF(HLOOKUP("Mins",A1:CV300,109,FALSE)=0,0,HLOOKUP("PenTchs",A1:CV300,109,FALSE)/HLOOKUP("Mins",A1:CV300,109,FALSE)* 90)</f>
        <v>0.36400404448938323</v>
      </c>
      <c r="BB109" s="13782">
        <f>IF(HLOOKUP("Mins",A1:CV300,109,FALSE)=0,0,HLOOKUP("Shots",A1:CV300,109,FALSE)/HLOOKUP("Mins",A1:CV300,109,FALSE)* 90)</f>
        <v>0.18200202224469161</v>
      </c>
      <c r="BC109" s="13783">
        <f>IF(HLOOKUP("Mins",A1:CV300,109,FALSE)=0,0,HLOOKUP("SIB",A1:CV300,109,FALSE)/HLOOKUP("Mins",A1:CV300,109,FALSE)* 90)</f>
        <v>0.18200202224469161</v>
      </c>
      <c r="BD109" s="13784">
        <f>IF(HLOOKUP("Mins",A1:CV300,109,FALSE)=0,0,HLOOKUP("S6YD",A1:CV300,109,FALSE)/HLOOKUP("Mins",A1:CV300,109,FALSE)* 90)</f>
        <v>4.5500505561172903E-2</v>
      </c>
      <c r="BE109" s="13785">
        <f>IF(HLOOKUP("Mins",A1:CV300,109,FALSE)=0,0,HLOOKUP("Headers",A1:CV300,109,FALSE)/HLOOKUP("Mins",A1:CV300,109,FALSE)* 90)</f>
        <v>4.5500505561172903E-2</v>
      </c>
      <c r="BF109" s="13786">
        <f>IF(HLOOKUP("Mins",A1:CV300,109,FALSE)=0,0,HLOOKUP("SOT",A1:CV300,109,FALSE)/HLOOKUP("Mins",A1:CV300,109,FALSE)* 90)</f>
        <v>0</v>
      </c>
      <c r="BG109" s="13787">
        <f>IF(HLOOKUP("Mins",A1:CV300,109,FALSE)=0,0,HLOOKUP("As",A1:CV300,109,FALSE)/HLOOKUP("Mins",A1:CV300,109,FALSE)* 90)</f>
        <v>0</v>
      </c>
      <c r="BH109" s="13788">
        <f>IF(HLOOKUP("Mins",A1:CV300,109,FALSE)=0,0,HLOOKUP("FPL As",A1:CV300,109,FALSE)/HLOOKUP("Mins",A1:CV300,109,FALSE)* 90)</f>
        <v>0</v>
      </c>
      <c r="BI109" s="13789">
        <f>IF(HLOOKUP("Mins",A1:CV300,109,FALSE)=0,0,HLOOKUP("BC Created",A1:CV300,109,FALSE)/HLOOKUP("Mins",A1:CV300,109,FALSE)* 90)</f>
        <v>0</v>
      </c>
      <c r="BJ109" s="13790">
        <f>IF(HLOOKUP("Mins",A1:CV300,109,FALSE)=0,0,HLOOKUP("KP",A1:CV300,109,FALSE)/HLOOKUP("Mins",A1:CV300,109,FALSE)* 90)</f>
        <v>4.5500505561172903E-2</v>
      </c>
      <c r="BK109" s="13791">
        <f>IF(HLOOKUP("Mins",A1:CV300,109,FALSE)=0,0,HLOOKUP("BC",A1:CV300,109,FALSE)/HLOOKUP("Mins",A1:CV300,109,FALSE)* 90)</f>
        <v>4.5500505561172903E-2</v>
      </c>
      <c r="BL109" s="13792">
        <f>IF(HLOOKUP("Mins",A1:CV300,109,FALSE)=0,0,HLOOKUP("BC Miss",A1:CV300,109,FALSE)/HLOOKUP("Mins",A1:CV300,109,FALSE)* 90)</f>
        <v>4.5500505561172903E-2</v>
      </c>
      <c r="BM109" s="13793">
        <f>IF(HLOOKUP("Mins",A1:CV300,109,FALSE)=0,0,HLOOKUP("Gs - BC",A1:CV300,109,FALSE)/HLOOKUP("Mins",A1:CV300,109,FALSE)* 90)</f>
        <v>0</v>
      </c>
      <c r="BN109" s="13794">
        <f>IF(HLOOKUP("Mins",A1:CV300,109,FALSE)=0,0,HLOOKUP("GIB",A1:CV300,109,FALSE)/HLOOKUP("Mins",A1:CV300,109,FALSE)* 90)</f>
        <v>0</v>
      </c>
      <c r="BO109" s="13795">
        <f>IF(HLOOKUP("Mins",A1:CV300,109,FALSE)=0,0,HLOOKUP("Gs - Open",A1:CV300,109,FALSE)/HLOOKUP("Mins",A1:CV300,109,FALSE)* 90)</f>
        <v>0</v>
      </c>
      <c r="BP109" s="13796">
        <f>IF(HLOOKUP("Mins",A1:CV300,109,FALSE)=0,0,HLOOKUP("ICT Index",A1:CV300,109,FALSE)/HLOOKUP("Mins",A1:CV300,109,FALSE)* 90)</f>
        <v>2.1567239635995956</v>
      </c>
      <c r="BQ109" s="13797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  <v>1.6926188068756322E-2</v>
      </c>
      <c r="BR109" s="13798">
        <f>0.0825*HLOOKUP("KP/90",A1:CV300,109,FALSE)</f>
        <v>3.7537917087967646E-3</v>
      </c>
      <c r="BS109" s="13799">
        <f>6*HLOOKUP("xG/90",A1:CV300,109,FALSE)+3*HLOOKUP("xA/90",A1:CV300,109,FALSE)</f>
        <v>0.11281850353892822</v>
      </c>
      <c r="BT109" s="13800">
        <f>HLOOKUP("xPts/90",A1:CV300,109,FALSE)-(6*0.75*(HLOOKUP("PK Gs",A1:CV300,109,FALSE)+HLOOKUP("PK Miss",A1:CV300,109,FALSE))*90/HLOOKUP("Mins",A1:CV300,109,FALSE))</f>
        <v>0.11281850353892822</v>
      </c>
      <c r="BU109" s="13801">
        <f>IF(HLOOKUP("Mins",A1:CV300,109,FALSE)=0,0,HLOOKUP("fsXG",A1:CV300,109,FALSE)/HLOOKUP("Mins",A1:CV300,109,FALSE)* 90)</f>
        <v>3.0940343781597577E-2</v>
      </c>
      <c r="BV109" s="13802">
        <f>IF(HLOOKUP("Mins",A1:CV300,109,FALSE)=0,0,HLOOKUP("fsXA",A1:CV300,109,FALSE)/HLOOKUP("Mins",A1:CV300,109,FALSE)* 90)</f>
        <v>2.8665318503538928E-2</v>
      </c>
      <c r="BW109" s="13803">
        <f>6*HLOOKUP("fsXG/90",A1:CV300,109,FALSE)+3*HLOOKUP("fsXA/90",A1:CV300,109,FALSE)</f>
        <v>0.27163801820020228</v>
      </c>
      <c r="BX109" s="13804">
        <v>3.6147076636552811E-2</v>
      </c>
      <c r="BY109" s="13805">
        <v>5.527593195438385E-3</v>
      </c>
      <c r="BZ109" s="13806">
        <f>6*HLOOKUP("uXG/90",A1:CV300,109,FALSE)+3*HLOOKUP("uXA/90",A1:CV300,109,FALSE)</f>
        <v>0.23346523940563202</v>
      </c>
    </row>
    <row r="110" spans="1:78" x14ac:dyDescent="0.3">
      <c r="A110" s="13807" t="s">
        <v>273</v>
      </c>
      <c r="B110" s="13808" t="s">
        <v>109</v>
      </c>
      <c r="C110" s="13809">
        <v>4.8000001907348633</v>
      </c>
      <c r="D110" s="13810">
        <v>1800</v>
      </c>
      <c r="E110" s="13811">
        <v>20</v>
      </c>
      <c r="F110" s="13812">
        <v>76</v>
      </c>
      <c r="G110" s="13813">
        <v>2</v>
      </c>
      <c r="H110" s="13814">
        <v>11</v>
      </c>
      <c r="I110" s="13815">
        <v>398</v>
      </c>
      <c r="J110" s="13816">
        <f>HLOOKUP("BPS",A1:CV300,110,FALSE)-((-6*HLOOKUP("OG",A1:CV300,110,FALSE))+(-6*HLOOKUP("PK Miss",A1:CV300,110,FALSE))+(9*HLOOKUP("FPL As",A1:CV300,110,FALSE))+(12*HLOOKUP("CS",A1:CV300,110,FALSE))+(12*HLOOKUP("Gs",A1:CV300,110,FALSE)))</f>
        <v>287</v>
      </c>
      <c r="K110" s="13817">
        <v>0</v>
      </c>
      <c r="L110" s="13818">
        <v>5</v>
      </c>
      <c r="M110" s="13819">
        <v>28</v>
      </c>
      <c r="N110" s="13820">
        <v>17</v>
      </c>
      <c r="O110" s="13821">
        <v>13</v>
      </c>
      <c r="P110" s="13822">
        <f>IF(HLOOKUP("Shots",A1:CV300,110,FALSE)=0,0,HLOOKUP("SIB",A1:CV300,110,FALSE)/HLOOKUP("Shots",A1:CV300,110,FALSE))</f>
        <v>0.76470588235294112</v>
      </c>
      <c r="Q110" s="13823">
        <v>6</v>
      </c>
      <c r="R110" s="13824">
        <f>IF(HLOOKUP("Shots",A1:CV300,110,FALSE)=0,0,HLOOKUP("S6YD",A1:CV300,110,FALSE)/HLOOKUP("Shots",A1:CV300,110,FALSE))</f>
        <v>0.35294117647058826</v>
      </c>
      <c r="S110" s="13825">
        <v>11</v>
      </c>
      <c r="T110" s="13826">
        <f>IF(HLOOKUP("Shots",A1:CV300,110,FALSE)=0,0,HLOOKUP("Headers",A1:CV300,110,FALSE)/HLOOKUP("Shots",A1:CV300,110,FALSE))</f>
        <v>0.6470588235294118</v>
      </c>
      <c r="U110" s="13827">
        <v>6</v>
      </c>
      <c r="V110" s="13828">
        <f>IF(HLOOKUP("Shots",A1:CV300,110,FALSE)=0,0,HLOOKUP("SOT",A1:CV300,110,FALSE)/HLOOKUP("Shots",A1:CV300,110,FALSE))</f>
        <v>0.35294117647058826</v>
      </c>
      <c r="W110" s="13829">
        <f>IF(HLOOKUP("Shots",A1:CV300,110,FALSE)=0,0,HLOOKUP("Gs",A1:CV300,110,FALSE)/HLOOKUP("Shots",A1:CV300,110,FALSE))</f>
        <v>0.11764705882352941</v>
      </c>
      <c r="X110" s="13830">
        <v>3</v>
      </c>
      <c r="Y110" s="13831">
        <v>3</v>
      </c>
      <c r="Z110" s="13832">
        <v>8</v>
      </c>
      <c r="AA110" s="13833">
        <f>IF(HLOOKUP("KP",A1:CV300,110,FALSE)=0,0,HLOOKUP("As",A1:CV300,110,FALSE)/HLOOKUP("KP",A1:CV300,110,FALSE))</f>
        <v>0.375</v>
      </c>
      <c r="AB110" s="13834">
        <v>79.7</v>
      </c>
      <c r="AC110" s="13835">
        <v>21</v>
      </c>
      <c r="AD110" s="13836">
        <v>1</v>
      </c>
      <c r="AE110" s="13837">
        <v>4</v>
      </c>
      <c r="AF110" s="13838">
        <v>3</v>
      </c>
      <c r="AG110" s="13839">
        <f>IF(HLOOKUP("BC",A1:CV300,110,FALSE)=0,0,HLOOKUP("Gs - BC",A1:CV300,110,FALSE)/HLOOKUP("BC",A1:CV300,110,FALSE))</f>
        <v>0.25</v>
      </c>
      <c r="AH110" s="13840">
        <f>HLOOKUP("BC",A1:CV300,110,FALSE) - HLOOKUP("BC Miss",A1:CV300,110,FALSE)</f>
        <v>1</v>
      </c>
      <c r="AI110" s="13841">
        <f>IF(HLOOKUP("Gs",A1:CV300,110,FALSE)=0,0,HLOOKUP("Gs - BC",A1:CV300,110,FALSE)/HLOOKUP("Gs",A1:CV300,110,FALSE))</f>
        <v>0.5</v>
      </c>
      <c r="AJ110" s="13842">
        <v>0</v>
      </c>
      <c r="AK110" s="13843">
        <v>0</v>
      </c>
      <c r="AL110" s="13844">
        <f>HLOOKUP("BC",A1:CV300,110,FALSE) - (HLOOKUP("PK Gs",A1:CV300,110,FALSE) + HLOOKUP("PK Miss",A1:CV300,110,FALSE))</f>
        <v>4</v>
      </c>
      <c r="AM110" s="13845">
        <f>HLOOKUP("BC Miss",A1:CV300,110,FALSE) - HLOOKUP("PK Miss",A1:CV300,110,FALSE)</f>
        <v>3</v>
      </c>
      <c r="AN110" s="13846">
        <f>IF(HLOOKUP("BC - Open",A1:CV300,110,FALSE)=0,0,HLOOKUP("BC - Open Miss",A1:CV300,110,FALSE)/HLOOKUP("BC - Open",A1:CV300,110,FALSE))</f>
        <v>0.75</v>
      </c>
      <c r="AO110" s="13847">
        <v>1</v>
      </c>
      <c r="AP110" s="13848">
        <f>IF(HLOOKUP("Gs",A1:CV300,110,FALSE)=0,0,HLOOKUP("GIB",A1:CV300,110,FALSE)/HLOOKUP("Gs",A1:CV300,110,FALSE))</f>
        <v>0.5</v>
      </c>
      <c r="AQ110" s="13849">
        <v>0</v>
      </c>
      <c r="AR110" s="13850">
        <f>IF(HLOOKUP("Gs",A1:CV300,110,FALSE)=0,0,HLOOKUP("Gs - Open",A1:CV300,110,FALSE)/HLOOKUP("Gs",A1:CV300,110,FALSE))</f>
        <v>0</v>
      </c>
      <c r="AS110" s="13851">
        <v>2.17</v>
      </c>
      <c r="AT110" s="13852">
        <v>0.3</v>
      </c>
      <c r="AU110" s="13853">
        <f>IF(HLOOKUP("Mins",A1:CV300,110,FALSE)=0,0,HLOOKUP("Pts",A1:CV300,110,FALSE)/HLOOKUP("Mins",A1:CV300,110,FALSE)* 90)</f>
        <v>3.8000000000000003</v>
      </c>
      <c r="AV110" s="13854">
        <f>IF(HLOOKUP("Apps",A1:CV300,110,FALSE)=0,0,HLOOKUP("Pts",A1:CV300,110,FALSE)/HLOOKUP("Apps",A1:CV300,110,FALSE)* 1)</f>
        <v>3.8</v>
      </c>
      <c r="AW110" s="13855">
        <f>IF(HLOOKUP("Mins",A1:CV300,110,FALSE)=0,0,HLOOKUP("Gs",A1:CV300,110,FALSE)/HLOOKUP("Mins",A1:CV300,110,FALSE)* 90)</f>
        <v>0.1</v>
      </c>
      <c r="AX110" s="13856">
        <f>IF(HLOOKUP("Mins",A1:CV300,110,FALSE)=0,0,HLOOKUP("Bonus",A1:CV300,110,FALSE)/HLOOKUP("Mins",A1:CV300,110,FALSE)* 90)</f>
        <v>0.55000000000000004</v>
      </c>
      <c r="AY110" s="13857">
        <f>IF(HLOOKUP("Mins",A1:CV300,110,FALSE)=0,0,HLOOKUP("BPS",A1:CV300,110,FALSE)/HLOOKUP("Mins",A1:CV300,110,FALSE)* 90)</f>
        <v>19.900000000000002</v>
      </c>
      <c r="AZ110" s="13858">
        <f>IF(HLOOKUP("Mins",A1:CV300,110,FALSE)=0,0,HLOOKUP("Base BPS",A1:CV300,110,FALSE)/HLOOKUP("Mins",A1:CV300,110,FALSE)* 90)</f>
        <v>14.35</v>
      </c>
      <c r="BA110" s="13859">
        <f>IF(HLOOKUP("Mins",A1:CV300,110,FALSE)=0,0,HLOOKUP("PenTchs",A1:CV300,110,FALSE)/HLOOKUP("Mins",A1:CV300,110,FALSE)* 90)</f>
        <v>1.4</v>
      </c>
      <c r="BB110" s="13860">
        <f>IF(HLOOKUP("Mins",A1:CV300,110,FALSE)=0,0,HLOOKUP("Shots",A1:CV300,110,FALSE)/HLOOKUP("Mins",A1:CV300,110,FALSE)* 90)</f>
        <v>0.85</v>
      </c>
      <c r="BC110" s="13861">
        <f>IF(HLOOKUP("Mins",A1:CV300,110,FALSE)=0,0,HLOOKUP("SIB",A1:CV300,110,FALSE)/HLOOKUP("Mins",A1:CV300,110,FALSE)* 90)</f>
        <v>0.65</v>
      </c>
      <c r="BD110" s="13862">
        <f>IF(HLOOKUP("Mins",A1:CV300,110,FALSE)=0,0,HLOOKUP("S6YD",A1:CV300,110,FALSE)/HLOOKUP("Mins",A1:CV300,110,FALSE)* 90)</f>
        <v>0.30000000000000004</v>
      </c>
      <c r="BE110" s="13863">
        <f>IF(HLOOKUP("Mins",A1:CV300,110,FALSE)=0,0,HLOOKUP("Headers",A1:CV300,110,FALSE)/HLOOKUP("Mins",A1:CV300,110,FALSE)* 90)</f>
        <v>0.55000000000000004</v>
      </c>
      <c r="BF110" s="13864">
        <f>IF(HLOOKUP("Mins",A1:CV300,110,FALSE)=0,0,HLOOKUP("SOT",A1:CV300,110,FALSE)/HLOOKUP("Mins",A1:CV300,110,FALSE)* 90)</f>
        <v>0.30000000000000004</v>
      </c>
      <c r="BG110" s="13865">
        <f>IF(HLOOKUP("Mins",A1:CV300,110,FALSE)=0,0,HLOOKUP("As",A1:CV300,110,FALSE)/HLOOKUP("Mins",A1:CV300,110,FALSE)* 90)</f>
        <v>0.15000000000000002</v>
      </c>
      <c r="BH110" s="13866">
        <f>IF(HLOOKUP("Mins",A1:CV300,110,FALSE)=0,0,HLOOKUP("FPL As",A1:CV300,110,FALSE)/HLOOKUP("Mins",A1:CV300,110,FALSE)* 90)</f>
        <v>0.15000000000000002</v>
      </c>
      <c r="BI110" s="13867">
        <f>IF(HLOOKUP("Mins",A1:CV300,110,FALSE)=0,0,HLOOKUP("BC Created",A1:CV300,110,FALSE)/HLOOKUP("Mins",A1:CV300,110,FALSE)* 90)</f>
        <v>0.05</v>
      </c>
      <c r="BJ110" s="13868">
        <f>IF(HLOOKUP("Mins",A1:CV300,110,FALSE)=0,0,HLOOKUP("KP",A1:CV300,110,FALSE)/HLOOKUP("Mins",A1:CV300,110,FALSE)* 90)</f>
        <v>0.4</v>
      </c>
      <c r="BK110" s="13869">
        <f>IF(HLOOKUP("Mins",A1:CV300,110,FALSE)=0,0,HLOOKUP("BC",A1:CV300,110,FALSE)/HLOOKUP("Mins",A1:CV300,110,FALSE)* 90)</f>
        <v>0.2</v>
      </c>
      <c r="BL110" s="13870">
        <f>IF(HLOOKUP("Mins",A1:CV300,110,FALSE)=0,0,HLOOKUP("BC Miss",A1:CV300,110,FALSE)/HLOOKUP("Mins",A1:CV300,110,FALSE)* 90)</f>
        <v>0.15000000000000002</v>
      </c>
      <c r="BM110" s="13871">
        <f>IF(HLOOKUP("Mins",A1:CV300,110,FALSE)=0,0,HLOOKUP("Gs - BC",A1:CV300,110,FALSE)/HLOOKUP("Mins",A1:CV300,110,FALSE)* 90)</f>
        <v>0.05</v>
      </c>
      <c r="BN110" s="13872">
        <f>IF(HLOOKUP("Mins",A1:CV300,110,FALSE)=0,0,HLOOKUP("GIB",A1:CV300,110,FALSE)/HLOOKUP("Mins",A1:CV300,110,FALSE)* 90)</f>
        <v>0.05</v>
      </c>
      <c r="BO110" s="13873">
        <f>IF(HLOOKUP("Mins",A1:CV300,110,FALSE)=0,0,HLOOKUP("Gs - Open",A1:CV300,110,FALSE)/HLOOKUP("Mins",A1:CV300,110,FALSE)* 90)</f>
        <v>0</v>
      </c>
      <c r="BP110" s="13874">
        <f>IF(HLOOKUP("Mins",A1:CV300,110,FALSE)=0,0,HLOOKUP("ICT Index",A1:CV300,110,FALSE)/HLOOKUP("Mins",A1:CV300,110,FALSE)* 90)</f>
        <v>3.9849999999999999</v>
      </c>
      <c r="BQ110" s="13875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  <v>6.4450000000000007E-2</v>
      </c>
      <c r="BR110" s="13876">
        <f>0.0825*HLOOKUP("KP/90",A1:CV300,110,FALSE)</f>
        <v>3.3000000000000002E-2</v>
      </c>
      <c r="BS110" s="13877">
        <f>6*HLOOKUP("xG/90",A1:CV300,110,FALSE)+3*HLOOKUP("xA/90",A1:CV300,110,FALSE)</f>
        <v>0.48570000000000002</v>
      </c>
      <c r="BT110" s="13878">
        <f>HLOOKUP("xPts/90",A1:CV300,110,FALSE)-(6*0.75*(HLOOKUP("PK Gs",A1:CV300,110,FALSE)+HLOOKUP("PK Miss",A1:CV300,110,FALSE))*90/HLOOKUP("Mins",A1:CV300,110,FALSE))</f>
        <v>0.48570000000000002</v>
      </c>
      <c r="BU110" s="13879">
        <f>IF(HLOOKUP("Mins",A1:CV300,110,FALSE)=0,0,HLOOKUP("fsXG",A1:CV300,110,FALSE)/HLOOKUP("Mins",A1:CV300,110,FALSE)* 90)</f>
        <v>0.10849999999999999</v>
      </c>
      <c r="BV110" s="13880">
        <f>IF(HLOOKUP("Mins",A1:CV300,110,FALSE)=0,0,HLOOKUP("fsXA",A1:CV300,110,FALSE)/HLOOKUP("Mins",A1:CV300,110,FALSE)* 90)</f>
        <v>1.4999999999999999E-2</v>
      </c>
      <c r="BW110" s="13881">
        <f>6*HLOOKUP("fsXG/90",A1:CV300,110,FALSE)+3*HLOOKUP("fsXA/90",A1:CV300,110,FALSE)</f>
        <v>0.69599999999999995</v>
      </c>
      <c r="BX110" s="13882">
        <v>0.12015602737665176</v>
      </c>
      <c r="BY110" s="13883">
        <v>4.4013455510139465E-2</v>
      </c>
      <c r="BZ110" s="13884">
        <f>6*HLOOKUP("uXG/90",A1:CV300,110,FALSE)+3*HLOOKUP("uXA/90",A1:CV300,110,FALSE)</f>
        <v>0.85297653079032898</v>
      </c>
    </row>
    <row r="111" spans="1:78" hidden="1" x14ac:dyDescent="0.3">
      <c r="A111" s="13885" t="s">
        <v>274</v>
      </c>
      <c r="B111" s="13886" t="s">
        <v>84</v>
      </c>
      <c r="C111" s="13887">
        <v>4.5</v>
      </c>
      <c r="D111" s="13888">
        <v>1926</v>
      </c>
      <c r="E111" s="13889">
        <v>22</v>
      </c>
      <c r="F111" s="13890">
        <v>68</v>
      </c>
      <c r="G111" s="13891">
        <v>0</v>
      </c>
      <c r="H111" s="13892">
        <v>2</v>
      </c>
      <c r="I111" s="13893">
        <v>354</v>
      </c>
      <c r="J111" s="13894">
        <f>HLOOKUP("BPS",A1:CV300,111,FALSE)-((-6*HLOOKUP("OG",A1:CV300,111,FALSE))+(-6*HLOOKUP("PK Miss",A1:CV300,111,FALSE))+(9*HLOOKUP("FPL As",A1:CV300,111,FALSE))+(12*HLOOKUP("CS",A1:CV300,111,FALSE))+(12*HLOOKUP("Gs",A1:CV300,111,FALSE)))</f>
        <v>258</v>
      </c>
      <c r="K111" s="13895">
        <v>0</v>
      </c>
      <c r="L111" s="13896">
        <v>8</v>
      </c>
      <c r="M111" s="13897">
        <v>25</v>
      </c>
      <c r="N111" s="13898">
        <v>3</v>
      </c>
      <c r="O111" s="13899">
        <v>2</v>
      </c>
      <c r="P111" s="13900">
        <f>IF(HLOOKUP("Shots",A1:CV300,111,FALSE)=0,0,HLOOKUP("SIB",A1:CV300,111,FALSE)/HLOOKUP("Shots",A1:CV300,111,FALSE))</f>
        <v>0.66666666666666663</v>
      </c>
      <c r="Q111" s="13901">
        <v>0</v>
      </c>
      <c r="R111" s="13902">
        <f>IF(HLOOKUP("Shots",A1:CV300,111,FALSE)=0,0,HLOOKUP("S6YD",A1:CV300,111,FALSE)/HLOOKUP("Shots",A1:CV300,111,FALSE))</f>
        <v>0</v>
      </c>
      <c r="S111" s="13903">
        <v>1</v>
      </c>
      <c r="T111" s="13904">
        <f>IF(HLOOKUP("Shots",A1:CV300,111,FALSE)=0,0,HLOOKUP("Headers",A1:CV300,111,FALSE)/HLOOKUP("Shots",A1:CV300,111,FALSE))</f>
        <v>0.33333333333333331</v>
      </c>
      <c r="U111" s="13905">
        <v>0</v>
      </c>
      <c r="V111" s="13906">
        <f>IF(HLOOKUP("Shots",A1:CV300,111,FALSE)=0,0,HLOOKUP("SOT",A1:CV300,111,FALSE)/HLOOKUP("Shots",A1:CV300,111,FALSE))</f>
        <v>0</v>
      </c>
      <c r="W111" s="13907">
        <f>IF(HLOOKUP("Shots",A1:CV300,111,FALSE)=0,0,HLOOKUP("Gs",A1:CV300,111,FALSE)/HLOOKUP("Shots",A1:CV300,111,FALSE))</f>
        <v>0</v>
      </c>
      <c r="X111" s="13908">
        <v>0</v>
      </c>
      <c r="Y111" s="13909">
        <v>0</v>
      </c>
      <c r="Z111" s="13910">
        <v>4</v>
      </c>
      <c r="AA111" s="13911">
        <f>IF(HLOOKUP("KP",A1:CV300,111,FALSE)=0,0,HLOOKUP("As",A1:CV300,111,FALSE)/HLOOKUP("KP",A1:CV300,111,FALSE))</f>
        <v>0</v>
      </c>
      <c r="AB111" s="13912">
        <v>52.1</v>
      </c>
      <c r="AC111" s="13913">
        <v>0</v>
      </c>
      <c r="AD111" s="13914">
        <v>2</v>
      </c>
      <c r="AE111" s="13915">
        <v>0</v>
      </c>
      <c r="AF111" s="13916">
        <v>0</v>
      </c>
      <c r="AG111" s="13917">
        <f>IF(HLOOKUP("BC",A1:CV300,111,FALSE)=0,0,HLOOKUP("Gs - BC",A1:CV300,111,FALSE)/HLOOKUP("BC",A1:CV300,111,FALSE))</f>
        <v>0</v>
      </c>
      <c r="AH111" s="13918">
        <f>HLOOKUP("BC",A1:CV300,111,FALSE) - HLOOKUP("BC Miss",A1:CV300,111,FALSE)</f>
        <v>0</v>
      </c>
      <c r="AI111" s="13919">
        <f>IF(HLOOKUP("Gs",A1:CV300,111,FALSE)=0,0,HLOOKUP("Gs - BC",A1:CV300,111,FALSE)/HLOOKUP("Gs",A1:CV300,111,FALSE))</f>
        <v>0</v>
      </c>
      <c r="AJ111" s="13920">
        <v>0</v>
      </c>
      <c r="AK111" s="13921">
        <v>0</v>
      </c>
      <c r="AL111" s="13922">
        <f>HLOOKUP("BC",A1:CV300,111,FALSE) - (HLOOKUP("PK Gs",A1:CV300,111,FALSE) + HLOOKUP("PK Miss",A1:CV300,111,FALSE))</f>
        <v>0</v>
      </c>
      <c r="AM111" s="13923">
        <f>HLOOKUP("BC Miss",A1:CV300,111,FALSE) - HLOOKUP("PK Miss",A1:CV300,111,FALSE)</f>
        <v>0</v>
      </c>
      <c r="AN111" s="13924">
        <f>IF(HLOOKUP("BC - Open",A1:CV300,111,FALSE)=0,0,HLOOKUP("BC - Open Miss",A1:CV300,111,FALSE)/HLOOKUP("BC - Open",A1:CV300,111,FALSE))</f>
        <v>0</v>
      </c>
      <c r="AO111" s="13925">
        <v>0</v>
      </c>
      <c r="AP111" s="13926">
        <f>IF(HLOOKUP("Gs",A1:CV300,111,FALSE)=0,0,HLOOKUP("GIB",A1:CV300,111,FALSE)/HLOOKUP("Gs",A1:CV300,111,FALSE))</f>
        <v>0</v>
      </c>
      <c r="AQ111" s="13927">
        <v>0</v>
      </c>
      <c r="AR111" s="13928">
        <f>IF(HLOOKUP("Gs",A1:CV300,111,FALSE)=0,0,HLOOKUP("Gs - Open",A1:CV300,111,FALSE)/HLOOKUP("Gs",A1:CV300,111,FALSE))</f>
        <v>0</v>
      </c>
      <c r="AS111" s="13929">
        <v>0.18</v>
      </c>
      <c r="AT111" s="13930">
        <v>0.87</v>
      </c>
      <c r="AU111" s="13931">
        <f>IF(HLOOKUP("Mins",A1:CV300,111,FALSE)=0,0,HLOOKUP("Pts",A1:CV300,111,FALSE)/HLOOKUP("Mins",A1:CV300,111,FALSE)* 90)</f>
        <v>3.1775700934579443</v>
      </c>
      <c r="AV111" s="13932">
        <f>IF(HLOOKUP("Apps",A1:CV300,111,FALSE)=0,0,HLOOKUP("Pts",A1:CV300,111,FALSE)/HLOOKUP("Apps",A1:CV300,111,FALSE)* 1)</f>
        <v>3.0909090909090908</v>
      </c>
      <c r="AW111" s="13933">
        <f>IF(HLOOKUP("Mins",A1:CV300,111,FALSE)=0,0,HLOOKUP("Gs",A1:CV300,111,FALSE)/HLOOKUP("Mins",A1:CV300,111,FALSE)* 90)</f>
        <v>0</v>
      </c>
      <c r="AX111" s="13934">
        <f>IF(HLOOKUP("Mins",A1:CV300,111,FALSE)=0,0,HLOOKUP("Bonus",A1:CV300,111,FALSE)/HLOOKUP("Mins",A1:CV300,111,FALSE)* 90)</f>
        <v>9.3457943925233641E-2</v>
      </c>
      <c r="AY111" s="13935">
        <f>IF(HLOOKUP("Mins",A1:CV300,111,FALSE)=0,0,HLOOKUP("BPS",A1:CV300,111,FALSE)/HLOOKUP("Mins",A1:CV300,111,FALSE)* 90)</f>
        <v>16.542056074766354</v>
      </c>
      <c r="AZ111" s="13936">
        <f>IF(HLOOKUP("Mins",A1:CV300,111,FALSE)=0,0,HLOOKUP("Base BPS",A1:CV300,111,FALSE)/HLOOKUP("Mins",A1:CV300,111,FALSE)* 90)</f>
        <v>12.056074766355138</v>
      </c>
      <c r="BA111" s="13937">
        <f>IF(HLOOKUP("Mins",A1:CV300,111,FALSE)=0,0,HLOOKUP("PenTchs",A1:CV300,111,FALSE)/HLOOKUP("Mins",A1:CV300,111,FALSE)* 90)</f>
        <v>1.1682242990654206</v>
      </c>
      <c r="BB111" s="13938">
        <f>IF(HLOOKUP("Mins",A1:CV300,111,FALSE)=0,0,HLOOKUP("Shots",A1:CV300,111,FALSE)/HLOOKUP("Mins",A1:CV300,111,FALSE)* 90)</f>
        <v>0.14018691588785046</v>
      </c>
      <c r="BC111" s="13939">
        <f>IF(HLOOKUP("Mins",A1:CV300,111,FALSE)=0,0,HLOOKUP("SIB",A1:CV300,111,FALSE)/HLOOKUP("Mins",A1:CV300,111,FALSE)* 90)</f>
        <v>9.3457943925233641E-2</v>
      </c>
      <c r="BD111" s="13940">
        <f>IF(HLOOKUP("Mins",A1:CV300,111,FALSE)=0,0,HLOOKUP("S6YD",A1:CV300,111,FALSE)/HLOOKUP("Mins",A1:CV300,111,FALSE)* 90)</f>
        <v>0</v>
      </c>
      <c r="BE111" s="13941">
        <f>IF(HLOOKUP("Mins",A1:CV300,111,FALSE)=0,0,HLOOKUP("Headers",A1:CV300,111,FALSE)/HLOOKUP("Mins",A1:CV300,111,FALSE)* 90)</f>
        <v>4.6728971962616821E-2</v>
      </c>
      <c r="BF111" s="13942">
        <f>IF(HLOOKUP("Mins",A1:CV300,111,FALSE)=0,0,HLOOKUP("SOT",A1:CV300,111,FALSE)/HLOOKUP("Mins",A1:CV300,111,FALSE)* 90)</f>
        <v>0</v>
      </c>
      <c r="BG111" s="13943">
        <f>IF(HLOOKUP("Mins",A1:CV300,111,FALSE)=0,0,HLOOKUP("As",A1:CV300,111,FALSE)/HLOOKUP("Mins",A1:CV300,111,FALSE)* 90)</f>
        <v>0</v>
      </c>
      <c r="BH111" s="13944">
        <f>IF(HLOOKUP("Mins",A1:CV300,111,FALSE)=0,0,HLOOKUP("FPL As",A1:CV300,111,FALSE)/HLOOKUP("Mins",A1:CV300,111,FALSE)* 90)</f>
        <v>0</v>
      </c>
      <c r="BI111" s="13945">
        <f>IF(HLOOKUP("Mins",A1:CV300,111,FALSE)=0,0,HLOOKUP("BC Created",A1:CV300,111,FALSE)/HLOOKUP("Mins",A1:CV300,111,FALSE)* 90)</f>
        <v>9.3457943925233641E-2</v>
      </c>
      <c r="BJ111" s="13946">
        <f>IF(HLOOKUP("Mins",A1:CV300,111,FALSE)=0,0,HLOOKUP("KP",A1:CV300,111,FALSE)/HLOOKUP("Mins",A1:CV300,111,FALSE)* 90)</f>
        <v>0.18691588785046728</v>
      </c>
      <c r="BK111" s="13947">
        <f>IF(HLOOKUP("Mins",A1:CV300,111,FALSE)=0,0,HLOOKUP("BC",A1:CV300,111,FALSE)/HLOOKUP("Mins",A1:CV300,111,FALSE)* 90)</f>
        <v>0</v>
      </c>
      <c r="BL111" s="13948">
        <f>IF(HLOOKUP("Mins",A1:CV300,111,FALSE)=0,0,HLOOKUP("BC Miss",A1:CV300,111,FALSE)/HLOOKUP("Mins",A1:CV300,111,FALSE)* 90)</f>
        <v>0</v>
      </c>
      <c r="BM111" s="13949">
        <f>IF(HLOOKUP("Mins",A1:CV300,111,FALSE)=0,0,HLOOKUP("Gs - BC",A1:CV300,111,FALSE)/HLOOKUP("Mins",A1:CV300,111,FALSE)* 90)</f>
        <v>0</v>
      </c>
      <c r="BN111" s="13950">
        <f>IF(HLOOKUP("Mins",A1:CV300,111,FALSE)=0,0,HLOOKUP("GIB",A1:CV300,111,FALSE)/HLOOKUP("Mins",A1:CV300,111,FALSE)* 90)</f>
        <v>0</v>
      </c>
      <c r="BO111" s="13951">
        <f>IF(HLOOKUP("Mins",A1:CV300,111,FALSE)=0,0,HLOOKUP("Gs - Open",A1:CV300,111,FALSE)/HLOOKUP("Mins",A1:CV300,111,FALSE)* 90)</f>
        <v>0</v>
      </c>
      <c r="BP111" s="13952">
        <f>IF(HLOOKUP("Mins",A1:CV300,111,FALSE)=0,0,HLOOKUP("ICT Index",A1:CV300,111,FALSE)/HLOOKUP("Mins",A1:CV300,111,FALSE)* 90)</f>
        <v>2.4345794392523366</v>
      </c>
      <c r="BQ111" s="13953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  <v>9.6261682242990646E-3</v>
      </c>
      <c r="BR111" s="13954">
        <f>0.0825*HLOOKUP("KP/90",A1:CV300,111,FALSE)</f>
        <v>1.5420560747663551E-2</v>
      </c>
      <c r="BS111" s="13955">
        <f>6*HLOOKUP("xG/90",A1:CV300,111,FALSE)+3*HLOOKUP("xA/90",A1:CV300,111,FALSE)</f>
        <v>0.10401869158878504</v>
      </c>
      <c r="BT111" s="13956">
        <f>HLOOKUP("xPts/90",A1:CV300,111,FALSE)-(6*0.75*(HLOOKUP("PK Gs",A1:CV300,111,FALSE)+HLOOKUP("PK Miss",A1:CV300,111,FALSE))*90/HLOOKUP("Mins",A1:CV300,111,FALSE))</f>
        <v>0.10401869158878504</v>
      </c>
      <c r="BU111" s="13957">
        <f>IF(HLOOKUP("Mins",A1:CV300,111,FALSE)=0,0,HLOOKUP("fsXG",A1:CV300,111,FALSE)/HLOOKUP("Mins",A1:CV300,111,FALSE)* 90)</f>
        <v>8.4112149532710283E-3</v>
      </c>
      <c r="BV111" s="13958">
        <f>IF(HLOOKUP("Mins",A1:CV300,111,FALSE)=0,0,HLOOKUP("fsXA",A1:CV300,111,FALSE)/HLOOKUP("Mins",A1:CV300,111,FALSE)* 90)</f>
        <v>4.0654205607476637E-2</v>
      </c>
      <c r="BW111" s="13959">
        <f>6*HLOOKUP("fsXG/90",A1:CV300,111,FALSE)+3*HLOOKUP("fsXA/90",A1:CV300,111,FALSE)</f>
        <v>0.17242990654205609</v>
      </c>
      <c r="BX111" s="13960">
        <v>1.0289529338479042E-2</v>
      </c>
      <c r="BY111" s="13961">
        <v>4.1591700166463852E-2</v>
      </c>
      <c r="BZ111" s="13962">
        <f>6*HLOOKUP("uXG/90",A1:CV300,111,FALSE)+3*HLOOKUP("uXA/90",A1:CV300,111,FALSE)</f>
        <v>0.18651227653026581</v>
      </c>
    </row>
    <row r="112" spans="1:78" hidden="1" x14ac:dyDescent="0.3">
      <c r="A112" s="13963" t="s">
        <v>275</v>
      </c>
      <c r="B112" s="13964" t="s">
        <v>105</v>
      </c>
      <c r="C112" s="13965">
        <v>6.3000001907348633</v>
      </c>
      <c r="D112" s="13966">
        <v>307</v>
      </c>
      <c r="E112" s="13967">
        <v>4</v>
      </c>
      <c r="F112" s="13968">
        <v>9</v>
      </c>
      <c r="G112" s="13969">
        <v>0</v>
      </c>
      <c r="H112" s="13970">
        <v>0</v>
      </c>
      <c r="I112" s="13971">
        <v>56</v>
      </c>
      <c r="J112" s="13972">
        <f>HLOOKUP("BPS",A1:CV300,112,FALSE)-((-6*HLOOKUP("OG",A1:CV300,112,FALSE))+(-6*HLOOKUP("PK Miss",A1:CV300,112,FALSE))+(9*HLOOKUP("FPL As",A1:CV300,112,FALSE))+(12*HLOOKUP("CS",A1:CV300,112,FALSE))+(12*HLOOKUP("Gs",A1:CV300,112,FALSE)))</f>
        <v>44</v>
      </c>
      <c r="K112" s="13973">
        <v>0</v>
      </c>
      <c r="L112" s="13974">
        <v>1</v>
      </c>
      <c r="M112" s="13975">
        <v>2</v>
      </c>
      <c r="N112" s="13976">
        <v>1</v>
      </c>
      <c r="O112" s="13977">
        <v>1</v>
      </c>
      <c r="P112" s="13978">
        <f>IF(HLOOKUP("Shots",A1:CV300,112,FALSE)=0,0,HLOOKUP("SIB",A1:CV300,112,FALSE)/HLOOKUP("Shots",A1:CV300,112,FALSE))</f>
        <v>1</v>
      </c>
      <c r="Q112" s="13979">
        <v>0</v>
      </c>
      <c r="R112" s="13980">
        <f>IF(HLOOKUP("Shots",A1:CV300,112,FALSE)=0,0,HLOOKUP("S6YD",A1:CV300,112,FALSE)/HLOOKUP("Shots",A1:CV300,112,FALSE))</f>
        <v>0</v>
      </c>
      <c r="S112" s="13981">
        <v>0</v>
      </c>
      <c r="T112" s="13982">
        <f>IF(HLOOKUP("Shots",A1:CV300,112,FALSE)=0,0,HLOOKUP("Headers",A1:CV300,112,FALSE)/HLOOKUP("Shots",A1:CV300,112,FALSE))</f>
        <v>0</v>
      </c>
      <c r="U112" s="13983">
        <v>1</v>
      </c>
      <c r="V112" s="13984">
        <f>IF(HLOOKUP("Shots",A1:CV300,112,FALSE)=0,0,HLOOKUP("SOT",A1:CV300,112,FALSE)/HLOOKUP("Shots",A1:CV300,112,FALSE))</f>
        <v>1</v>
      </c>
      <c r="W112" s="13985">
        <f>IF(HLOOKUP("Shots",A1:CV300,112,FALSE)=0,0,HLOOKUP("Gs",A1:CV300,112,FALSE)/HLOOKUP("Shots",A1:CV300,112,FALSE))</f>
        <v>0</v>
      </c>
      <c r="X112" s="13986">
        <v>0</v>
      </c>
      <c r="Y112" s="13987">
        <v>0</v>
      </c>
      <c r="Z112" s="13988">
        <v>2</v>
      </c>
      <c r="AA112" s="13989">
        <f>IF(HLOOKUP("KP",A1:CV300,112,FALSE)=0,0,HLOOKUP("As",A1:CV300,112,FALSE)/HLOOKUP("KP",A1:CV300,112,FALSE))</f>
        <v>0</v>
      </c>
      <c r="AB112" s="13990">
        <v>11.1</v>
      </c>
      <c r="AC112" s="13991">
        <v>0</v>
      </c>
      <c r="AD112" s="13992">
        <v>0</v>
      </c>
      <c r="AE112" s="13993">
        <v>0</v>
      </c>
      <c r="AF112" s="13994">
        <v>0</v>
      </c>
      <c r="AG112" s="13995">
        <f>IF(HLOOKUP("BC",A1:CV300,112,FALSE)=0,0,HLOOKUP("Gs - BC",A1:CV300,112,FALSE)/HLOOKUP("BC",A1:CV300,112,FALSE))</f>
        <v>0</v>
      </c>
      <c r="AH112" s="13996">
        <f>HLOOKUP("BC",A1:CV300,112,FALSE) - HLOOKUP("BC Miss",A1:CV300,112,FALSE)</f>
        <v>0</v>
      </c>
      <c r="AI112" s="13997">
        <f>IF(HLOOKUP("Gs",A1:CV300,112,FALSE)=0,0,HLOOKUP("Gs - BC",A1:CV300,112,FALSE)/HLOOKUP("Gs",A1:CV300,112,FALSE))</f>
        <v>0</v>
      </c>
      <c r="AJ112" s="13998">
        <v>0</v>
      </c>
      <c r="AK112" s="13999">
        <v>0</v>
      </c>
      <c r="AL112" s="14000">
        <f>HLOOKUP("BC",A1:CV300,112,FALSE) - (HLOOKUP("PK Gs",A1:CV300,112,FALSE) + HLOOKUP("PK Miss",A1:CV300,112,FALSE))</f>
        <v>0</v>
      </c>
      <c r="AM112" s="14001">
        <f>HLOOKUP("BC Miss",A1:CV300,112,FALSE) - HLOOKUP("PK Miss",A1:CV300,112,FALSE)</f>
        <v>0</v>
      </c>
      <c r="AN112" s="14002">
        <f>IF(HLOOKUP("BC - Open",A1:CV300,112,FALSE)=0,0,HLOOKUP("BC - Open Miss",A1:CV300,112,FALSE)/HLOOKUP("BC - Open",A1:CV300,112,FALSE))</f>
        <v>0</v>
      </c>
      <c r="AO112" s="14003">
        <v>0</v>
      </c>
      <c r="AP112" s="14004">
        <f>IF(HLOOKUP("Gs",A1:CV300,112,FALSE)=0,0,HLOOKUP("GIB",A1:CV300,112,FALSE)/HLOOKUP("Gs",A1:CV300,112,FALSE))</f>
        <v>0</v>
      </c>
      <c r="AQ112" s="14005">
        <v>0</v>
      </c>
      <c r="AR112" s="14006">
        <f>IF(HLOOKUP("Gs",A1:CV300,112,FALSE)=0,0,HLOOKUP("Gs - Open",A1:CV300,112,FALSE)/HLOOKUP("Gs",A1:CV300,112,FALSE))</f>
        <v>0</v>
      </c>
      <c r="AS112" s="14007">
        <v>0.14000000000000001</v>
      </c>
      <c r="AT112" s="14008">
        <v>0.28999999999999998</v>
      </c>
      <c r="AU112" s="14009">
        <f>IF(HLOOKUP("Mins",A1:CV300,112,FALSE)=0,0,HLOOKUP("Pts",A1:CV300,112,FALSE)/HLOOKUP("Mins",A1:CV300,112,FALSE)* 90)</f>
        <v>2.6384364820846904</v>
      </c>
      <c r="AV112" s="14010">
        <f>IF(HLOOKUP("Apps",A1:CV300,112,FALSE)=0,0,HLOOKUP("Pts",A1:CV300,112,FALSE)/HLOOKUP("Apps",A1:CV300,112,FALSE)* 1)</f>
        <v>2.25</v>
      </c>
      <c r="AW112" s="14011">
        <f>IF(HLOOKUP("Mins",A1:CV300,112,FALSE)=0,0,HLOOKUP("Gs",A1:CV300,112,FALSE)/HLOOKUP("Mins",A1:CV300,112,FALSE)* 90)</f>
        <v>0</v>
      </c>
      <c r="AX112" s="14012">
        <f>IF(HLOOKUP("Mins",A1:CV300,112,FALSE)=0,0,HLOOKUP("Bonus",A1:CV300,112,FALSE)/HLOOKUP("Mins",A1:CV300,112,FALSE)* 90)</f>
        <v>0</v>
      </c>
      <c r="AY112" s="14013">
        <f>IF(HLOOKUP("Mins",A1:CV300,112,FALSE)=0,0,HLOOKUP("BPS",A1:CV300,112,FALSE)/HLOOKUP("Mins",A1:CV300,112,FALSE)* 90)</f>
        <v>16.416938110749186</v>
      </c>
      <c r="AZ112" s="14014">
        <f>IF(HLOOKUP("Mins",A1:CV300,112,FALSE)=0,0,HLOOKUP("Base BPS",A1:CV300,112,FALSE)/HLOOKUP("Mins",A1:CV300,112,FALSE)* 90)</f>
        <v>12.899022801302932</v>
      </c>
      <c r="BA112" s="14015">
        <f>IF(HLOOKUP("Mins",A1:CV300,112,FALSE)=0,0,HLOOKUP("PenTchs",A1:CV300,112,FALSE)/HLOOKUP("Mins",A1:CV300,112,FALSE)* 90)</f>
        <v>0.58631921824104238</v>
      </c>
      <c r="BB112" s="14016">
        <f>IF(HLOOKUP("Mins",A1:CV300,112,FALSE)=0,0,HLOOKUP("Shots",A1:CV300,112,FALSE)/HLOOKUP("Mins",A1:CV300,112,FALSE)* 90)</f>
        <v>0.29315960912052119</v>
      </c>
      <c r="BC112" s="14017">
        <f>IF(HLOOKUP("Mins",A1:CV300,112,FALSE)=0,0,HLOOKUP("SIB",A1:CV300,112,FALSE)/HLOOKUP("Mins",A1:CV300,112,FALSE)* 90)</f>
        <v>0.29315960912052119</v>
      </c>
      <c r="BD112" s="14018">
        <f>IF(HLOOKUP("Mins",A1:CV300,112,FALSE)=0,0,HLOOKUP("S6YD",A1:CV300,112,FALSE)/HLOOKUP("Mins",A1:CV300,112,FALSE)* 90)</f>
        <v>0</v>
      </c>
      <c r="BE112" s="14019">
        <f>IF(HLOOKUP("Mins",A1:CV300,112,FALSE)=0,0,HLOOKUP("Headers",A1:CV300,112,FALSE)/HLOOKUP("Mins",A1:CV300,112,FALSE)* 90)</f>
        <v>0</v>
      </c>
      <c r="BF112" s="14020">
        <f>IF(HLOOKUP("Mins",A1:CV300,112,FALSE)=0,0,HLOOKUP("SOT",A1:CV300,112,FALSE)/HLOOKUP("Mins",A1:CV300,112,FALSE)* 90)</f>
        <v>0.29315960912052119</v>
      </c>
      <c r="BG112" s="14021">
        <f>IF(HLOOKUP("Mins",A1:CV300,112,FALSE)=0,0,HLOOKUP("As",A1:CV300,112,FALSE)/HLOOKUP("Mins",A1:CV300,112,FALSE)* 90)</f>
        <v>0</v>
      </c>
      <c r="BH112" s="14022">
        <f>IF(HLOOKUP("Mins",A1:CV300,112,FALSE)=0,0,HLOOKUP("FPL As",A1:CV300,112,FALSE)/HLOOKUP("Mins",A1:CV300,112,FALSE)* 90)</f>
        <v>0</v>
      </c>
      <c r="BI112" s="14023">
        <f>IF(HLOOKUP("Mins",A1:CV300,112,FALSE)=0,0,HLOOKUP("BC Created",A1:CV300,112,FALSE)/HLOOKUP("Mins",A1:CV300,112,FALSE)* 90)</f>
        <v>0</v>
      </c>
      <c r="BJ112" s="14024">
        <f>IF(HLOOKUP("Mins",A1:CV300,112,FALSE)=0,0,HLOOKUP("KP",A1:CV300,112,FALSE)/HLOOKUP("Mins",A1:CV300,112,FALSE)* 90)</f>
        <v>0.58631921824104238</v>
      </c>
      <c r="BK112" s="14025">
        <f>IF(HLOOKUP("Mins",A1:CV300,112,FALSE)=0,0,HLOOKUP("BC",A1:CV300,112,FALSE)/HLOOKUP("Mins",A1:CV300,112,FALSE)* 90)</f>
        <v>0</v>
      </c>
      <c r="BL112" s="14026">
        <f>IF(HLOOKUP("Mins",A1:CV300,112,FALSE)=0,0,HLOOKUP("BC Miss",A1:CV300,112,FALSE)/HLOOKUP("Mins",A1:CV300,112,FALSE)* 90)</f>
        <v>0</v>
      </c>
      <c r="BM112" s="14027">
        <f>IF(HLOOKUP("Mins",A1:CV300,112,FALSE)=0,0,HLOOKUP("Gs - BC",A1:CV300,112,FALSE)/HLOOKUP("Mins",A1:CV300,112,FALSE)* 90)</f>
        <v>0</v>
      </c>
      <c r="BN112" s="14028">
        <f>IF(HLOOKUP("Mins",A1:CV300,112,FALSE)=0,0,HLOOKUP("GIB",A1:CV300,112,FALSE)/HLOOKUP("Mins",A1:CV300,112,FALSE)* 90)</f>
        <v>0</v>
      </c>
      <c r="BO112" s="14029">
        <f>IF(HLOOKUP("Mins",A1:CV300,112,FALSE)=0,0,HLOOKUP("Gs - Open",A1:CV300,112,FALSE)/HLOOKUP("Mins",A1:CV300,112,FALSE)* 90)</f>
        <v>0</v>
      </c>
      <c r="BP112" s="14030">
        <f>IF(HLOOKUP("Mins",A1:CV300,112,FALSE)=0,0,HLOOKUP("ICT Index",A1:CV300,112,FALSE)/HLOOKUP("Mins",A1:CV300,112,FALSE)* 90)</f>
        <v>3.2540716612377847</v>
      </c>
      <c r="BQ112" s="14031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  <v>2.7263843648208469E-2</v>
      </c>
      <c r="BR112" s="14032">
        <f>0.0825*HLOOKUP("KP/90",A1:CV300,112,FALSE)</f>
        <v>4.8371335504885996E-2</v>
      </c>
      <c r="BS112" s="14033">
        <f>6*HLOOKUP("xG/90",A1:CV300,112,FALSE)+3*HLOOKUP("xA/90",A1:CV300,112,FALSE)</f>
        <v>0.30869706840390881</v>
      </c>
      <c r="BT112" s="14034">
        <f>HLOOKUP("xPts/90",A1:CV300,112,FALSE)-(6*0.75*(HLOOKUP("PK Gs",A1:CV300,112,FALSE)+HLOOKUP("PK Miss",A1:CV300,112,FALSE))*90/HLOOKUP("Mins",A1:CV300,112,FALSE))</f>
        <v>0.30869706840390881</v>
      </c>
      <c r="BU112" s="14035">
        <f>IF(HLOOKUP("Mins",A1:CV300,112,FALSE)=0,0,HLOOKUP("fsXG",A1:CV300,112,FALSE)/HLOOKUP("Mins",A1:CV300,112,FALSE)* 90)</f>
        <v>4.104234527687297E-2</v>
      </c>
      <c r="BV112" s="14036">
        <f>IF(HLOOKUP("Mins",A1:CV300,112,FALSE)=0,0,HLOOKUP("fsXA",A1:CV300,112,FALSE)/HLOOKUP("Mins",A1:CV300,112,FALSE)* 90)</f>
        <v>8.5016286644951131E-2</v>
      </c>
      <c r="BW112" s="14037">
        <f>6*HLOOKUP("fsXG/90",A1:CV300,112,FALSE)+3*HLOOKUP("fsXA/90",A1:CV300,112,FALSE)</f>
        <v>0.50130293159609118</v>
      </c>
      <c r="BX112" s="14038">
        <v>2.4089068174362183E-2</v>
      </c>
      <c r="BY112" s="14039">
        <v>4.2657151818275452E-2</v>
      </c>
      <c r="BZ112" s="14040">
        <f>6*HLOOKUP("uXG/90",A1:CV300,112,FALSE)+3*HLOOKUP("uXA/90",A1:CV300,112,FALSE)</f>
        <v>0.27250586450099945</v>
      </c>
    </row>
    <row r="113" spans="1:78" hidden="1" x14ac:dyDescent="0.3">
      <c r="A113" s="14041" t="s">
        <v>276</v>
      </c>
      <c r="B113" s="14042" t="s">
        <v>102</v>
      </c>
      <c r="C113" s="14043">
        <v>5</v>
      </c>
      <c r="D113" s="14044">
        <v>1249</v>
      </c>
      <c r="E113" s="14045">
        <v>15</v>
      </c>
      <c r="F113" s="14046">
        <v>47</v>
      </c>
      <c r="G113" s="14047">
        <v>2</v>
      </c>
      <c r="H113" s="14048">
        <v>2</v>
      </c>
      <c r="I113" s="14049">
        <v>224</v>
      </c>
      <c r="J113" s="14050">
        <f>HLOOKUP("BPS",A1:CV300,113,FALSE)-((-6*HLOOKUP("OG",A1:CV300,113,FALSE))+(-6*HLOOKUP("PK Miss",A1:CV300,113,FALSE))+(9*HLOOKUP("FPL As",A1:CV300,113,FALSE))+(12*HLOOKUP("CS",A1:CV300,113,FALSE))+(12*HLOOKUP("Gs",A1:CV300,113,FALSE)))</f>
        <v>152</v>
      </c>
      <c r="K113" s="14051">
        <v>0</v>
      </c>
      <c r="L113" s="14052">
        <v>4</v>
      </c>
      <c r="M113" s="14053">
        <v>15</v>
      </c>
      <c r="N113" s="14054">
        <v>16</v>
      </c>
      <c r="O113" s="14055">
        <v>9</v>
      </c>
      <c r="P113" s="14056">
        <f>IF(HLOOKUP("Shots",A1:CV300,113,FALSE)=0,0,HLOOKUP("SIB",A1:CV300,113,FALSE)/HLOOKUP("Shots",A1:CV300,113,FALSE))</f>
        <v>0.5625</v>
      </c>
      <c r="Q113" s="14057">
        <v>0</v>
      </c>
      <c r="R113" s="14058">
        <f>IF(HLOOKUP("Shots",A1:CV300,113,FALSE)=0,0,HLOOKUP("S6YD",A1:CV300,113,FALSE)/HLOOKUP("Shots",A1:CV300,113,FALSE))</f>
        <v>0</v>
      </c>
      <c r="S113" s="14059">
        <v>6</v>
      </c>
      <c r="T113" s="14060">
        <f>IF(HLOOKUP("Shots",A1:CV300,113,FALSE)=0,0,HLOOKUP("Headers",A1:CV300,113,FALSE)/HLOOKUP("Shots",A1:CV300,113,FALSE))</f>
        <v>0.375</v>
      </c>
      <c r="U113" s="14061">
        <v>5</v>
      </c>
      <c r="V113" s="14062">
        <f>IF(HLOOKUP("Shots",A1:CV300,113,FALSE)=0,0,HLOOKUP("SOT",A1:CV300,113,FALSE)/HLOOKUP("Shots",A1:CV300,113,FALSE))</f>
        <v>0.3125</v>
      </c>
      <c r="W113" s="14063">
        <f>IF(HLOOKUP("Shots",A1:CV300,113,FALSE)=0,0,HLOOKUP("Gs",A1:CV300,113,FALSE)/HLOOKUP("Shots",A1:CV300,113,FALSE))</f>
        <v>0.125</v>
      </c>
      <c r="X113" s="14064">
        <v>0</v>
      </c>
      <c r="Y113" s="14065">
        <v>0</v>
      </c>
      <c r="Z113" s="14066">
        <v>3</v>
      </c>
      <c r="AA113" s="14067">
        <f>IF(HLOOKUP("KP",A1:CV300,113,FALSE)=0,0,HLOOKUP("As",A1:CV300,113,FALSE)/HLOOKUP("KP",A1:CV300,113,FALSE))</f>
        <v>0</v>
      </c>
      <c r="AB113" s="14068">
        <v>53.1</v>
      </c>
      <c r="AC113" s="14069">
        <v>20</v>
      </c>
      <c r="AD113" s="14070">
        <v>0</v>
      </c>
      <c r="AE113" s="14071">
        <v>2</v>
      </c>
      <c r="AF113" s="14072">
        <v>1</v>
      </c>
      <c r="AG113" s="14073">
        <f>IF(HLOOKUP("BC",A1:CV300,113,FALSE)=0,0,HLOOKUP("Gs - BC",A1:CV300,113,FALSE)/HLOOKUP("BC",A1:CV300,113,FALSE))</f>
        <v>0.5</v>
      </c>
      <c r="AH113" s="14074">
        <f>HLOOKUP("BC",A1:CV300,113,FALSE) - HLOOKUP("BC Miss",A1:CV300,113,FALSE)</f>
        <v>1</v>
      </c>
      <c r="AI113" s="14075">
        <f>IF(HLOOKUP("Gs",A1:CV300,113,FALSE)=0,0,HLOOKUP("Gs - BC",A1:CV300,113,FALSE)/HLOOKUP("Gs",A1:CV300,113,FALSE))</f>
        <v>0.5</v>
      </c>
      <c r="AJ113" s="14076">
        <v>0</v>
      </c>
      <c r="AK113" s="14077">
        <v>0</v>
      </c>
      <c r="AL113" s="14078">
        <f>HLOOKUP("BC",A1:CV300,113,FALSE) - (HLOOKUP("PK Gs",A1:CV300,113,FALSE) + HLOOKUP("PK Miss",A1:CV300,113,FALSE))</f>
        <v>2</v>
      </c>
      <c r="AM113" s="14079">
        <f>HLOOKUP("BC Miss",A1:CV300,113,FALSE) - HLOOKUP("PK Miss",A1:CV300,113,FALSE)</f>
        <v>1</v>
      </c>
      <c r="AN113" s="14080">
        <f>IF(HLOOKUP("BC - Open",A1:CV300,113,FALSE)=0,0,HLOOKUP("BC - Open Miss",A1:CV300,113,FALSE)/HLOOKUP("BC - Open",A1:CV300,113,FALSE))</f>
        <v>0.5</v>
      </c>
      <c r="AO113" s="14081">
        <v>2</v>
      </c>
      <c r="AP113" s="14082">
        <f>IF(HLOOKUP("Gs",A1:CV300,113,FALSE)=0,0,HLOOKUP("GIB",A1:CV300,113,FALSE)/HLOOKUP("Gs",A1:CV300,113,FALSE))</f>
        <v>1</v>
      </c>
      <c r="AQ113" s="14083">
        <v>1</v>
      </c>
      <c r="AR113" s="14084">
        <f>IF(HLOOKUP("Gs",A1:CV300,113,FALSE)=0,0,HLOOKUP("Gs - Open",A1:CV300,113,FALSE)/HLOOKUP("Gs",A1:CV300,113,FALSE))</f>
        <v>0.5</v>
      </c>
      <c r="AS113" s="14085">
        <v>1.32</v>
      </c>
      <c r="AT113" s="14086">
        <v>0.16</v>
      </c>
      <c r="AU113" s="14087">
        <f>IF(HLOOKUP("Mins",A1:CV300,113,FALSE)=0,0,HLOOKUP("Pts",A1:CV300,113,FALSE)/HLOOKUP("Mins",A1:CV300,113,FALSE)* 90)</f>
        <v>3.386709367493995</v>
      </c>
      <c r="AV113" s="14088">
        <f>IF(HLOOKUP("Apps",A1:CV300,113,FALSE)=0,0,HLOOKUP("Pts",A1:CV300,113,FALSE)/HLOOKUP("Apps",A1:CV300,113,FALSE)* 1)</f>
        <v>3.1333333333333333</v>
      </c>
      <c r="AW113" s="14089">
        <f>IF(HLOOKUP("Mins",A1:CV300,113,FALSE)=0,0,HLOOKUP("Gs",A1:CV300,113,FALSE)/HLOOKUP("Mins",A1:CV300,113,FALSE)* 90)</f>
        <v>0.14411529223378702</v>
      </c>
      <c r="AX113" s="14090">
        <f>IF(HLOOKUP("Mins",A1:CV300,113,FALSE)=0,0,HLOOKUP("Bonus",A1:CV300,113,FALSE)/HLOOKUP("Mins",A1:CV300,113,FALSE)* 90)</f>
        <v>0.14411529223378702</v>
      </c>
      <c r="AY113" s="14091">
        <f>IF(HLOOKUP("Mins",A1:CV300,113,FALSE)=0,0,HLOOKUP("BPS",A1:CV300,113,FALSE)/HLOOKUP("Mins",A1:CV300,113,FALSE)* 90)</f>
        <v>16.140912730184148</v>
      </c>
      <c r="AZ113" s="14092">
        <f>IF(HLOOKUP("Mins",A1:CV300,113,FALSE)=0,0,HLOOKUP("Base BPS",A1:CV300,113,FALSE)/HLOOKUP("Mins",A1:CV300,113,FALSE)* 90)</f>
        <v>10.952762209767814</v>
      </c>
      <c r="BA113" s="14093">
        <f>IF(HLOOKUP("Mins",A1:CV300,113,FALSE)=0,0,HLOOKUP("PenTchs",A1:CV300,113,FALSE)/HLOOKUP("Mins",A1:CV300,113,FALSE)* 90)</f>
        <v>1.0808646917534028</v>
      </c>
      <c r="BB113" s="14094">
        <f>IF(HLOOKUP("Mins",A1:CV300,113,FALSE)=0,0,HLOOKUP("Shots",A1:CV300,113,FALSE)/HLOOKUP("Mins",A1:CV300,113,FALSE)* 90)</f>
        <v>1.1529223378702962</v>
      </c>
      <c r="BC113" s="14095">
        <f>IF(HLOOKUP("Mins",A1:CV300,113,FALSE)=0,0,HLOOKUP("SIB",A1:CV300,113,FALSE)/HLOOKUP("Mins",A1:CV300,113,FALSE)* 90)</f>
        <v>0.64851881505204167</v>
      </c>
      <c r="BD113" s="14096">
        <f>IF(HLOOKUP("Mins",A1:CV300,113,FALSE)=0,0,HLOOKUP("S6YD",A1:CV300,113,FALSE)/HLOOKUP("Mins",A1:CV300,113,FALSE)* 90)</f>
        <v>0</v>
      </c>
      <c r="BE113" s="14097">
        <f>IF(HLOOKUP("Mins",A1:CV300,113,FALSE)=0,0,HLOOKUP("Headers",A1:CV300,113,FALSE)/HLOOKUP("Mins",A1:CV300,113,FALSE)* 90)</f>
        <v>0.43234587670136104</v>
      </c>
      <c r="BF113" s="14098">
        <f>IF(HLOOKUP("Mins",A1:CV300,113,FALSE)=0,0,HLOOKUP("SOT",A1:CV300,113,FALSE)/HLOOKUP("Mins",A1:CV300,113,FALSE)* 90)</f>
        <v>0.36028823058446757</v>
      </c>
      <c r="BG113" s="14099">
        <f>IF(HLOOKUP("Mins",A1:CV300,113,FALSE)=0,0,HLOOKUP("As",A1:CV300,113,FALSE)/HLOOKUP("Mins",A1:CV300,113,FALSE)* 90)</f>
        <v>0</v>
      </c>
      <c r="BH113" s="14100">
        <f>IF(HLOOKUP("Mins",A1:CV300,113,FALSE)=0,0,HLOOKUP("FPL As",A1:CV300,113,FALSE)/HLOOKUP("Mins",A1:CV300,113,FALSE)* 90)</f>
        <v>0</v>
      </c>
      <c r="BI113" s="14101">
        <f>IF(HLOOKUP("Mins",A1:CV300,113,FALSE)=0,0,HLOOKUP("BC Created",A1:CV300,113,FALSE)/HLOOKUP("Mins",A1:CV300,113,FALSE)* 90)</f>
        <v>0</v>
      </c>
      <c r="BJ113" s="14102">
        <f>IF(HLOOKUP("Mins",A1:CV300,113,FALSE)=0,0,HLOOKUP("KP",A1:CV300,113,FALSE)/HLOOKUP("Mins",A1:CV300,113,FALSE)* 90)</f>
        <v>0.21617293835068052</v>
      </c>
      <c r="BK113" s="14103">
        <f>IF(HLOOKUP("Mins",A1:CV300,113,FALSE)=0,0,HLOOKUP("BC",A1:CV300,113,FALSE)/HLOOKUP("Mins",A1:CV300,113,FALSE)* 90)</f>
        <v>0.14411529223378702</v>
      </c>
      <c r="BL113" s="14104">
        <f>IF(HLOOKUP("Mins",A1:CV300,113,FALSE)=0,0,HLOOKUP("BC Miss",A1:CV300,113,FALSE)/HLOOKUP("Mins",A1:CV300,113,FALSE)* 90)</f>
        <v>7.2057646116893512E-2</v>
      </c>
      <c r="BM113" s="14105">
        <f>IF(HLOOKUP("Mins",A1:CV300,113,FALSE)=0,0,HLOOKUP("Gs - BC",A1:CV300,113,FALSE)/HLOOKUP("Mins",A1:CV300,113,FALSE)* 90)</f>
        <v>7.2057646116893512E-2</v>
      </c>
      <c r="BN113" s="14106">
        <f>IF(HLOOKUP("Mins",A1:CV300,113,FALSE)=0,0,HLOOKUP("GIB",A1:CV300,113,FALSE)/HLOOKUP("Mins",A1:CV300,113,FALSE)* 90)</f>
        <v>0.14411529223378702</v>
      </c>
      <c r="BO113" s="14107">
        <f>IF(HLOOKUP("Mins",A1:CV300,113,FALSE)=0,0,HLOOKUP("Gs - Open",A1:CV300,113,FALSE)/HLOOKUP("Mins",A1:CV300,113,FALSE)* 90)</f>
        <v>7.2057646116893512E-2</v>
      </c>
      <c r="BP113" s="14108">
        <f>IF(HLOOKUP("Mins",A1:CV300,113,FALSE)=0,0,HLOOKUP("ICT Index",A1:CV300,113,FALSE)/HLOOKUP("Mins",A1:CV300,113,FALSE)* 90)</f>
        <v>3.8262610088070459</v>
      </c>
      <c r="BQ113" s="14109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  <v>7.0400320256204962E-2</v>
      </c>
      <c r="BR113" s="14110">
        <f>0.0825*HLOOKUP("KP/90",A1:CV300,113,FALSE)</f>
        <v>1.7834267413931144E-2</v>
      </c>
      <c r="BS113" s="14111">
        <f>6*HLOOKUP("xG/90",A1:CV300,113,FALSE)+3*HLOOKUP("xA/90",A1:CV300,113,FALSE)</f>
        <v>0.47590472377902321</v>
      </c>
      <c r="BT113" s="14112">
        <f>HLOOKUP("xPts/90",A1:CV300,113,FALSE)-(6*0.75*(HLOOKUP("PK Gs",A1:CV300,113,FALSE)+HLOOKUP("PK Miss",A1:CV300,113,FALSE))*90/HLOOKUP("Mins",A1:CV300,113,FALSE))</f>
        <v>0.47590472377902321</v>
      </c>
      <c r="BU113" s="14113">
        <f>IF(HLOOKUP("Mins",A1:CV300,113,FALSE)=0,0,HLOOKUP("fsXG",A1:CV300,113,FALSE)/HLOOKUP("Mins",A1:CV300,113,FALSE)* 90)</f>
        <v>9.5116092874299452E-2</v>
      </c>
      <c r="BV113" s="14114">
        <f>IF(HLOOKUP("Mins",A1:CV300,113,FALSE)=0,0,HLOOKUP("fsXA",A1:CV300,113,FALSE)/HLOOKUP("Mins",A1:CV300,113,FALSE)* 90)</f>
        <v>1.1529223378702963E-2</v>
      </c>
      <c r="BW113" s="14115">
        <f>6*HLOOKUP("fsXG/90",A1:CV300,113,FALSE)+3*HLOOKUP("fsXA/90",A1:CV300,113,FALSE)</f>
        <v>0.60528422738190557</v>
      </c>
      <c r="BX113" s="14116">
        <v>6.7770414054393768E-2</v>
      </c>
      <c r="BY113" s="14117">
        <v>5.8154677972197533E-3</v>
      </c>
      <c r="BZ113" s="14118">
        <f>6*HLOOKUP("uXG/90",A1:CV300,113,FALSE)+3*HLOOKUP("uXA/90",A1:CV300,113,FALSE)</f>
        <v>0.42406888771802187</v>
      </c>
    </row>
    <row r="114" spans="1:78" hidden="1" x14ac:dyDescent="0.3">
      <c r="A114" s="14119" t="s">
        <v>277</v>
      </c>
      <c r="B114" s="14120" t="s">
        <v>93</v>
      </c>
      <c r="C114" s="14121">
        <v>5</v>
      </c>
      <c r="D114" s="14122">
        <v>1620</v>
      </c>
      <c r="E114" s="14123">
        <v>18</v>
      </c>
      <c r="F114" s="14124">
        <v>46</v>
      </c>
      <c r="G114" s="14125">
        <v>1</v>
      </c>
      <c r="H114" s="14126">
        <v>5</v>
      </c>
      <c r="I114" s="14127">
        <v>288</v>
      </c>
      <c r="J114" s="14128">
        <f>HLOOKUP("BPS",A1:CV300,114,FALSE)-((-6*HLOOKUP("OG",A1:CV300,114,FALSE))+(-6*HLOOKUP("PK Miss",A1:CV300,114,FALSE))+(9*HLOOKUP("FPL As",A1:CV300,114,FALSE))+(12*HLOOKUP("CS",A1:CV300,114,FALSE))+(12*HLOOKUP("Gs",A1:CV300,114,FALSE)))</f>
        <v>240</v>
      </c>
      <c r="K114" s="14129">
        <v>0</v>
      </c>
      <c r="L114" s="14130">
        <v>3</v>
      </c>
      <c r="M114" s="14131">
        <v>15</v>
      </c>
      <c r="N114" s="14132">
        <v>9</v>
      </c>
      <c r="O114" s="14133">
        <v>7</v>
      </c>
      <c r="P114" s="14134">
        <f>IF(HLOOKUP("Shots",A1:CV300,114,FALSE)=0,0,HLOOKUP("SIB",A1:CV300,114,FALSE)/HLOOKUP("Shots",A1:CV300,114,FALSE))</f>
        <v>0.77777777777777779</v>
      </c>
      <c r="Q114" s="14135">
        <v>1</v>
      </c>
      <c r="R114" s="14136">
        <f>IF(HLOOKUP("Shots",A1:CV300,114,FALSE)=0,0,HLOOKUP("S6YD",A1:CV300,114,FALSE)/HLOOKUP("Shots",A1:CV300,114,FALSE))</f>
        <v>0.1111111111111111</v>
      </c>
      <c r="S114" s="14137">
        <v>4</v>
      </c>
      <c r="T114" s="14138">
        <f>IF(HLOOKUP("Shots",A1:CV300,114,FALSE)=0,0,HLOOKUP("Headers",A1:CV300,114,FALSE)/HLOOKUP("Shots",A1:CV300,114,FALSE))</f>
        <v>0.44444444444444442</v>
      </c>
      <c r="U114" s="14139">
        <v>1</v>
      </c>
      <c r="V114" s="14140">
        <f>IF(HLOOKUP("Shots",A1:CV300,114,FALSE)=0,0,HLOOKUP("SOT",A1:CV300,114,FALSE)/HLOOKUP("Shots",A1:CV300,114,FALSE))</f>
        <v>0.1111111111111111</v>
      </c>
      <c r="W114" s="14141">
        <f>IF(HLOOKUP("Shots",A1:CV300,114,FALSE)=0,0,HLOOKUP("Gs",A1:CV300,114,FALSE)/HLOOKUP("Shots",A1:CV300,114,FALSE))</f>
        <v>0.1111111111111111</v>
      </c>
      <c r="X114" s="14142">
        <v>0</v>
      </c>
      <c r="Y114" s="14143">
        <v>0</v>
      </c>
      <c r="Z114" s="14144">
        <v>3</v>
      </c>
      <c r="AA114" s="14145">
        <f>IF(HLOOKUP("KP",A1:CV300,114,FALSE)=0,0,HLOOKUP("As",A1:CV300,114,FALSE)/HLOOKUP("KP",A1:CV300,114,FALSE))</f>
        <v>0</v>
      </c>
      <c r="AB114" s="14146">
        <v>58.1</v>
      </c>
      <c r="AC114" s="14147">
        <v>5</v>
      </c>
      <c r="AD114" s="14148">
        <v>1</v>
      </c>
      <c r="AE114" s="14149">
        <v>0</v>
      </c>
      <c r="AF114" s="14150">
        <v>0</v>
      </c>
      <c r="AG114" s="14151">
        <f>IF(HLOOKUP("BC",A1:CV300,114,FALSE)=0,0,HLOOKUP("Gs - BC",A1:CV300,114,FALSE)/HLOOKUP("BC",A1:CV300,114,FALSE))</f>
        <v>0</v>
      </c>
      <c r="AH114" s="14152">
        <f>HLOOKUP("BC",A1:CV300,114,FALSE) - HLOOKUP("BC Miss",A1:CV300,114,FALSE)</f>
        <v>0</v>
      </c>
      <c r="AI114" s="14153">
        <f>IF(HLOOKUP("Gs",A1:CV300,114,FALSE)=0,0,HLOOKUP("Gs - BC",A1:CV300,114,FALSE)/HLOOKUP("Gs",A1:CV300,114,FALSE))</f>
        <v>0</v>
      </c>
      <c r="AJ114" s="14154">
        <v>0</v>
      </c>
      <c r="AK114" s="14155">
        <v>0</v>
      </c>
      <c r="AL114" s="14156">
        <f>HLOOKUP("BC",A1:CV300,114,FALSE) - (HLOOKUP("PK Gs",A1:CV300,114,FALSE) + HLOOKUP("PK Miss",A1:CV300,114,FALSE))</f>
        <v>0</v>
      </c>
      <c r="AM114" s="14157">
        <f>HLOOKUP("BC Miss",A1:CV300,114,FALSE) - HLOOKUP("PK Miss",A1:CV300,114,FALSE)</f>
        <v>0</v>
      </c>
      <c r="AN114" s="14158">
        <f>IF(HLOOKUP("BC - Open",A1:CV300,114,FALSE)=0,0,HLOOKUP("BC - Open Miss",A1:CV300,114,FALSE)/HLOOKUP("BC - Open",A1:CV300,114,FALSE))</f>
        <v>0</v>
      </c>
      <c r="AO114" s="14159">
        <v>1</v>
      </c>
      <c r="AP114" s="14160">
        <f>IF(HLOOKUP("Gs",A1:CV300,114,FALSE)=0,0,HLOOKUP("GIB",A1:CV300,114,FALSE)/HLOOKUP("Gs",A1:CV300,114,FALSE))</f>
        <v>1</v>
      </c>
      <c r="AQ114" s="14161">
        <v>0</v>
      </c>
      <c r="AR114" s="14162">
        <f>IF(HLOOKUP("Gs",A1:CV300,114,FALSE)=0,0,HLOOKUP("Gs - Open",A1:CV300,114,FALSE)/HLOOKUP("Gs",A1:CV300,114,FALSE))</f>
        <v>0</v>
      </c>
      <c r="AS114" s="14163">
        <v>0.59</v>
      </c>
      <c r="AT114" s="14164">
        <v>0.32</v>
      </c>
      <c r="AU114" s="14165">
        <f>IF(HLOOKUP("Mins",A1:CV300,114,FALSE)=0,0,HLOOKUP("Pts",A1:CV300,114,FALSE)/HLOOKUP("Mins",A1:CV300,114,FALSE)* 90)</f>
        <v>2.5555555555555558</v>
      </c>
      <c r="AV114" s="14166">
        <f>IF(HLOOKUP("Apps",A1:CV300,114,FALSE)=0,0,HLOOKUP("Pts",A1:CV300,114,FALSE)/HLOOKUP("Apps",A1:CV300,114,FALSE)* 1)</f>
        <v>2.5555555555555554</v>
      </c>
      <c r="AW114" s="14167">
        <f>IF(HLOOKUP("Mins",A1:CV300,114,FALSE)=0,0,HLOOKUP("Gs",A1:CV300,114,FALSE)/HLOOKUP("Mins",A1:CV300,114,FALSE)* 90)</f>
        <v>5.5555555555555552E-2</v>
      </c>
      <c r="AX114" s="14168">
        <f>IF(HLOOKUP("Mins",A1:CV300,114,FALSE)=0,0,HLOOKUP("Bonus",A1:CV300,114,FALSE)/HLOOKUP("Mins",A1:CV300,114,FALSE)* 90)</f>
        <v>0.27777777777777779</v>
      </c>
      <c r="AY114" s="14169">
        <f>IF(HLOOKUP("Mins",A1:CV300,114,FALSE)=0,0,HLOOKUP("BPS",A1:CV300,114,FALSE)/HLOOKUP("Mins",A1:CV300,114,FALSE)* 90)</f>
        <v>16</v>
      </c>
      <c r="AZ114" s="14170">
        <f>IF(HLOOKUP("Mins",A1:CV300,114,FALSE)=0,0,HLOOKUP("Base BPS",A1:CV300,114,FALSE)/HLOOKUP("Mins",A1:CV300,114,FALSE)* 90)</f>
        <v>13.333333333333332</v>
      </c>
      <c r="BA114" s="14171">
        <f>IF(HLOOKUP("Mins",A1:CV300,114,FALSE)=0,0,HLOOKUP("PenTchs",A1:CV300,114,FALSE)/HLOOKUP("Mins",A1:CV300,114,FALSE)* 90)</f>
        <v>0.83333333333333326</v>
      </c>
      <c r="BB114" s="14172">
        <f>IF(HLOOKUP("Mins",A1:CV300,114,FALSE)=0,0,HLOOKUP("Shots",A1:CV300,114,FALSE)/HLOOKUP("Mins",A1:CV300,114,FALSE)* 90)</f>
        <v>0.5</v>
      </c>
      <c r="BC114" s="14173">
        <f>IF(HLOOKUP("Mins",A1:CV300,114,FALSE)=0,0,HLOOKUP("SIB",A1:CV300,114,FALSE)/HLOOKUP("Mins",A1:CV300,114,FALSE)* 90)</f>
        <v>0.38888888888888884</v>
      </c>
      <c r="BD114" s="14174">
        <f>IF(HLOOKUP("Mins",A1:CV300,114,FALSE)=0,0,HLOOKUP("S6YD",A1:CV300,114,FALSE)/HLOOKUP("Mins",A1:CV300,114,FALSE)* 90)</f>
        <v>5.5555555555555552E-2</v>
      </c>
      <c r="BE114" s="14175">
        <f>IF(HLOOKUP("Mins",A1:CV300,114,FALSE)=0,0,HLOOKUP("Headers",A1:CV300,114,FALSE)/HLOOKUP("Mins",A1:CV300,114,FALSE)* 90)</f>
        <v>0.22222222222222221</v>
      </c>
      <c r="BF114" s="14176">
        <f>IF(HLOOKUP("Mins",A1:CV300,114,FALSE)=0,0,HLOOKUP("SOT",A1:CV300,114,FALSE)/HLOOKUP("Mins",A1:CV300,114,FALSE)* 90)</f>
        <v>5.5555555555555552E-2</v>
      </c>
      <c r="BG114" s="14177">
        <f>IF(HLOOKUP("Mins",A1:CV300,114,FALSE)=0,0,HLOOKUP("As",A1:CV300,114,FALSE)/HLOOKUP("Mins",A1:CV300,114,FALSE)* 90)</f>
        <v>0</v>
      </c>
      <c r="BH114" s="14178">
        <f>IF(HLOOKUP("Mins",A1:CV300,114,FALSE)=0,0,HLOOKUP("FPL As",A1:CV300,114,FALSE)/HLOOKUP("Mins",A1:CV300,114,FALSE)* 90)</f>
        <v>0</v>
      </c>
      <c r="BI114" s="14179">
        <f>IF(HLOOKUP("Mins",A1:CV300,114,FALSE)=0,0,HLOOKUP("BC Created",A1:CV300,114,FALSE)/HLOOKUP("Mins",A1:CV300,114,FALSE)* 90)</f>
        <v>5.5555555555555552E-2</v>
      </c>
      <c r="BJ114" s="14180">
        <f>IF(HLOOKUP("Mins",A1:CV300,114,FALSE)=0,0,HLOOKUP("KP",A1:CV300,114,FALSE)/HLOOKUP("Mins",A1:CV300,114,FALSE)* 90)</f>
        <v>0.16666666666666669</v>
      </c>
      <c r="BK114" s="14181">
        <f>IF(HLOOKUP("Mins",A1:CV300,114,FALSE)=0,0,HLOOKUP("BC",A1:CV300,114,FALSE)/HLOOKUP("Mins",A1:CV300,114,FALSE)* 90)</f>
        <v>0</v>
      </c>
      <c r="BL114" s="14182">
        <f>IF(HLOOKUP("Mins",A1:CV300,114,FALSE)=0,0,HLOOKUP("BC Miss",A1:CV300,114,FALSE)/HLOOKUP("Mins",A1:CV300,114,FALSE)* 90)</f>
        <v>0</v>
      </c>
      <c r="BM114" s="14183">
        <f>IF(HLOOKUP("Mins",A1:CV300,114,FALSE)=0,0,HLOOKUP("Gs - BC",A1:CV300,114,FALSE)/HLOOKUP("Mins",A1:CV300,114,FALSE)* 90)</f>
        <v>0</v>
      </c>
      <c r="BN114" s="14184">
        <f>IF(HLOOKUP("Mins",A1:CV300,114,FALSE)=0,0,HLOOKUP("GIB",A1:CV300,114,FALSE)/HLOOKUP("Mins",A1:CV300,114,FALSE)* 90)</f>
        <v>5.5555555555555552E-2</v>
      </c>
      <c r="BO114" s="14185">
        <f>IF(HLOOKUP("Mins",A1:CV300,114,FALSE)=0,0,HLOOKUP("Gs - Open",A1:CV300,114,FALSE)/HLOOKUP("Mins",A1:CV300,114,FALSE)* 90)</f>
        <v>0</v>
      </c>
      <c r="BP114" s="14186">
        <f>IF(HLOOKUP("Mins",A1:CV300,114,FALSE)=0,0,HLOOKUP("ICT Index",A1:CV300,114,FALSE)/HLOOKUP("Mins",A1:CV300,114,FALSE)* 90)</f>
        <v>3.2277777777777779</v>
      </c>
      <c r="BQ114" s="14187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  <v>3.8388888888888896E-2</v>
      </c>
      <c r="BR114" s="14188">
        <f>0.0825*HLOOKUP("KP/90",A1:CV300,114,FALSE)</f>
        <v>1.3750000000000002E-2</v>
      </c>
      <c r="BS114" s="14189">
        <f>6*HLOOKUP("xG/90",A1:CV300,114,FALSE)+3*HLOOKUP("xA/90",A1:CV300,114,FALSE)</f>
        <v>0.2715833333333334</v>
      </c>
      <c r="BT114" s="14190">
        <f>HLOOKUP("xPts/90",A1:CV300,114,FALSE)-(6*0.75*(HLOOKUP("PK Gs",A1:CV300,114,FALSE)+HLOOKUP("PK Miss",A1:CV300,114,FALSE))*90/HLOOKUP("Mins",A1:CV300,114,FALSE))</f>
        <v>0.2715833333333334</v>
      </c>
      <c r="BU114" s="14191">
        <f>IF(HLOOKUP("Mins",A1:CV300,114,FALSE)=0,0,HLOOKUP("fsXG",A1:CV300,114,FALSE)/HLOOKUP("Mins",A1:CV300,114,FALSE)* 90)</f>
        <v>3.2777777777777774E-2</v>
      </c>
      <c r="BV114" s="14192">
        <f>IF(HLOOKUP("Mins",A1:CV300,114,FALSE)=0,0,HLOOKUP("fsXA",A1:CV300,114,FALSE)/HLOOKUP("Mins",A1:CV300,114,FALSE)* 90)</f>
        <v>1.7777777777777778E-2</v>
      </c>
      <c r="BW114" s="14193">
        <f>6*HLOOKUP("fsXG/90",A1:CV300,114,FALSE)+3*HLOOKUP("fsXA/90",A1:CV300,114,FALSE)</f>
        <v>0.25</v>
      </c>
      <c r="BX114" s="14194">
        <v>2.407757006585598E-2</v>
      </c>
      <c r="BY114" s="14195">
        <v>3.8034211844205856E-2</v>
      </c>
      <c r="BZ114" s="14196">
        <f>6*HLOOKUP("uXG/90",A1:CV300,114,FALSE)+3*HLOOKUP("uXA/90",A1:CV300,114,FALSE)</f>
        <v>0.25856805592775345</v>
      </c>
    </row>
    <row r="115" spans="1:78" hidden="1" x14ac:dyDescent="0.3">
      <c r="A115" s="14197" t="s">
        <v>278</v>
      </c>
      <c r="B115" s="14198" t="s">
        <v>89</v>
      </c>
      <c r="C115" s="14199">
        <v>4.9000000953674316</v>
      </c>
      <c r="D115" s="14200">
        <v>66</v>
      </c>
      <c r="E115" s="14201">
        <v>4</v>
      </c>
      <c r="F115" s="14202">
        <v>3</v>
      </c>
      <c r="G115" s="14203">
        <v>0</v>
      </c>
      <c r="H115" s="14204">
        <v>0</v>
      </c>
      <c r="I115" s="14205">
        <v>9</v>
      </c>
      <c r="J115" s="14206">
        <f>HLOOKUP("BPS",A1:CV300,115,FALSE)-((-6*HLOOKUP("OG",A1:CV300,115,FALSE))+(-6*HLOOKUP("PK Miss",A1:CV300,115,FALSE))+(9*HLOOKUP("FPL As",A1:CV300,115,FALSE))+(12*HLOOKUP("CS",A1:CV300,115,FALSE))+(12*HLOOKUP("Gs",A1:CV300,115,FALSE)))</f>
        <v>9</v>
      </c>
      <c r="K115" s="14207">
        <v>0</v>
      </c>
      <c r="L115" s="14208">
        <v>0</v>
      </c>
      <c r="M115" s="14209">
        <v>0</v>
      </c>
      <c r="N115" s="14210">
        <v>0</v>
      </c>
      <c r="O115" s="14211">
        <v>0</v>
      </c>
      <c r="P115" s="14212">
        <f>IF(HLOOKUP("Shots",A1:CV300,115,FALSE)=0,0,HLOOKUP("SIB",A1:CV300,115,FALSE)/HLOOKUP("Shots",A1:CV300,115,FALSE))</f>
        <v>0</v>
      </c>
      <c r="Q115" s="14213">
        <v>0</v>
      </c>
      <c r="R115" s="14214">
        <f>IF(HLOOKUP("Shots",A1:CV300,115,FALSE)=0,0,HLOOKUP("S6YD",A1:CV300,115,FALSE)/HLOOKUP("Shots",A1:CV300,115,FALSE))</f>
        <v>0</v>
      </c>
      <c r="S115" s="14215">
        <v>0</v>
      </c>
      <c r="T115" s="14216">
        <f>IF(HLOOKUP("Shots",A1:CV300,115,FALSE)=0,0,HLOOKUP("Headers",A1:CV300,115,FALSE)/HLOOKUP("Shots",A1:CV300,115,FALSE))</f>
        <v>0</v>
      </c>
      <c r="U115" s="14217">
        <v>0</v>
      </c>
      <c r="V115" s="14218">
        <f>IF(HLOOKUP("Shots",A1:CV300,115,FALSE)=0,0,HLOOKUP("SOT",A1:CV300,115,FALSE)/HLOOKUP("Shots",A1:CV300,115,FALSE))</f>
        <v>0</v>
      </c>
      <c r="W115" s="14219">
        <f>IF(HLOOKUP("Shots",A1:CV300,115,FALSE)=0,0,HLOOKUP("Gs",A1:CV300,115,FALSE)/HLOOKUP("Shots",A1:CV300,115,FALSE))</f>
        <v>0</v>
      </c>
      <c r="X115" s="14220">
        <v>0</v>
      </c>
      <c r="Y115" s="14221">
        <v>0</v>
      </c>
      <c r="Z115" s="14222">
        <v>1</v>
      </c>
      <c r="AA115" s="14223">
        <f>IF(HLOOKUP("KP",A1:CV300,115,FALSE)=0,0,HLOOKUP("As",A1:CV300,115,FALSE)/HLOOKUP("KP",A1:CV300,115,FALSE))</f>
        <v>0</v>
      </c>
      <c r="AB115" s="14224">
        <v>3.1</v>
      </c>
      <c r="AC115" s="14225">
        <v>0</v>
      </c>
      <c r="AD115" s="14226">
        <v>0</v>
      </c>
      <c r="AE115" s="14227">
        <v>0</v>
      </c>
      <c r="AF115" s="14228">
        <v>0</v>
      </c>
      <c r="AG115" s="14229">
        <f>IF(HLOOKUP("BC",A1:CV300,115,FALSE)=0,0,HLOOKUP("Gs - BC",A1:CV300,115,FALSE)/HLOOKUP("BC",A1:CV300,115,FALSE))</f>
        <v>0</v>
      </c>
      <c r="AH115" s="14230">
        <f>HLOOKUP("BC",A1:CV300,115,FALSE) - HLOOKUP("BC Miss",A1:CV300,115,FALSE)</f>
        <v>0</v>
      </c>
      <c r="AI115" s="14231">
        <f>IF(HLOOKUP("Gs",A1:CV300,115,FALSE)=0,0,HLOOKUP("Gs - BC",A1:CV300,115,FALSE)/HLOOKUP("Gs",A1:CV300,115,FALSE))</f>
        <v>0</v>
      </c>
      <c r="AJ115" s="14232">
        <v>0</v>
      </c>
      <c r="AK115" s="14233">
        <v>0</v>
      </c>
      <c r="AL115" s="14234">
        <f>HLOOKUP("BC",A1:CV300,115,FALSE) - (HLOOKUP("PK Gs",A1:CV300,115,FALSE) + HLOOKUP("PK Miss",A1:CV300,115,FALSE))</f>
        <v>0</v>
      </c>
      <c r="AM115" s="14235">
        <f>HLOOKUP("BC Miss",A1:CV300,115,FALSE) - HLOOKUP("PK Miss",A1:CV300,115,FALSE)</f>
        <v>0</v>
      </c>
      <c r="AN115" s="14236">
        <f>IF(HLOOKUP("BC - Open",A1:CV300,115,FALSE)=0,0,HLOOKUP("BC - Open Miss",A1:CV300,115,FALSE)/HLOOKUP("BC - Open",A1:CV300,115,FALSE))</f>
        <v>0</v>
      </c>
      <c r="AO115" s="14237">
        <v>0</v>
      </c>
      <c r="AP115" s="14238">
        <f>IF(HLOOKUP("Gs",A1:CV300,115,FALSE)=0,0,HLOOKUP("GIB",A1:CV300,115,FALSE)/HLOOKUP("Gs",A1:CV300,115,FALSE))</f>
        <v>0</v>
      </c>
      <c r="AQ115" s="14239">
        <v>0</v>
      </c>
      <c r="AR115" s="14240">
        <f>IF(HLOOKUP("Gs",A1:CV300,115,FALSE)=0,0,HLOOKUP("Gs - Open",A1:CV300,115,FALSE)/HLOOKUP("Gs",A1:CV300,115,FALSE))</f>
        <v>0</v>
      </c>
      <c r="AS115" s="14241">
        <v>0</v>
      </c>
      <c r="AT115" s="14242">
        <v>0.02</v>
      </c>
      <c r="AU115" s="14243">
        <f>IF(HLOOKUP("Mins",A1:CV300,115,FALSE)=0,0,HLOOKUP("Pts",A1:CV300,115,FALSE)/HLOOKUP("Mins",A1:CV300,115,FALSE)* 90)</f>
        <v>4.0909090909090908</v>
      </c>
      <c r="AV115" s="14244">
        <f>IF(HLOOKUP("Apps",A1:CV300,115,FALSE)=0,0,HLOOKUP("Pts",A1:CV300,115,FALSE)/HLOOKUP("Apps",A1:CV300,115,FALSE)* 1)</f>
        <v>0.75</v>
      </c>
      <c r="AW115" s="14245">
        <f>IF(HLOOKUP("Mins",A1:CV300,115,FALSE)=0,0,HLOOKUP("Gs",A1:CV300,115,FALSE)/HLOOKUP("Mins",A1:CV300,115,FALSE)* 90)</f>
        <v>0</v>
      </c>
      <c r="AX115" s="14246">
        <f>IF(HLOOKUP("Mins",A1:CV300,115,FALSE)=0,0,HLOOKUP("Bonus",A1:CV300,115,FALSE)/HLOOKUP("Mins",A1:CV300,115,FALSE)* 90)</f>
        <v>0</v>
      </c>
      <c r="AY115" s="14247">
        <f>IF(HLOOKUP("Mins",A1:CV300,115,FALSE)=0,0,HLOOKUP("BPS",A1:CV300,115,FALSE)/HLOOKUP("Mins",A1:CV300,115,FALSE)* 90)</f>
        <v>12.272727272727272</v>
      </c>
      <c r="AZ115" s="14248">
        <f>IF(HLOOKUP("Mins",A1:CV300,115,FALSE)=0,0,HLOOKUP("Base BPS",A1:CV300,115,FALSE)/HLOOKUP("Mins",A1:CV300,115,FALSE)* 90)</f>
        <v>12.272727272727272</v>
      </c>
      <c r="BA115" s="14249">
        <f>IF(HLOOKUP("Mins",A1:CV300,115,FALSE)=0,0,HLOOKUP("PenTchs",A1:CV300,115,FALSE)/HLOOKUP("Mins",A1:CV300,115,FALSE)* 90)</f>
        <v>0</v>
      </c>
      <c r="BB115" s="14250">
        <f>IF(HLOOKUP("Mins",A1:CV300,115,FALSE)=0,0,HLOOKUP("Shots",A1:CV300,115,FALSE)/HLOOKUP("Mins",A1:CV300,115,FALSE)* 90)</f>
        <v>0</v>
      </c>
      <c r="BC115" s="14251">
        <f>IF(HLOOKUP("Mins",A1:CV300,115,FALSE)=0,0,HLOOKUP("SIB",A1:CV300,115,FALSE)/HLOOKUP("Mins",A1:CV300,115,FALSE)* 90)</f>
        <v>0</v>
      </c>
      <c r="BD115" s="14252">
        <f>IF(HLOOKUP("Mins",A1:CV300,115,FALSE)=0,0,HLOOKUP("S6YD",A1:CV300,115,FALSE)/HLOOKUP("Mins",A1:CV300,115,FALSE)* 90)</f>
        <v>0</v>
      </c>
      <c r="BE115" s="14253">
        <f>IF(HLOOKUP("Mins",A1:CV300,115,FALSE)=0,0,HLOOKUP("Headers",A1:CV300,115,FALSE)/HLOOKUP("Mins",A1:CV300,115,FALSE)* 90)</f>
        <v>0</v>
      </c>
      <c r="BF115" s="14254">
        <f>IF(HLOOKUP("Mins",A1:CV300,115,FALSE)=0,0,HLOOKUP("SOT",A1:CV300,115,FALSE)/HLOOKUP("Mins",A1:CV300,115,FALSE)* 90)</f>
        <v>0</v>
      </c>
      <c r="BG115" s="14255">
        <f>IF(HLOOKUP("Mins",A1:CV300,115,FALSE)=0,0,HLOOKUP("As",A1:CV300,115,FALSE)/HLOOKUP("Mins",A1:CV300,115,FALSE)* 90)</f>
        <v>0</v>
      </c>
      <c r="BH115" s="14256">
        <f>IF(HLOOKUP("Mins",A1:CV300,115,FALSE)=0,0,HLOOKUP("FPL As",A1:CV300,115,FALSE)/HLOOKUP("Mins",A1:CV300,115,FALSE)* 90)</f>
        <v>0</v>
      </c>
      <c r="BI115" s="14257">
        <f>IF(HLOOKUP("Mins",A1:CV300,115,FALSE)=0,0,HLOOKUP("BC Created",A1:CV300,115,FALSE)/HLOOKUP("Mins",A1:CV300,115,FALSE)* 90)</f>
        <v>0</v>
      </c>
      <c r="BJ115" s="14258">
        <f>IF(HLOOKUP("Mins",A1:CV300,115,FALSE)=0,0,HLOOKUP("KP",A1:CV300,115,FALSE)/HLOOKUP("Mins",A1:CV300,115,FALSE)* 90)</f>
        <v>1.3636363636363638</v>
      </c>
      <c r="BK115" s="14259">
        <f>IF(HLOOKUP("Mins",A1:CV300,115,FALSE)=0,0,HLOOKUP("BC",A1:CV300,115,FALSE)/HLOOKUP("Mins",A1:CV300,115,FALSE)* 90)</f>
        <v>0</v>
      </c>
      <c r="BL115" s="14260">
        <f>IF(HLOOKUP("Mins",A1:CV300,115,FALSE)=0,0,HLOOKUP("BC Miss",A1:CV300,115,FALSE)/HLOOKUP("Mins",A1:CV300,115,FALSE)* 90)</f>
        <v>0</v>
      </c>
      <c r="BM115" s="14261">
        <f>IF(HLOOKUP("Mins",A1:CV300,115,FALSE)=0,0,HLOOKUP("Gs - BC",A1:CV300,115,FALSE)/HLOOKUP("Mins",A1:CV300,115,FALSE)* 90)</f>
        <v>0</v>
      </c>
      <c r="BN115" s="14262">
        <f>IF(HLOOKUP("Mins",A1:CV300,115,FALSE)=0,0,HLOOKUP("GIB",A1:CV300,115,FALSE)/HLOOKUP("Mins",A1:CV300,115,FALSE)* 90)</f>
        <v>0</v>
      </c>
      <c r="BO115" s="14263">
        <f>IF(HLOOKUP("Mins",A1:CV300,115,FALSE)=0,0,HLOOKUP("Gs - Open",A1:CV300,115,FALSE)/HLOOKUP("Mins",A1:CV300,115,FALSE)* 90)</f>
        <v>0</v>
      </c>
      <c r="BP115" s="14264">
        <f>IF(HLOOKUP("Mins",A1:CV300,115,FALSE)=0,0,HLOOKUP("ICT Index",A1:CV300,115,FALSE)/HLOOKUP("Mins",A1:CV300,115,FALSE)* 90)</f>
        <v>4.2272727272727275</v>
      </c>
      <c r="BQ115" s="14265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  <v>0</v>
      </c>
      <c r="BR115" s="14266">
        <f>0.0825*HLOOKUP("KP/90",A1:CV300,115,FALSE)</f>
        <v>0.11250000000000002</v>
      </c>
      <c r="BS115" s="14267">
        <f>6*HLOOKUP("xG/90",A1:CV300,115,FALSE)+3*HLOOKUP("xA/90",A1:CV300,115,FALSE)</f>
        <v>0.33750000000000002</v>
      </c>
      <c r="BT115" s="14268">
        <f>HLOOKUP("xPts/90",A1:CV300,115,FALSE)-(6*0.75*(HLOOKUP("PK Gs",A1:CV300,115,FALSE)+HLOOKUP("PK Miss",A1:CV300,115,FALSE))*90/HLOOKUP("Mins",A1:CV300,115,FALSE))</f>
        <v>0.33750000000000002</v>
      </c>
      <c r="BU115" s="14269">
        <f>IF(HLOOKUP("Mins",A1:CV300,115,FALSE)=0,0,HLOOKUP("fsXG",A1:CV300,115,FALSE)/HLOOKUP("Mins",A1:CV300,115,FALSE)* 90)</f>
        <v>0</v>
      </c>
      <c r="BV115" s="14270">
        <f>IF(HLOOKUP("Mins",A1:CV300,115,FALSE)=0,0,HLOOKUP("fsXA",A1:CV300,115,FALSE)/HLOOKUP("Mins",A1:CV300,115,FALSE)* 90)</f>
        <v>2.7272727272727271E-2</v>
      </c>
      <c r="BW115" s="14271">
        <f>6*HLOOKUP("fsXG/90",A1:CV300,115,FALSE)+3*HLOOKUP("fsXA/90",A1:CV300,115,FALSE)</f>
        <v>8.1818181818181818E-2</v>
      </c>
      <c r="BX115" s="14272">
        <v>0</v>
      </c>
      <c r="BY115" s="14273">
        <v>3.1568679958581924E-2</v>
      </c>
      <c r="BZ115" s="14274">
        <f>6*HLOOKUP("uXG/90",A1:CV300,115,FALSE)+3*HLOOKUP("uXA/90",A1:CV300,115,FALSE)</f>
        <v>9.4706039875745773E-2</v>
      </c>
    </row>
    <row r="116" spans="1:78" hidden="1" x14ac:dyDescent="0.3">
      <c r="A116" s="14275" t="s">
        <v>279</v>
      </c>
      <c r="B116" s="14276" t="s">
        <v>100</v>
      </c>
      <c r="C116" s="14277">
        <v>4.4000000953674316</v>
      </c>
      <c r="D116" s="14278">
        <v>1356</v>
      </c>
      <c r="E116" s="14279">
        <v>18</v>
      </c>
      <c r="F116" s="14280">
        <v>39</v>
      </c>
      <c r="G116" s="14281">
        <v>2</v>
      </c>
      <c r="H116" s="14282">
        <v>1</v>
      </c>
      <c r="I116" s="14283">
        <v>223</v>
      </c>
      <c r="J116" s="14284">
        <f>HLOOKUP("BPS",A1:CV300,116,FALSE)-((-6*HLOOKUP("OG",A1:CV300,116,FALSE))+(-6*HLOOKUP("PK Miss",A1:CV300,116,FALSE))+(9*HLOOKUP("FPL As",A1:CV300,116,FALSE))+(12*HLOOKUP("CS",A1:CV300,116,FALSE))+(12*HLOOKUP("Gs",A1:CV300,116,FALSE)))</f>
        <v>166</v>
      </c>
      <c r="K116" s="14285">
        <v>0</v>
      </c>
      <c r="L116" s="14286">
        <v>2</v>
      </c>
      <c r="M116" s="14287">
        <v>16</v>
      </c>
      <c r="N116" s="14288">
        <v>14</v>
      </c>
      <c r="O116" s="14289">
        <v>11</v>
      </c>
      <c r="P116" s="14290">
        <f>IF(HLOOKUP("Shots",A1:CV300,116,FALSE)=0,0,HLOOKUP("SIB",A1:CV300,116,FALSE)/HLOOKUP("Shots",A1:CV300,116,FALSE))</f>
        <v>0.7857142857142857</v>
      </c>
      <c r="Q116" s="14291">
        <v>4</v>
      </c>
      <c r="R116" s="14292">
        <f>IF(HLOOKUP("Shots",A1:CV300,116,FALSE)=0,0,HLOOKUP("S6YD",A1:CV300,116,FALSE)/HLOOKUP("Shots",A1:CV300,116,FALSE))</f>
        <v>0.2857142857142857</v>
      </c>
      <c r="S116" s="14293">
        <v>10</v>
      </c>
      <c r="T116" s="14294">
        <f>IF(HLOOKUP("Shots",A1:CV300,116,FALSE)=0,0,HLOOKUP("Headers",A1:CV300,116,FALSE)/HLOOKUP("Shots",A1:CV300,116,FALSE))</f>
        <v>0.7142857142857143</v>
      </c>
      <c r="U116" s="14295">
        <v>7</v>
      </c>
      <c r="V116" s="14296">
        <f>IF(HLOOKUP("Shots",A1:CV300,116,FALSE)=0,0,HLOOKUP("SOT",A1:CV300,116,FALSE)/HLOOKUP("Shots",A1:CV300,116,FALSE))</f>
        <v>0.5</v>
      </c>
      <c r="W116" s="14297">
        <f>IF(HLOOKUP("Shots",A1:CV300,116,FALSE)=0,0,HLOOKUP("Gs",A1:CV300,116,FALSE)/HLOOKUP("Shots",A1:CV300,116,FALSE))</f>
        <v>0.14285714285714285</v>
      </c>
      <c r="X116" s="14298">
        <v>0</v>
      </c>
      <c r="Y116" s="14299">
        <v>1</v>
      </c>
      <c r="Z116" s="14300">
        <v>7</v>
      </c>
      <c r="AA116" s="14301">
        <f>IF(HLOOKUP("KP",A1:CV300,116,FALSE)=0,0,HLOOKUP("As",A1:CV300,116,FALSE)/HLOOKUP("KP",A1:CV300,116,FALSE))</f>
        <v>0</v>
      </c>
      <c r="AB116" s="14302">
        <v>64.2</v>
      </c>
      <c r="AC116" s="14303">
        <v>13</v>
      </c>
      <c r="AD116" s="14304">
        <v>0</v>
      </c>
      <c r="AE116" s="14305">
        <v>5</v>
      </c>
      <c r="AF116" s="14306">
        <v>3</v>
      </c>
      <c r="AG116" s="14307">
        <f>IF(HLOOKUP("BC",A1:CV300,116,FALSE)=0,0,HLOOKUP("Gs - BC",A1:CV300,116,FALSE)/HLOOKUP("BC",A1:CV300,116,FALSE))</f>
        <v>0.4</v>
      </c>
      <c r="AH116" s="14308">
        <f>HLOOKUP("BC",A1:CV300,116,FALSE) - HLOOKUP("BC Miss",A1:CV300,116,FALSE)</f>
        <v>2</v>
      </c>
      <c r="AI116" s="14309">
        <f>IF(HLOOKUP("Gs",A1:CV300,116,FALSE)=0,0,HLOOKUP("Gs - BC",A1:CV300,116,FALSE)/HLOOKUP("Gs",A1:CV300,116,FALSE))</f>
        <v>1</v>
      </c>
      <c r="AJ116" s="14310">
        <v>0</v>
      </c>
      <c r="AK116" s="14311">
        <v>0</v>
      </c>
      <c r="AL116" s="14312">
        <f>HLOOKUP("BC",A1:CV300,116,FALSE) - (HLOOKUP("PK Gs",A1:CV300,116,FALSE) + HLOOKUP("PK Miss",A1:CV300,116,FALSE))</f>
        <v>5</v>
      </c>
      <c r="AM116" s="14313">
        <f>HLOOKUP("BC Miss",A1:CV300,116,FALSE) - HLOOKUP("PK Miss",A1:CV300,116,FALSE)</f>
        <v>3</v>
      </c>
      <c r="AN116" s="14314">
        <f>IF(HLOOKUP("BC - Open",A1:CV300,116,FALSE)=0,0,HLOOKUP("BC - Open Miss",A1:CV300,116,FALSE)/HLOOKUP("BC - Open",A1:CV300,116,FALSE))</f>
        <v>0.6</v>
      </c>
      <c r="AO116" s="14315">
        <v>2</v>
      </c>
      <c r="AP116" s="14316">
        <f>IF(HLOOKUP("Gs",A1:CV300,116,FALSE)=0,0,HLOOKUP("GIB",A1:CV300,116,FALSE)/HLOOKUP("Gs",A1:CV300,116,FALSE))</f>
        <v>1</v>
      </c>
      <c r="AQ116" s="14317">
        <v>1</v>
      </c>
      <c r="AR116" s="14318">
        <f>IF(HLOOKUP("Gs",A1:CV300,116,FALSE)=0,0,HLOOKUP("Gs - Open",A1:CV300,116,FALSE)/HLOOKUP("Gs",A1:CV300,116,FALSE))</f>
        <v>0.5</v>
      </c>
      <c r="AS116" s="14319">
        <v>2.16</v>
      </c>
      <c r="AT116" s="14320">
        <v>0.27</v>
      </c>
      <c r="AU116" s="14321">
        <f>IF(HLOOKUP("Mins",A1:CV300,116,FALSE)=0,0,HLOOKUP("Pts",A1:CV300,116,FALSE)/HLOOKUP("Mins",A1:CV300,116,FALSE)* 90)</f>
        <v>2.5884955752212391</v>
      </c>
      <c r="AV116" s="14322">
        <f>IF(HLOOKUP("Apps",A1:CV300,116,FALSE)=0,0,HLOOKUP("Pts",A1:CV300,116,FALSE)/HLOOKUP("Apps",A1:CV300,116,FALSE)* 1)</f>
        <v>2.1666666666666665</v>
      </c>
      <c r="AW116" s="14323">
        <f>IF(HLOOKUP("Mins",A1:CV300,116,FALSE)=0,0,HLOOKUP("Gs",A1:CV300,116,FALSE)/HLOOKUP("Mins",A1:CV300,116,FALSE)* 90)</f>
        <v>0.13274336283185839</v>
      </c>
      <c r="AX116" s="14324">
        <f>IF(HLOOKUP("Mins",A1:CV300,116,FALSE)=0,0,HLOOKUP("Bonus",A1:CV300,116,FALSE)/HLOOKUP("Mins",A1:CV300,116,FALSE)* 90)</f>
        <v>6.6371681415929196E-2</v>
      </c>
      <c r="AY116" s="14325">
        <f>IF(HLOOKUP("Mins",A1:CV300,116,FALSE)=0,0,HLOOKUP("BPS",A1:CV300,116,FALSE)/HLOOKUP("Mins",A1:CV300,116,FALSE)* 90)</f>
        <v>14.800884955752212</v>
      </c>
      <c r="AZ116" s="14326">
        <f>IF(HLOOKUP("Mins",A1:CV300,116,FALSE)=0,0,HLOOKUP("Base BPS",A1:CV300,116,FALSE)/HLOOKUP("Mins",A1:CV300,116,FALSE)* 90)</f>
        <v>11.017699115044248</v>
      </c>
      <c r="BA116" s="14327">
        <f>IF(HLOOKUP("Mins",A1:CV300,116,FALSE)=0,0,HLOOKUP("PenTchs",A1:CV300,116,FALSE)/HLOOKUP("Mins",A1:CV300,116,FALSE)* 90)</f>
        <v>1.0619469026548671</v>
      </c>
      <c r="BB116" s="14328">
        <f>IF(HLOOKUP("Mins",A1:CV300,116,FALSE)=0,0,HLOOKUP("Shots",A1:CV300,116,FALSE)/HLOOKUP("Mins",A1:CV300,116,FALSE)* 90)</f>
        <v>0.92920353982300885</v>
      </c>
      <c r="BC116" s="14329">
        <f>IF(HLOOKUP("Mins",A1:CV300,116,FALSE)=0,0,HLOOKUP("SIB",A1:CV300,116,FALSE)/HLOOKUP("Mins",A1:CV300,116,FALSE)* 90)</f>
        <v>0.73008849557522126</v>
      </c>
      <c r="BD116" s="14330">
        <f>IF(HLOOKUP("Mins",A1:CV300,116,FALSE)=0,0,HLOOKUP("S6YD",A1:CV300,116,FALSE)/HLOOKUP("Mins",A1:CV300,116,FALSE)* 90)</f>
        <v>0.26548672566371678</v>
      </c>
      <c r="BE116" s="14331">
        <f>IF(HLOOKUP("Mins",A1:CV300,116,FALSE)=0,0,HLOOKUP("Headers",A1:CV300,116,FALSE)/HLOOKUP("Mins",A1:CV300,116,FALSE)* 90)</f>
        <v>0.66371681415929207</v>
      </c>
      <c r="BF116" s="14332">
        <f>IF(HLOOKUP("Mins",A1:CV300,116,FALSE)=0,0,HLOOKUP("SOT",A1:CV300,116,FALSE)/HLOOKUP("Mins",A1:CV300,116,FALSE)* 90)</f>
        <v>0.46460176991150443</v>
      </c>
      <c r="BG116" s="14333">
        <f>IF(HLOOKUP("Mins",A1:CV300,116,FALSE)=0,0,HLOOKUP("As",A1:CV300,116,FALSE)/HLOOKUP("Mins",A1:CV300,116,FALSE)* 90)</f>
        <v>0</v>
      </c>
      <c r="BH116" s="14334">
        <f>IF(HLOOKUP("Mins",A1:CV300,116,FALSE)=0,0,HLOOKUP("FPL As",A1:CV300,116,FALSE)/HLOOKUP("Mins",A1:CV300,116,FALSE)* 90)</f>
        <v>6.6371681415929196E-2</v>
      </c>
      <c r="BI116" s="14335">
        <f>IF(HLOOKUP("Mins",A1:CV300,116,FALSE)=0,0,HLOOKUP("BC Created",A1:CV300,116,FALSE)/HLOOKUP("Mins",A1:CV300,116,FALSE)* 90)</f>
        <v>0</v>
      </c>
      <c r="BJ116" s="14336">
        <f>IF(HLOOKUP("Mins",A1:CV300,116,FALSE)=0,0,HLOOKUP("KP",A1:CV300,116,FALSE)/HLOOKUP("Mins",A1:CV300,116,FALSE)* 90)</f>
        <v>0.46460176991150443</v>
      </c>
      <c r="BK116" s="14337">
        <f>IF(HLOOKUP("Mins",A1:CV300,116,FALSE)=0,0,HLOOKUP("BC",A1:CV300,116,FALSE)/HLOOKUP("Mins",A1:CV300,116,FALSE)* 90)</f>
        <v>0.33185840707964603</v>
      </c>
      <c r="BL116" s="14338">
        <f>IF(HLOOKUP("Mins",A1:CV300,116,FALSE)=0,0,HLOOKUP("BC Miss",A1:CV300,116,FALSE)/HLOOKUP("Mins",A1:CV300,116,FALSE)* 90)</f>
        <v>0.19911504424778761</v>
      </c>
      <c r="BM116" s="14339">
        <f>IF(HLOOKUP("Mins",A1:CV300,116,FALSE)=0,0,HLOOKUP("Gs - BC",A1:CV300,116,FALSE)/HLOOKUP("Mins",A1:CV300,116,FALSE)* 90)</f>
        <v>0.13274336283185839</v>
      </c>
      <c r="BN116" s="14340">
        <f>IF(HLOOKUP("Mins",A1:CV300,116,FALSE)=0,0,HLOOKUP("GIB",A1:CV300,116,FALSE)/HLOOKUP("Mins",A1:CV300,116,FALSE)* 90)</f>
        <v>0.13274336283185839</v>
      </c>
      <c r="BO116" s="14341">
        <f>IF(HLOOKUP("Mins",A1:CV300,116,FALSE)=0,0,HLOOKUP("Gs - Open",A1:CV300,116,FALSE)/HLOOKUP("Mins",A1:CV300,116,FALSE)* 90)</f>
        <v>6.6371681415929196E-2</v>
      </c>
      <c r="BP116" s="14342">
        <f>IF(HLOOKUP("Mins",A1:CV300,116,FALSE)=0,0,HLOOKUP("ICT Index",A1:CV300,116,FALSE)/HLOOKUP("Mins",A1:CV300,116,FALSE)* 90)</f>
        <v>4.2610619469026547</v>
      </c>
      <c r="BQ116" s="14343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  <v>7.1880530973451318E-2</v>
      </c>
      <c r="BR116" s="14344">
        <f>0.0825*HLOOKUP("KP/90",A1:CV300,116,FALSE)</f>
        <v>3.8329646017699115E-2</v>
      </c>
      <c r="BS116" s="14345">
        <f>6*HLOOKUP("xG/90",A1:CV300,116,FALSE)+3*HLOOKUP("xA/90",A1:CV300,116,FALSE)</f>
        <v>0.54627212389380531</v>
      </c>
      <c r="BT116" s="14346">
        <f>HLOOKUP("xPts/90",A1:CV300,116,FALSE)-(6*0.75*(HLOOKUP("PK Gs",A1:CV300,116,FALSE)+HLOOKUP("PK Miss",A1:CV300,116,FALSE))*90/HLOOKUP("Mins",A1:CV300,116,FALSE))</f>
        <v>0.54627212389380531</v>
      </c>
      <c r="BU116" s="14347">
        <f>IF(HLOOKUP("Mins",A1:CV300,116,FALSE)=0,0,HLOOKUP("fsXG",A1:CV300,116,FALSE)/HLOOKUP("Mins",A1:CV300,116,FALSE)* 90)</f>
        <v>0.14336283185840709</v>
      </c>
      <c r="BV116" s="14348">
        <f>IF(HLOOKUP("Mins",A1:CV300,116,FALSE)=0,0,HLOOKUP("fsXA",A1:CV300,116,FALSE)/HLOOKUP("Mins",A1:CV300,116,FALSE)* 90)</f>
        <v>1.7920353982300886E-2</v>
      </c>
      <c r="BW116" s="14349">
        <f>6*HLOOKUP("fsXG/90",A1:CV300,116,FALSE)+3*HLOOKUP("fsXA/90",A1:CV300,116,FALSE)</f>
        <v>0.91393805309734522</v>
      </c>
      <c r="BX116" s="14350">
        <v>0.15131479501724243</v>
      </c>
      <c r="BY116" s="14351">
        <v>1.8874764442443848E-2</v>
      </c>
      <c r="BZ116" s="14352">
        <f>6*HLOOKUP("uXG/90",A1:CV300,116,FALSE)+3*HLOOKUP("uXA/90",A1:CV300,116,FALSE)</f>
        <v>0.96451306343078613</v>
      </c>
    </row>
    <row r="117" spans="1:78" x14ac:dyDescent="0.3">
      <c r="A117" s="14353" t="s">
        <v>280</v>
      </c>
      <c r="B117" s="14354" t="s">
        <v>109</v>
      </c>
      <c r="C117" s="14355">
        <v>4.4000000953674316</v>
      </c>
      <c r="D117" s="14356">
        <v>1448</v>
      </c>
      <c r="E117" s="14357">
        <v>19</v>
      </c>
      <c r="F117" s="14358">
        <v>52</v>
      </c>
      <c r="G117" s="14359">
        <v>0</v>
      </c>
      <c r="H117" s="14360">
        <v>3</v>
      </c>
      <c r="I117" s="14361">
        <v>248</v>
      </c>
      <c r="J117" s="14362">
        <f>HLOOKUP("BPS",A1:CV300,117,FALSE)-((-6*HLOOKUP("OG",A1:CV300,117,FALSE))+(-6*HLOOKUP("PK Miss",A1:CV300,117,FALSE))+(9*HLOOKUP("FPL As",A1:CV300,117,FALSE))+(12*HLOOKUP("CS",A1:CV300,117,FALSE))+(12*HLOOKUP("Gs",A1:CV300,117,FALSE)))</f>
        <v>179</v>
      </c>
      <c r="K117" s="14363">
        <v>0</v>
      </c>
      <c r="L117" s="14364">
        <v>5</v>
      </c>
      <c r="M117" s="14365">
        <v>30</v>
      </c>
      <c r="N117" s="14366">
        <v>8</v>
      </c>
      <c r="O117" s="14367">
        <v>6</v>
      </c>
      <c r="P117" s="14368">
        <f>IF(HLOOKUP("Shots",A1:CV300,117,FALSE)=0,0,HLOOKUP("SIB",A1:CV300,117,FALSE)/HLOOKUP("Shots",A1:CV300,117,FALSE))</f>
        <v>0.75</v>
      </c>
      <c r="Q117" s="14369">
        <v>1</v>
      </c>
      <c r="R117" s="14370">
        <f>IF(HLOOKUP("Shots",A1:CV300,117,FALSE)=0,0,HLOOKUP("S6YD",A1:CV300,117,FALSE)/HLOOKUP("Shots",A1:CV300,117,FALSE))</f>
        <v>0.125</v>
      </c>
      <c r="S117" s="14371">
        <v>1</v>
      </c>
      <c r="T117" s="14372">
        <f>IF(HLOOKUP("Shots",A1:CV300,117,FALSE)=0,0,HLOOKUP("Headers",A1:CV300,117,FALSE)/HLOOKUP("Shots",A1:CV300,117,FALSE))</f>
        <v>0.125</v>
      </c>
      <c r="U117" s="14373">
        <v>3</v>
      </c>
      <c r="V117" s="14374">
        <f>IF(HLOOKUP("Shots",A1:CV300,117,FALSE)=0,0,HLOOKUP("SOT",A1:CV300,117,FALSE)/HLOOKUP("Shots",A1:CV300,117,FALSE))</f>
        <v>0.375</v>
      </c>
      <c r="W117" s="14375">
        <f>IF(HLOOKUP("Shots",A1:CV300,117,FALSE)=0,0,HLOOKUP("Gs",A1:CV300,117,FALSE)/HLOOKUP("Shots",A1:CV300,117,FALSE))</f>
        <v>0</v>
      </c>
      <c r="X117" s="14376">
        <v>1</v>
      </c>
      <c r="Y117" s="14377">
        <v>1</v>
      </c>
      <c r="Z117" s="14378">
        <v>14</v>
      </c>
      <c r="AA117" s="14379">
        <f>IF(HLOOKUP("KP",A1:CV300,117,FALSE)=0,0,HLOOKUP("As",A1:CV300,117,FALSE)/HLOOKUP("KP",A1:CV300,117,FALSE))</f>
        <v>7.1428571428571425E-2</v>
      </c>
      <c r="AB117" s="14380">
        <v>64</v>
      </c>
      <c r="AC117" s="14381">
        <v>6</v>
      </c>
      <c r="AD117" s="14382">
        <v>2</v>
      </c>
      <c r="AE117" s="14383">
        <v>2</v>
      </c>
      <c r="AF117" s="14384">
        <v>2</v>
      </c>
      <c r="AG117" s="14385">
        <f>IF(HLOOKUP("BC",A1:CV300,117,FALSE)=0,0,HLOOKUP("Gs - BC",A1:CV300,117,FALSE)/HLOOKUP("BC",A1:CV300,117,FALSE))</f>
        <v>0</v>
      </c>
      <c r="AH117" s="14386">
        <f>HLOOKUP("BC",A1:CV300,117,FALSE) - HLOOKUP("BC Miss",A1:CV300,117,FALSE)</f>
        <v>0</v>
      </c>
      <c r="AI117" s="14387">
        <f>IF(HLOOKUP("Gs",A1:CV300,117,FALSE)=0,0,HLOOKUP("Gs - BC",A1:CV300,117,FALSE)/HLOOKUP("Gs",A1:CV300,117,FALSE))</f>
        <v>0</v>
      </c>
      <c r="AJ117" s="14388">
        <v>0</v>
      </c>
      <c r="AK117" s="14389">
        <v>0</v>
      </c>
      <c r="AL117" s="14390">
        <f>HLOOKUP("BC",A1:CV300,117,FALSE) - (HLOOKUP("PK Gs",A1:CV300,117,FALSE) + HLOOKUP("PK Miss",A1:CV300,117,FALSE))</f>
        <v>2</v>
      </c>
      <c r="AM117" s="14391">
        <f>HLOOKUP("BC Miss",A1:CV300,117,FALSE) - HLOOKUP("PK Miss",A1:CV300,117,FALSE)</f>
        <v>2</v>
      </c>
      <c r="AN117" s="14392">
        <f>IF(HLOOKUP("BC - Open",A1:CV300,117,FALSE)=0,0,HLOOKUP("BC - Open Miss",A1:CV300,117,FALSE)/HLOOKUP("BC - Open",A1:CV300,117,FALSE))</f>
        <v>1</v>
      </c>
      <c r="AO117" s="14393">
        <v>0</v>
      </c>
      <c r="AP117" s="14394">
        <f>IF(HLOOKUP("Gs",A1:CV300,117,FALSE)=0,0,HLOOKUP("GIB",A1:CV300,117,FALSE)/HLOOKUP("Gs",A1:CV300,117,FALSE))</f>
        <v>0</v>
      </c>
      <c r="AQ117" s="14395">
        <v>0</v>
      </c>
      <c r="AR117" s="14396">
        <f>IF(HLOOKUP("Gs",A1:CV300,117,FALSE)=0,0,HLOOKUP("Gs - Open",A1:CV300,117,FALSE)/HLOOKUP("Gs",A1:CV300,117,FALSE))</f>
        <v>0</v>
      </c>
      <c r="AS117" s="14397">
        <v>1.46</v>
      </c>
      <c r="AT117" s="14398">
        <v>1.54</v>
      </c>
      <c r="AU117" s="14399">
        <f>IF(HLOOKUP("Mins",A1:CV300,117,FALSE)=0,0,HLOOKUP("Pts",A1:CV300,117,FALSE)/HLOOKUP("Mins",A1:CV300,117,FALSE)* 90)</f>
        <v>3.2320441988950277</v>
      </c>
      <c r="AV117" s="14400">
        <f>IF(HLOOKUP("Apps",A1:CV300,117,FALSE)=0,0,HLOOKUP("Pts",A1:CV300,117,FALSE)/HLOOKUP("Apps",A1:CV300,117,FALSE)* 1)</f>
        <v>2.736842105263158</v>
      </c>
      <c r="AW117" s="14401">
        <f>IF(HLOOKUP("Mins",A1:CV300,117,FALSE)=0,0,HLOOKUP("Gs",A1:CV300,117,FALSE)/HLOOKUP("Mins",A1:CV300,117,FALSE)* 90)</f>
        <v>0</v>
      </c>
      <c r="AX117" s="14402">
        <f>IF(HLOOKUP("Mins",A1:CV300,117,FALSE)=0,0,HLOOKUP("Bonus",A1:CV300,117,FALSE)/HLOOKUP("Mins",A1:CV300,117,FALSE)* 90)</f>
        <v>0.18646408839779005</v>
      </c>
      <c r="AY117" s="14403">
        <f>IF(HLOOKUP("Mins",A1:CV300,117,FALSE)=0,0,HLOOKUP("BPS",A1:CV300,117,FALSE)/HLOOKUP("Mins",A1:CV300,117,FALSE)* 90)</f>
        <v>15.414364640883978</v>
      </c>
      <c r="AZ117" s="14404">
        <f>IF(HLOOKUP("Mins",A1:CV300,117,FALSE)=0,0,HLOOKUP("Base BPS",A1:CV300,117,FALSE)/HLOOKUP("Mins",A1:CV300,117,FALSE)* 90)</f>
        <v>11.125690607734807</v>
      </c>
      <c r="BA117" s="14405">
        <f>IF(HLOOKUP("Mins",A1:CV300,117,FALSE)=0,0,HLOOKUP("PenTchs",A1:CV300,117,FALSE)/HLOOKUP("Mins",A1:CV300,117,FALSE)* 90)</f>
        <v>1.8646408839779005</v>
      </c>
      <c r="BB117" s="14406">
        <f>IF(HLOOKUP("Mins",A1:CV300,117,FALSE)=0,0,HLOOKUP("Shots",A1:CV300,117,FALSE)/HLOOKUP("Mins",A1:CV300,117,FALSE)* 90)</f>
        <v>0.49723756906077343</v>
      </c>
      <c r="BC117" s="14407">
        <f>IF(HLOOKUP("Mins",A1:CV300,117,FALSE)=0,0,HLOOKUP("SIB",A1:CV300,117,FALSE)/HLOOKUP("Mins",A1:CV300,117,FALSE)* 90)</f>
        <v>0.3729281767955801</v>
      </c>
      <c r="BD117" s="14408">
        <f>IF(HLOOKUP("Mins",A1:CV300,117,FALSE)=0,0,HLOOKUP("S6YD",A1:CV300,117,FALSE)/HLOOKUP("Mins",A1:CV300,117,FALSE)* 90)</f>
        <v>6.2154696132596679E-2</v>
      </c>
      <c r="BE117" s="14409">
        <f>IF(HLOOKUP("Mins",A1:CV300,117,FALSE)=0,0,HLOOKUP("Headers",A1:CV300,117,FALSE)/HLOOKUP("Mins",A1:CV300,117,FALSE)* 90)</f>
        <v>6.2154696132596679E-2</v>
      </c>
      <c r="BF117" s="14410">
        <f>IF(HLOOKUP("Mins",A1:CV300,117,FALSE)=0,0,HLOOKUP("SOT",A1:CV300,117,FALSE)/HLOOKUP("Mins",A1:CV300,117,FALSE)* 90)</f>
        <v>0.18646408839779005</v>
      </c>
      <c r="BG117" s="14411">
        <f>IF(HLOOKUP("Mins",A1:CV300,117,FALSE)=0,0,HLOOKUP("As",A1:CV300,117,FALSE)/HLOOKUP("Mins",A1:CV300,117,FALSE)* 90)</f>
        <v>6.2154696132596679E-2</v>
      </c>
      <c r="BH117" s="14412">
        <f>IF(HLOOKUP("Mins",A1:CV300,117,FALSE)=0,0,HLOOKUP("FPL As",A1:CV300,117,FALSE)/HLOOKUP("Mins",A1:CV300,117,FALSE)* 90)</f>
        <v>6.2154696132596679E-2</v>
      </c>
      <c r="BI117" s="14413">
        <f>IF(HLOOKUP("Mins",A1:CV300,117,FALSE)=0,0,HLOOKUP("BC Created",A1:CV300,117,FALSE)/HLOOKUP("Mins",A1:CV300,117,FALSE)* 90)</f>
        <v>0.12430939226519336</v>
      </c>
      <c r="BJ117" s="14414">
        <f>IF(HLOOKUP("Mins",A1:CV300,117,FALSE)=0,0,HLOOKUP("KP",A1:CV300,117,FALSE)/HLOOKUP("Mins",A1:CV300,117,FALSE)* 90)</f>
        <v>0.87016574585635353</v>
      </c>
      <c r="BK117" s="14415">
        <f>IF(HLOOKUP("Mins",A1:CV300,117,FALSE)=0,0,HLOOKUP("BC",A1:CV300,117,FALSE)/HLOOKUP("Mins",A1:CV300,117,FALSE)* 90)</f>
        <v>0.12430939226519336</v>
      </c>
      <c r="BL117" s="14416">
        <f>IF(HLOOKUP("Mins",A1:CV300,117,FALSE)=0,0,HLOOKUP("BC Miss",A1:CV300,117,FALSE)/HLOOKUP("Mins",A1:CV300,117,FALSE)* 90)</f>
        <v>0.12430939226519336</v>
      </c>
      <c r="BM117" s="14417">
        <f>IF(HLOOKUP("Mins",A1:CV300,117,FALSE)=0,0,HLOOKUP("Gs - BC",A1:CV300,117,FALSE)/HLOOKUP("Mins",A1:CV300,117,FALSE)* 90)</f>
        <v>0</v>
      </c>
      <c r="BN117" s="14418">
        <f>IF(HLOOKUP("Mins",A1:CV300,117,FALSE)=0,0,HLOOKUP("GIB",A1:CV300,117,FALSE)/HLOOKUP("Mins",A1:CV300,117,FALSE)* 90)</f>
        <v>0</v>
      </c>
      <c r="BO117" s="14419">
        <f>IF(HLOOKUP("Mins",A1:CV300,117,FALSE)=0,0,HLOOKUP("Gs - Open",A1:CV300,117,FALSE)/HLOOKUP("Mins",A1:CV300,117,FALSE)* 90)</f>
        <v>0</v>
      </c>
      <c r="BP117" s="14420">
        <f>IF(HLOOKUP("Mins",A1:CV300,117,FALSE)=0,0,HLOOKUP("ICT Index",A1:CV300,117,FALSE)/HLOOKUP("Mins",A1:CV300,117,FALSE)* 90)</f>
        <v>3.9779005524861875</v>
      </c>
      <c r="BQ117" s="14421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  <v>3.7168508287292824E-2</v>
      </c>
      <c r="BR117" s="14422">
        <f>0.0825*HLOOKUP("KP/90",A1:CV300,117,FALSE)</f>
        <v>7.1788674033149175E-2</v>
      </c>
      <c r="BS117" s="14423">
        <f>6*HLOOKUP("xG/90",A1:CV300,117,FALSE)+3*HLOOKUP("xA/90",A1:CV300,117,FALSE)</f>
        <v>0.43837707182320451</v>
      </c>
      <c r="BT117" s="14424">
        <f>HLOOKUP("xPts/90",A1:CV300,117,FALSE)-(6*0.75*(HLOOKUP("PK Gs",A1:CV300,117,FALSE)+HLOOKUP("PK Miss",A1:CV300,117,FALSE))*90/HLOOKUP("Mins",A1:CV300,117,FALSE))</f>
        <v>0.43837707182320451</v>
      </c>
      <c r="BU117" s="14425">
        <f>IF(HLOOKUP("Mins",A1:CV300,117,FALSE)=0,0,HLOOKUP("fsXG",A1:CV300,117,FALSE)/HLOOKUP("Mins",A1:CV300,117,FALSE)* 90)</f>
        <v>9.0745856353591156E-2</v>
      </c>
      <c r="BV117" s="14426">
        <f>IF(HLOOKUP("Mins",A1:CV300,117,FALSE)=0,0,HLOOKUP("fsXA",A1:CV300,117,FALSE)/HLOOKUP("Mins",A1:CV300,117,FALSE)* 90)</f>
        <v>9.5718232044198895E-2</v>
      </c>
      <c r="BW117" s="14427">
        <f>6*HLOOKUP("fsXG/90",A1:CV300,117,FALSE)+3*HLOOKUP("fsXA/90",A1:CV300,117,FALSE)</f>
        <v>0.83162983425414361</v>
      </c>
      <c r="BX117" s="14428">
        <v>8.8114596903324127E-2</v>
      </c>
      <c r="BY117" s="14429">
        <v>8.1271357834339142E-2</v>
      </c>
      <c r="BZ117" s="14430">
        <f>6*HLOOKUP("uXG/90",A1:CV300,117,FALSE)+3*HLOOKUP("uXA/90",A1:CV300,117,FALSE)</f>
        <v>0.77250165492296219</v>
      </c>
    </row>
    <row r="118" spans="1:78" hidden="1" x14ac:dyDescent="0.3">
      <c r="A118" s="14431" t="s">
        <v>281</v>
      </c>
      <c r="B118" s="14432" t="s">
        <v>84</v>
      </c>
      <c r="C118" s="14433">
        <v>5.0999999046325684</v>
      </c>
      <c r="D118" s="14434">
        <v>1980</v>
      </c>
      <c r="E118" s="14435">
        <v>22</v>
      </c>
      <c r="F118" s="14436">
        <v>97</v>
      </c>
      <c r="G118" s="14437">
        <v>2</v>
      </c>
      <c r="H118" s="14438">
        <v>7</v>
      </c>
      <c r="I118" s="14439">
        <v>365</v>
      </c>
      <c r="J118" s="14440">
        <f>HLOOKUP("BPS",A1:CV300,118,FALSE)-((-6*HLOOKUP("OG",A1:CV300,118,FALSE))+(-6*HLOOKUP("PK Miss",A1:CV300,118,FALSE))+(9*HLOOKUP("FPL As",A1:CV300,118,FALSE))+(12*HLOOKUP("CS",A1:CV300,118,FALSE))+(12*HLOOKUP("Gs",A1:CV300,118,FALSE)))</f>
        <v>209</v>
      </c>
      <c r="K118" s="14441">
        <v>0</v>
      </c>
      <c r="L118" s="14442">
        <v>8</v>
      </c>
      <c r="M118" s="14443">
        <v>38</v>
      </c>
      <c r="N118" s="14444">
        <v>9</v>
      </c>
      <c r="O118" s="14445">
        <v>7</v>
      </c>
      <c r="P118" s="14446">
        <f>IF(HLOOKUP("Shots",A1:CV300,118,FALSE)=0,0,HLOOKUP("SIB",A1:CV300,118,FALSE)/HLOOKUP("Shots",A1:CV300,118,FALSE))</f>
        <v>0.77777777777777779</v>
      </c>
      <c r="Q118" s="14447">
        <v>0</v>
      </c>
      <c r="R118" s="14448">
        <f>IF(HLOOKUP("Shots",A1:CV300,118,FALSE)=0,0,HLOOKUP("S6YD",A1:CV300,118,FALSE)/HLOOKUP("Shots",A1:CV300,118,FALSE))</f>
        <v>0</v>
      </c>
      <c r="S118" s="14449">
        <v>0</v>
      </c>
      <c r="T118" s="14450">
        <f>IF(HLOOKUP("Shots",A1:CV300,118,FALSE)=0,0,HLOOKUP("Headers",A1:CV300,118,FALSE)/HLOOKUP("Shots",A1:CV300,118,FALSE))</f>
        <v>0</v>
      </c>
      <c r="U118" s="14451">
        <v>3</v>
      </c>
      <c r="V118" s="14452">
        <f>IF(HLOOKUP("Shots",A1:CV300,118,FALSE)=0,0,HLOOKUP("SOT",A1:CV300,118,FALSE)/HLOOKUP("Shots",A1:CV300,118,FALSE))</f>
        <v>0.33333333333333331</v>
      </c>
      <c r="W118" s="14453">
        <f>IF(HLOOKUP("Shots",A1:CV300,118,FALSE)=0,0,HLOOKUP("Gs",A1:CV300,118,FALSE)/HLOOKUP("Shots",A1:CV300,118,FALSE))</f>
        <v>0.22222222222222221</v>
      </c>
      <c r="X118" s="14454">
        <v>3</v>
      </c>
      <c r="Y118" s="14455">
        <v>4</v>
      </c>
      <c r="Z118" s="14456">
        <v>12</v>
      </c>
      <c r="AA118" s="14457">
        <f>IF(HLOOKUP("KP",A1:CV300,118,FALSE)=0,0,HLOOKUP("As",A1:CV300,118,FALSE)/HLOOKUP("KP",A1:CV300,118,FALSE))</f>
        <v>0.25</v>
      </c>
      <c r="AB118" s="14458">
        <v>79.7</v>
      </c>
      <c r="AC118" s="14459">
        <v>25</v>
      </c>
      <c r="AD118" s="14460">
        <v>1</v>
      </c>
      <c r="AE118" s="14461">
        <v>0</v>
      </c>
      <c r="AF118" s="14462">
        <v>0</v>
      </c>
      <c r="AG118" s="14463">
        <f>IF(HLOOKUP("BC",A1:CV300,118,FALSE)=0,0,HLOOKUP("Gs - BC",A1:CV300,118,FALSE)/HLOOKUP("BC",A1:CV300,118,FALSE))</f>
        <v>0</v>
      </c>
      <c r="AH118" s="14464">
        <f>HLOOKUP("BC",A1:CV300,118,FALSE) - HLOOKUP("BC Miss",A1:CV300,118,FALSE)</f>
        <v>0</v>
      </c>
      <c r="AI118" s="14465">
        <f>IF(HLOOKUP("Gs",A1:CV300,118,FALSE)=0,0,HLOOKUP("Gs - BC",A1:CV300,118,FALSE)/HLOOKUP("Gs",A1:CV300,118,FALSE))</f>
        <v>0</v>
      </c>
      <c r="AJ118" s="14466">
        <v>0</v>
      </c>
      <c r="AK118" s="14467">
        <v>0</v>
      </c>
      <c r="AL118" s="14468">
        <f>HLOOKUP("BC",A1:CV300,118,FALSE) - (HLOOKUP("PK Gs",A1:CV300,118,FALSE) + HLOOKUP("PK Miss",A1:CV300,118,FALSE))</f>
        <v>0</v>
      </c>
      <c r="AM118" s="14469">
        <f>HLOOKUP("BC Miss",A1:CV300,118,FALSE) - HLOOKUP("PK Miss",A1:CV300,118,FALSE)</f>
        <v>0</v>
      </c>
      <c r="AN118" s="14470">
        <f>IF(HLOOKUP("BC - Open",A1:CV300,118,FALSE)=0,0,HLOOKUP("BC - Open Miss",A1:CV300,118,FALSE)/HLOOKUP("BC - Open",A1:CV300,118,FALSE))</f>
        <v>0</v>
      </c>
      <c r="AO118" s="14471">
        <v>2</v>
      </c>
      <c r="AP118" s="14472">
        <f>IF(HLOOKUP("Gs",A1:CV300,118,FALSE)=0,0,HLOOKUP("GIB",A1:CV300,118,FALSE)/HLOOKUP("Gs",A1:CV300,118,FALSE))</f>
        <v>1</v>
      </c>
      <c r="AQ118" s="14473">
        <v>2</v>
      </c>
      <c r="AR118" s="14474">
        <f>IF(HLOOKUP("Gs",A1:CV300,118,FALSE)=0,0,HLOOKUP("Gs - Open",A1:CV300,118,FALSE)/HLOOKUP("Gs",A1:CV300,118,FALSE))</f>
        <v>1</v>
      </c>
      <c r="AS118" s="14475">
        <v>0.41</v>
      </c>
      <c r="AT118" s="14476">
        <v>1.28</v>
      </c>
      <c r="AU118" s="14477">
        <f>IF(HLOOKUP("Mins",A1:CV300,118,FALSE)=0,0,HLOOKUP("Pts",A1:CV300,118,FALSE)/HLOOKUP("Mins",A1:CV300,118,FALSE)* 90)</f>
        <v>4.4090909090909092</v>
      </c>
      <c r="AV118" s="14478">
        <f>IF(HLOOKUP("Apps",A1:CV300,118,FALSE)=0,0,HLOOKUP("Pts",A1:CV300,118,FALSE)/HLOOKUP("Apps",A1:CV300,118,FALSE)* 1)</f>
        <v>4.4090909090909092</v>
      </c>
      <c r="AW118" s="14479">
        <f>IF(HLOOKUP("Mins",A1:CV300,118,FALSE)=0,0,HLOOKUP("Gs",A1:CV300,118,FALSE)/HLOOKUP("Mins",A1:CV300,118,FALSE)* 90)</f>
        <v>9.0909090909090912E-2</v>
      </c>
      <c r="AX118" s="14480">
        <f>IF(HLOOKUP("Mins",A1:CV300,118,FALSE)=0,0,HLOOKUP("Bonus",A1:CV300,118,FALSE)/HLOOKUP("Mins",A1:CV300,118,FALSE)* 90)</f>
        <v>0.31818181818181818</v>
      </c>
      <c r="AY118" s="14481">
        <f>IF(HLOOKUP("Mins",A1:CV300,118,FALSE)=0,0,HLOOKUP("BPS",A1:CV300,118,FALSE)/HLOOKUP("Mins",A1:CV300,118,FALSE)* 90)</f>
        <v>16.59090909090909</v>
      </c>
      <c r="AZ118" s="14482">
        <f>IF(HLOOKUP("Mins",A1:CV300,118,FALSE)=0,0,HLOOKUP("Base BPS",A1:CV300,118,FALSE)/HLOOKUP("Mins",A1:CV300,118,FALSE)* 90)</f>
        <v>9.5</v>
      </c>
      <c r="BA118" s="14483">
        <f>IF(HLOOKUP("Mins",A1:CV300,118,FALSE)=0,0,HLOOKUP("PenTchs",A1:CV300,118,FALSE)/HLOOKUP("Mins",A1:CV300,118,FALSE)* 90)</f>
        <v>1.7272727272727271</v>
      </c>
      <c r="BB118" s="14484">
        <f>IF(HLOOKUP("Mins",A1:CV300,118,FALSE)=0,0,HLOOKUP("Shots",A1:CV300,118,FALSE)/HLOOKUP("Mins",A1:CV300,118,FALSE)* 90)</f>
        <v>0.40909090909090906</v>
      </c>
      <c r="BC118" s="14485">
        <f>IF(HLOOKUP("Mins",A1:CV300,118,FALSE)=0,0,HLOOKUP("SIB",A1:CV300,118,FALSE)/HLOOKUP("Mins",A1:CV300,118,FALSE)* 90)</f>
        <v>0.31818181818181818</v>
      </c>
      <c r="BD118" s="14486">
        <f>IF(HLOOKUP("Mins",A1:CV300,118,FALSE)=0,0,HLOOKUP("S6YD",A1:CV300,118,FALSE)/HLOOKUP("Mins",A1:CV300,118,FALSE)* 90)</f>
        <v>0</v>
      </c>
      <c r="BE118" s="14487">
        <f>IF(HLOOKUP("Mins",A1:CV300,118,FALSE)=0,0,HLOOKUP("Headers",A1:CV300,118,FALSE)/HLOOKUP("Mins",A1:CV300,118,FALSE)* 90)</f>
        <v>0</v>
      </c>
      <c r="BF118" s="14488">
        <f>IF(HLOOKUP("Mins",A1:CV300,118,FALSE)=0,0,HLOOKUP("SOT",A1:CV300,118,FALSE)/HLOOKUP("Mins",A1:CV300,118,FALSE)* 90)</f>
        <v>0.13636363636363635</v>
      </c>
      <c r="BG118" s="14489">
        <f>IF(HLOOKUP("Mins",A1:CV300,118,FALSE)=0,0,HLOOKUP("As",A1:CV300,118,FALSE)/HLOOKUP("Mins",A1:CV300,118,FALSE)* 90)</f>
        <v>0.13636363636363635</v>
      </c>
      <c r="BH118" s="14490">
        <f>IF(HLOOKUP("Mins",A1:CV300,118,FALSE)=0,0,HLOOKUP("FPL As",A1:CV300,118,FALSE)/HLOOKUP("Mins",A1:CV300,118,FALSE)* 90)</f>
        <v>0.18181818181818182</v>
      </c>
      <c r="BI118" s="14491">
        <f>IF(HLOOKUP("Mins",A1:CV300,118,FALSE)=0,0,HLOOKUP("BC Created",A1:CV300,118,FALSE)/HLOOKUP("Mins",A1:CV300,118,FALSE)* 90)</f>
        <v>4.5454545454545456E-2</v>
      </c>
      <c r="BJ118" s="14492">
        <f>IF(HLOOKUP("Mins",A1:CV300,118,FALSE)=0,0,HLOOKUP("KP",A1:CV300,118,FALSE)/HLOOKUP("Mins",A1:CV300,118,FALSE)* 90)</f>
        <v>0.54545454545454541</v>
      </c>
      <c r="BK118" s="14493">
        <f>IF(HLOOKUP("Mins",A1:CV300,118,FALSE)=0,0,HLOOKUP("BC",A1:CV300,118,FALSE)/HLOOKUP("Mins",A1:CV300,118,FALSE)* 90)</f>
        <v>0</v>
      </c>
      <c r="BL118" s="14494">
        <f>IF(HLOOKUP("Mins",A1:CV300,118,FALSE)=0,0,HLOOKUP("BC Miss",A1:CV300,118,FALSE)/HLOOKUP("Mins",A1:CV300,118,FALSE)* 90)</f>
        <v>0</v>
      </c>
      <c r="BM118" s="14495">
        <f>IF(HLOOKUP("Mins",A1:CV300,118,FALSE)=0,0,HLOOKUP("Gs - BC",A1:CV300,118,FALSE)/HLOOKUP("Mins",A1:CV300,118,FALSE)* 90)</f>
        <v>0</v>
      </c>
      <c r="BN118" s="14496">
        <f>IF(HLOOKUP("Mins",A1:CV300,118,FALSE)=0,0,HLOOKUP("GIB",A1:CV300,118,FALSE)/HLOOKUP("Mins",A1:CV300,118,FALSE)* 90)</f>
        <v>9.0909090909090912E-2</v>
      </c>
      <c r="BO118" s="14497">
        <f>IF(HLOOKUP("Mins",A1:CV300,118,FALSE)=0,0,HLOOKUP("Gs - Open",A1:CV300,118,FALSE)/HLOOKUP("Mins",A1:CV300,118,FALSE)* 90)</f>
        <v>9.0909090909090912E-2</v>
      </c>
      <c r="BP118" s="14498">
        <f>IF(HLOOKUP("Mins",A1:CV300,118,FALSE)=0,0,HLOOKUP("ICT Index",A1:CV300,118,FALSE)/HLOOKUP("Mins",A1:CV300,118,FALSE)* 90)</f>
        <v>3.622727272727273</v>
      </c>
      <c r="BQ118" s="14499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  <v>3.1409090909090914E-2</v>
      </c>
      <c r="BR118" s="14500">
        <f>0.0825*HLOOKUP("KP/90",A1:CV300,118,FALSE)</f>
        <v>4.4999999999999998E-2</v>
      </c>
      <c r="BS118" s="14501">
        <f>6*HLOOKUP("xG/90",A1:CV300,118,FALSE)+3*HLOOKUP("xA/90",A1:CV300,118,FALSE)</f>
        <v>0.32345454545454549</v>
      </c>
      <c r="BT118" s="14502">
        <f>HLOOKUP("xPts/90",A1:CV300,118,FALSE)-(6*0.75*(HLOOKUP("PK Gs",A1:CV300,118,FALSE)+HLOOKUP("PK Miss",A1:CV300,118,FALSE))*90/HLOOKUP("Mins",A1:CV300,118,FALSE))</f>
        <v>0.32345454545454549</v>
      </c>
      <c r="BU118" s="14503">
        <f>IF(HLOOKUP("Mins",A1:CV300,118,FALSE)=0,0,HLOOKUP("fsXG",A1:CV300,118,FALSE)/HLOOKUP("Mins",A1:CV300,118,FALSE)* 90)</f>
        <v>1.8636363636363635E-2</v>
      </c>
      <c r="BV118" s="14504">
        <f>IF(HLOOKUP("Mins",A1:CV300,118,FALSE)=0,0,HLOOKUP("fsXA",A1:CV300,118,FALSE)/HLOOKUP("Mins",A1:CV300,118,FALSE)* 90)</f>
        <v>5.8181818181818182E-2</v>
      </c>
      <c r="BW118" s="14505">
        <f>6*HLOOKUP("fsXG/90",A1:CV300,118,FALSE)+3*HLOOKUP("fsXA/90",A1:CV300,118,FALSE)</f>
        <v>0.28636363636363638</v>
      </c>
      <c r="BX118" s="14506">
        <v>2.2228354588150978E-2</v>
      </c>
      <c r="BY118" s="14507">
        <v>3.439117968082428E-2</v>
      </c>
      <c r="BZ118" s="14508">
        <f>6*HLOOKUP("uXG/90",A1:CV300,118,FALSE)+3*HLOOKUP("uXA/90",A1:CV300,118,FALSE)</f>
        <v>0.23654366657137871</v>
      </c>
    </row>
    <row r="119" spans="1:78" hidden="1" x14ac:dyDescent="0.3">
      <c r="A119" s="14509" t="s">
        <v>282</v>
      </c>
      <c r="B119" s="14510" t="s">
        <v>132</v>
      </c>
      <c r="C119" s="14511">
        <v>7</v>
      </c>
      <c r="D119" s="14512">
        <v>1815</v>
      </c>
      <c r="E119" s="14513">
        <v>21</v>
      </c>
      <c r="F119" s="14514">
        <v>104</v>
      </c>
      <c r="G119" s="14515">
        <v>1</v>
      </c>
      <c r="H119" s="14516">
        <v>12</v>
      </c>
      <c r="I119" s="14517">
        <v>480</v>
      </c>
      <c r="J119" s="14518">
        <f>HLOOKUP("BPS",A1:CV300,119,FALSE)-((-6*HLOOKUP("OG",A1:CV300,119,FALSE))+(-6*HLOOKUP("PK Miss",A1:CV300,119,FALSE))+(9*HLOOKUP("FPL As",A1:CV300,119,FALSE))+(12*HLOOKUP("CS",A1:CV300,119,FALSE))+(12*HLOOKUP("Gs",A1:CV300,119,FALSE)))</f>
        <v>330</v>
      </c>
      <c r="K119" s="14519">
        <v>0</v>
      </c>
      <c r="L119" s="14520">
        <v>7</v>
      </c>
      <c r="M119" s="14521">
        <v>47</v>
      </c>
      <c r="N119" s="14522">
        <v>13</v>
      </c>
      <c r="O119" s="14523">
        <v>6</v>
      </c>
      <c r="P119" s="14524">
        <f>IF(HLOOKUP("Shots",A1:CV300,119,FALSE)=0,0,HLOOKUP("SIB",A1:CV300,119,FALSE)/HLOOKUP("Shots",A1:CV300,119,FALSE))</f>
        <v>0.46153846153846156</v>
      </c>
      <c r="Q119" s="14525">
        <v>2</v>
      </c>
      <c r="R119" s="14526">
        <f>IF(HLOOKUP("Shots",A1:CV300,119,FALSE)=0,0,HLOOKUP("S6YD",A1:CV300,119,FALSE)/HLOOKUP("Shots",A1:CV300,119,FALSE))</f>
        <v>0.15384615384615385</v>
      </c>
      <c r="S119" s="14527">
        <v>1</v>
      </c>
      <c r="T119" s="14528">
        <f>IF(HLOOKUP("Shots",A1:CV300,119,FALSE)=0,0,HLOOKUP("Headers",A1:CV300,119,FALSE)/HLOOKUP("Shots",A1:CV300,119,FALSE))</f>
        <v>7.6923076923076927E-2</v>
      </c>
      <c r="U119" s="14529">
        <v>4</v>
      </c>
      <c r="V119" s="14530">
        <f>IF(HLOOKUP("Shots",A1:CV300,119,FALSE)=0,0,HLOOKUP("SOT",A1:CV300,119,FALSE)/HLOOKUP("Shots",A1:CV300,119,FALSE))</f>
        <v>0.30769230769230771</v>
      </c>
      <c r="W119" s="14531">
        <f>IF(HLOOKUP("Shots",A1:CV300,119,FALSE)=0,0,HLOOKUP("Gs",A1:CV300,119,FALSE)/HLOOKUP("Shots",A1:CV300,119,FALSE))</f>
        <v>7.6923076923076927E-2</v>
      </c>
      <c r="X119" s="14532">
        <v>6</v>
      </c>
      <c r="Y119" s="14533">
        <v>6</v>
      </c>
      <c r="Z119" s="14534">
        <v>30</v>
      </c>
      <c r="AA119" s="14535">
        <f>IF(HLOOKUP("KP",A1:CV300,119,FALSE)=0,0,HLOOKUP("As",A1:CV300,119,FALSE)/HLOOKUP("KP",A1:CV300,119,FALSE))</f>
        <v>0.2</v>
      </c>
      <c r="AB119" s="14536">
        <v>122.8</v>
      </c>
      <c r="AC119" s="14537">
        <v>14</v>
      </c>
      <c r="AD119" s="14538">
        <v>8</v>
      </c>
      <c r="AE119" s="14539">
        <v>2</v>
      </c>
      <c r="AF119" s="14540">
        <v>1</v>
      </c>
      <c r="AG119" s="14541">
        <f>IF(HLOOKUP("BC",A1:CV300,119,FALSE)=0,0,HLOOKUP("Gs - BC",A1:CV300,119,FALSE)/HLOOKUP("BC",A1:CV300,119,FALSE))</f>
        <v>0.5</v>
      </c>
      <c r="AH119" s="14542">
        <f>HLOOKUP("BC",A1:CV300,119,FALSE) - HLOOKUP("BC Miss",A1:CV300,119,FALSE)</f>
        <v>1</v>
      </c>
      <c r="AI119" s="14543">
        <f>IF(HLOOKUP("Gs",A1:CV300,119,FALSE)=0,0,HLOOKUP("Gs - BC",A1:CV300,119,FALSE)/HLOOKUP("Gs",A1:CV300,119,FALSE))</f>
        <v>1</v>
      </c>
      <c r="AJ119" s="14544">
        <v>0</v>
      </c>
      <c r="AK119" s="14545">
        <v>0</v>
      </c>
      <c r="AL119" s="14546">
        <f>HLOOKUP("BC",A1:CV300,119,FALSE) - (HLOOKUP("PK Gs",A1:CV300,119,FALSE) + HLOOKUP("PK Miss",A1:CV300,119,FALSE))</f>
        <v>2</v>
      </c>
      <c r="AM119" s="14547">
        <f>HLOOKUP("BC Miss",A1:CV300,119,FALSE) - HLOOKUP("PK Miss",A1:CV300,119,FALSE)</f>
        <v>1</v>
      </c>
      <c r="AN119" s="14548">
        <f>IF(HLOOKUP("BC - Open",A1:CV300,119,FALSE)=0,0,HLOOKUP("BC - Open Miss",A1:CV300,119,FALSE)/HLOOKUP("BC - Open",A1:CV300,119,FALSE))</f>
        <v>0.5</v>
      </c>
      <c r="AO119" s="14549">
        <v>1</v>
      </c>
      <c r="AP119" s="14550">
        <f>IF(HLOOKUP("Gs",A1:CV300,119,FALSE)=0,0,HLOOKUP("GIB",A1:CV300,119,FALSE)/HLOOKUP("Gs",A1:CV300,119,FALSE))</f>
        <v>1</v>
      </c>
      <c r="AQ119" s="14551">
        <v>1</v>
      </c>
      <c r="AR119" s="14552">
        <f>IF(HLOOKUP("Gs",A1:CV300,119,FALSE)=0,0,HLOOKUP("Gs - Open",A1:CV300,119,FALSE)/HLOOKUP("Gs",A1:CV300,119,FALSE))</f>
        <v>1</v>
      </c>
      <c r="AS119" s="14553">
        <v>1.07</v>
      </c>
      <c r="AT119" s="14554">
        <v>3.72</v>
      </c>
      <c r="AU119" s="14555">
        <f>IF(HLOOKUP("Mins",A1:CV300,119,FALSE)=0,0,HLOOKUP("Pts",A1:CV300,119,FALSE)/HLOOKUP("Mins",A1:CV300,119,FALSE)* 90)</f>
        <v>5.1570247933884295</v>
      </c>
      <c r="AV119" s="14556">
        <f>IF(HLOOKUP("Apps",A1:CV300,119,FALSE)=0,0,HLOOKUP("Pts",A1:CV300,119,FALSE)/HLOOKUP("Apps",A1:CV300,119,FALSE)* 1)</f>
        <v>4.9523809523809526</v>
      </c>
      <c r="AW119" s="14557">
        <f>IF(HLOOKUP("Mins",A1:CV300,119,FALSE)=0,0,HLOOKUP("Gs",A1:CV300,119,FALSE)/HLOOKUP("Mins",A1:CV300,119,FALSE)* 90)</f>
        <v>4.9586776859504127E-2</v>
      </c>
      <c r="AX119" s="14558">
        <f>IF(HLOOKUP("Mins",A1:CV300,119,FALSE)=0,0,HLOOKUP("Bonus",A1:CV300,119,FALSE)/HLOOKUP("Mins",A1:CV300,119,FALSE)* 90)</f>
        <v>0.5950413223140496</v>
      </c>
      <c r="AY119" s="14559">
        <f>IF(HLOOKUP("Mins",A1:CV300,119,FALSE)=0,0,HLOOKUP("BPS",A1:CV300,119,FALSE)/HLOOKUP("Mins",A1:CV300,119,FALSE)* 90)</f>
        <v>23.801652892561982</v>
      </c>
      <c r="AZ119" s="14560">
        <f>IF(HLOOKUP("Mins",A1:CV300,119,FALSE)=0,0,HLOOKUP("Base BPS",A1:CV300,119,FALSE)/HLOOKUP("Mins",A1:CV300,119,FALSE)* 90)</f>
        <v>16.363636363636363</v>
      </c>
      <c r="BA119" s="14561">
        <f>IF(HLOOKUP("Mins",A1:CV300,119,FALSE)=0,0,HLOOKUP("PenTchs",A1:CV300,119,FALSE)/HLOOKUP("Mins",A1:CV300,119,FALSE)* 90)</f>
        <v>2.330578512396694</v>
      </c>
      <c r="BB119" s="14562">
        <f>IF(HLOOKUP("Mins",A1:CV300,119,FALSE)=0,0,HLOOKUP("Shots",A1:CV300,119,FALSE)/HLOOKUP("Mins",A1:CV300,119,FALSE)* 90)</f>
        <v>0.64462809917355368</v>
      </c>
      <c r="BC119" s="14563">
        <f>IF(HLOOKUP("Mins",A1:CV300,119,FALSE)=0,0,HLOOKUP("SIB",A1:CV300,119,FALSE)/HLOOKUP("Mins",A1:CV300,119,FALSE)* 90)</f>
        <v>0.2975206611570248</v>
      </c>
      <c r="BD119" s="14564">
        <f>IF(HLOOKUP("Mins",A1:CV300,119,FALSE)=0,0,HLOOKUP("S6YD",A1:CV300,119,FALSE)/HLOOKUP("Mins",A1:CV300,119,FALSE)* 90)</f>
        <v>9.9173553719008253E-2</v>
      </c>
      <c r="BE119" s="14565">
        <f>IF(HLOOKUP("Mins",A1:CV300,119,FALSE)=0,0,HLOOKUP("Headers",A1:CV300,119,FALSE)/HLOOKUP("Mins",A1:CV300,119,FALSE)* 90)</f>
        <v>4.9586776859504127E-2</v>
      </c>
      <c r="BF119" s="14566">
        <f>IF(HLOOKUP("Mins",A1:CV300,119,FALSE)=0,0,HLOOKUP("SOT",A1:CV300,119,FALSE)/HLOOKUP("Mins",A1:CV300,119,FALSE)* 90)</f>
        <v>0.19834710743801651</v>
      </c>
      <c r="BG119" s="14567">
        <f>IF(HLOOKUP("Mins",A1:CV300,119,FALSE)=0,0,HLOOKUP("As",A1:CV300,119,FALSE)/HLOOKUP("Mins",A1:CV300,119,FALSE)* 90)</f>
        <v>0.2975206611570248</v>
      </c>
      <c r="BH119" s="14568">
        <f>IF(HLOOKUP("Mins",A1:CV300,119,FALSE)=0,0,HLOOKUP("FPL As",A1:CV300,119,FALSE)/HLOOKUP("Mins",A1:CV300,119,FALSE)* 90)</f>
        <v>0.2975206611570248</v>
      </c>
      <c r="BI119" s="14569">
        <f>IF(HLOOKUP("Mins",A1:CV300,119,FALSE)=0,0,HLOOKUP("BC Created",A1:CV300,119,FALSE)/HLOOKUP("Mins",A1:CV300,119,FALSE)* 90)</f>
        <v>0.39669421487603301</v>
      </c>
      <c r="BJ119" s="14570">
        <f>IF(HLOOKUP("Mins",A1:CV300,119,FALSE)=0,0,HLOOKUP("KP",A1:CV300,119,FALSE)/HLOOKUP("Mins",A1:CV300,119,FALSE)* 90)</f>
        <v>1.4876033057851239</v>
      </c>
      <c r="BK119" s="14571">
        <f>IF(HLOOKUP("Mins",A1:CV300,119,FALSE)=0,0,HLOOKUP("BC",A1:CV300,119,FALSE)/HLOOKUP("Mins",A1:CV300,119,FALSE)* 90)</f>
        <v>9.9173553719008253E-2</v>
      </c>
      <c r="BL119" s="14572">
        <f>IF(HLOOKUP("Mins",A1:CV300,119,FALSE)=0,0,HLOOKUP("BC Miss",A1:CV300,119,FALSE)/HLOOKUP("Mins",A1:CV300,119,FALSE)* 90)</f>
        <v>4.9586776859504127E-2</v>
      </c>
      <c r="BM119" s="14573">
        <f>IF(HLOOKUP("Mins",A1:CV300,119,FALSE)=0,0,HLOOKUP("Gs - BC",A1:CV300,119,FALSE)/HLOOKUP("Mins",A1:CV300,119,FALSE)* 90)</f>
        <v>4.9586776859504127E-2</v>
      </c>
      <c r="BN119" s="14574">
        <f>IF(HLOOKUP("Mins",A1:CV300,119,FALSE)=0,0,HLOOKUP("GIB",A1:CV300,119,FALSE)/HLOOKUP("Mins",A1:CV300,119,FALSE)* 90)</f>
        <v>4.9586776859504127E-2</v>
      </c>
      <c r="BO119" s="14575">
        <f>IF(HLOOKUP("Mins",A1:CV300,119,FALSE)=0,0,HLOOKUP("Gs - Open",A1:CV300,119,FALSE)/HLOOKUP("Mins",A1:CV300,119,FALSE)* 90)</f>
        <v>4.9586776859504127E-2</v>
      </c>
      <c r="BP119" s="14576">
        <f>IF(HLOOKUP("Mins",A1:CV300,119,FALSE)=0,0,HLOOKUP("ICT Index",A1:CV300,119,FALSE)/HLOOKUP("Mins",A1:CV300,119,FALSE)* 90)</f>
        <v>6.0892561983471065</v>
      </c>
      <c r="BQ119" s="14577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  <v>3.461157024793389E-2</v>
      </c>
      <c r="BR119" s="14578">
        <f>0.0825*HLOOKUP("KP/90",A1:CV300,119,FALSE)</f>
        <v>0.12272727272727273</v>
      </c>
      <c r="BS119" s="14579">
        <f>6*HLOOKUP("xG/90",A1:CV300,119,FALSE)+3*HLOOKUP("xA/90",A1:CV300,119,FALSE)</f>
        <v>0.57585123966942153</v>
      </c>
      <c r="BT119" s="14580">
        <f>HLOOKUP("xPts/90",A1:CV300,119,FALSE)-(6*0.75*(HLOOKUP("PK Gs",A1:CV300,119,FALSE)+HLOOKUP("PK Miss",A1:CV300,119,FALSE))*90/HLOOKUP("Mins",A1:CV300,119,FALSE))</f>
        <v>0.57585123966942153</v>
      </c>
      <c r="BU119" s="14581">
        <f>IF(HLOOKUP("Mins",A1:CV300,119,FALSE)=0,0,HLOOKUP("fsXG",A1:CV300,119,FALSE)/HLOOKUP("Mins",A1:CV300,119,FALSE)* 90)</f>
        <v>5.3057851239669419E-2</v>
      </c>
      <c r="BV119" s="14582">
        <f>IF(HLOOKUP("Mins",A1:CV300,119,FALSE)=0,0,HLOOKUP("fsXA",A1:CV300,119,FALSE)/HLOOKUP("Mins",A1:CV300,119,FALSE)* 90)</f>
        <v>0.18446280991735536</v>
      </c>
      <c r="BW119" s="14583">
        <f>6*HLOOKUP("fsXG/90",A1:CV300,119,FALSE)+3*HLOOKUP("fsXA/90",A1:CV300,119,FALSE)</f>
        <v>0.87173553719008268</v>
      </c>
      <c r="BX119" s="14584">
        <v>5.3798962384462357E-2</v>
      </c>
      <c r="BY119" s="14585">
        <v>0.25158217549324036</v>
      </c>
      <c r="BZ119" s="14586">
        <f>6*HLOOKUP("uXG/90",A1:CV300,119,FALSE)+3*HLOOKUP("uXA/90",A1:CV300,119,FALSE)</f>
        <v>1.0775403007864952</v>
      </c>
    </row>
    <row r="120" spans="1:78" hidden="1" x14ac:dyDescent="0.3">
      <c r="A120" s="14587" t="s">
        <v>283</v>
      </c>
      <c r="B120" s="14588" t="s">
        <v>151</v>
      </c>
      <c r="C120" s="14589">
        <v>4</v>
      </c>
      <c r="D120" s="14590">
        <v>448</v>
      </c>
      <c r="E120" s="14591">
        <v>7</v>
      </c>
      <c r="F120" s="14592">
        <v>24</v>
      </c>
      <c r="G120" s="14593">
        <v>1</v>
      </c>
      <c r="H120" s="14594">
        <v>1</v>
      </c>
      <c r="I120" s="14595">
        <v>101</v>
      </c>
      <c r="J120" s="14596">
        <f>HLOOKUP("BPS",A1:CV300,120,FALSE)-((-6*HLOOKUP("OG",A1:CV300,120,FALSE))+(-6*HLOOKUP("PK Miss",A1:CV300,120,FALSE))+(9*HLOOKUP("FPL As",A1:CV300,120,FALSE))+(12*HLOOKUP("CS",A1:CV300,120,FALSE))+(12*HLOOKUP("Gs",A1:CV300,120,FALSE)))</f>
        <v>56</v>
      </c>
      <c r="K120" s="14597">
        <v>0</v>
      </c>
      <c r="L120" s="14598">
        <v>2</v>
      </c>
      <c r="M120" s="14599">
        <v>12</v>
      </c>
      <c r="N120" s="14600">
        <v>4</v>
      </c>
      <c r="O120" s="14601">
        <v>3</v>
      </c>
      <c r="P120" s="14602">
        <f>IF(HLOOKUP("Shots",A1:CV300,120,FALSE)=0,0,HLOOKUP("SIB",A1:CV300,120,FALSE)/HLOOKUP("Shots",A1:CV300,120,FALSE))</f>
        <v>0.75</v>
      </c>
      <c r="Q120" s="14603">
        <v>1</v>
      </c>
      <c r="R120" s="14604">
        <f>IF(HLOOKUP("Shots",A1:CV300,120,FALSE)=0,0,HLOOKUP("S6YD",A1:CV300,120,FALSE)/HLOOKUP("Shots",A1:CV300,120,FALSE))</f>
        <v>0.25</v>
      </c>
      <c r="S120" s="14605">
        <v>0</v>
      </c>
      <c r="T120" s="14606">
        <f>IF(HLOOKUP("Shots",A1:CV300,120,FALSE)=0,0,HLOOKUP("Headers",A1:CV300,120,FALSE)/HLOOKUP("Shots",A1:CV300,120,FALSE))</f>
        <v>0</v>
      </c>
      <c r="U120" s="14607">
        <v>2</v>
      </c>
      <c r="V120" s="14608">
        <f>IF(HLOOKUP("Shots",A1:CV300,120,FALSE)=0,0,HLOOKUP("SOT",A1:CV300,120,FALSE)/HLOOKUP("Shots",A1:CV300,120,FALSE))</f>
        <v>0.5</v>
      </c>
      <c r="W120" s="14609">
        <f>IF(HLOOKUP("Shots",A1:CV300,120,FALSE)=0,0,HLOOKUP("Gs",A1:CV300,120,FALSE)/HLOOKUP("Shots",A1:CV300,120,FALSE))</f>
        <v>0.25</v>
      </c>
      <c r="X120" s="14610">
        <v>0</v>
      </c>
      <c r="Y120" s="14611">
        <v>1</v>
      </c>
      <c r="Z120" s="14612">
        <v>7</v>
      </c>
      <c r="AA120" s="14613">
        <f>IF(HLOOKUP("KP",A1:CV300,120,FALSE)=0,0,HLOOKUP("As",A1:CV300,120,FALSE)/HLOOKUP("KP",A1:CV300,120,FALSE))</f>
        <v>0</v>
      </c>
      <c r="AB120" s="14614">
        <v>26.3</v>
      </c>
      <c r="AC120" s="14615">
        <v>14</v>
      </c>
      <c r="AD120" s="14616">
        <v>0</v>
      </c>
      <c r="AE120" s="14617">
        <v>1</v>
      </c>
      <c r="AF120" s="14618">
        <v>1</v>
      </c>
      <c r="AG120" s="14619">
        <f>IF(HLOOKUP("BC",A1:CV300,120,FALSE)=0,0,HLOOKUP("Gs - BC",A1:CV300,120,FALSE)/HLOOKUP("BC",A1:CV300,120,FALSE))</f>
        <v>0</v>
      </c>
      <c r="AH120" s="14620">
        <f>HLOOKUP("BC",A1:CV300,120,FALSE) - HLOOKUP("BC Miss",A1:CV300,120,FALSE)</f>
        <v>0</v>
      </c>
      <c r="AI120" s="14621">
        <f>IF(HLOOKUP("Gs",A1:CV300,120,FALSE)=0,0,HLOOKUP("Gs - BC",A1:CV300,120,FALSE)/HLOOKUP("Gs",A1:CV300,120,FALSE))</f>
        <v>0</v>
      </c>
      <c r="AJ120" s="14622">
        <v>0</v>
      </c>
      <c r="AK120" s="14623">
        <v>0</v>
      </c>
      <c r="AL120" s="14624">
        <f>HLOOKUP("BC",A1:CV300,120,FALSE) - (HLOOKUP("PK Gs",A1:CV300,120,FALSE) + HLOOKUP("PK Miss",A1:CV300,120,FALSE))</f>
        <v>1</v>
      </c>
      <c r="AM120" s="14625">
        <f>HLOOKUP("BC Miss",A1:CV300,120,FALSE) - HLOOKUP("PK Miss",A1:CV300,120,FALSE)</f>
        <v>1</v>
      </c>
      <c r="AN120" s="14626">
        <f>IF(HLOOKUP("BC - Open",A1:CV300,120,FALSE)=0,0,HLOOKUP("BC - Open Miss",A1:CV300,120,FALSE)/HLOOKUP("BC - Open",A1:CV300,120,FALSE))</f>
        <v>1</v>
      </c>
      <c r="AO120" s="14627">
        <v>1</v>
      </c>
      <c r="AP120" s="14628">
        <f>IF(HLOOKUP("Gs",A1:CV300,120,FALSE)=0,0,HLOOKUP("GIB",A1:CV300,120,FALSE)/HLOOKUP("Gs",A1:CV300,120,FALSE))</f>
        <v>1</v>
      </c>
      <c r="AQ120" s="14629">
        <v>1</v>
      </c>
      <c r="AR120" s="14630">
        <f>IF(HLOOKUP("Gs",A1:CV300,120,FALSE)=0,0,HLOOKUP("Gs - Open",A1:CV300,120,FALSE)/HLOOKUP("Gs",A1:CV300,120,FALSE))</f>
        <v>1</v>
      </c>
      <c r="AS120" s="14631">
        <v>0.97</v>
      </c>
      <c r="AT120" s="14632">
        <v>0.26</v>
      </c>
      <c r="AU120" s="14633">
        <f>IF(HLOOKUP("Mins",A1:CV300,120,FALSE)=0,0,HLOOKUP("Pts",A1:CV300,120,FALSE)/HLOOKUP("Mins",A1:CV300,120,FALSE)* 90)</f>
        <v>4.8214285714285712</v>
      </c>
      <c r="AV120" s="14634">
        <f>IF(HLOOKUP("Apps",A1:CV300,120,FALSE)=0,0,HLOOKUP("Pts",A1:CV300,120,FALSE)/HLOOKUP("Apps",A1:CV300,120,FALSE)* 1)</f>
        <v>3.4285714285714284</v>
      </c>
      <c r="AW120" s="14635">
        <f>IF(HLOOKUP("Mins",A1:CV300,120,FALSE)=0,0,HLOOKUP("Gs",A1:CV300,120,FALSE)/HLOOKUP("Mins",A1:CV300,120,FALSE)* 90)</f>
        <v>0.20089285714285712</v>
      </c>
      <c r="AX120" s="14636">
        <f>IF(HLOOKUP("Mins",A1:CV300,120,FALSE)=0,0,HLOOKUP("Bonus",A1:CV300,120,FALSE)/HLOOKUP("Mins",A1:CV300,120,FALSE)* 90)</f>
        <v>0.20089285714285712</v>
      </c>
      <c r="AY120" s="14637">
        <f>IF(HLOOKUP("Mins",A1:CV300,120,FALSE)=0,0,HLOOKUP("BPS",A1:CV300,120,FALSE)/HLOOKUP("Mins",A1:CV300,120,FALSE)* 90)</f>
        <v>20.290178571428573</v>
      </c>
      <c r="AZ120" s="14638">
        <f>IF(HLOOKUP("Mins",A1:CV300,120,FALSE)=0,0,HLOOKUP("Base BPS",A1:CV300,120,FALSE)/HLOOKUP("Mins",A1:CV300,120,FALSE)* 90)</f>
        <v>11.25</v>
      </c>
      <c r="BA120" s="14639">
        <f>IF(HLOOKUP("Mins",A1:CV300,120,FALSE)=0,0,HLOOKUP("PenTchs",A1:CV300,120,FALSE)/HLOOKUP("Mins",A1:CV300,120,FALSE)* 90)</f>
        <v>2.4107142857142856</v>
      </c>
      <c r="BB120" s="14640">
        <f>IF(HLOOKUP("Mins",A1:CV300,120,FALSE)=0,0,HLOOKUP("Shots",A1:CV300,120,FALSE)/HLOOKUP("Mins",A1:CV300,120,FALSE)* 90)</f>
        <v>0.80357142857142849</v>
      </c>
      <c r="BC120" s="14641">
        <f>IF(HLOOKUP("Mins",A1:CV300,120,FALSE)=0,0,HLOOKUP("SIB",A1:CV300,120,FALSE)/HLOOKUP("Mins",A1:CV300,120,FALSE)* 90)</f>
        <v>0.6026785714285714</v>
      </c>
      <c r="BD120" s="14642">
        <f>IF(HLOOKUP("Mins",A1:CV300,120,FALSE)=0,0,HLOOKUP("S6YD",A1:CV300,120,FALSE)/HLOOKUP("Mins",A1:CV300,120,FALSE)* 90)</f>
        <v>0.20089285714285712</v>
      </c>
      <c r="BE120" s="14643">
        <f>IF(HLOOKUP("Mins",A1:CV300,120,FALSE)=0,0,HLOOKUP("Headers",A1:CV300,120,FALSE)/HLOOKUP("Mins",A1:CV300,120,FALSE)* 90)</f>
        <v>0</v>
      </c>
      <c r="BF120" s="14644">
        <f>IF(HLOOKUP("Mins",A1:CV300,120,FALSE)=0,0,HLOOKUP("SOT",A1:CV300,120,FALSE)/HLOOKUP("Mins",A1:CV300,120,FALSE)* 90)</f>
        <v>0.40178571428571425</v>
      </c>
      <c r="BG120" s="14645">
        <f>IF(HLOOKUP("Mins",A1:CV300,120,FALSE)=0,0,HLOOKUP("As",A1:CV300,120,FALSE)/HLOOKUP("Mins",A1:CV300,120,FALSE)* 90)</f>
        <v>0</v>
      </c>
      <c r="BH120" s="14646">
        <f>IF(HLOOKUP("Mins",A1:CV300,120,FALSE)=0,0,HLOOKUP("FPL As",A1:CV300,120,FALSE)/HLOOKUP("Mins",A1:CV300,120,FALSE)* 90)</f>
        <v>0.20089285714285712</v>
      </c>
      <c r="BI120" s="14647">
        <f>IF(HLOOKUP("Mins",A1:CV300,120,FALSE)=0,0,HLOOKUP("BC Created",A1:CV300,120,FALSE)/HLOOKUP("Mins",A1:CV300,120,FALSE)* 90)</f>
        <v>0</v>
      </c>
      <c r="BJ120" s="14648">
        <f>IF(HLOOKUP("Mins",A1:CV300,120,FALSE)=0,0,HLOOKUP("KP",A1:CV300,120,FALSE)/HLOOKUP("Mins",A1:CV300,120,FALSE)* 90)</f>
        <v>1.40625</v>
      </c>
      <c r="BK120" s="14649">
        <f>IF(HLOOKUP("Mins",A1:CV300,120,FALSE)=0,0,HLOOKUP("BC",A1:CV300,120,FALSE)/HLOOKUP("Mins",A1:CV300,120,FALSE)* 90)</f>
        <v>0.20089285714285712</v>
      </c>
      <c r="BL120" s="14650">
        <f>IF(HLOOKUP("Mins",A1:CV300,120,FALSE)=0,0,HLOOKUP("BC Miss",A1:CV300,120,FALSE)/HLOOKUP("Mins",A1:CV300,120,FALSE)* 90)</f>
        <v>0.20089285714285712</v>
      </c>
      <c r="BM120" s="14651">
        <f>IF(HLOOKUP("Mins",A1:CV300,120,FALSE)=0,0,HLOOKUP("Gs - BC",A1:CV300,120,FALSE)/HLOOKUP("Mins",A1:CV300,120,FALSE)* 90)</f>
        <v>0</v>
      </c>
      <c r="BN120" s="14652">
        <f>IF(HLOOKUP("Mins",A1:CV300,120,FALSE)=0,0,HLOOKUP("GIB",A1:CV300,120,FALSE)/HLOOKUP("Mins",A1:CV300,120,FALSE)* 90)</f>
        <v>0.20089285714285712</v>
      </c>
      <c r="BO120" s="14653">
        <f>IF(HLOOKUP("Mins",A1:CV300,120,FALSE)=0,0,HLOOKUP("Gs - Open",A1:CV300,120,FALSE)/HLOOKUP("Mins",A1:CV300,120,FALSE)* 90)</f>
        <v>0.20089285714285712</v>
      </c>
      <c r="BP120" s="14654">
        <f>IF(HLOOKUP("Mins",A1:CV300,120,FALSE)=0,0,HLOOKUP("ICT Index",A1:CV300,120,FALSE)/HLOOKUP("Mins",A1:CV300,120,FALSE)* 90)</f>
        <v>5.2834821428571432</v>
      </c>
      <c r="BQ120" s="14655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  <v>6.0066964285714293E-2</v>
      </c>
      <c r="BR120" s="14656">
        <f>0.0825*HLOOKUP("KP/90",A1:CV300,120,FALSE)</f>
        <v>0.11601562500000001</v>
      </c>
      <c r="BS120" s="14657">
        <f>6*HLOOKUP("xG/90",A1:CV300,120,FALSE)+3*HLOOKUP("xA/90",A1:CV300,120,FALSE)</f>
        <v>0.70844866071428581</v>
      </c>
      <c r="BT120" s="14658">
        <f>HLOOKUP("xPts/90",A1:CV300,120,FALSE)-(6*0.75*(HLOOKUP("PK Gs",A1:CV300,120,FALSE)+HLOOKUP("PK Miss",A1:CV300,120,FALSE))*90/HLOOKUP("Mins",A1:CV300,120,FALSE))</f>
        <v>0.70844866071428581</v>
      </c>
      <c r="BU120" s="14659">
        <f>IF(HLOOKUP("Mins",A1:CV300,120,FALSE)=0,0,HLOOKUP("fsXG",A1:CV300,120,FALSE)/HLOOKUP("Mins",A1:CV300,120,FALSE)* 90)</f>
        <v>0.19486607142857143</v>
      </c>
      <c r="BV120" s="14660">
        <f>IF(HLOOKUP("Mins",A1:CV300,120,FALSE)=0,0,HLOOKUP("fsXA",A1:CV300,120,FALSE)/HLOOKUP("Mins",A1:CV300,120,FALSE)* 90)</f>
        <v>5.2232142857142859E-2</v>
      </c>
      <c r="BW120" s="14661">
        <f>6*HLOOKUP("fsXG/90",A1:CV300,120,FALSE)+3*HLOOKUP("fsXA/90",A1:CV300,120,FALSE)</f>
        <v>1.325892857142857</v>
      </c>
      <c r="BX120" s="14662">
        <v>0.17802596092224121</v>
      </c>
      <c r="BY120" s="14663">
        <v>5.2026644349098206E-2</v>
      </c>
      <c r="BZ120" s="14664">
        <f>6*HLOOKUP("uXG/90",A1:CV300,120,FALSE)+3*HLOOKUP("uXA/90",A1:CV300,120,FALSE)</f>
        <v>1.2242356985807419</v>
      </c>
    </row>
    <row r="121" spans="1:78" hidden="1" x14ac:dyDescent="0.3">
      <c r="A121" s="14665" t="s">
        <v>284</v>
      </c>
      <c r="B121" s="14666" t="s">
        <v>151</v>
      </c>
      <c r="C121" s="14667">
        <v>4.8000001907348633</v>
      </c>
      <c r="D121" s="14668">
        <v>121</v>
      </c>
      <c r="E121" s="14669">
        <v>3</v>
      </c>
      <c r="F121" s="14670">
        <v>3</v>
      </c>
      <c r="G121" s="14671">
        <v>0</v>
      </c>
      <c r="H121" s="14672">
        <v>0</v>
      </c>
      <c r="I121" s="14673">
        <v>9</v>
      </c>
      <c r="J121" s="14674">
        <f>HLOOKUP("BPS",A1:CV300,121,FALSE)-((-6*HLOOKUP("OG",A1:CV300,121,FALSE))+(-6*HLOOKUP("PK Miss",A1:CV300,121,FALSE))+(9*HLOOKUP("FPL As",A1:CV300,121,FALSE))+(12*HLOOKUP("CS",A1:CV300,121,FALSE))+(12*HLOOKUP("Gs",A1:CV300,121,FALSE)))</f>
        <v>9</v>
      </c>
      <c r="K121" s="14675">
        <v>0</v>
      </c>
      <c r="L121" s="14676">
        <v>0</v>
      </c>
      <c r="M121" s="14677">
        <v>2</v>
      </c>
      <c r="N121" s="14678">
        <v>1</v>
      </c>
      <c r="O121" s="14679">
        <v>1</v>
      </c>
      <c r="P121" s="14680">
        <f>IF(HLOOKUP("Shots",A1:CV300,121,FALSE)=0,0,HLOOKUP("SIB",A1:CV300,121,FALSE)/HLOOKUP("Shots",A1:CV300,121,FALSE))</f>
        <v>1</v>
      </c>
      <c r="Q121" s="14681">
        <v>0</v>
      </c>
      <c r="R121" s="14682">
        <f>IF(HLOOKUP("Shots",A1:CV300,121,FALSE)=0,0,HLOOKUP("S6YD",A1:CV300,121,FALSE)/HLOOKUP("Shots",A1:CV300,121,FALSE))</f>
        <v>0</v>
      </c>
      <c r="S121" s="14683">
        <v>1</v>
      </c>
      <c r="T121" s="14684">
        <f>IF(HLOOKUP("Shots",A1:CV300,121,FALSE)=0,0,HLOOKUP("Headers",A1:CV300,121,FALSE)/HLOOKUP("Shots",A1:CV300,121,FALSE))</f>
        <v>1</v>
      </c>
      <c r="U121" s="14685">
        <v>0</v>
      </c>
      <c r="V121" s="14686">
        <f>IF(HLOOKUP("Shots",A1:CV300,121,FALSE)=0,0,HLOOKUP("SOT",A1:CV300,121,FALSE)/HLOOKUP("Shots",A1:CV300,121,FALSE))</f>
        <v>0</v>
      </c>
      <c r="W121" s="14687">
        <f>IF(HLOOKUP("Shots",A1:CV300,121,FALSE)=0,0,HLOOKUP("Gs",A1:CV300,121,FALSE)/HLOOKUP("Shots",A1:CV300,121,FALSE))</f>
        <v>0</v>
      </c>
      <c r="X121" s="14688">
        <v>0</v>
      </c>
      <c r="Y121" s="14689">
        <v>0</v>
      </c>
      <c r="Z121" s="14690">
        <v>0</v>
      </c>
      <c r="AA121" s="14691">
        <f>IF(HLOOKUP("KP",A1:CV300,121,FALSE)=0,0,HLOOKUP("As",A1:CV300,121,FALSE)/HLOOKUP("KP",A1:CV300,121,FALSE))</f>
        <v>0</v>
      </c>
      <c r="AB121" s="14692">
        <v>2.8</v>
      </c>
      <c r="AC121" s="14693">
        <v>0</v>
      </c>
      <c r="AD121" s="14694">
        <v>0</v>
      </c>
      <c r="AE121" s="14695">
        <v>0</v>
      </c>
      <c r="AF121" s="14696">
        <v>0</v>
      </c>
      <c r="AG121" s="14697">
        <f>IF(HLOOKUP("BC",A1:CV300,121,FALSE)=0,0,HLOOKUP("Gs - BC",A1:CV300,121,FALSE)/HLOOKUP("BC",A1:CV300,121,FALSE))</f>
        <v>0</v>
      </c>
      <c r="AH121" s="14698">
        <f>HLOOKUP("BC",A1:CV300,121,FALSE) - HLOOKUP("BC Miss",A1:CV300,121,FALSE)</f>
        <v>0</v>
      </c>
      <c r="AI121" s="14699">
        <f>IF(HLOOKUP("Gs",A1:CV300,121,FALSE)=0,0,HLOOKUP("Gs - BC",A1:CV300,121,FALSE)/HLOOKUP("Gs",A1:CV300,121,FALSE))</f>
        <v>0</v>
      </c>
      <c r="AJ121" s="14700">
        <v>0</v>
      </c>
      <c r="AK121" s="14701">
        <v>0</v>
      </c>
      <c r="AL121" s="14702">
        <f>HLOOKUP("BC",A1:CV300,121,FALSE) - (HLOOKUP("PK Gs",A1:CV300,121,FALSE) + HLOOKUP("PK Miss",A1:CV300,121,FALSE))</f>
        <v>0</v>
      </c>
      <c r="AM121" s="14703">
        <f>HLOOKUP("BC Miss",A1:CV300,121,FALSE) - HLOOKUP("PK Miss",A1:CV300,121,FALSE)</f>
        <v>0</v>
      </c>
      <c r="AN121" s="14704">
        <f>IF(HLOOKUP("BC - Open",A1:CV300,121,FALSE)=0,0,HLOOKUP("BC - Open Miss",A1:CV300,121,FALSE)/HLOOKUP("BC - Open",A1:CV300,121,FALSE))</f>
        <v>0</v>
      </c>
      <c r="AO121" s="14705">
        <v>0</v>
      </c>
      <c r="AP121" s="14706">
        <f>IF(HLOOKUP("Gs",A1:CV300,121,FALSE)=0,0,HLOOKUP("GIB",A1:CV300,121,FALSE)/HLOOKUP("Gs",A1:CV300,121,FALSE))</f>
        <v>0</v>
      </c>
      <c r="AQ121" s="14707">
        <v>0</v>
      </c>
      <c r="AR121" s="14708">
        <f>IF(HLOOKUP("Gs",A1:CV300,121,FALSE)=0,0,HLOOKUP("Gs - Open",A1:CV300,121,FALSE)/HLOOKUP("Gs",A1:CV300,121,FALSE))</f>
        <v>0</v>
      </c>
      <c r="AS121" s="14709">
        <v>0.2</v>
      </c>
      <c r="AT121" s="14710">
        <v>0.01</v>
      </c>
      <c r="AU121" s="14711">
        <f>IF(HLOOKUP("Mins",A1:CV300,121,FALSE)=0,0,HLOOKUP("Pts",A1:CV300,121,FALSE)/HLOOKUP("Mins",A1:CV300,121,FALSE)* 90)</f>
        <v>2.2314049586776861</v>
      </c>
      <c r="AV121" s="14712">
        <f>IF(HLOOKUP("Apps",A1:CV300,121,FALSE)=0,0,HLOOKUP("Pts",A1:CV300,121,FALSE)/HLOOKUP("Apps",A1:CV300,121,FALSE)* 1)</f>
        <v>1</v>
      </c>
      <c r="AW121" s="14713">
        <f>IF(HLOOKUP("Mins",A1:CV300,121,FALSE)=0,0,HLOOKUP("Gs",A1:CV300,121,FALSE)/HLOOKUP("Mins",A1:CV300,121,FALSE)* 90)</f>
        <v>0</v>
      </c>
      <c r="AX121" s="14714">
        <f>IF(HLOOKUP("Mins",A1:CV300,121,FALSE)=0,0,HLOOKUP("Bonus",A1:CV300,121,FALSE)/HLOOKUP("Mins",A1:CV300,121,FALSE)* 90)</f>
        <v>0</v>
      </c>
      <c r="AY121" s="14715">
        <f>IF(HLOOKUP("Mins",A1:CV300,121,FALSE)=0,0,HLOOKUP("BPS",A1:CV300,121,FALSE)/HLOOKUP("Mins",A1:CV300,121,FALSE)* 90)</f>
        <v>6.6942148760330582</v>
      </c>
      <c r="AZ121" s="14716">
        <f>IF(HLOOKUP("Mins",A1:CV300,121,FALSE)=0,0,HLOOKUP("Base BPS",A1:CV300,121,FALSE)/HLOOKUP("Mins",A1:CV300,121,FALSE)* 90)</f>
        <v>6.6942148760330582</v>
      </c>
      <c r="BA121" s="14717">
        <f>IF(HLOOKUP("Mins",A1:CV300,121,FALSE)=0,0,HLOOKUP("PenTchs",A1:CV300,121,FALSE)/HLOOKUP("Mins",A1:CV300,121,FALSE)* 90)</f>
        <v>1.4876033057851239</v>
      </c>
      <c r="BB121" s="14718">
        <f>IF(HLOOKUP("Mins",A1:CV300,121,FALSE)=0,0,HLOOKUP("Shots",A1:CV300,121,FALSE)/HLOOKUP("Mins",A1:CV300,121,FALSE)* 90)</f>
        <v>0.74380165289256195</v>
      </c>
      <c r="BC121" s="14719">
        <f>IF(HLOOKUP("Mins",A1:CV300,121,FALSE)=0,0,HLOOKUP("SIB",A1:CV300,121,FALSE)/HLOOKUP("Mins",A1:CV300,121,FALSE)* 90)</f>
        <v>0.74380165289256195</v>
      </c>
      <c r="BD121" s="14720">
        <f>IF(HLOOKUP("Mins",A1:CV300,121,FALSE)=0,0,HLOOKUP("S6YD",A1:CV300,121,FALSE)/HLOOKUP("Mins",A1:CV300,121,FALSE)* 90)</f>
        <v>0</v>
      </c>
      <c r="BE121" s="14721">
        <f>IF(HLOOKUP("Mins",A1:CV300,121,FALSE)=0,0,HLOOKUP("Headers",A1:CV300,121,FALSE)/HLOOKUP("Mins",A1:CV300,121,FALSE)* 90)</f>
        <v>0.74380165289256195</v>
      </c>
      <c r="BF121" s="14722">
        <f>IF(HLOOKUP("Mins",A1:CV300,121,FALSE)=0,0,HLOOKUP("SOT",A1:CV300,121,FALSE)/HLOOKUP("Mins",A1:CV300,121,FALSE)* 90)</f>
        <v>0</v>
      </c>
      <c r="BG121" s="14723">
        <f>IF(HLOOKUP("Mins",A1:CV300,121,FALSE)=0,0,HLOOKUP("As",A1:CV300,121,FALSE)/HLOOKUP("Mins",A1:CV300,121,FALSE)* 90)</f>
        <v>0</v>
      </c>
      <c r="BH121" s="14724">
        <f>IF(HLOOKUP("Mins",A1:CV300,121,FALSE)=0,0,HLOOKUP("FPL As",A1:CV300,121,FALSE)/HLOOKUP("Mins",A1:CV300,121,FALSE)* 90)</f>
        <v>0</v>
      </c>
      <c r="BI121" s="14725">
        <f>IF(HLOOKUP("Mins",A1:CV300,121,FALSE)=0,0,HLOOKUP("BC Created",A1:CV300,121,FALSE)/HLOOKUP("Mins",A1:CV300,121,FALSE)* 90)</f>
        <v>0</v>
      </c>
      <c r="BJ121" s="14726">
        <f>IF(HLOOKUP("Mins",A1:CV300,121,FALSE)=0,0,HLOOKUP("KP",A1:CV300,121,FALSE)/HLOOKUP("Mins",A1:CV300,121,FALSE)* 90)</f>
        <v>0</v>
      </c>
      <c r="BK121" s="14727">
        <f>IF(HLOOKUP("Mins",A1:CV300,121,FALSE)=0,0,HLOOKUP("BC",A1:CV300,121,FALSE)/HLOOKUP("Mins",A1:CV300,121,FALSE)* 90)</f>
        <v>0</v>
      </c>
      <c r="BL121" s="14728">
        <f>IF(HLOOKUP("Mins",A1:CV300,121,FALSE)=0,0,HLOOKUP("BC Miss",A1:CV300,121,FALSE)/HLOOKUP("Mins",A1:CV300,121,FALSE)* 90)</f>
        <v>0</v>
      </c>
      <c r="BM121" s="14729">
        <f>IF(HLOOKUP("Mins",A1:CV300,121,FALSE)=0,0,HLOOKUP("Gs - BC",A1:CV300,121,FALSE)/HLOOKUP("Mins",A1:CV300,121,FALSE)* 90)</f>
        <v>0</v>
      </c>
      <c r="BN121" s="14730">
        <f>IF(HLOOKUP("Mins",A1:CV300,121,FALSE)=0,0,HLOOKUP("GIB",A1:CV300,121,FALSE)/HLOOKUP("Mins",A1:CV300,121,FALSE)* 90)</f>
        <v>0</v>
      </c>
      <c r="BO121" s="14731">
        <f>IF(HLOOKUP("Mins",A1:CV300,121,FALSE)=0,0,HLOOKUP("Gs - Open",A1:CV300,121,FALSE)/HLOOKUP("Mins",A1:CV300,121,FALSE)* 90)</f>
        <v>0</v>
      </c>
      <c r="BP121" s="14732">
        <f>IF(HLOOKUP("Mins",A1:CV300,121,FALSE)=0,0,HLOOKUP("ICT Index",A1:CV300,121,FALSE)/HLOOKUP("Mins",A1:CV300,121,FALSE)* 90)</f>
        <v>2.0826446280991733</v>
      </c>
      <c r="BQ121" s="14733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  <v>6.9173553719008268E-2</v>
      </c>
      <c r="BR121" s="14734">
        <f>0.0825*HLOOKUP("KP/90",A1:CV300,121,FALSE)</f>
        <v>0</v>
      </c>
      <c r="BS121" s="14735">
        <f>6*HLOOKUP("xG/90",A1:CV300,121,FALSE)+3*HLOOKUP("xA/90",A1:CV300,121,FALSE)</f>
        <v>0.41504132231404961</v>
      </c>
      <c r="BT121" s="14736">
        <f>HLOOKUP("xPts/90",A1:CV300,121,FALSE)-(6*0.75*(HLOOKUP("PK Gs",A1:CV300,121,FALSE)+HLOOKUP("PK Miss",A1:CV300,121,FALSE))*90/HLOOKUP("Mins",A1:CV300,121,FALSE))</f>
        <v>0.41504132231404961</v>
      </c>
      <c r="BU121" s="14737">
        <f>IF(HLOOKUP("Mins",A1:CV300,121,FALSE)=0,0,HLOOKUP("fsXG",A1:CV300,121,FALSE)/HLOOKUP("Mins",A1:CV300,121,FALSE)* 90)</f>
        <v>0.1487603305785124</v>
      </c>
      <c r="BV121" s="14738">
        <f>IF(HLOOKUP("Mins",A1:CV300,121,FALSE)=0,0,HLOOKUP("fsXA",A1:CV300,121,FALSE)/HLOOKUP("Mins",A1:CV300,121,FALSE)* 90)</f>
        <v>7.4380165289256207E-3</v>
      </c>
      <c r="BW121" s="14739">
        <f>6*HLOOKUP("fsXG/90",A1:CV300,121,FALSE)+3*HLOOKUP("fsXA/90",A1:CV300,121,FALSE)</f>
        <v>0.91487603305785126</v>
      </c>
      <c r="BX121" s="14740">
        <v>9.9883995950222015E-2</v>
      </c>
      <c r="BY121" s="14741">
        <v>0</v>
      </c>
      <c r="BZ121" s="14742">
        <f>6*HLOOKUP("uXG/90",A1:CV300,121,FALSE)+3*HLOOKUP("uXA/90",A1:CV300,121,FALSE)</f>
        <v>0.59930397570133209</v>
      </c>
    </row>
    <row r="122" spans="1:78" hidden="1" x14ac:dyDescent="0.3">
      <c r="A122" s="14743" t="s">
        <v>285</v>
      </c>
      <c r="B122" s="14744" t="s">
        <v>86</v>
      </c>
      <c r="C122" s="14745">
        <v>4.1999998092651367</v>
      </c>
      <c r="D122" s="14746">
        <v>701</v>
      </c>
      <c r="E122" s="14747">
        <v>11</v>
      </c>
      <c r="F122" s="14748">
        <v>19</v>
      </c>
      <c r="G122" s="14749">
        <v>0</v>
      </c>
      <c r="H122" s="14750">
        <v>5</v>
      </c>
      <c r="I122" s="14751">
        <v>154</v>
      </c>
      <c r="J122" s="14752">
        <f>HLOOKUP("BPS",A1:CV300,122,FALSE)-((-6*HLOOKUP("OG",A1:CV300,122,FALSE))+(-6*HLOOKUP("PK Miss",A1:CV300,122,FALSE))+(9*HLOOKUP("FPL As",A1:CV300,122,FALSE))+(12*HLOOKUP("CS",A1:CV300,122,FALSE))+(12*HLOOKUP("Gs",A1:CV300,122,FALSE)))</f>
        <v>133</v>
      </c>
      <c r="K122" s="14753">
        <v>0</v>
      </c>
      <c r="L122" s="14754">
        <v>1</v>
      </c>
      <c r="M122" s="14755">
        <v>12</v>
      </c>
      <c r="N122" s="14756">
        <v>4</v>
      </c>
      <c r="O122" s="14757">
        <v>4</v>
      </c>
      <c r="P122" s="14758">
        <f>IF(HLOOKUP("Shots",A1:CV300,122,FALSE)=0,0,HLOOKUP("SIB",A1:CV300,122,FALSE)/HLOOKUP("Shots",A1:CV300,122,FALSE))</f>
        <v>1</v>
      </c>
      <c r="Q122" s="14759">
        <v>0</v>
      </c>
      <c r="R122" s="14760">
        <f>IF(HLOOKUP("Shots",A1:CV300,122,FALSE)=0,0,HLOOKUP("S6YD",A1:CV300,122,FALSE)/HLOOKUP("Shots",A1:CV300,122,FALSE))</f>
        <v>0</v>
      </c>
      <c r="S122" s="14761">
        <v>2</v>
      </c>
      <c r="T122" s="14762">
        <f>IF(HLOOKUP("Shots",A1:CV300,122,FALSE)=0,0,HLOOKUP("Headers",A1:CV300,122,FALSE)/HLOOKUP("Shots",A1:CV300,122,FALSE))</f>
        <v>0.5</v>
      </c>
      <c r="U122" s="14763">
        <v>0</v>
      </c>
      <c r="V122" s="14764">
        <f>IF(HLOOKUP("Shots",A1:CV300,122,FALSE)=0,0,HLOOKUP("SOT",A1:CV300,122,FALSE)/HLOOKUP("Shots",A1:CV300,122,FALSE))</f>
        <v>0</v>
      </c>
      <c r="W122" s="14765">
        <f>IF(HLOOKUP("Shots",A1:CV300,122,FALSE)=0,0,HLOOKUP("Gs",A1:CV300,122,FALSE)/HLOOKUP("Shots",A1:CV300,122,FALSE))</f>
        <v>0</v>
      </c>
      <c r="X122" s="14766">
        <v>1</v>
      </c>
      <c r="Y122" s="14767">
        <v>1</v>
      </c>
      <c r="Z122" s="14768">
        <v>15</v>
      </c>
      <c r="AA122" s="14769">
        <f>IF(HLOOKUP("KP",A1:CV300,122,FALSE)=0,0,HLOOKUP("As",A1:CV300,122,FALSE)/HLOOKUP("KP",A1:CV300,122,FALSE))</f>
        <v>6.6666666666666666E-2</v>
      </c>
      <c r="AB122" s="14770">
        <v>44.3</v>
      </c>
      <c r="AC122" s="14771">
        <v>14</v>
      </c>
      <c r="AD122" s="14772">
        <v>2</v>
      </c>
      <c r="AE122" s="14773">
        <v>0</v>
      </c>
      <c r="AF122" s="14774">
        <v>0</v>
      </c>
      <c r="AG122" s="14775">
        <f>IF(HLOOKUP("BC",A1:CV300,122,FALSE)=0,0,HLOOKUP("Gs - BC",A1:CV300,122,FALSE)/HLOOKUP("BC",A1:CV300,122,FALSE))</f>
        <v>0</v>
      </c>
      <c r="AH122" s="14776">
        <f>HLOOKUP("BC",A1:CV300,122,FALSE) - HLOOKUP("BC Miss",A1:CV300,122,FALSE)</f>
        <v>0</v>
      </c>
      <c r="AI122" s="14777">
        <f>IF(HLOOKUP("Gs",A1:CV300,122,FALSE)=0,0,HLOOKUP("Gs - BC",A1:CV300,122,FALSE)/HLOOKUP("Gs",A1:CV300,122,FALSE))</f>
        <v>0</v>
      </c>
      <c r="AJ122" s="14778">
        <v>0</v>
      </c>
      <c r="AK122" s="14779">
        <v>0</v>
      </c>
      <c r="AL122" s="14780">
        <f>HLOOKUP("BC",A1:CV300,122,FALSE) - (HLOOKUP("PK Gs",A1:CV300,122,FALSE) + HLOOKUP("PK Miss",A1:CV300,122,FALSE))</f>
        <v>0</v>
      </c>
      <c r="AM122" s="14781">
        <f>HLOOKUP("BC Miss",A1:CV300,122,FALSE) - HLOOKUP("PK Miss",A1:CV300,122,FALSE)</f>
        <v>0</v>
      </c>
      <c r="AN122" s="14782">
        <f>IF(HLOOKUP("BC - Open",A1:CV300,122,FALSE)=0,0,HLOOKUP("BC - Open Miss",A1:CV300,122,FALSE)/HLOOKUP("BC - Open",A1:CV300,122,FALSE))</f>
        <v>0</v>
      </c>
      <c r="AO122" s="14783">
        <v>0</v>
      </c>
      <c r="AP122" s="14784">
        <f>IF(HLOOKUP("Gs",A1:CV300,122,FALSE)=0,0,HLOOKUP("GIB",A1:CV300,122,FALSE)/HLOOKUP("Gs",A1:CV300,122,FALSE))</f>
        <v>0</v>
      </c>
      <c r="AQ122" s="14785">
        <v>0</v>
      </c>
      <c r="AR122" s="14786">
        <f>IF(HLOOKUP("Gs",A1:CV300,122,FALSE)=0,0,HLOOKUP("Gs - Open",A1:CV300,122,FALSE)/HLOOKUP("Gs",A1:CV300,122,FALSE))</f>
        <v>0</v>
      </c>
      <c r="AS122" s="14787">
        <v>0.2</v>
      </c>
      <c r="AT122" s="14788">
        <v>1.3</v>
      </c>
      <c r="AU122" s="14789">
        <f>IF(HLOOKUP("Mins",A1:CV300,122,FALSE)=0,0,HLOOKUP("Pts",A1:CV300,122,FALSE)/HLOOKUP("Mins",A1:CV300,122,FALSE)* 90)</f>
        <v>2.4393723252496433</v>
      </c>
      <c r="AV122" s="14790">
        <f>IF(HLOOKUP("Apps",A1:CV300,122,FALSE)=0,0,HLOOKUP("Pts",A1:CV300,122,FALSE)/HLOOKUP("Apps",A1:CV300,122,FALSE)* 1)</f>
        <v>1.7272727272727273</v>
      </c>
      <c r="AW122" s="14791">
        <f>IF(HLOOKUP("Mins",A1:CV300,122,FALSE)=0,0,HLOOKUP("Gs",A1:CV300,122,FALSE)/HLOOKUP("Mins",A1:CV300,122,FALSE)* 90)</f>
        <v>0</v>
      </c>
      <c r="AX122" s="14792">
        <f>IF(HLOOKUP("Mins",A1:CV300,122,FALSE)=0,0,HLOOKUP("Bonus",A1:CV300,122,FALSE)/HLOOKUP("Mins",A1:CV300,122,FALSE)* 90)</f>
        <v>0.64194008559201143</v>
      </c>
      <c r="AY122" s="14793">
        <f>IF(HLOOKUP("Mins",A1:CV300,122,FALSE)=0,0,HLOOKUP("BPS",A1:CV300,122,FALSE)/HLOOKUP("Mins",A1:CV300,122,FALSE)* 90)</f>
        <v>19.77175463623395</v>
      </c>
      <c r="AZ122" s="14794">
        <f>IF(HLOOKUP("Mins",A1:CV300,122,FALSE)=0,0,HLOOKUP("Base BPS",A1:CV300,122,FALSE)/HLOOKUP("Mins",A1:CV300,122,FALSE)* 90)</f>
        <v>17.075606276747504</v>
      </c>
      <c r="BA122" s="14795">
        <f>IF(HLOOKUP("Mins",A1:CV300,122,FALSE)=0,0,HLOOKUP("PenTchs",A1:CV300,122,FALSE)/HLOOKUP("Mins",A1:CV300,122,FALSE)* 90)</f>
        <v>1.5406562054208275</v>
      </c>
      <c r="BB122" s="14796">
        <f>IF(HLOOKUP("Mins",A1:CV300,122,FALSE)=0,0,HLOOKUP("Shots",A1:CV300,122,FALSE)/HLOOKUP("Mins",A1:CV300,122,FALSE)* 90)</f>
        <v>0.51355206847360912</v>
      </c>
      <c r="BC122" s="14797">
        <f>IF(HLOOKUP("Mins",A1:CV300,122,FALSE)=0,0,HLOOKUP("SIB",A1:CV300,122,FALSE)/HLOOKUP("Mins",A1:CV300,122,FALSE)* 90)</f>
        <v>0.51355206847360912</v>
      </c>
      <c r="BD122" s="14798">
        <f>IF(HLOOKUP("Mins",A1:CV300,122,FALSE)=0,0,HLOOKUP("S6YD",A1:CV300,122,FALSE)/HLOOKUP("Mins",A1:CV300,122,FALSE)* 90)</f>
        <v>0</v>
      </c>
      <c r="BE122" s="14799">
        <f>IF(HLOOKUP("Mins",A1:CV300,122,FALSE)=0,0,HLOOKUP("Headers",A1:CV300,122,FALSE)/HLOOKUP("Mins",A1:CV300,122,FALSE)* 90)</f>
        <v>0.25677603423680456</v>
      </c>
      <c r="BF122" s="14800">
        <f>IF(HLOOKUP("Mins",A1:CV300,122,FALSE)=0,0,HLOOKUP("SOT",A1:CV300,122,FALSE)/HLOOKUP("Mins",A1:CV300,122,FALSE)* 90)</f>
        <v>0</v>
      </c>
      <c r="BG122" s="14801">
        <f>IF(HLOOKUP("Mins",A1:CV300,122,FALSE)=0,0,HLOOKUP("As",A1:CV300,122,FALSE)/HLOOKUP("Mins",A1:CV300,122,FALSE)* 90)</f>
        <v>0.12838801711840228</v>
      </c>
      <c r="BH122" s="14802">
        <f>IF(HLOOKUP("Mins",A1:CV300,122,FALSE)=0,0,HLOOKUP("FPL As",A1:CV300,122,FALSE)/HLOOKUP("Mins",A1:CV300,122,FALSE)* 90)</f>
        <v>0.12838801711840228</v>
      </c>
      <c r="BI122" s="14803">
        <f>IF(HLOOKUP("Mins",A1:CV300,122,FALSE)=0,0,HLOOKUP("BC Created",A1:CV300,122,FALSE)/HLOOKUP("Mins",A1:CV300,122,FALSE)* 90)</f>
        <v>0.25677603423680456</v>
      </c>
      <c r="BJ122" s="14804">
        <f>IF(HLOOKUP("Mins",A1:CV300,122,FALSE)=0,0,HLOOKUP("KP",A1:CV300,122,FALSE)/HLOOKUP("Mins",A1:CV300,122,FALSE)* 90)</f>
        <v>1.9258202567760343</v>
      </c>
      <c r="BK122" s="14805">
        <f>IF(HLOOKUP("Mins",A1:CV300,122,FALSE)=0,0,HLOOKUP("BC",A1:CV300,122,FALSE)/HLOOKUP("Mins",A1:CV300,122,FALSE)* 90)</f>
        <v>0</v>
      </c>
      <c r="BL122" s="14806">
        <f>IF(HLOOKUP("Mins",A1:CV300,122,FALSE)=0,0,HLOOKUP("BC Miss",A1:CV300,122,FALSE)/HLOOKUP("Mins",A1:CV300,122,FALSE)* 90)</f>
        <v>0</v>
      </c>
      <c r="BM122" s="14807">
        <f>IF(HLOOKUP("Mins",A1:CV300,122,FALSE)=0,0,HLOOKUP("Gs - BC",A1:CV300,122,FALSE)/HLOOKUP("Mins",A1:CV300,122,FALSE)* 90)</f>
        <v>0</v>
      </c>
      <c r="BN122" s="14808">
        <f>IF(HLOOKUP("Mins",A1:CV300,122,FALSE)=0,0,HLOOKUP("GIB",A1:CV300,122,FALSE)/HLOOKUP("Mins",A1:CV300,122,FALSE)* 90)</f>
        <v>0</v>
      </c>
      <c r="BO122" s="14809">
        <f>IF(HLOOKUP("Mins",A1:CV300,122,FALSE)=0,0,HLOOKUP("Gs - Open",A1:CV300,122,FALSE)/HLOOKUP("Mins",A1:CV300,122,FALSE)* 90)</f>
        <v>0</v>
      </c>
      <c r="BP122" s="14810">
        <f>IF(HLOOKUP("Mins",A1:CV300,122,FALSE)=0,0,HLOOKUP("ICT Index",A1:CV300,122,FALSE)/HLOOKUP("Mins",A1:CV300,122,FALSE)* 90)</f>
        <v>5.6875891583452205</v>
      </c>
      <c r="BQ122" s="14811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  <v>4.7760342368045647E-2</v>
      </c>
      <c r="BR122" s="14812">
        <f>0.0825*HLOOKUP("KP/90",A1:CV300,122,FALSE)</f>
        <v>0.15888017118402284</v>
      </c>
      <c r="BS122" s="14813">
        <f>6*HLOOKUP("xG/90",A1:CV300,122,FALSE)+3*HLOOKUP("xA/90",A1:CV300,122,FALSE)</f>
        <v>0.76320256776034234</v>
      </c>
      <c r="BT122" s="14814">
        <f>HLOOKUP("xPts/90",A1:CV300,122,FALSE)-(6*0.75*(HLOOKUP("PK Gs",A1:CV300,122,FALSE)+HLOOKUP("PK Miss",A1:CV300,122,FALSE))*90/HLOOKUP("Mins",A1:CV300,122,FALSE))</f>
        <v>0.76320256776034234</v>
      </c>
      <c r="BU122" s="14815">
        <f>IF(HLOOKUP("Mins",A1:CV300,122,FALSE)=0,0,HLOOKUP("fsXG",A1:CV300,122,FALSE)/HLOOKUP("Mins",A1:CV300,122,FALSE)* 90)</f>
        <v>2.5677603423680456E-2</v>
      </c>
      <c r="BV122" s="14816">
        <f>IF(HLOOKUP("Mins",A1:CV300,122,FALSE)=0,0,HLOOKUP("fsXA",A1:CV300,122,FALSE)/HLOOKUP("Mins",A1:CV300,122,FALSE)* 90)</f>
        <v>0.16690442225392296</v>
      </c>
      <c r="BW122" s="14817">
        <f>6*HLOOKUP("fsXG/90",A1:CV300,122,FALSE)+3*HLOOKUP("fsXA/90",A1:CV300,122,FALSE)</f>
        <v>0.65477888730385159</v>
      </c>
      <c r="BX122" s="14818">
        <v>2.3910025134682655E-2</v>
      </c>
      <c r="BY122" s="14819">
        <v>0.18366606533527374</v>
      </c>
      <c r="BZ122" s="14820">
        <f>6*HLOOKUP("uXG/90",A1:CV300,122,FALSE)+3*HLOOKUP("uXA/90",A1:CV300,122,FALSE)</f>
        <v>0.69445834681391716</v>
      </c>
    </row>
    <row r="123" spans="1:78" hidden="1" x14ac:dyDescent="0.3">
      <c r="A123" s="14821" t="s">
        <v>286</v>
      </c>
      <c r="B123" s="14822" t="s">
        <v>115</v>
      </c>
      <c r="C123" s="14823">
        <v>4.3000001907348633</v>
      </c>
      <c r="D123" s="14824">
        <v>1725</v>
      </c>
      <c r="E123" s="14825">
        <v>20</v>
      </c>
      <c r="F123" s="14826">
        <v>59</v>
      </c>
      <c r="G123" s="14827">
        <v>0</v>
      </c>
      <c r="H123" s="14828">
        <v>3</v>
      </c>
      <c r="I123" s="14829">
        <v>324</v>
      </c>
      <c r="J123" s="14830">
        <f>HLOOKUP("BPS",A1:CV300,123,FALSE)-((-6*HLOOKUP("OG",A1:CV300,123,FALSE))+(-6*HLOOKUP("PK Miss",A1:CV300,123,FALSE))+(9*HLOOKUP("FPL As",A1:CV300,123,FALSE))+(12*HLOOKUP("CS",A1:CV300,123,FALSE))+(12*HLOOKUP("Gs",A1:CV300,123,FALSE)))</f>
        <v>240</v>
      </c>
      <c r="K123" s="14831">
        <v>0</v>
      </c>
      <c r="L123" s="14832">
        <v>7</v>
      </c>
      <c r="M123" s="14833">
        <v>8</v>
      </c>
      <c r="N123" s="14834">
        <v>1</v>
      </c>
      <c r="O123" s="14835">
        <v>1</v>
      </c>
      <c r="P123" s="14836">
        <f>IF(HLOOKUP("Shots",A1:CV300,123,FALSE)=0,0,HLOOKUP("SIB",A1:CV300,123,FALSE)/HLOOKUP("Shots",A1:CV300,123,FALSE))</f>
        <v>1</v>
      </c>
      <c r="Q123" s="14837">
        <v>0</v>
      </c>
      <c r="R123" s="14838">
        <f>IF(HLOOKUP("Shots",A1:CV300,123,FALSE)=0,0,HLOOKUP("S6YD",A1:CV300,123,FALSE)/HLOOKUP("Shots",A1:CV300,123,FALSE))</f>
        <v>0</v>
      </c>
      <c r="S123" s="14839">
        <v>0</v>
      </c>
      <c r="T123" s="14840">
        <f>IF(HLOOKUP("Shots",A1:CV300,123,FALSE)=0,0,HLOOKUP("Headers",A1:CV300,123,FALSE)/HLOOKUP("Shots",A1:CV300,123,FALSE))</f>
        <v>0</v>
      </c>
      <c r="U123" s="14841">
        <v>0</v>
      </c>
      <c r="V123" s="14842">
        <f>IF(HLOOKUP("Shots",A1:CV300,123,FALSE)=0,0,HLOOKUP("SOT",A1:CV300,123,FALSE)/HLOOKUP("Shots",A1:CV300,123,FALSE))</f>
        <v>0</v>
      </c>
      <c r="W123" s="14843">
        <f>IF(HLOOKUP("Shots",A1:CV300,123,FALSE)=0,0,HLOOKUP("Gs",A1:CV300,123,FALSE)/HLOOKUP("Shots",A1:CV300,123,FALSE))</f>
        <v>0</v>
      </c>
      <c r="X123" s="14844">
        <v>0</v>
      </c>
      <c r="Y123" s="14845">
        <v>0</v>
      </c>
      <c r="Z123" s="14846">
        <v>1</v>
      </c>
      <c r="AA123" s="14847">
        <f>IF(HLOOKUP("KP",A1:CV300,123,FALSE)=0,0,HLOOKUP("As",A1:CV300,123,FALSE)/HLOOKUP("KP",A1:CV300,123,FALSE))</f>
        <v>0</v>
      </c>
      <c r="AB123" s="14848">
        <v>37.299999999999997</v>
      </c>
      <c r="AC123" s="14849">
        <v>0</v>
      </c>
      <c r="AD123" s="14850">
        <v>0</v>
      </c>
      <c r="AE123" s="14851">
        <v>0</v>
      </c>
      <c r="AF123" s="14852">
        <v>0</v>
      </c>
      <c r="AG123" s="14853">
        <f>IF(HLOOKUP("BC",A1:CV300,123,FALSE)=0,0,HLOOKUP("Gs - BC",A1:CV300,123,FALSE)/HLOOKUP("BC",A1:CV300,123,FALSE))</f>
        <v>0</v>
      </c>
      <c r="AH123" s="14854">
        <f>HLOOKUP("BC",A1:CV300,123,FALSE) - HLOOKUP("BC Miss",A1:CV300,123,FALSE)</f>
        <v>0</v>
      </c>
      <c r="AI123" s="14855">
        <f>IF(HLOOKUP("Gs",A1:CV300,123,FALSE)=0,0,HLOOKUP("Gs - BC",A1:CV300,123,FALSE)/HLOOKUP("Gs",A1:CV300,123,FALSE))</f>
        <v>0</v>
      </c>
      <c r="AJ123" s="14856">
        <v>0</v>
      </c>
      <c r="AK123" s="14857">
        <v>0</v>
      </c>
      <c r="AL123" s="14858">
        <f>HLOOKUP("BC",A1:CV300,123,FALSE) - (HLOOKUP("PK Gs",A1:CV300,123,FALSE) + HLOOKUP("PK Miss",A1:CV300,123,FALSE))</f>
        <v>0</v>
      </c>
      <c r="AM123" s="14859">
        <f>HLOOKUP("BC Miss",A1:CV300,123,FALSE) - HLOOKUP("PK Miss",A1:CV300,123,FALSE)</f>
        <v>0</v>
      </c>
      <c r="AN123" s="14860">
        <f>IF(HLOOKUP("BC - Open",A1:CV300,123,FALSE)=0,0,HLOOKUP("BC - Open Miss",A1:CV300,123,FALSE)/HLOOKUP("BC - Open",A1:CV300,123,FALSE))</f>
        <v>0</v>
      </c>
      <c r="AO123" s="14861">
        <v>0</v>
      </c>
      <c r="AP123" s="14862">
        <f>IF(HLOOKUP("Gs",A1:CV300,123,FALSE)=0,0,HLOOKUP("GIB",A1:CV300,123,FALSE)/HLOOKUP("Gs",A1:CV300,123,FALSE))</f>
        <v>0</v>
      </c>
      <c r="AQ123" s="14863">
        <v>0</v>
      </c>
      <c r="AR123" s="14864">
        <f>IF(HLOOKUP("Gs",A1:CV300,123,FALSE)=0,0,HLOOKUP("Gs - Open",A1:CV300,123,FALSE)/HLOOKUP("Gs",A1:CV300,123,FALSE))</f>
        <v>0</v>
      </c>
      <c r="AS123" s="14865">
        <v>0.11</v>
      </c>
      <c r="AT123" s="14866">
        <v>0.1</v>
      </c>
      <c r="AU123" s="14867">
        <f>IF(HLOOKUP("Mins",A1:CV300,123,FALSE)=0,0,HLOOKUP("Pts",A1:CV300,123,FALSE)/HLOOKUP("Mins",A1:CV300,123,FALSE)* 90)</f>
        <v>3.0782608695652169</v>
      </c>
      <c r="AV123" s="14868">
        <f>IF(HLOOKUP("Apps",A1:CV300,123,FALSE)=0,0,HLOOKUP("Pts",A1:CV300,123,FALSE)/HLOOKUP("Apps",A1:CV300,123,FALSE)* 1)</f>
        <v>2.95</v>
      </c>
      <c r="AW123" s="14869">
        <f>IF(HLOOKUP("Mins",A1:CV300,123,FALSE)=0,0,HLOOKUP("Gs",A1:CV300,123,FALSE)/HLOOKUP("Mins",A1:CV300,123,FALSE)* 90)</f>
        <v>0</v>
      </c>
      <c r="AX123" s="14870">
        <f>IF(HLOOKUP("Mins",A1:CV300,123,FALSE)=0,0,HLOOKUP("Bonus",A1:CV300,123,FALSE)/HLOOKUP("Mins",A1:CV300,123,FALSE)* 90)</f>
        <v>0.15652173913043479</v>
      </c>
      <c r="AY123" s="14871">
        <f>IF(HLOOKUP("Mins",A1:CV300,123,FALSE)=0,0,HLOOKUP("BPS",A1:CV300,123,FALSE)/HLOOKUP("Mins",A1:CV300,123,FALSE)* 90)</f>
        <v>16.904347826086955</v>
      </c>
      <c r="AZ123" s="14872">
        <f>IF(HLOOKUP("Mins",A1:CV300,123,FALSE)=0,0,HLOOKUP("Base BPS",A1:CV300,123,FALSE)/HLOOKUP("Mins",A1:CV300,123,FALSE)* 90)</f>
        <v>12.521739130434783</v>
      </c>
      <c r="BA123" s="14873">
        <f>IF(HLOOKUP("Mins",A1:CV300,123,FALSE)=0,0,HLOOKUP("PenTchs",A1:CV300,123,FALSE)/HLOOKUP("Mins",A1:CV300,123,FALSE)* 90)</f>
        <v>0.41739130434782606</v>
      </c>
      <c r="BB123" s="14874">
        <f>IF(HLOOKUP("Mins",A1:CV300,123,FALSE)=0,0,HLOOKUP("Shots",A1:CV300,123,FALSE)/HLOOKUP("Mins",A1:CV300,123,FALSE)* 90)</f>
        <v>5.2173913043478258E-2</v>
      </c>
      <c r="BC123" s="14875">
        <f>IF(HLOOKUP("Mins",A1:CV300,123,FALSE)=0,0,HLOOKUP("SIB",A1:CV300,123,FALSE)/HLOOKUP("Mins",A1:CV300,123,FALSE)* 90)</f>
        <v>5.2173913043478258E-2</v>
      </c>
      <c r="BD123" s="14876">
        <f>IF(HLOOKUP("Mins",A1:CV300,123,FALSE)=0,0,HLOOKUP("S6YD",A1:CV300,123,FALSE)/HLOOKUP("Mins",A1:CV300,123,FALSE)* 90)</f>
        <v>0</v>
      </c>
      <c r="BE123" s="14877">
        <f>IF(HLOOKUP("Mins",A1:CV300,123,FALSE)=0,0,HLOOKUP("Headers",A1:CV300,123,FALSE)/HLOOKUP("Mins",A1:CV300,123,FALSE)* 90)</f>
        <v>0</v>
      </c>
      <c r="BF123" s="14878">
        <f>IF(HLOOKUP("Mins",A1:CV300,123,FALSE)=0,0,HLOOKUP("SOT",A1:CV300,123,FALSE)/HLOOKUP("Mins",A1:CV300,123,FALSE)* 90)</f>
        <v>0</v>
      </c>
      <c r="BG123" s="14879">
        <f>IF(HLOOKUP("Mins",A1:CV300,123,FALSE)=0,0,HLOOKUP("As",A1:CV300,123,FALSE)/HLOOKUP("Mins",A1:CV300,123,FALSE)* 90)</f>
        <v>0</v>
      </c>
      <c r="BH123" s="14880">
        <f>IF(HLOOKUP("Mins",A1:CV300,123,FALSE)=0,0,HLOOKUP("FPL As",A1:CV300,123,FALSE)/HLOOKUP("Mins",A1:CV300,123,FALSE)* 90)</f>
        <v>0</v>
      </c>
      <c r="BI123" s="14881">
        <f>IF(HLOOKUP("Mins",A1:CV300,123,FALSE)=0,0,HLOOKUP("BC Created",A1:CV300,123,FALSE)/HLOOKUP("Mins",A1:CV300,123,FALSE)* 90)</f>
        <v>0</v>
      </c>
      <c r="BJ123" s="14882">
        <f>IF(HLOOKUP("Mins",A1:CV300,123,FALSE)=0,0,HLOOKUP("KP",A1:CV300,123,FALSE)/HLOOKUP("Mins",A1:CV300,123,FALSE)* 90)</f>
        <v>5.2173913043478258E-2</v>
      </c>
      <c r="BK123" s="14883">
        <f>IF(HLOOKUP("Mins",A1:CV300,123,FALSE)=0,0,HLOOKUP("BC",A1:CV300,123,FALSE)/HLOOKUP("Mins",A1:CV300,123,FALSE)* 90)</f>
        <v>0</v>
      </c>
      <c r="BL123" s="14884">
        <f>IF(HLOOKUP("Mins",A1:CV300,123,FALSE)=0,0,HLOOKUP("BC Miss",A1:CV300,123,FALSE)/HLOOKUP("Mins",A1:CV300,123,FALSE)* 90)</f>
        <v>0</v>
      </c>
      <c r="BM123" s="14885">
        <f>IF(HLOOKUP("Mins",A1:CV300,123,FALSE)=0,0,HLOOKUP("Gs - BC",A1:CV300,123,FALSE)/HLOOKUP("Mins",A1:CV300,123,FALSE)* 90)</f>
        <v>0</v>
      </c>
      <c r="BN123" s="14886">
        <f>IF(HLOOKUP("Mins",A1:CV300,123,FALSE)=0,0,HLOOKUP("GIB",A1:CV300,123,FALSE)/HLOOKUP("Mins",A1:CV300,123,FALSE)* 90)</f>
        <v>0</v>
      </c>
      <c r="BO123" s="14887">
        <f>IF(HLOOKUP("Mins",A1:CV300,123,FALSE)=0,0,HLOOKUP("Gs - Open",A1:CV300,123,FALSE)/HLOOKUP("Mins",A1:CV300,123,FALSE)* 90)</f>
        <v>0</v>
      </c>
      <c r="BP123" s="14888">
        <f>IF(HLOOKUP("Mins",A1:CV300,123,FALSE)=0,0,HLOOKUP("ICT Index",A1:CV300,123,FALSE)/HLOOKUP("Mins",A1:CV300,123,FALSE)* 90)</f>
        <v>1.9460869565217389</v>
      </c>
      <c r="BQ123" s="14889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  <v>4.8521739130434781E-3</v>
      </c>
      <c r="BR123" s="14890">
        <f>0.0825*HLOOKUP("KP/90",A1:CV300,123,FALSE)</f>
        <v>4.3043478260869567E-3</v>
      </c>
      <c r="BS123" s="14891">
        <f>6*HLOOKUP("xG/90",A1:CV300,123,FALSE)+3*HLOOKUP("xA/90",A1:CV300,123,FALSE)</f>
        <v>4.2026086956521741E-2</v>
      </c>
      <c r="BT123" s="14892">
        <f>HLOOKUP("xPts/90",A1:CV300,123,FALSE)-(6*0.75*(HLOOKUP("PK Gs",A1:CV300,123,FALSE)+HLOOKUP("PK Miss",A1:CV300,123,FALSE))*90/HLOOKUP("Mins",A1:CV300,123,FALSE))</f>
        <v>4.2026086956521741E-2</v>
      </c>
      <c r="BU123" s="14893">
        <f>IF(HLOOKUP("Mins",A1:CV300,123,FALSE)=0,0,HLOOKUP("fsXG",A1:CV300,123,FALSE)/HLOOKUP("Mins",A1:CV300,123,FALSE)* 90)</f>
        <v>5.7391304347826086E-3</v>
      </c>
      <c r="BV123" s="14894">
        <f>IF(HLOOKUP("Mins",A1:CV300,123,FALSE)=0,0,HLOOKUP("fsXA",A1:CV300,123,FALSE)/HLOOKUP("Mins",A1:CV300,123,FALSE)* 90)</f>
        <v>5.2173913043478265E-3</v>
      </c>
      <c r="BW123" s="14895">
        <f>6*HLOOKUP("fsXG/90",A1:CV300,123,FALSE)+3*HLOOKUP("fsXA/90",A1:CV300,123,FALSE)</f>
        <v>5.0086956521739133E-2</v>
      </c>
      <c r="BX123" s="14896">
        <v>4.1426611132919788E-3</v>
      </c>
      <c r="BY123" s="14897">
        <v>1.9675306975841522E-3</v>
      </c>
      <c r="BZ123" s="14898">
        <f>6*HLOOKUP("uXG/90",A1:CV300,123,FALSE)+3*HLOOKUP("uXA/90",A1:CV300,123,FALSE)</f>
        <v>3.075855877250433E-2</v>
      </c>
    </row>
    <row r="124" spans="1:78" hidden="1" x14ac:dyDescent="0.3">
      <c r="A124" s="14899" t="s">
        <v>287</v>
      </c>
      <c r="B124" s="14900" t="s">
        <v>79</v>
      </c>
      <c r="C124" s="14901">
        <v>5.4000000953674316</v>
      </c>
      <c r="D124" s="14902">
        <v>263</v>
      </c>
      <c r="E124" s="14903">
        <v>3</v>
      </c>
      <c r="F124" s="14904">
        <v>1</v>
      </c>
      <c r="G124" s="14905">
        <v>0</v>
      </c>
      <c r="H124" s="14906">
        <v>0</v>
      </c>
      <c r="I124" s="14907">
        <v>26</v>
      </c>
      <c r="J124" s="14908">
        <f>HLOOKUP("BPS",A1:CV300,124,FALSE)-((-6*HLOOKUP("OG",A1:CV300,124,FALSE))+(-6*HLOOKUP("PK Miss",A1:CV300,124,FALSE))+(9*HLOOKUP("FPL As",A1:CV300,124,FALSE))+(12*HLOOKUP("CS",A1:CV300,124,FALSE))+(12*HLOOKUP("Gs",A1:CV300,124,FALSE)))</f>
        <v>26</v>
      </c>
      <c r="K124" s="14909">
        <v>0</v>
      </c>
      <c r="L124" s="14910">
        <v>0</v>
      </c>
      <c r="M124" s="14911">
        <v>7</v>
      </c>
      <c r="N124" s="14912">
        <v>1</v>
      </c>
      <c r="O124" s="14913">
        <v>0</v>
      </c>
      <c r="P124" s="14914">
        <f>IF(HLOOKUP("Shots",A1:CV300,124,FALSE)=0,0,HLOOKUP("SIB",A1:CV300,124,FALSE)/HLOOKUP("Shots",A1:CV300,124,FALSE))</f>
        <v>0</v>
      </c>
      <c r="Q124" s="14915">
        <v>0</v>
      </c>
      <c r="R124" s="14916">
        <f>IF(HLOOKUP("Shots",A1:CV300,124,FALSE)=0,0,HLOOKUP("S6YD",A1:CV300,124,FALSE)/HLOOKUP("Shots",A1:CV300,124,FALSE))</f>
        <v>0</v>
      </c>
      <c r="S124" s="14917">
        <v>0</v>
      </c>
      <c r="T124" s="14918">
        <f>IF(HLOOKUP("Shots",A1:CV300,124,FALSE)=0,0,HLOOKUP("Headers",A1:CV300,124,FALSE)/HLOOKUP("Shots",A1:CV300,124,FALSE))</f>
        <v>0</v>
      </c>
      <c r="U124" s="14919">
        <v>0</v>
      </c>
      <c r="V124" s="14920">
        <f>IF(HLOOKUP("Shots",A1:CV300,124,FALSE)=0,0,HLOOKUP("SOT",A1:CV300,124,FALSE)/HLOOKUP("Shots",A1:CV300,124,FALSE))</f>
        <v>0</v>
      </c>
      <c r="W124" s="14921">
        <f>IF(HLOOKUP("Shots",A1:CV300,124,FALSE)=0,0,HLOOKUP("Gs",A1:CV300,124,FALSE)/HLOOKUP("Shots",A1:CV300,124,FALSE))</f>
        <v>0</v>
      </c>
      <c r="X124" s="14922">
        <v>0</v>
      </c>
      <c r="Y124" s="14923">
        <v>0</v>
      </c>
      <c r="Z124" s="14924">
        <v>1</v>
      </c>
      <c r="AA124" s="14925">
        <f>IF(HLOOKUP("KP",A1:CV300,124,FALSE)=0,0,HLOOKUP("As",A1:CV300,124,FALSE)/HLOOKUP("KP",A1:CV300,124,FALSE))</f>
        <v>0</v>
      </c>
      <c r="AB124" s="14926">
        <v>6.7</v>
      </c>
      <c r="AC124" s="14927">
        <v>0</v>
      </c>
      <c r="AD124" s="14928">
        <v>0</v>
      </c>
      <c r="AE124" s="14929">
        <v>0</v>
      </c>
      <c r="AF124" s="14930">
        <v>0</v>
      </c>
      <c r="AG124" s="14931">
        <f>IF(HLOOKUP("BC",A1:CV300,124,FALSE)=0,0,HLOOKUP("Gs - BC",A1:CV300,124,FALSE)/HLOOKUP("BC",A1:CV300,124,FALSE))</f>
        <v>0</v>
      </c>
      <c r="AH124" s="14932">
        <f>HLOOKUP("BC",A1:CV300,124,FALSE) - HLOOKUP("BC Miss",A1:CV300,124,FALSE)</f>
        <v>0</v>
      </c>
      <c r="AI124" s="14933">
        <f>IF(HLOOKUP("Gs",A1:CV300,124,FALSE)=0,0,HLOOKUP("Gs - BC",A1:CV300,124,FALSE)/HLOOKUP("Gs",A1:CV300,124,FALSE))</f>
        <v>0</v>
      </c>
      <c r="AJ124" s="14934">
        <v>0</v>
      </c>
      <c r="AK124" s="14935">
        <v>0</v>
      </c>
      <c r="AL124" s="14936">
        <f>HLOOKUP("BC",A1:CV300,124,FALSE) - (HLOOKUP("PK Gs",A1:CV300,124,FALSE) + HLOOKUP("PK Miss",A1:CV300,124,FALSE))</f>
        <v>0</v>
      </c>
      <c r="AM124" s="14937">
        <f>HLOOKUP("BC Miss",A1:CV300,124,FALSE) - HLOOKUP("PK Miss",A1:CV300,124,FALSE)</f>
        <v>0</v>
      </c>
      <c r="AN124" s="14938">
        <f>IF(HLOOKUP("BC - Open",A1:CV300,124,FALSE)=0,0,HLOOKUP("BC - Open Miss",A1:CV300,124,FALSE)/HLOOKUP("BC - Open",A1:CV300,124,FALSE))</f>
        <v>0</v>
      </c>
      <c r="AO124" s="14939">
        <v>0</v>
      </c>
      <c r="AP124" s="14940">
        <f>IF(HLOOKUP("Gs",A1:CV300,124,FALSE)=0,0,HLOOKUP("GIB",A1:CV300,124,FALSE)/HLOOKUP("Gs",A1:CV300,124,FALSE))</f>
        <v>0</v>
      </c>
      <c r="AQ124" s="14941">
        <v>0</v>
      </c>
      <c r="AR124" s="14942">
        <f>IF(HLOOKUP("Gs",A1:CV300,124,FALSE)=0,0,HLOOKUP("Gs - Open",A1:CV300,124,FALSE)/HLOOKUP("Gs",A1:CV300,124,FALSE))</f>
        <v>0</v>
      </c>
      <c r="AS124" s="14943">
        <v>0.04</v>
      </c>
      <c r="AT124" s="14944">
        <v>0.24</v>
      </c>
      <c r="AU124" s="14945">
        <f>IF(HLOOKUP("Mins",A1:CV300,124,FALSE)=0,0,HLOOKUP("Pts",A1:CV300,124,FALSE)/HLOOKUP("Mins",A1:CV300,124,FALSE)* 90)</f>
        <v>0.34220532319391633</v>
      </c>
      <c r="AV124" s="14946">
        <f>IF(HLOOKUP("Apps",A1:CV300,124,FALSE)=0,0,HLOOKUP("Pts",A1:CV300,124,FALSE)/HLOOKUP("Apps",A1:CV300,124,FALSE)* 1)</f>
        <v>0.33333333333333331</v>
      </c>
      <c r="AW124" s="14947">
        <f>IF(HLOOKUP("Mins",A1:CV300,124,FALSE)=0,0,HLOOKUP("Gs",A1:CV300,124,FALSE)/HLOOKUP("Mins",A1:CV300,124,FALSE)* 90)</f>
        <v>0</v>
      </c>
      <c r="AX124" s="14948">
        <f>IF(HLOOKUP("Mins",A1:CV300,124,FALSE)=0,0,HLOOKUP("Bonus",A1:CV300,124,FALSE)/HLOOKUP("Mins",A1:CV300,124,FALSE)* 90)</f>
        <v>0</v>
      </c>
      <c r="AY124" s="14949">
        <f>IF(HLOOKUP("Mins",A1:CV300,124,FALSE)=0,0,HLOOKUP("BPS",A1:CV300,124,FALSE)/HLOOKUP("Mins",A1:CV300,124,FALSE)* 90)</f>
        <v>8.8973384030418252</v>
      </c>
      <c r="AZ124" s="14950">
        <f>IF(HLOOKUP("Mins",A1:CV300,124,FALSE)=0,0,HLOOKUP("Base BPS",A1:CV300,124,FALSE)/HLOOKUP("Mins",A1:CV300,124,FALSE)* 90)</f>
        <v>8.8973384030418252</v>
      </c>
      <c r="BA124" s="14951">
        <f>IF(HLOOKUP("Mins",A1:CV300,124,FALSE)=0,0,HLOOKUP("PenTchs",A1:CV300,124,FALSE)/HLOOKUP("Mins",A1:CV300,124,FALSE)* 90)</f>
        <v>2.3954372623574143</v>
      </c>
      <c r="BB124" s="14952">
        <f>IF(HLOOKUP("Mins",A1:CV300,124,FALSE)=0,0,HLOOKUP("Shots",A1:CV300,124,FALSE)/HLOOKUP("Mins",A1:CV300,124,FALSE)* 90)</f>
        <v>0.34220532319391633</v>
      </c>
      <c r="BC124" s="14953">
        <f>IF(HLOOKUP("Mins",A1:CV300,124,FALSE)=0,0,HLOOKUP("SIB",A1:CV300,124,FALSE)/HLOOKUP("Mins",A1:CV300,124,FALSE)* 90)</f>
        <v>0</v>
      </c>
      <c r="BD124" s="14954">
        <f>IF(HLOOKUP("Mins",A1:CV300,124,FALSE)=0,0,HLOOKUP("S6YD",A1:CV300,124,FALSE)/HLOOKUP("Mins",A1:CV300,124,FALSE)* 90)</f>
        <v>0</v>
      </c>
      <c r="BE124" s="14955">
        <f>IF(HLOOKUP("Mins",A1:CV300,124,FALSE)=0,0,HLOOKUP("Headers",A1:CV300,124,FALSE)/HLOOKUP("Mins",A1:CV300,124,FALSE)* 90)</f>
        <v>0</v>
      </c>
      <c r="BF124" s="14956">
        <f>IF(HLOOKUP("Mins",A1:CV300,124,FALSE)=0,0,HLOOKUP("SOT",A1:CV300,124,FALSE)/HLOOKUP("Mins",A1:CV300,124,FALSE)* 90)</f>
        <v>0</v>
      </c>
      <c r="BG124" s="14957">
        <f>IF(HLOOKUP("Mins",A1:CV300,124,FALSE)=0,0,HLOOKUP("As",A1:CV300,124,FALSE)/HLOOKUP("Mins",A1:CV300,124,FALSE)* 90)</f>
        <v>0</v>
      </c>
      <c r="BH124" s="14958">
        <f>IF(HLOOKUP("Mins",A1:CV300,124,FALSE)=0,0,HLOOKUP("FPL As",A1:CV300,124,FALSE)/HLOOKUP("Mins",A1:CV300,124,FALSE)* 90)</f>
        <v>0</v>
      </c>
      <c r="BI124" s="14959">
        <f>IF(HLOOKUP("Mins",A1:CV300,124,FALSE)=0,0,HLOOKUP("BC Created",A1:CV300,124,FALSE)/HLOOKUP("Mins",A1:CV300,124,FALSE)* 90)</f>
        <v>0</v>
      </c>
      <c r="BJ124" s="14960">
        <f>IF(HLOOKUP("Mins",A1:CV300,124,FALSE)=0,0,HLOOKUP("KP",A1:CV300,124,FALSE)/HLOOKUP("Mins",A1:CV300,124,FALSE)* 90)</f>
        <v>0.34220532319391633</v>
      </c>
      <c r="BK124" s="14961">
        <f>IF(HLOOKUP("Mins",A1:CV300,124,FALSE)=0,0,HLOOKUP("BC",A1:CV300,124,FALSE)/HLOOKUP("Mins",A1:CV300,124,FALSE)* 90)</f>
        <v>0</v>
      </c>
      <c r="BL124" s="14962">
        <f>IF(HLOOKUP("Mins",A1:CV300,124,FALSE)=0,0,HLOOKUP("BC Miss",A1:CV300,124,FALSE)/HLOOKUP("Mins",A1:CV300,124,FALSE)* 90)</f>
        <v>0</v>
      </c>
      <c r="BM124" s="14963">
        <f>IF(HLOOKUP("Mins",A1:CV300,124,FALSE)=0,0,HLOOKUP("Gs - BC",A1:CV300,124,FALSE)/HLOOKUP("Mins",A1:CV300,124,FALSE)* 90)</f>
        <v>0</v>
      </c>
      <c r="BN124" s="14964">
        <f>IF(HLOOKUP("Mins",A1:CV300,124,FALSE)=0,0,HLOOKUP("GIB",A1:CV300,124,FALSE)/HLOOKUP("Mins",A1:CV300,124,FALSE)* 90)</f>
        <v>0</v>
      </c>
      <c r="BO124" s="14965">
        <f>IF(HLOOKUP("Mins",A1:CV300,124,FALSE)=0,0,HLOOKUP("Gs - Open",A1:CV300,124,FALSE)/HLOOKUP("Mins",A1:CV300,124,FALSE)* 90)</f>
        <v>0</v>
      </c>
      <c r="BP124" s="14966">
        <f>IF(HLOOKUP("Mins",A1:CV300,124,FALSE)=0,0,HLOOKUP("ICT Index",A1:CV300,124,FALSE)/HLOOKUP("Mins",A1:CV300,124,FALSE)* 90)</f>
        <v>2.2927756653992399</v>
      </c>
      <c r="BQ124" s="14967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  <v>6.8441064638783272E-3</v>
      </c>
      <c r="BR124" s="14968">
        <f>0.0825*HLOOKUP("KP/90",A1:CV300,124,FALSE)</f>
        <v>2.8231939163498098E-2</v>
      </c>
      <c r="BS124" s="14969">
        <f>6*HLOOKUP("xG/90",A1:CV300,124,FALSE)+3*HLOOKUP("xA/90",A1:CV300,124,FALSE)</f>
        <v>0.12576045627376425</v>
      </c>
      <c r="BT124" s="14970">
        <f>HLOOKUP("xPts/90",A1:CV300,124,FALSE)-(6*0.75*(HLOOKUP("PK Gs",A1:CV300,124,FALSE)+HLOOKUP("PK Miss",A1:CV300,124,FALSE))*90/HLOOKUP("Mins",A1:CV300,124,FALSE))</f>
        <v>0.12576045627376425</v>
      </c>
      <c r="BU124" s="14971">
        <f>IF(HLOOKUP("Mins",A1:CV300,124,FALSE)=0,0,HLOOKUP("fsXG",A1:CV300,124,FALSE)/HLOOKUP("Mins",A1:CV300,124,FALSE)* 90)</f>
        <v>1.3688212927756654E-2</v>
      </c>
      <c r="BV124" s="14972">
        <f>IF(HLOOKUP("Mins",A1:CV300,124,FALSE)=0,0,HLOOKUP("fsXA",A1:CV300,124,FALSE)/HLOOKUP("Mins",A1:CV300,124,FALSE)* 90)</f>
        <v>8.2129277566539927E-2</v>
      </c>
      <c r="BW124" s="14973">
        <f>6*HLOOKUP("fsXG/90",A1:CV300,124,FALSE)+3*HLOOKUP("fsXA/90",A1:CV300,124,FALSE)</f>
        <v>0.32851711026615971</v>
      </c>
      <c r="BX124" s="14974">
        <v>1.2524268589913845E-2</v>
      </c>
      <c r="BY124" s="14975">
        <v>4.4932283461093903E-2</v>
      </c>
      <c r="BZ124" s="14976">
        <f>6*HLOOKUP("uXG/90",A1:CV300,124,FALSE)+3*HLOOKUP("uXA/90",A1:CV300,124,FALSE)</f>
        <v>0.20994246192276478</v>
      </c>
    </row>
    <row r="125" spans="1:78" x14ac:dyDescent="0.3">
      <c r="A125" s="14977" t="s">
        <v>288</v>
      </c>
      <c r="B125" s="14978" t="s">
        <v>109</v>
      </c>
      <c r="C125" s="14979">
        <v>4</v>
      </c>
      <c r="D125" s="14980">
        <v>125</v>
      </c>
      <c r="E125" s="14981">
        <v>4</v>
      </c>
      <c r="F125" s="14982">
        <v>4</v>
      </c>
      <c r="G125" s="14983">
        <v>0</v>
      </c>
      <c r="H125" s="14984">
        <v>0</v>
      </c>
      <c r="I125" s="14985">
        <v>17</v>
      </c>
      <c r="J125" s="14986">
        <f>HLOOKUP("BPS",A1:CV300,125,FALSE)-((-6*HLOOKUP("OG",A1:CV300,125,FALSE))+(-6*HLOOKUP("PK Miss",A1:CV300,125,FALSE))+(9*HLOOKUP("FPL As",A1:CV300,125,FALSE))+(12*HLOOKUP("CS",A1:CV300,125,FALSE))+(12*HLOOKUP("Gs",A1:CV300,125,FALSE)))</f>
        <v>17</v>
      </c>
      <c r="K125" s="14987">
        <v>0</v>
      </c>
      <c r="L125" s="14988">
        <v>0</v>
      </c>
      <c r="M125" s="14989">
        <v>3</v>
      </c>
      <c r="N125" s="14990">
        <v>1</v>
      </c>
      <c r="O125" s="14991">
        <v>1</v>
      </c>
      <c r="P125" s="14992">
        <f>IF(HLOOKUP("Shots",A1:CV300,125,FALSE)=0,0,HLOOKUP("SIB",A1:CV300,125,FALSE)/HLOOKUP("Shots",A1:CV300,125,FALSE))</f>
        <v>1</v>
      </c>
      <c r="Q125" s="14993">
        <v>0</v>
      </c>
      <c r="R125" s="14994">
        <f>IF(HLOOKUP("Shots",A1:CV300,125,FALSE)=0,0,HLOOKUP("S6YD",A1:CV300,125,FALSE)/HLOOKUP("Shots",A1:CV300,125,FALSE))</f>
        <v>0</v>
      </c>
      <c r="S125" s="14995">
        <v>0</v>
      </c>
      <c r="T125" s="14996">
        <f>IF(HLOOKUP("Shots",A1:CV300,125,FALSE)=0,0,HLOOKUP("Headers",A1:CV300,125,FALSE)/HLOOKUP("Shots",A1:CV300,125,FALSE))</f>
        <v>0</v>
      </c>
      <c r="U125" s="14997">
        <v>0</v>
      </c>
      <c r="V125" s="14998">
        <f>IF(HLOOKUP("Shots",A1:CV300,125,FALSE)=0,0,HLOOKUP("SOT",A1:CV300,125,FALSE)/HLOOKUP("Shots",A1:CV300,125,FALSE))</f>
        <v>0</v>
      </c>
      <c r="W125" s="14999">
        <f>IF(HLOOKUP("Shots",A1:CV300,125,FALSE)=0,0,HLOOKUP("Gs",A1:CV300,125,FALSE)/HLOOKUP("Shots",A1:CV300,125,FALSE))</f>
        <v>0</v>
      </c>
      <c r="X125" s="15000">
        <v>0</v>
      </c>
      <c r="Y125" s="15001">
        <v>0</v>
      </c>
      <c r="Z125" s="15002">
        <v>0</v>
      </c>
      <c r="AA125" s="15003">
        <f>IF(HLOOKUP("KP",A1:CV300,125,FALSE)=0,0,HLOOKUP("As",A1:CV300,125,FALSE)/HLOOKUP("KP",A1:CV300,125,FALSE))</f>
        <v>0</v>
      </c>
      <c r="AB125" s="15004">
        <v>2.5</v>
      </c>
      <c r="AC125" s="15005">
        <v>0</v>
      </c>
      <c r="AD125" s="15006">
        <v>0</v>
      </c>
      <c r="AE125" s="15007">
        <v>0</v>
      </c>
      <c r="AF125" s="15008">
        <v>0</v>
      </c>
      <c r="AG125" s="15009">
        <f>IF(HLOOKUP("BC",A1:CV300,125,FALSE)=0,0,HLOOKUP("Gs - BC",A1:CV300,125,FALSE)/HLOOKUP("BC",A1:CV300,125,FALSE))</f>
        <v>0</v>
      </c>
      <c r="AH125" s="15010">
        <f>HLOOKUP("BC",A1:CV300,125,FALSE) - HLOOKUP("BC Miss",A1:CV300,125,FALSE)</f>
        <v>0</v>
      </c>
      <c r="AI125" s="15011">
        <f>IF(HLOOKUP("Gs",A1:CV300,125,FALSE)=0,0,HLOOKUP("Gs - BC",A1:CV300,125,FALSE)/HLOOKUP("Gs",A1:CV300,125,FALSE))</f>
        <v>0</v>
      </c>
      <c r="AJ125" s="15012">
        <v>0</v>
      </c>
      <c r="AK125" s="15013">
        <v>0</v>
      </c>
      <c r="AL125" s="15014">
        <f>HLOOKUP("BC",A1:CV300,125,FALSE) - (HLOOKUP("PK Gs",A1:CV300,125,FALSE) + HLOOKUP("PK Miss",A1:CV300,125,FALSE))</f>
        <v>0</v>
      </c>
      <c r="AM125" s="15015">
        <f>HLOOKUP("BC Miss",A1:CV300,125,FALSE) - HLOOKUP("PK Miss",A1:CV300,125,FALSE)</f>
        <v>0</v>
      </c>
      <c r="AN125" s="15016">
        <f>IF(HLOOKUP("BC - Open",A1:CV300,125,FALSE)=0,0,HLOOKUP("BC - Open Miss",A1:CV300,125,FALSE)/HLOOKUP("BC - Open",A1:CV300,125,FALSE))</f>
        <v>0</v>
      </c>
      <c r="AO125" s="15017">
        <v>0</v>
      </c>
      <c r="AP125" s="15018">
        <f>IF(HLOOKUP("Gs",A1:CV300,125,FALSE)=0,0,HLOOKUP("GIB",A1:CV300,125,FALSE)/HLOOKUP("Gs",A1:CV300,125,FALSE))</f>
        <v>0</v>
      </c>
      <c r="AQ125" s="15019">
        <v>0</v>
      </c>
      <c r="AR125" s="15020">
        <f>IF(HLOOKUP("Gs",A1:CV300,125,FALSE)=0,0,HLOOKUP("Gs - Open",A1:CV300,125,FALSE)/HLOOKUP("Gs",A1:CV300,125,FALSE))</f>
        <v>0</v>
      </c>
      <c r="AS125" s="15021">
        <v>0.05</v>
      </c>
      <c r="AT125" s="15022">
        <v>0.05</v>
      </c>
      <c r="AU125" s="15023">
        <f>IF(HLOOKUP("Mins",A1:CV300,125,FALSE)=0,0,HLOOKUP("Pts",A1:CV300,125,FALSE)/HLOOKUP("Mins",A1:CV300,125,FALSE)* 90)</f>
        <v>2.88</v>
      </c>
      <c r="AV125" s="15024">
        <f>IF(HLOOKUP("Apps",A1:CV300,125,FALSE)=0,0,HLOOKUP("Pts",A1:CV300,125,FALSE)/HLOOKUP("Apps",A1:CV300,125,FALSE)* 1)</f>
        <v>1</v>
      </c>
      <c r="AW125" s="15025">
        <f>IF(HLOOKUP("Mins",A1:CV300,125,FALSE)=0,0,HLOOKUP("Gs",A1:CV300,125,FALSE)/HLOOKUP("Mins",A1:CV300,125,FALSE)* 90)</f>
        <v>0</v>
      </c>
      <c r="AX125" s="15026">
        <f>IF(HLOOKUP("Mins",A1:CV300,125,FALSE)=0,0,HLOOKUP("Bonus",A1:CV300,125,FALSE)/HLOOKUP("Mins",A1:CV300,125,FALSE)* 90)</f>
        <v>0</v>
      </c>
      <c r="AY125" s="15027">
        <f>IF(HLOOKUP("Mins",A1:CV300,125,FALSE)=0,0,HLOOKUP("BPS",A1:CV300,125,FALSE)/HLOOKUP("Mins",A1:CV300,125,FALSE)* 90)</f>
        <v>12.24</v>
      </c>
      <c r="AZ125" s="15028">
        <f>IF(HLOOKUP("Mins",A1:CV300,125,FALSE)=0,0,HLOOKUP("Base BPS",A1:CV300,125,FALSE)/HLOOKUP("Mins",A1:CV300,125,FALSE)* 90)</f>
        <v>12.24</v>
      </c>
      <c r="BA125" s="15029">
        <f>IF(HLOOKUP("Mins",A1:CV300,125,FALSE)=0,0,HLOOKUP("PenTchs",A1:CV300,125,FALSE)/HLOOKUP("Mins",A1:CV300,125,FALSE)* 90)</f>
        <v>2.16</v>
      </c>
      <c r="BB125" s="15030">
        <f>IF(HLOOKUP("Mins",A1:CV300,125,FALSE)=0,0,HLOOKUP("Shots",A1:CV300,125,FALSE)/HLOOKUP("Mins",A1:CV300,125,FALSE)* 90)</f>
        <v>0.72</v>
      </c>
      <c r="BC125" s="15031">
        <f>IF(HLOOKUP("Mins",A1:CV300,125,FALSE)=0,0,HLOOKUP("SIB",A1:CV300,125,FALSE)/HLOOKUP("Mins",A1:CV300,125,FALSE)* 90)</f>
        <v>0.72</v>
      </c>
      <c r="BD125" s="15032">
        <f>IF(HLOOKUP("Mins",A1:CV300,125,FALSE)=0,0,HLOOKUP("S6YD",A1:CV300,125,FALSE)/HLOOKUP("Mins",A1:CV300,125,FALSE)* 90)</f>
        <v>0</v>
      </c>
      <c r="BE125" s="15033">
        <f>IF(HLOOKUP("Mins",A1:CV300,125,FALSE)=0,0,HLOOKUP("Headers",A1:CV300,125,FALSE)/HLOOKUP("Mins",A1:CV300,125,FALSE)* 90)</f>
        <v>0</v>
      </c>
      <c r="BF125" s="15034">
        <f>IF(HLOOKUP("Mins",A1:CV300,125,FALSE)=0,0,HLOOKUP("SOT",A1:CV300,125,FALSE)/HLOOKUP("Mins",A1:CV300,125,FALSE)* 90)</f>
        <v>0</v>
      </c>
      <c r="BG125" s="15035">
        <f>IF(HLOOKUP("Mins",A1:CV300,125,FALSE)=0,0,HLOOKUP("As",A1:CV300,125,FALSE)/HLOOKUP("Mins",A1:CV300,125,FALSE)* 90)</f>
        <v>0</v>
      </c>
      <c r="BH125" s="15036">
        <f>IF(HLOOKUP("Mins",A1:CV300,125,FALSE)=0,0,HLOOKUP("FPL As",A1:CV300,125,FALSE)/HLOOKUP("Mins",A1:CV300,125,FALSE)* 90)</f>
        <v>0</v>
      </c>
      <c r="BI125" s="15037">
        <f>IF(HLOOKUP("Mins",A1:CV300,125,FALSE)=0,0,HLOOKUP("BC Created",A1:CV300,125,FALSE)/HLOOKUP("Mins",A1:CV300,125,FALSE)* 90)</f>
        <v>0</v>
      </c>
      <c r="BJ125" s="15038">
        <f>IF(HLOOKUP("Mins",A1:CV300,125,FALSE)=0,0,HLOOKUP("KP",A1:CV300,125,FALSE)/HLOOKUP("Mins",A1:CV300,125,FALSE)* 90)</f>
        <v>0</v>
      </c>
      <c r="BK125" s="15039">
        <f>IF(HLOOKUP("Mins",A1:CV300,125,FALSE)=0,0,HLOOKUP("BC",A1:CV300,125,FALSE)/HLOOKUP("Mins",A1:CV300,125,FALSE)* 90)</f>
        <v>0</v>
      </c>
      <c r="BL125" s="15040">
        <f>IF(HLOOKUP("Mins",A1:CV300,125,FALSE)=0,0,HLOOKUP("BC Miss",A1:CV300,125,FALSE)/HLOOKUP("Mins",A1:CV300,125,FALSE)* 90)</f>
        <v>0</v>
      </c>
      <c r="BM125" s="15041">
        <f>IF(HLOOKUP("Mins",A1:CV300,125,FALSE)=0,0,HLOOKUP("Gs - BC",A1:CV300,125,FALSE)/HLOOKUP("Mins",A1:CV300,125,FALSE)* 90)</f>
        <v>0</v>
      </c>
      <c r="BN125" s="15042">
        <f>IF(HLOOKUP("Mins",A1:CV300,125,FALSE)=0,0,HLOOKUP("GIB",A1:CV300,125,FALSE)/HLOOKUP("Mins",A1:CV300,125,FALSE)* 90)</f>
        <v>0</v>
      </c>
      <c r="BO125" s="15043">
        <f>IF(HLOOKUP("Mins",A1:CV300,125,FALSE)=0,0,HLOOKUP("Gs - Open",A1:CV300,125,FALSE)/HLOOKUP("Mins",A1:CV300,125,FALSE)* 90)</f>
        <v>0</v>
      </c>
      <c r="BP125" s="15044">
        <f>IF(HLOOKUP("Mins",A1:CV300,125,FALSE)=0,0,HLOOKUP("ICT Index",A1:CV300,125,FALSE)/HLOOKUP("Mins",A1:CV300,125,FALSE)* 90)</f>
        <v>1.8</v>
      </c>
      <c r="BQ125" s="15045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  <v>6.6959999999999992E-2</v>
      </c>
      <c r="BR125" s="15046">
        <f>0.0825*HLOOKUP("KP/90",A1:CV300,125,FALSE)</f>
        <v>0</v>
      </c>
      <c r="BS125" s="15047">
        <f>6*HLOOKUP("xG/90",A1:CV300,125,FALSE)+3*HLOOKUP("xA/90",A1:CV300,125,FALSE)</f>
        <v>0.40175999999999995</v>
      </c>
      <c r="BT125" s="15048">
        <f>HLOOKUP("xPts/90",A1:CV300,125,FALSE)-(6*0.75*(HLOOKUP("PK Gs",A1:CV300,125,FALSE)+HLOOKUP("PK Miss",A1:CV300,125,FALSE))*90/HLOOKUP("Mins",A1:CV300,125,FALSE))</f>
        <v>0.40175999999999995</v>
      </c>
      <c r="BU125" s="15049">
        <f>IF(HLOOKUP("Mins",A1:CV300,125,FALSE)=0,0,HLOOKUP("fsXG",A1:CV300,125,FALSE)/HLOOKUP("Mins",A1:CV300,125,FALSE)* 90)</f>
        <v>3.6000000000000004E-2</v>
      </c>
      <c r="BV125" s="15050">
        <f>IF(HLOOKUP("Mins",A1:CV300,125,FALSE)=0,0,HLOOKUP("fsXA",A1:CV300,125,FALSE)/HLOOKUP("Mins",A1:CV300,125,FALSE)* 90)</f>
        <v>3.6000000000000004E-2</v>
      </c>
      <c r="BW125" s="15051">
        <f>6*HLOOKUP("fsXG/90",A1:CV300,125,FALSE)+3*HLOOKUP("fsXA/90",A1:CV300,125,FALSE)</f>
        <v>0.32400000000000007</v>
      </c>
      <c r="BX125" s="15052">
        <v>6.0831982642412186E-2</v>
      </c>
      <c r="BY125" s="15053">
        <v>0</v>
      </c>
      <c r="BZ125" s="15054">
        <f>6*HLOOKUP("uXG/90",A1:CV300,125,FALSE)+3*HLOOKUP("uXA/90",A1:CV300,125,FALSE)</f>
        <v>0.36499189585447311</v>
      </c>
    </row>
    <row r="126" spans="1:78" hidden="1" x14ac:dyDescent="0.3">
      <c r="A126" s="15055" t="s">
        <v>289</v>
      </c>
      <c r="B126" s="15056" t="s">
        <v>113</v>
      </c>
      <c r="C126" s="15057">
        <v>4.6999998092651367</v>
      </c>
      <c r="D126" s="15058">
        <v>1305</v>
      </c>
      <c r="E126" s="15059">
        <v>15</v>
      </c>
      <c r="F126" s="15060">
        <v>54</v>
      </c>
      <c r="G126" s="15061">
        <v>3</v>
      </c>
      <c r="H126" s="15062">
        <v>5</v>
      </c>
      <c r="I126" s="15063">
        <v>228</v>
      </c>
      <c r="J126" s="15064">
        <f>HLOOKUP("BPS",A1:CV300,126,FALSE)-((-6*HLOOKUP("OG",A1:CV300,126,FALSE))+(-6*HLOOKUP("PK Miss",A1:CV300,126,FALSE))+(9*HLOOKUP("FPL As",A1:CV300,126,FALSE))+(12*HLOOKUP("CS",A1:CV300,126,FALSE))+(12*HLOOKUP("Gs",A1:CV300,126,FALSE)))</f>
        <v>144</v>
      </c>
      <c r="K126" s="15065">
        <v>0</v>
      </c>
      <c r="L126" s="15066">
        <v>4</v>
      </c>
      <c r="M126" s="15067">
        <v>20</v>
      </c>
      <c r="N126" s="15068">
        <v>12</v>
      </c>
      <c r="O126" s="15069">
        <v>4</v>
      </c>
      <c r="P126" s="15070">
        <f>IF(HLOOKUP("Shots",A1:CV300,126,FALSE)=0,0,HLOOKUP("SIB",A1:CV300,126,FALSE)/HLOOKUP("Shots",A1:CV300,126,FALSE))</f>
        <v>0.33333333333333331</v>
      </c>
      <c r="Q126" s="15071">
        <v>0</v>
      </c>
      <c r="R126" s="15072">
        <f>IF(HLOOKUP("Shots",A1:CV300,126,FALSE)=0,0,HLOOKUP("S6YD",A1:CV300,126,FALSE)/HLOOKUP("Shots",A1:CV300,126,FALSE))</f>
        <v>0</v>
      </c>
      <c r="S126" s="15073">
        <v>0</v>
      </c>
      <c r="T126" s="15074">
        <f>IF(HLOOKUP("Shots",A1:CV300,126,FALSE)=0,0,HLOOKUP("Headers",A1:CV300,126,FALSE)/HLOOKUP("Shots",A1:CV300,126,FALSE))</f>
        <v>0</v>
      </c>
      <c r="U126" s="15075">
        <v>5</v>
      </c>
      <c r="V126" s="15076">
        <f>IF(HLOOKUP("Shots",A1:CV300,126,FALSE)=0,0,HLOOKUP("SOT",A1:CV300,126,FALSE)/HLOOKUP("Shots",A1:CV300,126,FALSE))</f>
        <v>0.41666666666666669</v>
      </c>
      <c r="W126" s="15077">
        <f>IF(HLOOKUP("Shots",A1:CV300,126,FALSE)=0,0,HLOOKUP("Gs",A1:CV300,126,FALSE)/HLOOKUP("Shots",A1:CV300,126,FALSE))</f>
        <v>0.25</v>
      </c>
      <c r="X126" s="15078">
        <v>0</v>
      </c>
      <c r="Y126" s="15079">
        <v>0</v>
      </c>
      <c r="Z126" s="15080">
        <v>8</v>
      </c>
      <c r="AA126" s="15081">
        <f>IF(HLOOKUP("KP",A1:CV300,126,FALSE)=0,0,HLOOKUP("As",A1:CV300,126,FALSE)/HLOOKUP("KP",A1:CV300,126,FALSE))</f>
        <v>0</v>
      </c>
      <c r="AB126" s="15082">
        <v>58.1</v>
      </c>
      <c r="AC126" s="15083">
        <v>17</v>
      </c>
      <c r="AD126" s="15084">
        <v>0</v>
      </c>
      <c r="AE126" s="15085">
        <v>2</v>
      </c>
      <c r="AF126" s="15086">
        <v>1</v>
      </c>
      <c r="AG126" s="15087">
        <f>IF(HLOOKUP("BC",A1:CV300,126,FALSE)=0,0,HLOOKUP("Gs - BC",A1:CV300,126,FALSE)/HLOOKUP("BC",A1:CV300,126,FALSE))</f>
        <v>0.5</v>
      </c>
      <c r="AH126" s="15088">
        <f>HLOOKUP("BC",A1:CV300,126,FALSE) - HLOOKUP("BC Miss",A1:CV300,126,FALSE)</f>
        <v>1</v>
      </c>
      <c r="AI126" s="15089">
        <f>IF(HLOOKUP("Gs",A1:CV300,126,FALSE)=0,0,HLOOKUP("Gs - BC",A1:CV300,126,FALSE)/HLOOKUP("Gs",A1:CV300,126,FALSE))</f>
        <v>0.33333333333333331</v>
      </c>
      <c r="AJ126" s="15090">
        <v>0</v>
      </c>
      <c r="AK126" s="15091">
        <v>0</v>
      </c>
      <c r="AL126" s="15092">
        <f>HLOOKUP("BC",A1:CV300,126,FALSE) - (HLOOKUP("PK Gs",A1:CV300,126,FALSE) + HLOOKUP("PK Miss",A1:CV300,126,FALSE))</f>
        <v>2</v>
      </c>
      <c r="AM126" s="15093">
        <f>HLOOKUP("BC Miss",A1:CV300,126,FALSE) - HLOOKUP("PK Miss",A1:CV300,126,FALSE)</f>
        <v>1</v>
      </c>
      <c r="AN126" s="15094">
        <f>IF(HLOOKUP("BC - Open",A1:CV300,126,FALSE)=0,0,HLOOKUP("BC - Open Miss",A1:CV300,126,FALSE)/HLOOKUP("BC - Open",A1:CV300,126,FALSE))</f>
        <v>0.5</v>
      </c>
      <c r="AO126" s="15095">
        <v>2</v>
      </c>
      <c r="AP126" s="15096">
        <f>IF(HLOOKUP("Gs",A1:CV300,126,FALSE)=0,0,HLOOKUP("GIB",A1:CV300,126,FALSE)/HLOOKUP("Gs",A1:CV300,126,FALSE))</f>
        <v>0.66666666666666663</v>
      </c>
      <c r="AQ126" s="15097">
        <v>2</v>
      </c>
      <c r="AR126" s="15098">
        <f>IF(HLOOKUP("Gs",A1:CV300,126,FALSE)=0,0,HLOOKUP("Gs - Open",A1:CV300,126,FALSE)/HLOOKUP("Gs",A1:CV300,126,FALSE))</f>
        <v>0.66666666666666663</v>
      </c>
      <c r="AS126" s="15099">
        <v>1.0900000000000001</v>
      </c>
      <c r="AT126" s="15100">
        <v>0.73</v>
      </c>
      <c r="AU126" s="15101">
        <f>IF(HLOOKUP("Mins",A1:CV300,126,FALSE)=0,0,HLOOKUP("Pts",A1:CV300,126,FALSE)/HLOOKUP("Mins",A1:CV300,126,FALSE)* 90)</f>
        <v>3.7241379310344827</v>
      </c>
      <c r="AV126" s="15102">
        <f>IF(HLOOKUP("Apps",A1:CV300,126,FALSE)=0,0,HLOOKUP("Pts",A1:CV300,126,FALSE)/HLOOKUP("Apps",A1:CV300,126,FALSE)* 1)</f>
        <v>3.6</v>
      </c>
      <c r="AW126" s="15103">
        <f>IF(HLOOKUP("Mins",A1:CV300,126,FALSE)=0,0,HLOOKUP("Gs",A1:CV300,126,FALSE)/HLOOKUP("Mins",A1:CV300,126,FALSE)* 90)</f>
        <v>0.20689655172413793</v>
      </c>
      <c r="AX126" s="15104">
        <f>IF(HLOOKUP("Mins",A1:CV300,126,FALSE)=0,0,HLOOKUP("Bonus",A1:CV300,126,FALSE)/HLOOKUP("Mins",A1:CV300,126,FALSE)* 90)</f>
        <v>0.34482758620689652</v>
      </c>
      <c r="AY126" s="15105">
        <f>IF(HLOOKUP("Mins",A1:CV300,126,FALSE)=0,0,HLOOKUP("BPS",A1:CV300,126,FALSE)/HLOOKUP("Mins",A1:CV300,126,FALSE)* 90)</f>
        <v>15.724137931034482</v>
      </c>
      <c r="AZ126" s="15106">
        <f>IF(HLOOKUP("Mins",A1:CV300,126,FALSE)=0,0,HLOOKUP("Base BPS",A1:CV300,126,FALSE)/HLOOKUP("Mins",A1:CV300,126,FALSE)* 90)</f>
        <v>9.931034482758621</v>
      </c>
      <c r="BA126" s="15107">
        <f>IF(HLOOKUP("Mins",A1:CV300,126,FALSE)=0,0,HLOOKUP("PenTchs",A1:CV300,126,FALSE)/HLOOKUP("Mins",A1:CV300,126,FALSE)* 90)</f>
        <v>1.3793103448275861</v>
      </c>
      <c r="BB126" s="15108">
        <f>IF(HLOOKUP("Mins",A1:CV300,126,FALSE)=0,0,HLOOKUP("Shots",A1:CV300,126,FALSE)/HLOOKUP("Mins",A1:CV300,126,FALSE)* 90)</f>
        <v>0.82758620689655171</v>
      </c>
      <c r="BC126" s="15109">
        <f>IF(HLOOKUP("Mins",A1:CV300,126,FALSE)=0,0,HLOOKUP("SIB",A1:CV300,126,FALSE)/HLOOKUP("Mins",A1:CV300,126,FALSE)* 90)</f>
        <v>0.27586206896551724</v>
      </c>
      <c r="BD126" s="15110">
        <f>IF(HLOOKUP("Mins",A1:CV300,126,FALSE)=0,0,HLOOKUP("S6YD",A1:CV300,126,FALSE)/HLOOKUP("Mins",A1:CV300,126,FALSE)* 90)</f>
        <v>0</v>
      </c>
      <c r="BE126" s="15111">
        <f>IF(HLOOKUP("Mins",A1:CV300,126,FALSE)=0,0,HLOOKUP("Headers",A1:CV300,126,FALSE)/HLOOKUP("Mins",A1:CV300,126,FALSE)* 90)</f>
        <v>0</v>
      </c>
      <c r="BF126" s="15112">
        <f>IF(HLOOKUP("Mins",A1:CV300,126,FALSE)=0,0,HLOOKUP("SOT",A1:CV300,126,FALSE)/HLOOKUP("Mins",A1:CV300,126,FALSE)* 90)</f>
        <v>0.34482758620689652</v>
      </c>
      <c r="BG126" s="15113">
        <f>IF(HLOOKUP("Mins",A1:CV300,126,FALSE)=0,0,HLOOKUP("As",A1:CV300,126,FALSE)/HLOOKUP("Mins",A1:CV300,126,FALSE)* 90)</f>
        <v>0</v>
      </c>
      <c r="BH126" s="15114">
        <f>IF(HLOOKUP("Mins",A1:CV300,126,FALSE)=0,0,HLOOKUP("FPL As",A1:CV300,126,FALSE)/HLOOKUP("Mins",A1:CV300,126,FALSE)* 90)</f>
        <v>0</v>
      </c>
      <c r="BI126" s="15115">
        <f>IF(HLOOKUP("Mins",A1:CV300,126,FALSE)=0,0,HLOOKUP("BC Created",A1:CV300,126,FALSE)/HLOOKUP("Mins",A1:CV300,126,FALSE)* 90)</f>
        <v>0</v>
      </c>
      <c r="BJ126" s="15116">
        <f>IF(HLOOKUP("Mins",A1:CV300,126,FALSE)=0,0,HLOOKUP("KP",A1:CV300,126,FALSE)/HLOOKUP("Mins",A1:CV300,126,FALSE)* 90)</f>
        <v>0.55172413793103448</v>
      </c>
      <c r="BK126" s="15117">
        <f>IF(HLOOKUP("Mins",A1:CV300,126,FALSE)=0,0,HLOOKUP("BC",A1:CV300,126,FALSE)/HLOOKUP("Mins",A1:CV300,126,FALSE)* 90)</f>
        <v>0.13793103448275862</v>
      </c>
      <c r="BL126" s="15118">
        <f>IF(HLOOKUP("Mins",A1:CV300,126,FALSE)=0,0,HLOOKUP("BC Miss",A1:CV300,126,FALSE)/HLOOKUP("Mins",A1:CV300,126,FALSE)* 90)</f>
        <v>6.8965517241379309E-2</v>
      </c>
      <c r="BM126" s="15119">
        <f>IF(HLOOKUP("Mins",A1:CV300,126,FALSE)=0,0,HLOOKUP("Gs - BC",A1:CV300,126,FALSE)/HLOOKUP("Mins",A1:CV300,126,FALSE)* 90)</f>
        <v>6.8965517241379309E-2</v>
      </c>
      <c r="BN126" s="15120">
        <f>IF(HLOOKUP("Mins",A1:CV300,126,FALSE)=0,0,HLOOKUP("GIB",A1:CV300,126,FALSE)/HLOOKUP("Mins",A1:CV300,126,FALSE)* 90)</f>
        <v>0.13793103448275862</v>
      </c>
      <c r="BO126" s="15121">
        <f>IF(HLOOKUP("Mins",A1:CV300,126,FALSE)=0,0,HLOOKUP("Gs - Open",A1:CV300,126,FALSE)/HLOOKUP("Mins",A1:CV300,126,FALSE)* 90)</f>
        <v>0.13793103448275862</v>
      </c>
      <c r="BP126" s="15122">
        <f>IF(HLOOKUP("Mins",A1:CV300,126,FALSE)=0,0,HLOOKUP("ICT Index",A1:CV300,126,FALSE)/HLOOKUP("Mins",A1:CV300,126,FALSE)* 90)</f>
        <v>4.0068965517241377</v>
      </c>
      <c r="BQ126" s="15123">
        <f>IF(HLOOKUP("Mins",A1:CV300,126,FALSE)=0,0,(0.02*(HLOOKUP("Shots",A1:CV300,126,FALSE)-HLOOKUP("SIB",A1:CV300,126,FALSE))+0.093*(HLOOKUP("SIB",A1:CV300,126,FALSE)-(HLOOKUP("PK Gs",A1:CV300,126,FALSE)+HLOOKUP("PK Miss",A1:CV300,126,FALSE)))+0.75*(HLOOKUP("PK Gs",A1:CV300,126,FALSE)+HLOOKUP("PK Miss",A1:CV300,126,FALSE)))/HLOOKUP("Mins",A1:CV300,126,FALSE)*90)</f>
        <v>3.6689655172413793E-2</v>
      </c>
      <c r="BR126" s="15124">
        <f>0.0825*HLOOKUP("KP/90",A1:CV300,126,FALSE)</f>
        <v>4.5517241379310347E-2</v>
      </c>
      <c r="BS126" s="15125">
        <f>6*HLOOKUP("xG/90",A1:CV300,126,FALSE)+3*HLOOKUP("xA/90",A1:CV300,126,FALSE)</f>
        <v>0.3566896551724138</v>
      </c>
      <c r="BT126" s="15126">
        <f>HLOOKUP("xPts/90",A1:CV300,126,FALSE)-(6*0.75*(HLOOKUP("PK Gs",A1:CV300,126,FALSE)+HLOOKUP("PK Miss",A1:CV300,126,FALSE))*90/HLOOKUP("Mins",A1:CV300,126,FALSE))</f>
        <v>0.3566896551724138</v>
      </c>
      <c r="BU126" s="15127">
        <f>IF(HLOOKUP("Mins",A1:CV300,126,FALSE)=0,0,HLOOKUP("fsXG",A1:CV300,126,FALSE)/HLOOKUP("Mins",A1:CV300,126,FALSE)* 90)</f>
        <v>7.5172413793103451E-2</v>
      </c>
      <c r="BV126" s="15128">
        <f>IF(HLOOKUP("Mins",A1:CV300,126,FALSE)=0,0,HLOOKUP("fsXA",A1:CV300,126,FALSE)/HLOOKUP("Mins",A1:CV300,126,FALSE)* 90)</f>
        <v>5.0344827586206897E-2</v>
      </c>
      <c r="BW126" s="15129">
        <f>6*HLOOKUP("fsXG/90",A1:CV300,126,FALSE)+3*HLOOKUP("fsXA/90",A1:CV300,126,FALSE)</f>
        <v>0.60206896551724132</v>
      </c>
      <c r="BX126" s="15130">
        <v>5.2968144416809082E-2</v>
      </c>
      <c r="BY126" s="15131">
        <v>3.5755660384893417E-2</v>
      </c>
      <c r="BZ126" s="15132">
        <f>6*HLOOKUP("uXG/90",A1:CV300,126,FALSE)+3*HLOOKUP("uXA/90",A1:CV300,126,FALSE)</f>
        <v>0.42507584765553474</v>
      </c>
    </row>
    <row r="127" spans="1:78" hidden="1" x14ac:dyDescent="0.3">
      <c r="A127" s="15133" t="s">
        <v>290</v>
      </c>
      <c r="B127" s="15134" t="s">
        <v>79</v>
      </c>
      <c r="C127" s="15135">
        <v>4.4000000953674316</v>
      </c>
      <c r="D127" s="15136">
        <v>1103</v>
      </c>
      <c r="E127" s="15137">
        <v>14</v>
      </c>
      <c r="F127" s="15138">
        <v>42</v>
      </c>
      <c r="G127" s="15139">
        <v>1</v>
      </c>
      <c r="H127" s="15140">
        <v>5</v>
      </c>
      <c r="I127" s="15141">
        <v>197</v>
      </c>
      <c r="J127" s="15142">
        <f>HLOOKUP("BPS",A1:CV300,127,FALSE)-((-6*HLOOKUP("OG",A1:CV300,127,FALSE))+(-6*HLOOKUP("PK Miss",A1:CV300,127,FALSE))+(9*HLOOKUP("FPL As",A1:CV300,127,FALSE))+(12*HLOOKUP("CS",A1:CV300,127,FALSE))+(12*HLOOKUP("Gs",A1:CV300,127,FALSE)))</f>
        <v>140</v>
      </c>
      <c r="K127" s="15143">
        <v>0</v>
      </c>
      <c r="L127" s="15144">
        <v>3</v>
      </c>
      <c r="M127" s="15145">
        <v>29</v>
      </c>
      <c r="N127" s="15146">
        <v>12</v>
      </c>
      <c r="O127" s="15147">
        <v>10</v>
      </c>
      <c r="P127" s="15148">
        <f>IF(HLOOKUP("Shots",A1:CV300,127,FALSE)=0,0,HLOOKUP("SIB",A1:CV300,127,FALSE)/HLOOKUP("Shots",A1:CV300,127,FALSE))</f>
        <v>0.83333333333333337</v>
      </c>
      <c r="Q127" s="15149">
        <v>3</v>
      </c>
      <c r="R127" s="15150">
        <f>IF(HLOOKUP("Shots",A1:CV300,127,FALSE)=0,0,HLOOKUP("S6YD",A1:CV300,127,FALSE)/HLOOKUP("Shots",A1:CV300,127,FALSE))</f>
        <v>0.25</v>
      </c>
      <c r="S127" s="15151">
        <v>4</v>
      </c>
      <c r="T127" s="15152">
        <f>IF(HLOOKUP("Shots",A1:CV300,127,FALSE)=0,0,HLOOKUP("Headers",A1:CV300,127,FALSE)/HLOOKUP("Shots",A1:CV300,127,FALSE))</f>
        <v>0.33333333333333331</v>
      </c>
      <c r="U127" s="15153">
        <v>2</v>
      </c>
      <c r="V127" s="15154">
        <f>IF(HLOOKUP("Shots",A1:CV300,127,FALSE)=0,0,HLOOKUP("SOT",A1:CV300,127,FALSE)/HLOOKUP("Shots",A1:CV300,127,FALSE))</f>
        <v>0.16666666666666666</v>
      </c>
      <c r="W127" s="15155">
        <f>IF(HLOOKUP("Shots",A1:CV300,127,FALSE)=0,0,HLOOKUP("Gs",A1:CV300,127,FALSE)/HLOOKUP("Shots",A1:CV300,127,FALSE))</f>
        <v>8.3333333333333329E-2</v>
      </c>
      <c r="X127" s="15156">
        <v>1</v>
      </c>
      <c r="Y127" s="15157">
        <v>1</v>
      </c>
      <c r="Z127" s="15158">
        <v>7</v>
      </c>
      <c r="AA127" s="15159">
        <f>IF(HLOOKUP("KP",A1:CV300,127,FALSE)=0,0,HLOOKUP("As",A1:CV300,127,FALSE)/HLOOKUP("KP",A1:CV300,127,FALSE))</f>
        <v>0.14285714285714285</v>
      </c>
      <c r="AB127" s="15160">
        <v>59.5</v>
      </c>
      <c r="AC127" s="15161">
        <v>12</v>
      </c>
      <c r="AD127" s="15162">
        <v>4</v>
      </c>
      <c r="AE127" s="15163">
        <v>0</v>
      </c>
      <c r="AF127" s="15164">
        <v>0</v>
      </c>
      <c r="AG127" s="15165">
        <f>IF(HLOOKUP("BC",A1:CV300,127,FALSE)=0,0,HLOOKUP("Gs - BC",A1:CV300,127,FALSE)/HLOOKUP("BC",A1:CV300,127,FALSE))</f>
        <v>0</v>
      </c>
      <c r="AH127" s="15166">
        <f>HLOOKUP("BC",A1:CV300,127,FALSE) - HLOOKUP("BC Miss",A1:CV300,127,FALSE)</f>
        <v>0</v>
      </c>
      <c r="AI127" s="15167">
        <f>IF(HLOOKUP("Gs",A1:CV300,127,FALSE)=0,0,HLOOKUP("Gs - BC",A1:CV300,127,FALSE)/HLOOKUP("Gs",A1:CV300,127,FALSE))</f>
        <v>0</v>
      </c>
      <c r="AJ127" s="15168">
        <v>0</v>
      </c>
      <c r="AK127" s="15169">
        <v>0</v>
      </c>
      <c r="AL127" s="15170">
        <f>HLOOKUP("BC",A1:CV300,127,FALSE) - (HLOOKUP("PK Gs",A1:CV300,127,FALSE) + HLOOKUP("PK Miss",A1:CV300,127,FALSE))</f>
        <v>0</v>
      </c>
      <c r="AM127" s="15171">
        <f>HLOOKUP("BC Miss",A1:CV300,127,FALSE) - HLOOKUP("PK Miss",A1:CV300,127,FALSE)</f>
        <v>0</v>
      </c>
      <c r="AN127" s="15172">
        <f>IF(HLOOKUP("BC - Open",A1:CV300,127,FALSE)=0,0,HLOOKUP("BC - Open Miss",A1:CV300,127,FALSE)/HLOOKUP("BC - Open",A1:CV300,127,FALSE))</f>
        <v>0</v>
      </c>
      <c r="AO127" s="15173">
        <v>1</v>
      </c>
      <c r="AP127" s="15174">
        <f>IF(HLOOKUP("Gs",A1:CV300,127,FALSE)=0,0,HLOOKUP("GIB",A1:CV300,127,FALSE)/HLOOKUP("Gs",A1:CV300,127,FALSE))</f>
        <v>1</v>
      </c>
      <c r="AQ127" s="15175">
        <v>1</v>
      </c>
      <c r="AR127" s="15176">
        <f>IF(HLOOKUP("Gs",A1:CV300,127,FALSE)=0,0,HLOOKUP("Gs - Open",A1:CV300,127,FALSE)/HLOOKUP("Gs",A1:CV300,127,FALSE))</f>
        <v>1</v>
      </c>
      <c r="AS127" s="15177">
        <v>0.8</v>
      </c>
      <c r="AT127" s="15178">
        <v>0.87</v>
      </c>
      <c r="AU127" s="15179">
        <f>IF(HLOOKUP("Mins",A1:CV300,127,FALSE)=0,0,HLOOKUP("Pts",A1:CV300,127,FALSE)/HLOOKUP("Mins",A1:CV300,127,FALSE)* 90)</f>
        <v>3.4270172257479601</v>
      </c>
      <c r="AV127" s="15180">
        <f>IF(HLOOKUP("Apps",A1:CV300,127,FALSE)=0,0,HLOOKUP("Pts",A1:CV300,127,FALSE)/HLOOKUP("Apps",A1:CV300,127,FALSE)* 1)</f>
        <v>3</v>
      </c>
      <c r="AW127" s="15181">
        <f>IF(HLOOKUP("Mins",A1:CV300,127,FALSE)=0,0,HLOOKUP("Gs",A1:CV300,127,FALSE)/HLOOKUP("Mins",A1:CV300,127,FALSE)* 90)</f>
        <v>8.1595648232094281E-2</v>
      </c>
      <c r="AX127" s="15182">
        <f>IF(HLOOKUP("Mins",A1:CV300,127,FALSE)=0,0,HLOOKUP("Bonus",A1:CV300,127,FALSE)/HLOOKUP("Mins",A1:CV300,127,FALSE)* 90)</f>
        <v>0.40797824116047143</v>
      </c>
      <c r="AY127" s="15183">
        <f>IF(HLOOKUP("Mins",A1:CV300,127,FALSE)=0,0,HLOOKUP("BPS",A1:CV300,127,FALSE)/HLOOKUP("Mins",A1:CV300,127,FALSE)* 90)</f>
        <v>16.074342701722575</v>
      </c>
      <c r="AZ127" s="15184">
        <f>IF(HLOOKUP("Mins",A1:CV300,127,FALSE)=0,0,HLOOKUP("Base BPS",A1:CV300,127,FALSE)/HLOOKUP("Mins",A1:CV300,127,FALSE)* 90)</f>
        <v>11.423390752493201</v>
      </c>
      <c r="BA127" s="15185">
        <f>IF(HLOOKUP("Mins",A1:CV300,127,FALSE)=0,0,HLOOKUP("PenTchs",A1:CV300,127,FALSE)/HLOOKUP("Mins",A1:CV300,127,FALSE)* 90)</f>
        <v>2.3662737987307345</v>
      </c>
      <c r="BB127" s="15186">
        <f>IF(HLOOKUP("Mins",A1:CV300,127,FALSE)=0,0,HLOOKUP("Shots",A1:CV300,127,FALSE)/HLOOKUP("Mins",A1:CV300,127,FALSE)* 90)</f>
        <v>0.97914777878513148</v>
      </c>
      <c r="BC127" s="15187">
        <f>IF(HLOOKUP("Mins",A1:CV300,127,FALSE)=0,0,HLOOKUP("SIB",A1:CV300,127,FALSE)/HLOOKUP("Mins",A1:CV300,127,FALSE)* 90)</f>
        <v>0.81595648232094287</v>
      </c>
      <c r="BD127" s="15188">
        <f>IF(HLOOKUP("Mins",A1:CV300,127,FALSE)=0,0,HLOOKUP("S6YD",A1:CV300,127,FALSE)/HLOOKUP("Mins",A1:CV300,127,FALSE)* 90)</f>
        <v>0.24478694469628287</v>
      </c>
      <c r="BE127" s="15189">
        <f>IF(HLOOKUP("Mins",A1:CV300,127,FALSE)=0,0,HLOOKUP("Headers",A1:CV300,127,FALSE)/HLOOKUP("Mins",A1:CV300,127,FALSE)* 90)</f>
        <v>0.32638259292837712</v>
      </c>
      <c r="BF127" s="15190">
        <f>IF(HLOOKUP("Mins",A1:CV300,127,FALSE)=0,0,HLOOKUP("SOT",A1:CV300,127,FALSE)/HLOOKUP("Mins",A1:CV300,127,FALSE)* 90)</f>
        <v>0.16319129646418856</v>
      </c>
      <c r="BG127" s="15191">
        <f>IF(HLOOKUP("Mins",A1:CV300,127,FALSE)=0,0,HLOOKUP("As",A1:CV300,127,FALSE)/HLOOKUP("Mins",A1:CV300,127,FALSE)* 90)</f>
        <v>8.1595648232094281E-2</v>
      </c>
      <c r="BH127" s="15192">
        <f>IF(HLOOKUP("Mins",A1:CV300,127,FALSE)=0,0,HLOOKUP("FPL As",A1:CV300,127,FALSE)/HLOOKUP("Mins",A1:CV300,127,FALSE)* 90)</f>
        <v>8.1595648232094281E-2</v>
      </c>
      <c r="BI127" s="15193">
        <f>IF(HLOOKUP("Mins",A1:CV300,127,FALSE)=0,0,HLOOKUP("BC Created",A1:CV300,127,FALSE)/HLOOKUP("Mins",A1:CV300,127,FALSE)* 90)</f>
        <v>0.32638259292837712</v>
      </c>
      <c r="BJ127" s="15194">
        <f>IF(HLOOKUP("Mins",A1:CV300,127,FALSE)=0,0,HLOOKUP("KP",A1:CV300,127,FALSE)/HLOOKUP("Mins",A1:CV300,127,FALSE)* 90)</f>
        <v>0.57116953762466005</v>
      </c>
      <c r="BK127" s="15195">
        <f>IF(HLOOKUP("Mins",A1:CV300,127,FALSE)=0,0,HLOOKUP("BC",A1:CV300,127,FALSE)/HLOOKUP("Mins",A1:CV300,127,FALSE)* 90)</f>
        <v>0</v>
      </c>
      <c r="BL127" s="15196">
        <f>IF(HLOOKUP("Mins",A1:CV300,127,FALSE)=0,0,HLOOKUP("BC Miss",A1:CV300,127,FALSE)/HLOOKUP("Mins",A1:CV300,127,FALSE)* 90)</f>
        <v>0</v>
      </c>
      <c r="BM127" s="15197">
        <f>IF(HLOOKUP("Mins",A1:CV300,127,FALSE)=0,0,HLOOKUP("Gs - BC",A1:CV300,127,FALSE)/HLOOKUP("Mins",A1:CV300,127,FALSE)* 90)</f>
        <v>0</v>
      </c>
      <c r="BN127" s="15198">
        <f>IF(HLOOKUP("Mins",A1:CV300,127,FALSE)=0,0,HLOOKUP("GIB",A1:CV300,127,FALSE)/HLOOKUP("Mins",A1:CV300,127,FALSE)* 90)</f>
        <v>8.1595648232094281E-2</v>
      </c>
      <c r="BO127" s="15199">
        <f>IF(HLOOKUP("Mins",A1:CV300,127,FALSE)=0,0,HLOOKUP("Gs - Open",A1:CV300,127,FALSE)/HLOOKUP("Mins",A1:CV300,127,FALSE)* 90)</f>
        <v>8.1595648232094281E-2</v>
      </c>
      <c r="BP127" s="15200">
        <f>IF(HLOOKUP("Mins",A1:CV300,127,FALSE)=0,0,HLOOKUP("ICT Index",A1:CV300,127,FALSE)/HLOOKUP("Mins",A1:CV300,127,FALSE)* 90)</f>
        <v>4.8549410698096107</v>
      </c>
      <c r="BQ127" s="15201">
        <f>IF(HLOOKUP("Mins",A1:CV300,127,FALSE)=0,0,(0.02*(HLOOKUP("Shots",A1:CV300,127,FALSE)-HLOOKUP("SIB",A1:CV300,127,FALSE))+0.093*(HLOOKUP("SIB",A1:CV300,127,FALSE)-(HLOOKUP("PK Gs",A1:CV300,127,FALSE)+HLOOKUP("PK Miss",A1:CV300,127,FALSE)))+0.75*(HLOOKUP("PK Gs",A1:CV300,127,FALSE)+HLOOKUP("PK Miss",A1:CV300,127,FALSE)))/HLOOKUP("Mins",A1:CV300,127,FALSE)*90)</f>
        <v>7.9147778785131462E-2</v>
      </c>
      <c r="BR127" s="15202">
        <f>0.0825*HLOOKUP("KP/90",A1:CV300,127,FALSE)</f>
        <v>4.7121486854034458E-2</v>
      </c>
      <c r="BS127" s="15203">
        <f>6*HLOOKUP("xG/90",A1:CV300,127,FALSE)+3*HLOOKUP("xA/90",A1:CV300,127,FALSE)</f>
        <v>0.61625113327289216</v>
      </c>
      <c r="BT127" s="15204">
        <f>HLOOKUP("xPts/90",A1:CV300,127,FALSE)-(6*0.75*(HLOOKUP("PK Gs",A1:CV300,127,FALSE)+HLOOKUP("PK Miss",A1:CV300,127,FALSE))*90/HLOOKUP("Mins",A1:CV300,127,FALSE))</f>
        <v>0.61625113327289216</v>
      </c>
      <c r="BU127" s="15205">
        <f>IF(HLOOKUP("Mins",A1:CV300,127,FALSE)=0,0,HLOOKUP("fsXG",A1:CV300,127,FALSE)/HLOOKUP("Mins",A1:CV300,127,FALSE)* 90)</f>
        <v>6.527651858567543E-2</v>
      </c>
      <c r="BV127" s="15206">
        <f>IF(HLOOKUP("Mins",A1:CV300,127,FALSE)=0,0,HLOOKUP("fsXA",A1:CV300,127,FALSE)/HLOOKUP("Mins",A1:CV300,127,FALSE)* 90)</f>
        <v>7.0988213961922036E-2</v>
      </c>
      <c r="BW127" s="15207">
        <f>6*HLOOKUP("fsXG/90",A1:CV300,127,FALSE)+3*HLOOKUP("fsXA/90",A1:CV300,127,FALSE)</f>
        <v>0.60462375339981866</v>
      </c>
      <c r="BX127" s="15208">
        <v>5.1692795008420944E-2</v>
      </c>
      <c r="BY127" s="15209">
        <v>0.18305802345275879</v>
      </c>
      <c r="BZ127" s="15210">
        <f>6*HLOOKUP("uXG/90",A1:CV300,127,FALSE)+3*HLOOKUP("uXA/90",A1:CV300,127,FALSE)</f>
        <v>0.85933084040880203</v>
      </c>
    </row>
    <row r="128" spans="1:78" hidden="1" x14ac:dyDescent="0.3">
      <c r="A128" s="15211" t="s">
        <v>291</v>
      </c>
      <c r="B128" s="15212" t="s">
        <v>79</v>
      </c>
      <c r="C128" s="15213">
        <v>4.9000000953674316</v>
      </c>
      <c r="D128" s="15214">
        <v>1607</v>
      </c>
      <c r="E128" s="15215">
        <v>18</v>
      </c>
      <c r="F128" s="15216">
        <v>52</v>
      </c>
      <c r="G128" s="15217">
        <v>2</v>
      </c>
      <c r="H128" s="15218">
        <v>5</v>
      </c>
      <c r="I128" s="15219">
        <v>286</v>
      </c>
      <c r="J128" s="15220">
        <f>HLOOKUP("BPS",A1:CV300,128,FALSE)-((-6*HLOOKUP("OG",A1:CV300,128,FALSE))+(-6*HLOOKUP("PK Miss",A1:CV300,128,FALSE))+(9*HLOOKUP("FPL As",A1:CV300,128,FALSE))+(12*HLOOKUP("CS",A1:CV300,128,FALSE))+(12*HLOOKUP("Gs",A1:CV300,128,FALSE)))</f>
        <v>226</v>
      </c>
      <c r="K128" s="15221">
        <v>0</v>
      </c>
      <c r="L128" s="15222">
        <v>3</v>
      </c>
      <c r="M128" s="15223">
        <v>12</v>
      </c>
      <c r="N128" s="15224">
        <v>6</v>
      </c>
      <c r="O128" s="15225">
        <v>6</v>
      </c>
      <c r="P128" s="15226">
        <f>IF(HLOOKUP("Shots",A1:CV300,128,FALSE)=0,0,HLOOKUP("SIB",A1:CV300,128,FALSE)/HLOOKUP("Shots",A1:CV300,128,FALSE))</f>
        <v>1</v>
      </c>
      <c r="Q128" s="15227">
        <v>1</v>
      </c>
      <c r="R128" s="15228">
        <f>IF(HLOOKUP("Shots",A1:CV300,128,FALSE)=0,0,HLOOKUP("S6YD",A1:CV300,128,FALSE)/HLOOKUP("Shots",A1:CV300,128,FALSE))</f>
        <v>0.16666666666666666</v>
      </c>
      <c r="S128" s="15229">
        <v>3</v>
      </c>
      <c r="T128" s="15230">
        <f>IF(HLOOKUP("Shots",A1:CV300,128,FALSE)=0,0,HLOOKUP("Headers",A1:CV300,128,FALSE)/HLOOKUP("Shots",A1:CV300,128,FALSE))</f>
        <v>0.5</v>
      </c>
      <c r="U128" s="15231">
        <v>2</v>
      </c>
      <c r="V128" s="15232">
        <f>IF(HLOOKUP("Shots",A1:CV300,128,FALSE)=0,0,HLOOKUP("SOT",A1:CV300,128,FALSE)/HLOOKUP("Shots",A1:CV300,128,FALSE))</f>
        <v>0.33333333333333331</v>
      </c>
      <c r="W128" s="15233">
        <f>IF(HLOOKUP("Shots",A1:CV300,128,FALSE)=0,0,HLOOKUP("Gs",A1:CV300,128,FALSE)/HLOOKUP("Shots",A1:CV300,128,FALSE))</f>
        <v>0.33333333333333331</v>
      </c>
      <c r="X128" s="15234">
        <v>0</v>
      </c>
      <c r="Y128" s="15235">
        <v>0</v>
      </c>
      <c r="Z128" s="15236">
        <v>2</v>
      </c>
      <c r="AA128" s="15237">
        <f>IF(HLOOKUP("KP",A1:CV300,128,FALSE)=0,0,HLOOKUP("As",A1:CV300,128,FALSE)/HLOOKUP("KP",A1:CV300,128,FALSE))</f>
        <v>0</v>
      </c>
      <c r="AB128" s="15238">
        <v>57.6</v>
      </c>
      <c r="AC128" s="15239">
        <v>8</v>
      </c>
      <c r="AD128" s="15240">
        <v>2</v>
      </c>
      <c r="AE128" s="15241">
        <v>1</v>
      </c>
      <c r="AF128" s="15242">
        <v>0</v>
      </c>
      <c r="AG128" s="15243">
        <f>IF(HLOOKUP("BC",A1:CV300,128,FALSE)=0,0,HLOOKUP("Gs - BC",A1:CV300,128,FALSE)/HLOOKUP("BC",A1:CV300,128,FALSE))</f>
        <v>1</v>
      </c>
      <c r="AH128" s="15244">
        <f>HLOOKUP("BC",A1:CV300,128,FALSE) - HLOOKUP("BC Miss",A1:CV300,128,FALSE)</f>
        <v>1</v>
      </c>
      <c r="AI128" s="15245">
        <f>IF(HLOOKUP("Gs",A1:CV300,128,FALSE)=0,0,HLOOKUP("Gs - BC",A1:CV300,128,FALSE)/HLOOKUP("Gs",A1:CV300,128,FALSE))</f>
        <v>0.5</v>
      </c>
      <c r="AJ128" s="15246">
        <v>0</v>
      </c>
      <c r="AK128" s="15247">
        <v>0</v>
      </c>
      <c r="AL128" s="15248">
        <f>HLOOKUP("BC",A1:CV300,128,FALSE) - (HLOOKUP("PK Gs",A1:CV300,128,FALSE) + HLOOKUP("PK Miss",A1:CV300,128,FALSE))</f>
        <v>1</v>
      </c>
      <c r="AM128" s="15249">
        <f>HLOOKUP("BC Miss",A1:CV300,128,FALSE) - HLOOKUP("PK Miss",A1:CV300,128,FALSE)</f>
        <v>0</v>
      </c>
      <c r="AN128" s="15250">
        <f>IF(HLOOKUP("BC - Open",A1:CV300,128,FALSE)=0,0,HLOOKUP("BC - Open Miss",A1:CV300,128,FALSE)/HLOOKUP("BC - Open",A1:CV300,128,FALSE))</f>
        <v>0</v>
      </c>
      <c r="AO128" s="15251">
        <v>2</v>
      </c>
      <c r="AP128" s="15252">
        <f>IF(HLOOKUP("Gs",A1:CV300,128,FALSE)=0,0,HLOOKUP("GIB",A1:CV300,128,FALSE)/HLOOKUP("Gs",A1:CV300,128,FALSE))</f>
        <v>1</v>
      </c>
      <c r="AQ128" s="15253">
        <v>0</v>
      </c>
      <c r="AR128" s="15254">
        <f>IF(HLOOKUP("Gs",A1:CV300,128,FALSE)=0,0,HLOOKUP("Gs - Open",A1:CV300,128,FALSE)/HLOOKUP("Gs",A1:CV300,128,FALSE))</f>
        <v>0</v>
      </c>
      <c r="AS128" s="15255">
        <v>0.93</v>
      </c>
      <c r="AT128" s="15256">
        <v>0.16</v>
      </c>
      <c r="AU128" s="15257">
        <f>IF(HLOOKUP("Mins",A1:CV300,128,FALSE)=0,0,HLOOKUP("Pts",A1:CV300,128,FALSE)/HLOOKUP("Mins",A1:CV300,128,FALSE)* 90)</f>
        <v>2.9122588674548848</v>
      </c>
      <c r="AV128" s="15258">
        <f>IF(HLOOKUP("Apps",A1:CV300,128,FALSE)=0,0,HLOOKUP("Pts",A1:CV300,128,FALSE)/HLOOKUP("Apps",A1:CV300,128,FALSE)* 1)</f>
        <v>2.8888888888888888</v>
      </c>
      <c r="AW128" s="15259">
        <f>IF(HLOOKUP("Mins",A1:CV300,128,FALSE)=0,0,HLOOKUP("Gs",A1:CV300,128,FALSE)/HLOOKUP("Mins",A1:CV300,128,FALSE)* 90)</f>
        <v>0.11200995644057249</v>
      </c>
      <c r="AX128" s="15260">
        <f>IF(HLOOKUP("Mins",A1:CV300,128,FALSE)=0,0,HLOOKUP("Bonus",A1:CV300,128,FALSE)/HLOOKUP("Mins",A1:CV300,128,FALSE)* 90)</f>
        <v>0.28002489110143125</v>
      </c>
      <c r="AY128" s="15261">
        <f>IF(HLOOKUP("Mins",A1:CV300,128,FALSE)=0,0,HLOOKUP("BPS",A1:CV300,128,FALSE)/HLOOKUP("Mins",A1:CV300,128,FALSE)* 90)</f>
        <v>16.017423771001866</v>
      </c>
      <c r="AZ128" s="15262">
        <f>IF(HLOOKUP("Mins",A1:CV300,128,FALSE)=0,0,HLOOKUP("Base BPS",A1:CV300,128,FALSE)/HLOOKUP("Mins",A1:CV300,128,FALSE)* 90)</f>
        <v>12.657125077784691</v>
      </c>
      <c r="BA128" s="15263">
        <f>IF(HLOOKUP("Mins",A1:CV300,128,FALSE)=0,0,HLOOKUP("PenTchs",A1:CV300,128,FALSE)/HLOOKUP("Mins",A1:CV300,128,FALSE)* 90)</f>
        <v>0.67205973864343493</v>
      </c>
      <c r="BB128" s="15264">
        <f>IF(HLOOKUP("Mins",A1:CV300,128,FALSE)=0,0,HLOOKUP("Shots",A1:CV300,128,FALSE)/HLOOKUP("Mins",A1:CV300,128,FALSE)* 90)</f>
        <v>0.33602986932171747</v>
      </c>
      <c r="BC128" s="15265">
        <f>IF(HLOOKUP("Mins",A1:CV300,128,FALSE)=0,0,HLOOKUP("SIB",A1:CV300,128,FALSE)/HLOOKUP("Mins",A1:CV300,128,FALSE)* 90)</f>
        <v>0.33602986932171747</v>
      </c>
      <c r="BD128" s="15266">
        <f>IF(HLOOKUP("Mins",A1:CV300,128,FALSE)=0,0,HLOOKUP("S6YD",A1:CV300,128,FALSE)/HLOOKUP("Mins",A1:CV300,128,FALSE)* 90)</f>
        <v>5.6004978220286245E-2</v>
      </c>
      <c r="BE128" s="15267">
        <f>IF(HLOOKUP("Mins",A1:CV300,128,FALSE)=0,0,HLOOKUP("Headers",A1:CV300,128,FALSE)/HLOOKUP("Mins",A1:CV300,128,FALSE)* 90)</f>
        <v>0.16801493466085873</v>
      </c>
      <c r="BF128" s="15268">
        <f>IF(HLOOKUP("Mins",A1:CV300,128,FALSE)=0,0,HLOOKUP("SOT",A1:CV300,128,FALSE)/HLOOKUP("Mins",A1:CV300,128,FALSE)* 90)</f>
        <v>0.11200995644057249</v>
      </c>
      <c r="BG128" s="15269">
        <f>IF(HLOOKUP("Mins",A1:CV300,128,FALSE)=0,0,HLOOKUP("As",A1:CV300,128,FALSE)/HLOOKUP("Mins",A1:CV300,128,FALSE)* 90)</f>
        <v>0</v>
      </c>
      <c r="BH128" s="15270">
        <f>IF(HLOOKUP("Mins",A1:CV300,128,FALSE)=0,0,HLOOKUP("FPL As",A1:CV300,128,FALSE)/HLOOKUP("Mins",A1:CV300,128,FALSE)* 90)</f>
        <v>0</v>
      </c>
      <c r="BI128" s="15271">
        <f>IF(HLOOKUP("Mins",A1:CV300,128,FALSE)=0,0,HLOOKUP("BC Created",A1:CV300,128,FALSE)/HLOOKUP("Mins",A1:CV300,128,FALSE)* 90)</f>
        <v>0.11200995644057249</v>
      </c>
      <c r="BJ128" s="15272">
        <f>IF(HLOOKUP("Mins",A1:CV300,128,FALSE)=0,0,HLOOKUP("KP",A1:CV300,128,FALSE)/HLOOKUP("Mins",A1:CV300,128,FALSE)* 90)</f>
        <v>0.11200995644057249</v>
      </c>
      <c r="BK128" s="15273">
        <f>IF(HLOOKUP("Mins",A1:CV300,128,FALSE)=0,0,HLOOKUP("BC",A1:CV300,128,FALSE)/HLOOKUP("Mins",A1:CV300,128,FALSE)* 90)</f>
        <v>5.6004978220286245E-2</v>
      </c>
      <c r="BL128" s="15274">
        <f>IF(HLOOKUP("Mins",A1:CV300,128,FALSE)=0,0,HLOOKUP("BC Miss",A1:CV300,128,FALSE)/HLOOKUP("Mins",A1:CV300,128,FALSE)* 90)</f>
        <v>0</v>
      </c>
      <c r="BM128" s="15275">
        <f>IF(HLOOKUP("Mins",A1:CV300,128,FALSE)=0,0,HLOOKUP("Gs - BC",A1:CV300,128,FALSE)/HLOOKUP("Mins",A1:CV300,128,FALSE)* 90)</f>
        <v>5.6004978220286245E-2</v>
      </c>
      <c r="BN128" s="15276">
        <f>IF(HLOOKUP("Mins",A1:CV300,128,FALSE)=0,0,HLOOKUP("GIB",A1:CV300,128,FALSE)/HLOOKUP("Mins",A1:CV300,128,FALSE)* 90)</f>
        <v>0.11200995644057249</v>
      </c>
      <c r="BO128" s="15277">
        <f>IF(HLOOKUP("Mins",A1:CV300,128,FALSE)=0,0,HLOOKUP("Gs - Open",A1:CV300,128,FALSE)/HLOOKUP("Mins",A1:CV300,128,FALSE)* 90)</f>
        <v>0</v>
      </c>
      <c r="BP128" s="15278">
        <f>IF(HLOOKUP("Mins",A1:CV300,128,FALSE)=0,0,HLOOKUP("ICT Index",A1:CV300,128,FALSE)/HLOOKUP("Mins",A1:CV300,128,FALSE)* 90)</f>
        <v>3.2258867454884879</v>
      </c>
      <c r="BQ128" s="15279">
        <f>IF(HLOOKUP("Mins",A1:CV300,128,FALSE)=0,0,(0.02*(HLOOKUP("Shots",A1:CV300,128,FALSE)-HLOOKUP("SIB",A1:CV300,128,FALSE))+0.093*(HLOOKUP("SIB",A1:CV300,128,FALSE)-(HLOOKUP("PK Gs",A1:CV300,128,FALSE)+HLOOKUP("PK Miss",A1:CV300,128,FALSE)))+0.75*(HLOOKUP("PK Gs",A1:CV300,128,FALSE)+HLOOKUP("PK Miss",A1:CV300,128,FALSE)))/HLOOKUP("Mins",A1:CV300,128,FALSE)*90)</f>
        <v>3.1250777846919729E-2</v>
      </c>
      <c r="BR128" s="15280">
        <f>0.0825*HLOOKUP("KP/90",A1:CV300,128,FALSE)</f>
        <v>9.2408214063472299E-3</v>
      </c>
      <c r="BS128" s="15281">
        <f>6*HLOOKUP("xG/90",A1:CV300,128,FALSE)+3*HLOOKUP("xA/90",A1:CV300,128,FALSE)</f>
        <v>0.21522713130056004</v>
      </c>
      <c r="BT128" s="15282">
        <f>HLOOKUP("xPts/90",A1:CV300,128,FALSE)-(6*0.75*(HLOOKUP("PK Gs",A1:CV300,128,FALSE)+HLOOKUP("PK Miss",A1:CV300,128,FALSE))*90/HLOOKUP("Mins",A1:CV300,128,FALSE))</f>
        <v>0.21522713130056004</v>
      </c>
      <c r="BU128" s="15283">
        <f>IF(HLOOKUP("Mins",A1:CV300,128,FALSE)=0,0,HLOOKUP("fsXG",A1:CV300,128,FALSE)/HLOOKUP("Mins",A1:CV300,128,FALSE)* 90)</f>
        <v>5.2084629744866211E-2</v>
      </c>
      <c r="BV128" s="15284">
        <f>IF(HLOOKUP("Mins",A1:CV300,128,FALSE)=0,0,HLOOKUP("fsXA",A1:CV300,128,FALSE)/HLOOKUP("Mins",A1:CV300,128,FALSE)* 90)</f>
        <v>8.9607965152457992E-3</v>
      </c>
      <c r="BW128" s="15285">
        <f>6*HLOOKUP("fsXG/90",A1:CV300,128,FALSE)+3*HLOOKUP("fsXA/90",A1:CV300,128,FALSE)</f>
        <v>0.33939016801493466</v>
      </c>
      <c r="BX128" s="15286">
        <v>6.0670636594295502E-2</v>
      </c>
      <c r="BY128" s="15287">
        <v>4.2144160717725754E-2</v>
      </c>
      <c r="BZ128" s="15288">
        <f>6*HLOOKUP("uXG/90",A1:CV300,128,FALSE)+3*HLOOKUP("uXA/90",A1:CV300,128,FALSE)</f>
        <v>0.49045630171895027</v>
      </c>
    </row>
    <row r="129" spans="1:78" hidden="1" x14ac:dyDescent="0.3">
      <c r="A129" s="15289" t="s">
        <v>292</v>
      </c>
      <c r="B129" s="15290" t="s">
        <v>147</v>
      </c>
      <c r="C129" s="15291">
        <v>4</v>
      </c>
      <c r="D129" s="15292">
        <v>31</v>
      </c>
      <c r="E129" s="15293">
        <v>1</v>
      </c>
      <c r="F129" s="15294">
        <v>1</v>
      </c>
      <c r="G129" s="15295">
        <v>0</v>
      </c>
      <c r="H129" s="15296">
        <v>0</v>
      </c>
      <c r="I129" s="15297">
        <v>8</v>
      </c>
      <c r="J129" s="15298">
        <f>HLOOKUP("BPS",A1:CV300,129,FALSE)-((-6*HLOOKUP("OG",A1:CV300,129,FALSE))+(-6*HLOOKUP("PK Miss",A1:CV300,129,FALSE))+(9*HLOOKUP("FPL As",A1:CV300,129,FALSE))+(12*HLOOKUP("CS",A1:CV300,129,FALSE))+(12*HLOOKUP("Gs",A1:CV300,129,FALSE)))</f>
        <v>8</v>
      </c>
      <c r="K129" s="15299">
        <v>0</v>
      </c>
      <c r="L129" s="15300">
        <v>0</v>
      </c>
      <c r="M129" s="15301">
        <v>1</v>
      </c>
      <c r="N129" s="15302">
        <v>0</v>
      </c>
      <c r="O129" s="15303">
        <v>0</v>
      </c>
      <c r="P129" s="15304">
        <f>IF(HLOOKUP("Shots",A1:CV300,129,FALSE)=0,0,HLOOKUP("SIB",A1:CV300,129,FALSE)/HLOOKUP("Shots",A1:CV300,129,FALSE))</f>
        <v>0</v>
      </c>
      <c r="Q129" s="15305">
        <v>0</v>
      </c>
      <c r="R129" s="15306">
        <f>IF(HLOOKUP("Shots",A1:CV300,129,FALSE)=0,0,HLOOKUP("S6YD",A1:CV300,129,FALSE)/HLOOKUP("Shots",A1:CV300,129,FALSE))</f>
        <v>0</v>
      </c>
      <c r="S129" s="15307">
        <v>0</v>
      </c>
      <c r="T129" s="15308">
        <f>IF(HLOOKUP("Shots",A1:CV300,129,FALSE)=0,0,HLOOKUP("Headers",A1:CV300,129,FALSE)/HLOOKUP("Shots",A1:CV300,129,FALSE))</f>
        <v>0</v>
      </c>
      <c r="U129" s="15309">
        <v>0</v>
      </c>
      <c r="V129" s="15310">
        <f>IF(HLOOKUP("Shots",A1:CV300,129,FALSE)=0,0,HLOOKUP("SOT",A1:CV300,129,FALSE)/HLOOKUP("Shots",A1:CV300,129,FALSE))</f>
        <v>0</v>
      </c>
      <c r="W129" s="15311">
        <f>IF(HLOOKUP("Shots",A1:CV300,129,FALSE)=0,0,HLOOKUP("Gs",A1:CV300,129,FALSE)/HLOOKUP("Shots",A1:CV300,129,FALSE))</f>
        <v>0</v>
      </c>
      <c r="X129" s="15312">
        <v>0</v>
      </c>
      <c r="Y129" s="15313">
        <v>0</v>
      </c>
      <c r="Z129" s="15314">
        <v>1</v>
      </c>
      <c r="AA129" s="15315">
        <f>IF(HLOOKUP("KP",A1:CV300,129,FALSE)=0,0,HLOOKUP("As",A1:CV300,129,FALSE)/HLOOKUP("KP",A1:CV300,129,FALSE))</f>
        <v>0</v>
      </c>
      <c r="AB129" s="15316">
        <v>2</v>
      </c>
      <c r="AC129" s="15317">
        <v>0</v>
      </c>
      <c r="AD129" s="15318">
        <v>0</v>
      </c>
      <c r="AE129" s="15319">
        <v>0</v>
      </c>
      <c r="AF129" s="15320">
        <v>0</v>
      </c>
      <c r="AG129" s="15321">
        <f>IF(HLOOKUP("BC",A1:CV300,129,FALSE)=0,0,HLOOKUP("Gs - BC",A1:CV300,129,FALSE)/HLOOKUP("BC",A1:CV300,129,FALSE))</f>
        <v>0</v>
      </c>
      <c r="AH129" s="15322">
        <f>HLOOKUP("BC",A1:CV300,129,FALSE) - HLOOKUP("BC Miss",A1:CV300,129,FALSE)</f>
        <v>0</v>
      </c>
      <c r="AI129" s="15323">
        <f>IF(HLOOKUP("Gs",A1:CV300,129,FALSE)=0,0,HLOOKUP("Gs - BC",A1:CV300,129,FALSE)/HLOOKUP("Gs",A1:CV300,129,FALSE))</f>
        <v>0</v>
      </c>
      <c r="AJ129" s="15324">
        <v>0</v>
      </c>
      <c r="AK129" s="15325">
        <v>0</v>
      </c>
      <c r="AL129" s="15326">
        <f>HLOOKUP("BC",A1:CV300,129,FALSE) - (HLOOKUP("PK Gs",A1:CV300,129,FALSE) + HLOOKUP("PK Miss",A1:CV300,129,FALSE))</f>
        <v>0</v>
      </c>
      <c r="AM129" s="15327">
        <f>HLOOKUP("BC Miss",A1:CV300,129,FALSE) - HLOOKUP("PK Miss",A1:CV300,129,FALSE)</f>
        <v>0</v>
      </c>
      <c r="AN129" s="15328">
        <f>IF(HLOOKUP("BC - Open",A1:CV300,129,FALSE)=0,0,HLOOKUP("BC - Open Miss",A1:CV300,129,FALSE)/HLOOKUP("BC - Open",A1:CV300,129,FALSE))</f>
        <v>0</v>
      </c>
      <c r="AO129" s="15329">
        <v>0</v>
      </c>
      <c r="AP129" s="15330">
        <f>IF(HLOOKUP("Gs",A1:CV300,129,FALSE)=0,0,HLOOKUP("GIB",A1:CV300,129,FALSE)/HLOOKUP("Gs",A1:CV300,129,FALSE))</f>
        <v>0</v>
      </c>
      <c r="AQ129" s="15331">
        <v>0</v>
      </c>
      <c r="AR129" s="15332">
        <f>IF(HLOOKUP("Gs",A1:CV300,129,FALSE)=0,0,HLOOKUP("Gs - Open",A1:CV300,129,FALSE)/HLOOKUP("Gs",A1:CV300,129,FALSE))</f>
        <v>0</v>
      </c>
      <c r="AS129" s="15333">
        <v>0</v>
      </c>
      <c r="AT129" s="15334">
        <v>0.03</v>
      </c>
      <c r="AU129" s="15335">
        <f>IF(HLOOKUP("Mins",A1:CV300,129,FALSE)=0,0,HLOOKUP("Pts",A1:CV300,129,FALSE)/HLOOKUP("Mins",A1:CV300,129,FALSE)* 90)</f>
        <v>2.903225806451613</v>
      </c>
      <c r="AV129" s="15336">
        <f>IF(HLOOKUP("Apps",A1:CV300,129,FALSE)=0,0,HLOOKUP("Pts",A1:CV300,129,FALSE)/HLOOKUP("Apps",A1:CV300,129,FALSE)* 1)</f>
        <v>1</v>
      </c>
      <c r="AW129" s="15337">
        <f>IF(HLOOKUP("Mins",A1:CV300,129,FALSE)=0,0,HLOOKUP("Gs",A1:CV300,129,FALSE)/HLOOKUP("Mins",A1:CV300,129,FALSE)* 90)</f>
        <v>0</v>
      </c>
      <c r="AX129" s="15338">
        <f>IF(HLOOKUP("Mins",A1:CV300,129,FALSE)=0,0,HLOOKUP("Bonus",A1:CV300,129,FALSE)/HLOOKUP("Mins",A1:CV300,129,FALSE)* 90)</f>
        <v>0</v>
      </c>
      <c r="AY129" s="15339">
        <f>IF(HLOOKUP("Mins",A1:CV300,129,FALSE)=0,0,HLOOKUP("BPS",A1:CV300,129,FALSE)/HLOOKUP("Mins",A1:CV300,129,FALSE)* 90)</f>
        <v>23.225806451612904</v>
      </c>
      <c r="AZ129" s="15340">
        <f>IF(HLOOKUP("Mins",A1:CV300,129,FALSE)=0,0,HLOOKUP("Base BPS",A1:CV300,129,FALSE)/HLOOKUP("Mins",A1:CV300,129,FALSE)* 90)</f>
        <v>23.225806451612904</v>
      </c>
      <c r="BA129" s="15341">
        <f>IF(HLOOKUP("Mins",A1:CV300,129,FALSE)=0,0,HLOOKUP("PenTchs",A1:CV300,129,FALSE)/HLOOKUP("Mins",A1:CV300,129,FALSE)* 90)</f>
        <v>2.903225806451613</v>
      </c>
      <c r="BB129" s="15342">
        <f>IF(HLOOKUP("Mins",A1:CV300,129,FALSE)=0,0,HLOOKUP("Shots",A1:CV300,129,FALSE)/HLOOKUP("Mins",A1:CV300,129,FALSE)* 90)</f>
        <v>0</v>
      </c>
      <c r="BC129" s="15343">
        <f>IF(HLOOKUP("Mins",A1:CV300,129,FALSE)=0,0,HLOOKUP("SIB",A1:CV300,129,FALSE)/HLOOKUP("Mins",A1:CV300,129,FALSE)* 90)</f>
        <v>0</v>
      </c>
      <c r="BD129" s="15344">
        <f>IF(HLOOKUP("Mins",A1:CV300,129,FALSE)=0,0,HLOOKUP("S6YD",A1:CV300,129,FALSE)/HLOOKUP("Mins",A1:CV300,129,FALSE)* 90)</f>
        <v>0</v>
      </c>
      <c r="BE129" s="15345">
        <f>IF(HLOOKUP("Mins",A1:CV300,129,FALSE)=0,0,HLOOKUP("Headers",A1:CV300,129,FALSE)/HLOOKUP("Mins",A1:CV300,129,FALSE)* 90)</f>
        <v>0</v>
      </c>
      <c r="BF129" s="15346">
        <f>IF(HLOOKUP("Mins",A1:CV300,129,FALSE)=0,0,HLOOKUP("SOT",A1:CV300,129,FALSE)/HLOOKUP("Mins",A1:CV300,129,FALSE)* 90)</f>
        <v>0</v>
      </c>
      <c r="BG129" s="15347">
        <f>IF(HLOOKUP("Mins",A1:CV300,129,FALSE)=0,0,HLOOKUP("As",A1:CV300,129,FALSE)/HLOOKUP("Mins",A1:CV300,129,FALSE)* 90)</f>
        <v>0</v>
      </c>
      <c r="BH129" s="15348">
        <f>IF(HLOOKUP("Mins",A1:CV300,129,FALSE)=0,0,HLOOKUP("FPL As",A1:CV300,129,FALSE)/HLOOKUP("Mins",A1:CV300,129,FALSE)* 90)</f>
        <v>0</v>
      </c>
      <c r="BI129" s="15349">
        <f>IF(HLOOKUP("Mins",A1:CV300,129,FALSE)=0,0,HLOOKUP("BC Created",A1:CV300,129,FALSE)/HLOOKUP("Mins",A1:CV300,129,FALSE)* 90)</f>
        <v>0</v>
      </c>
      <c r="BJ129" s="15350">
        <f>IF(HLOOKUP("Mins",A1:CV300,129,FALSE)=0,0,HLOOKUP("KP",A1:CV300,129,FALSE)/HLOOKUP("Mins",A1:CV300,129,FALSE)* 90)</f>
        <v>2.903225806451613</v>
      </c>
      <c r="BK129" s="15351">
        <f>IF(HLOOKUP("Mins",A1:CV300,129,FALSE)=0,0,HLOOKUP("BC",A1:CV300,129,FALSE)/HLOOKUP("Mins",A1:CV300,129,FALSE)* 90)</f>
        <v>0</v>
      </c>
      <c r="BL129" s="15352">
        <f>IF(HLOOKUP("Mins",A1:CV300,129,FALSE)=0,0,HLOOKUP("BC Miss",A1:CV300,129,FALSE)/HLOOKUP("Mins",A1:CV300,129,FALSE)* 90)</f>
        <v>0</v>
      </c>
      <c r="BM129" s="15353">
        <f>IF(HLOOKUP("Mins",A1:CV300,129,FALSE)=0,0,HLOOKUP("Gs - BC",A1:CV300,129,FALSE)/HLOOKUP("Mins",A1:CV300,129,FALSE)* 90)</f>
        <v>0</v>
      </c>
      <c r="BN129" s="15354">
        <f>IF(HLOOKUP("Mins",A1:CV300,129,FALSE)=0,0,HLOOKUP("GIB",A1:CV300,129,FALSE)/HLOOKUP("Mins",A1:CV300,129,FALSE)* 90)</f>
        <v>0</v>
      </c>
      <c r="BO129" s="15355">
        <f>IF(HLOOKUP("Mins",A1:CV300,129,FALSE)=0,0,HLOOKUP("Gs - Open",A1:CV300,129,FALSE)/HLOOKUP("Mins",A1:CV300,129,FALSE)* 90)</f>
        <v>0</v>
      </c>
      <c r="BP129" s="15356">
        <f>IF(HLOOKUP("Mins",A1:CV300,129,FALSE)=0,0,HLOOKUP("ICT Index",A1:CV300,129,FALSE)/HLOOKUP("Mins",A1:CV300,129,FALSE)* 90)</f>
        <v>5.806451612903226</v>
      </c>
      <c r="BQ129" s="15357">
        <f>IF(HLOOKUP("Mins",A1:CV300,129,FALSE)=0,0,(0.02*(HLOOKUP("Shots",A1:CV300,129,FALSE)-HLOOKUP("SIB",A1:CV300,129,FALSE))+0.093*(HLOOKUP("SIB",A1:CV300,129,FALSE)-(HLOOKUP("PK Gs",A1:CV300,129,FALSE)+HLOOKUP("PK Miss",A1:CV300,129,FALSE)))+0.75*(HLOOKUP("PK Gs",A1:CV300,129,FALSE)+HLOOKUP("PK Miss",A1:CV300,129,FALSE)))/HLOOKUP("Mins",A1:CV300,129,FALSE)*90)</f>
        <v>0</v>
      </c>
      <c r="BR129" s="15358">
        <f>0.0825*HLOOKUP("KP/90",A1:CV300,129,FALSE)</f>
        <v>0.23951612903225808</v>
      </c>
      <c r="BS129" s="15359">
        <f>6*HLOOKUP("xG/90",A1:CV300,129,FALSE)+3*HLOOKUP("xA/90",A1:CV300,129,FALSE)</f>
        <v>0.71854838709677427</v>
      </c>
      <c r="BT129" s="15360">
        <f>HLOOKUP("xPts/90",A1:CV300,129,FALSE)-(6*0.75*(HLOOKUP("PK Gs",A1:CV300,129,FALSE)+HLOOKUP("PK Miss",A1:CV300,129,FALSE))*90/HLOOKUP("Mins",A1:CV300,129,FALSE))</f>
        <v>0.71854838709677427</v>
      </c>
      <c r="BU129" s="15361">
        <f>IF(HLOOKUP("Mins",A1:CV300,129,FALSE)=0,0,HLOOKUP("fsXG",A1:CV300,129,FALSE)/HLOOKUP("Mins",A1:CV300,129,FALSE)* 90)</f>
        <v>0</v>
      </c>
      <c r="BV129" s="15362">
        <f>IF(HLOOKUP("Mins",A1:CV300,129,FALSE)=0,0,HLOOKUP("fsXA",A1:CV300,129,FALSE)/HLOOKUP("Mins",A1:CV300,129,FALSE)* 90)</f>
        <v>8.7096774193548387E-2</v>
      </c>
      <c r="BW129" s="15363">
        <f>6*HLOOKUP("fsXG/90",A1:CV300,129,FALSE)+3*HLOOKUP("fsXA/90",A1:CV300,129,FALSE)</f>
        <v>0.26129032258064516</v>
      </c>
      <c r="BX129" s="15364">
        <v>0</v>
      </c>
      <c r="BY129" s="15365">
        <v>0.23938561975955963</v>
      </c>
      <c r="BZ129" s="15366">
        <f>6*HLOOKUP("uXG/90",A1:CV300,129,FALSE)+3*HLOOKUP("uXA/90",A1:CV300,129,FALSE)</f>
        <v>0.71815685927867889</v>
      </c>
    </row>
    <row r="130" spans="1:78" hidden="1" x14ac:dyDescent="0.3">
      <c r="A130" s="15367" t="s">
        <v>293</v>
      </c>
      <c r="B130" s="15368" t="s">
        <v>113</v>
      </c>
      <c r="C130" s="15369">
        <v>4.4000000953674316</v>
      </c>
      <c r="D130" s="15370">
        <v>1236</v>
      </c>
      <c r="E130" s="15371">
        <v>15</v>
      </c>
      <c r="F130" s="15372">
        <v>28</v>
      </c>
      <c r="G130" s="15373">
        <v>0</v>
      </c>
      <c r="H130" s="15374">
        <v>2</v>
      </c>
      <c r="I130" s="15375">
        <v>186</v>
      </c>
      <c r="J130" s="15376">
        <f>HLOOKUP("BPS",A1:CV300,130,FALSE)-((-6*HLOOKUP("OG",A1:CV300,130,FALSE))+(-6*HLOOKUP("PK Miss",A1:CV300,130,FALSE))+(9*HLOOKUP("FPL As",A1:CV300,130,FALSE))+(12*HLOOKUP("CS",A1:CV300,130,FALSE))+(12*HLOOKUP("Gs",A1:CV300,130,FALSE)))</f>
        <v>150</v>
      </c>
      <c r="K130" s="15377">
        <v>0</v>
      </c>
      <c r="L130" s="15378">
        <v>3</v>
      </c>
      <c r="M130" s="15379">
        <v>10</v>
      </c>
      <c r="N130" s="15380">
        <v>6</v>
      </c>
      <c r="O130" s="15381">
        <v>6</v>
      </c>
      <c r="P130" s="15382">
        <f>IF(HLOOKUP("Shots",A1:CV300,130,FALSE)=0,0,HLOOKUP("SIB",A1:CV300,130,FALSE)/HLOOKUP("Shots",A1:CV300,130,FALSE))</f>
        <v>1</v>
      </c>
      <c r="Q130" s="15383">
        <v>2</v>
      </c>
      <c r="R130" s="15384">
        <f>IF(HLOOKUP("Shots",A1:CV300,130,FALSE)=0,0,HLOOKUP("S6YD",A1:CV300,130,FALSE)/HLOOKUP("Shots",A1:CV300,130,FALSE))</f>
        <v>0.33333333333333331</v>
      </c>
      <c r="S130" s="15385">
        <v>6</v>
      </c>
      <c r="T130" s="15386">
        <f>IF(HLOOKUP("Shots",A1:CV300,130,FALSE)=0,0,HLOOKUP("Headers",A1:CV300,130,FALSE)/HLOOKUP("Shots",A1:CV300,130,FALSE))</f>
        <v>1</v>
      </c>
      <c r="U130" s="15387">
        <v>2</v>
      </c>
      <c r="V130" s="15388">
        <f>IF(HLOOKUP("Shots",A1:CV300,130,FALSE)=0,0,HLOOKUP("SOT",A1:CV300,130,FALSE)/HLOOKUP("Shots",A1:CV300,130,FALSE))</f>
        <v>0.33333333333333331</v>
      </c>
      <c r="W130" s="15389">
        <f>IF(HLOOKUP("Shots",A1:CV300,130,FALSE)=0,0,HLOOKUP("Gs",A1:CV300,130,FALSE)/HLOOKUP("Shots",A1:CV300,130,FALSE))</f>
        <v>0</v>
      </c>
      <c r="X130" s="15390">
        <v>0</v>
      </c>
      <c r="Y130" s="15391">
        <v>0</v>
      </c>
      <c r="Z130" s="15392">
        <v>1</v>
      </c>
      <c r="AA130" s="15393">
        <f>IF(HLOOKUP("KP",A1:CV300,130,FALSE)=0,0,HLOOKUP("As",A1:CV300,130,FALSE)/HLOOKUP("KP",A1:CV300,130,FALSE))</f>
        <v>0</v>
      </c>
      <c r="AB130" s="15394">
        <v>32.4</v>
      </c>
      <c r="AC130" s="15395">
        <v>0</v>
      </c>
      <c r="AD130" s="15396">
        <v>1</v>
      </c>
      <c r="AE130" s="15397">
        <v>1</v>
      </c>
      <c r="AF130" s="15398">
        <v>1</v>
      </c>
      <c r="AG130" s="15399">
        <f>IF(HLOOKUP("BC",A1:CV300,130,FALSE)=0,0,HLOOKUP("Gs - BC",A1:CV300,130,FALSE)/HLOOKUP("BC",A1:CV300,130,FALSE))</f>
        <v>0</v>
      </c>
      <c r="AH130" s="15400">
        <f>HLOOKUP("BC",A1:CV300,130,FALSE) - HLOOKUP("BC Miss",A1:CV300,130,FALSE)</f>
        <v>0</v>
      </c>
      <c r="AI130" s="15401">
        <f>IF(HLOOKUP("Gs",A1:CV300,130,FALSE)=0,0,HLOOKUP("Gs - BC",A1:CV300,130,FALSE)/HLOOKUP("Gs",A1:CV300,130,FALSE))</f>
        <v>0</v>
      </c>
      <c r="AJ130" s="15402">
        <v>0</v>
      </c>
      <c r="AK130" s="15403">
        <v>0</v>
      </c>
      <c r="AL130" s="15404">
        <f>HLOOKUP("BC",A1:CV300,130,FALSE) - (HLOOKUP("PK Gs",A1:CV300,130,FALSE) + HLOOKUP("PK Miss",A1:CV300,130,FALSE))</f>
        <v>1</v>
      </c>
      <c r="AM130" s="15405">
        <f>HLOOKUP("BC Miss",A1:CV300,130,FALSE) - HLOOKUP("PK Miss",A1:CV300,130,FALSE)</f>
        <v>1</v>
      </c>
      <c r="AN130" s="15406">
        <f>IF(HLOOKUP("BC - Open",A1:CV300,130,FALSE)=0,0,HLOOKUP("BC - Open Miss",A1:CV300,130,FALSE)/HLOOKUP("BC - Open",A1:CV300,130,FALSE))</f>
        <v>1</v>
      </c>
      <c r="AO130" s="15407">
        <v>0</v>
      </c>
      <c r="AP130" s="15408">
        <f>IF(HLOOKUP("Gs",A1:CV300,130,FALSE)=0,0,HLOOKUP("GIB",A1:CV300,130,FALSE)/HLOOKUP("Gs",A1:CV300,130,FALSE))</f>
        <v>0</v>
      </c>
      <c r="AQ130" s="15409">
        <v>0</v>
      </c>
      <c r="AR130" s="15410">
        <f>IF(HLOOKUP("Gs",A1:CV300,130,FALSE)=0,0,HLOOKUP("Gs - Open",A1:CV300,130,FALSE)/HLOOKUP("Gs",A1:CV300,130,FALSE))</f>
        <v>0</v>
      </c>
      <c r="AS130" s="15411">
        <v>0.76</v>
      </c>
      <c r="AT130" s="15412">
        <v>0.21</v>
      </c>
      <c r="AU130" s="15413">
        <f>IF(HLOOKUP("Mins",A1:CV300,130,FALSE)=0,0,HLOOKUP("Pts",A1:CV300,130,FALSE)/HLOOKUP("Mins",A1:CV300,130,FALSE)* 90)</f>
        <v>2.0388349514563107</v>
      </c>
      <c r="AV130" s="15414">
        <f>IF(HLOOKUP("Apps",A1:CV300,130,FALSE)=0,0,HLOOKUP("Pts",A1:CV300,130,FALSE)/HLOOKUP("Apps",A1:CV300,130,FALSE)* 1)</f>
        <v>1.8666666666666667</v>
      </c>
      <c r="AW130" s="15415">
        <f>IF(HLOOKUP("Mins",A1:CV300,130,FALSE)=0,0,HLOOKUP("Gs",A1:CV300,130,FALSE)/HLOOKUP("Mins",A1:CV300,130,FALSE)* 90)</f>
        <v>0</v>
      </c>
      <c r="AX130" s="15416">
        <f>IF(HLOOKUP("Mins",A1:CV300,130,FALSE)=0,0,HLOOKUP("Bonus",A1:CV300,130,FALSE)/HLOOKUP("Mins",A1:CV300,130,FALSE)* 90)</f>
        <v>0.14563106796116507</v>
      </c>
      <c r="AY130" s="15417">
        <f>IF(HLOOKUP("Mins",A1:CV300,130,FALSE)=0,0,HLOOKUP("BPS",A1:CV300,130,FALSE)/HLOOKUP("Mins",A1:CV300,130,FALSE)* 90)</f>
        <v>13.543689320388349</v>
      </c>
      <c r="AZ130" s="15418">
        <f>IF(HLOOKUP("Mins",A1:CV300,130,FALSE)=0,0,HLOOKUP("Base BPS",A1:CV300,130,FALSE)/HLOOKUP("Mins",A1:CV300,130,FALSE)* 90)</f>
        <v>10.922330097087379</v>
      </c>
      <c r="BA130" s="15419">
        <f>IF(HLOOKUP("Mins",A1:CV300,130,FALSE)=0,0,HLOOKUP("PenTchs",A1:CV300,130,FALSE)/HLOOKUP("Mins",A1:CV300,130,FALSE)* 90)</f>
        <v>0.72815533980582514</v>
      </c>
      <c r="BB130" s="15420">
        <f>IF(HLOOKUP("Mins",A1:CV300,130,FALSE)=0,0,HLOOKUP("Shots",A1:CV300,130,FALSE)/HLOOKUP("Mins",A1:CV300,130,FALSE)* 90)</f>
        <v>0.43689320388349512</v>
      </c>
      <c r="BC130" s="15421">
        <f>IF(HLOOKUP("Mins",A1:CV300,130,FALSE)=0,0,HLOOKUP("SIB",A1:CV300,130,FALSE)/HLOOKUP("Mins",A1:CV300,130,FALSE)* 90)</f>
        <v>0.43689320388349512</v>
      </c>
      <c r="BD130" s="15422">
        <f>IF(HLOOKUP("Mins",A1:CV300,130,FALSE)=0,0,HLOOKUP("S6YD",A1:CV300,130,FALSE)/HLOOKUP("Mins",A1:CV300,130,FALSE)* 90)</f>
        <v>0.14563106796116507</v>
      </c>
      <c r="BE130" s="15423">
        <f>IF(HLOOKUP("Mins",A1:CV300,130,FALSE)=0,0,HLOOKUP("Headers",A1:CV300,130,FALSE)/HLOOKUP("Mins",A1:CV300,130,FALSE)* 90)</f>
        <v>0.43689320388349512</v>
      </c>
      <c r="BF130" s="15424">
        <f>IF(HLOOKUP("Mins",A1:CV300,130,FALSE)=0,0,HLOOKUP("SOT",A1:CV300,130,FALSE)/HLOOKUP("Mins",A1:CV300,130,FALSE)* 90)</f>
        <v>0.14563106796116507</v>
      </c>
      <c r="BG130" s="15425">
        <f>IF(HLOOKUP("Mins",A1:CV300,130,FALSE)=0,0,HLOOKUP("As",A1:CV300,130,FALSE)/HLOOKUP("Mins",A1:CV300,130,FALSE)* 90)</f>
        <v>0</v>
      </c>
      <c r="BH130" s="15426">
        <f>IF(HLOOKUP("Mins",A1:CV300,130,FALSE)=0,0,HLOOKUP("FPL As",A1:CV300,130,FALSE)/HLOOKUP("Mins",A1:CV300,130,FALSE)* 90)</f>
        <v>0</v>
      </c>
      <c r="BI130" s="15427">
        <f>IF(HLOOKUP("Mins",A1:CV300,130,FALSE)=0,0,HLOOKUP("BC Created",A1:CV300,130,FALSE)/HLOOKUP("Mins",A1:CV300,130,FALSE)* 90)</f>
        <v>7.2815533980582534E-2</v>
      </c>
      <c r="BJ130" s="15428">
        <f>IF(HLOOKUP("Mins",A1:CV300,130,FALSE)=0,0,HLOOKUP("KP",A1:CV300,130,FALSE)/HLOOKUP("Mins",A1:CV300,130,FALSE)* 90)</f>
        <v>7.2815533980582534E-2</v>
      </c>
      <c r="BK130" s="15429">
        <f>IF(HLOOKUP("Mins",A1:CV300,130,FALSE)=0,0,HLOOKUP("BC",A1:CV300,130,FALSE)/HLOOKUP("Mins",A1:CV300,130,FALSE)* 90)</f>
        <v>7.2815533980582534E-2</v>
      </c>
      <c r="BL130" s="15430">
        <f>IF(HLOOKUP("Mins",A1:CV300,130,FALSE)=0,0,HLOOKUP("BC Miss",A1:CV300,130,FALSE)/HLOOKUP("Mins",A1:CV300,130,FALSE)* 90)</f>
        <v>7.2815533980582534E-2</v>
      </c>
      <c r="BM130" s="15431">
        <f>IF(HLOOKUP("Mins",A1:CV300,130,FALSE)=0,0,HLOOKUP("Gs - BC",A1:CV300,130,FALSE)/HLOOKUP("Mins",A1:CV300,130,FALSE)* 90)</f>
        <v>0</v>
      </c>
      <c r="BN130" s="15432">
        <f>IF(HLOOKUP("Mins",A1:CV300,130,FALSE)=0,0,HLOOKUP("GIB",A1:CV300,130,FALSE)/HLOOKUP("Mins",A1:CV300,130,FALSE)* 90)</f>
        <v>0</v>
      </c>
      <c r="BO130" s="15433">
        <f>IF(HLOOKUP("Mins",A1:CV300,130,FALSE)=0,0,HLOOKUP("Gs - Open",A1:CV300,130,FALSE)/HLOOKUP("Mins",A1:CV300,130,FALSE)* 90)</f>
        <v>0</v>
      </c>
      <c r="BP130" s="15434">
        <f>IF(HLOOKUP("Mins",A1:CV300,130,FALSE)=0,0,HLOOKUP("ICT Index",A1:CV300,130,FALSE)/HLOOKUP("Mins",A1:CV300,130,FALSE)* 90)</f>
        <v>2.3592233009708736</v>
      </c>
      <c r="BQ130" s="15435">
        <f>IF(HLOOKUP("Mins",A1:CV300,130,FALSE)=0,0,(0.02*(HLOOKUP("Shots",A1:CV300,130,FALSE)-HLOOKUP("SIB",A1:CV300,130,FALSE))+0.093*(HLOOKUP("SIB",A1:CV300,130,FALSE)-(HLOOKUP("PK Gs",A1:CV300,130,FALSE)+HLOOKUP("PK Miss",A1:CV300,130,FALSE)))+0.75*(HLOOKUP("PK Gs",A1:CV300,130,FALSE)+HLOOKUP("PK Miss",A1:CV300,130,FALSE)))/HLOOKUP("Mins",A1:CV300,130,FALSE)*90)</f>
        <v>4.063106796116505E-2</v>
      </c>
      <c r="BR130" s="15436">
        <f>0.0825*HLOOKUP("KP/90",A1:CV300,130,FALSE)</f>
        <v>6.0072815533980589E-3</v>
      </c>
      <c r="BS130" s="15437">
        <f>6*HLOOKUP("xG/90",A1:CV300,130,FALSE)+3*HLOOKUP("xA/90",A1:CV300,130,FALSE)</f>
        <v>0.26180825242718447</v>
      </c>
      <c r="BT130" s="15438">
        <f>HLOOKUP("xPts/90",A1:CV300,130,FALSE)-(6*0.75*(HLOOKUP("PK Gs",A1:CV300,130,FALSE)+HLOOKUP("PK Miss",A1:CV300,130,FALSE))*90/HLOOKUP("Mins",A1:CV300,130,FALSE))</f>
        <v>0.26180825242718447</v>
      </c>
      <c r="BU130" s="15439">
        <f>IF(HLOOKUP("Mins",A1:CV300,130,FALSE)=0,0,HLOOKUP("fsXG",A1:CV300,130,FALSE)/HLOOKUP("Mins",A1:CV300,130,FALSE)* 90)</f>
        <v>5.533980582524272E-2</v>
      </c>
      <c r="BV130" s="15440">
        <f>IF(HLOOKUP("Mins",A1:CV300,130,FALSE)=0,0,HLOOKUP("fsXA",A1:CV300,130,FALSE)/HLOOKUP("Mins",A1:CV300,130,FALSE)* 90)</f>
        <v>1.5291262135922331E-2</v>
      </c>
      <c r="BW130" s="15441">
        <f>6*HLOOKUP("fsXG/90",A1:CV300,130,FALSE)+3*HLOOKUP("fsXA/90",A1:CV300,130,FALSE)</f>
        <v>0.37791262135922332</v>
      </c>
      <c r="BX130" s="15442">
        <v>5.6621678173542023E-2</v>
      </c>
      <c r="BY130" s="15443">
        <v>2.9664728790521622E-2</v>
      </c>
      <c r="BZ130" s="15444">
        <f>6*HLOOKUP("uXG/90",A1:CV300,130,FALSE)+3*HLOOKUP("uXA/90",A1:CV300,130,FALSE)</f>
        <v>0.428724255412817</v>
      </c>
    </row>
    <row r="131" spans="1:78" hidden="1" x14ac:dyDescent="0.3">
      <c r="A131" s="15445" t="s">
        <v>294</v>
      </c>
      <c r="B131" s="15446" t="s">
        <v>84</v>
      </c>
      <c r="C131" s="15447">
        <v>4.5</v>
      </c>
      <c r="D131" s="15448">
        <v>1879</v>
      </c>
      <c r="E131" s="15449">
        <v>21</v>
      </c>
      <c r="F131" s="15450">
        <v>70</v>
      </c>
      <c r="G131" s="15451">
        <v>0</v>
      </c>
      <c r="H131" s="15452">
        <v>3</v>
      </c>
      <c r="I131" s="15453">
        <v>338</v>
      </c>
      <c r="J131" s="15454">
        <f>HLOOKUP("BPS",A1:CV300,131,FALSE)-((-6*HLOOKUP("OG",A1:CV300,131,FALSE))+(-6*HLOOKUP("PK Miss",A1:CV300,131,FALSE))+(9*HLOOKUP("FPL As",A1:CV300,131,FALSE))+(12*HLOOKUP("CS",A1:CV300,131,FALSE))+(12*HLOOKUP("Gs",A1:CV300,131,FALSE)))</f>
        <v>242</v>
      </c>
      <c r="K131" s="15455">
        <v>0</v>
      </c>
      <c r="L131" s="15456">
        <v>8</v>
      </c>
      <c r="M131" s="15457">
        <v>25</v>
      </c>
      <c r="N131" s="15458">
        <v>11</v>
      </c>
      <c r="O131" s="15459">
        <v>11</v>
      </c>
      <c r="P131" s="15460">
        <f>IF(HLOOKUP("Shots",A1:CV300,131,FALSE)=0,0,HLOOKUP("SIB",A1:CV300,131,FALSE)/HLOOKUP("Shots",A1:CV300,131,FALSE))</f>
        <v>1</v>
      </c>
      <c r="Q131" s="15461">
        <v>4</v>
      </c>
      <c r="R131" s="15462">
        <f>IF(HLOOKUP("Shots",A1:CV300,131,FALSE)=0,0,HLOOKUP("S6YD",A1:CV300,131,FALSE)/HLOOKUP("Shots",A1:CV300,131,FALSE))</f>
        <v>0.36363636363636365</v>
      </c>
      <c r="S131" s="15463">
        <v>9</v>
      </c>
      <c r="T131" s="15464">
        <f>IF(HLOOKUP("Shots",A1:CV300,131,FALSE)=0,0,HLOOKUP("Headers",A1:CV300,131,FALSE)/HLOOKUP("Shots",A1:CV300,131,FALSE))</f>
        <v>0.81818181818181823</v>
      </c>
      <c r="U131" s="15465">
        <v>2</v>
      </c>
      <c r="V131" s="15466">
        <f>IF(HLOOKUP("Shots",A1:CV300,131,FALSE)=0,0,HLOOKUP("SOT",A1:CV300,131,FALSE)/HLOOKUP("Shots",A1:CV300,131,FALSE))</f>
        <v>0.18181818181818182</v>
      </c>
      <c r="W131" s="15467">
        <f>IF(HLOOKUP("Shots",A1:CV300,131,FALSE)=0,0,HLOOKUP("Gs",A1:CV300,131,FALSE)/HLOOKUP("Shots",A1:CV300,131,FALSE))</f>
        <v>0</v>
      </c>
      <c r="X131" s="15468">
        <v>0</v>
      </c>
      <c r="Y131" s="15469">
        <v>0</v>
      </c>
      <c r="Z131" s="15470">
        <v>0</v>
      </c>
      <c r="AA131" s="15471">
        <f>IF(HLOOKUP("KP",A1:CV300,131,FALSE)=0,0,HLOOKUP("As",A1:CV300,131,FALSE)/HLOOKUP("KP",A1:CV300,131,FALSE))</f>
        <v>0</v>
      </c>
      <c r="AB131" s="15472">
        <v>61.1</v>
      </c>
      <c r="AC131" s="15473">
        <v>0</v>
      </c>
      <c r="AD131" s="15474">
        <v>0</v>
      </c>
      <c r="AE131" s="15475">
        <v>1</v>
      </c>
      <c r="AF131" s="15476">
        <v>1</v>
      </c>
      <c r="AG131" s="15477">
        <f>IF(HLOOKUP("BC",A1:CV300,131,FALSE)=0,0,HLOOKUP("Gs - BC",A1:CV300,131,FALSE)/HLOOKUP("BC",A1:CV300,131,FALSE))</f>
        <v>0</v>
      </c>
      <c r="AH131" s="15478">
        <f>HLOOKUP("BC",A1:CV300,131,FALSE) - HLOOKUP("BC Miss",A1:CV300,131,FALSE)</f>
        <v>0</v>
      </c>
      <c r="AI131" s="15479">
        <f>IF(HLOOKUP("Gs",A1:CV300,131,FALSE)=0,0,HLOOKUP("Gs - BC",A1:CV300,131,FALSE)/HLOOKUP("Gs",A1:CV300,131,FALSE))</f>
        <v>0</v>
      </c>
      <c r="AJ131" s="15480">
        <v>0</v>
      </c>
      <c r="AK131" s="15481">
        <v>0</v>
      </c>
      <c r="AL131" s="15482">
        <f>HLOOKUP("BC",A1:CV300,131,FALSE) - (HLOOKUP("PK Gs",A1:CV300,131,FALSE) + HLOOKUP("PK Miss",A1:CV300,131,FALSE))</f>
        <v>1</v>
      </c>
      <c r="AM131" s="15483">
        <f>HLOOKUP("BC Miss",A1:CV300,131,FALSE) - HLOOKUP("PK Miss",A1:CV300,131,FALSE)</f>
        <v>1</v>
      </c>
      <c r="AN131" s="15484">
        <f>IF(HLOOKUP("BC - Open",A1:CV300,131,FALSE)=0,0,HLOOKUP("BC - Open Miss",A1:CV300,131,FALSE)/HLOOKUP("BC - Open",A1:CV300,131,FALSE))</f>
        <v>1</v>
      </c>
      <c r="AO131" s="15485">
        <v>0</v>
      </c>
      <c r="AP131" s="15486">
        <f>IF(HLOOKUP("Gs",A1:CV300,131,FALSE)=0,0,HLOOKUP("GIB",A1:CV300,131,FALSE)/HLOOKUP("Gs",A1:CV300,131,FALSE))</f>
        <v>0</v>
      </c>
      <c r="AQ131" s="15487">
        <v>0</v>
      </c>
      <c r="AR131" s="15488">
        <f>IF(HLOOKUP("Gs",A1:CV300,131,FALSE)=0,0,HLOOKUP("Gs - Open",A1:CV300,131,FALSE)/HLOOKUP("Gs",A1:CV300,131,FALSE))</f>
        <v>0</v>
      </c>
      <c r="AS131" s="15489">
        <v>0.95</v>
      </c>
      <c r="AT131" s="15490">
        <v>0.35</v>
      </c>
      <c r="AU131" s="15491">
        <f>IF(HLOOKUP("Mins",A1:CV300,131,FALSE)=0,0,HLOOKUP("Pts",A1:CV300,131,FALSE)/HLOOKUP("Mins",A1:CV300,131,FALSE)* 90)</f>
        <v>3.352847259180415</v>
      </c>
      <c r="AV131" s="15492">
        <f>IF(HLOOKUP("Apps",A1:CV300,131,FALSE)=0,0,HLOOKUP("Pts",A1:CV300,131,FALSE)/HLOOKUP("Apps",A1:CV300,131,FALSE)* 1)</f>
        <v>3.3333333333333335</v>
      </c>
      <c r="AW131" s="15493">
        <f>IF(HLOOKUP("Mins",A1:CV300,131,FALSE)=0,0,HLOOKUP("Gs",A1:CV300,131,FALSE)/HLOOKUP("Mins",A1:CV300,131,FALSE)* 90)</f>
        <v>0</v>
      </c>
      <c r="AX131" s="15494">
        <f>IF(HLOOKUP("Mins",A1:CV300,131,FALSE)=0,0,HLOOKUP("Bonus",A1:CV300,131,FALSE)/HLOOKUP("Mins",A1:CV300,131,FALSE)* 90)</f>
        <v>0.14369345396487493</v>
      </c>
      <c r="AY131" s="15495">
        <f>IF(HLOOKUP("Mins",A1:CV300,131,FALSE)=0,0,HLOOKUP("BPS",A1:CV300,131,FALSE)/HLOOKUP("Mins",A1:CV300,131,FALSE)* 90)</f>
        <v>16.189462480042575</v>
      </c>
      <c r="AZ131" s="15496">
        <f>IF(HLOOKUP("Mins",A1:CV300,131,FALSE)=0,0,HLOOKUP("Base BPS",A1:CV300,131,FALSE)/HLOOKUP("Mins",A1:CV300,131,FALSE)* 90)</f>
        <v>11.591271953166578</v>
      </c>
      <c r="BA131" s="15497">
        <f>IF(HLOOKUP("Mins",A1:CV300,131,FALSE)=0,0,HLOOKUP("PenTchs",A1:CV300,131,FALSE)/HLOOKUP("Mins",A1:CV300,131,FALSE)* 90)</f>
        <v>1.1974454497072911</v>
      </c>
      <c r="BB131" s="15498">
        <f>IF(HLOOKUP("Mins",A1:CV300,131,FALSE)=0,0,HLOOKUP("Shots",A1:CV300,131,FALSE)/HLOOKUP("Mins",A1:CV300,131,FALSE)* 90)</f>
        <v>0.52687599787120809</v>
      </c>
      <c r="BC131" s="15499">
        <f>IF(HLOOKUP("Mins",A1:CV300,131,FALSE)=0,0,HLOOKUP("SIB",A1:CV300,131,FALSE)/HLOOKUP("Mins",A1:CV300,131,FALSE)* 90)</f>
        <v>0.52687599787120809</v>
      </c>
      <c r="BD131" s="15500">
        <f>IF(HLOOKUP("Mins",A1:CV300,131,FALSE)=0,0,HLOOKUP("S6YD",A1:CV300,131,FALSE)/HLOOKUP("Mins",A1:CV300,131,FALSE)* 90)</f>
        <v>0.19159127195316655</v>
      </c>
      <c r="BE131" s="15501">
        <f>IF(HLOOKUP("Mins",A1:CV300,131,FALSE)=0,0,HLOOKUP("Headers",A1:CV300,131,FALSE)/HLOOKUP("Mins",A1:CV300,131,FALSE)* 90)</f>
        <v>0.43108036189462479</v>
      </c>
      <c r="BF131" s="15502">
        <f>IF(HLOOKUP("Mins",A1:CV300,131,FALSE)=0,0,HLOOKUP("SOT",A1:CV300,131,FALSE)/HLOOKUP("Mins",A1:CV300,131,FALSE)* 90)</f>
        <v>9.5795635976583277E-2</v>
      </c>
      <c r="BG131" s="15503">
        <f>IF(HLOOKUP("Mins",A1:CV300,131,FALSE)=0,0,HLOOKUP("As",A1:CV300,131,FALSE)/HLOOKUP("Mins",A1:CV300,131,FALSE)* 90)</f>
        <v>0</v>
      </c>
      <c r="BH131" s="15504">
        <f>IF(HLOOKUP("Mins",A1:CV300,131,FALSE)=0,0,HLOOKUP("FPL As",A1:CV300,131,FALSE)/HLOOKUP("Mins",A1:CV300,131,FALSE)* 90)</f>
        <v>0</v>
      </c>
      <c r="BI131" s="15505">
        <f>IF(HLOOKUP("Mins",A1:CV300,131,FALSE)=0,0,HLOOKUP("BC Created",A1:CV300,131,FALSE)/HLOOKUP("Mins",A1:CV300,131,FALSE)* 90)</f>
        <v>0</v>
      </c>
      <c r="BJ131" s="15506">
        <f>IF(HLOOKUP("Mins",A1:CV300,131,FALSE)=0,0,HLOOKUP("KP",A1:CV300,131,FALSE)/HLOOKUP("Mins",A1:CV300,131,FALSE)* 90)</f>
        <v>0</v>
      </c>
      <c r="BK131" s="15507">
        <f>IF(HLOOKUP("Mins",A1:CV300,131,FALSE)=0,0,HLOOKUP("BC",A1:CV300,131,FALSE)/HLOOKUP("Mins",A1:CV300,131,FALSE)* 90)</f>
        <v>4.7897817988291638E-2</v>
      </c>
      <c r="BL131" s="15508">
        <f>IF(HLOOKUP("Mins",A1:CV300,131,FALSE)=0,0,HLOOKUP("BC Miss",A1:CV300,131,FALSE)/HLOOKUP("Mins",A1:CV300,131,FALSE)* 90)</f>
        <v>4.7897817988291638E-2</v>
      </c>
      <c r="BM131" s="15509">
        <f>IF(HLOOKUP("Mins",A1:CV300,131,FALSE)=0,0,HLOOKUP("Gs - BC",A1:CV300,131,FALSE)/HLOOKUP("Mins",A1:CV300,131,FALSE)* 90)</f>
        <v>0</v>
      </c>
      <c r="BN131" s="15510">
        <f>IF(HLOOKUP("Mins",A1:CV300,131,FALSE)=0,0,HLOOKUP("GIB",A1:CV300,131,FALSE)/HLOOKUP("Mins",A1:CV300,131,FALSE)* 90)</f>
        <v>0</v>
      </c>
      <c r="BO131" s="15511">
        <f>IF(HLOOKUP("Mins",A1:CV300,131,FALSE)=0,0,HLOOKUP("Gs - Open",A1:CV300,131,FALSE)/HLOOKUP("Mins",A1:CV300,131,FALSE)* 90)</f>
        <v>0</v>
      </c>
      <c r="BP131" s="15512">
        <f>IF(HLOOKUP("Mins",A1:CV300,131,FALSE)=0,0,HLOOKUP("ICT Index",A1:CV300,131,FALSE)/HLOOKUP("Mins",A1:CV300,131,FALSE)* 90)</f>
        <v>2.9265566790846194</v>
      </c>
      <c r="BQ131" s="15513">
        <f>IF(HLOOKUP("Mins",A1:CV300,131,FALSE)=0,0,(0.02*(HLOOKUP("Shots",A1:CV300,131,FALSE)-HLOOKUP("SIB",A1:CV300,131,FALSE))+0.093*(HLOOKUP("SIB",A1:CV300,131,FALSE)-(HLOOKUP("PK Gs",A1:CV300,131,FALSE)+HLOOKUP("PK Miss",A1:CV300,131,FALSE)))+0.75*(HLOOKUP("PK Gs",A1:CV300,131,FALSE)+HLOOKUP("PK Miss",A1:CV300,131,FALSE)))/HLOOKUP("Mins",A1:CV300,131,FALSE)*90)</f>
        <v>4.8999467802022349E-2</v>
      </c>
      <c r="BR131" s="15514">
        <f>0.0825*HLOOKUP("KP/90",A1:CV300,131,FALSE)</f>
        <v>0</v>
      </c>
      <c r="BS131" s="15515">
        <f>6*HLOOKUP("xG/90",A1:CV300,131,FALSE)+3*HLOOKUP("xA/90",A1:CV300,131,FALSE)</f>
        <v>0.29399680681213408</v>
      </c>
      <c r="BT131" s="15516">
        <f>HLOOKUP("xPts/90",A1:CV300,131,FALSE)-(6*0.75*(HLOOKUP("PK Gs",A1:CV300,131,FALSE)+HLOOKUP("PK Miss",A1:CV300,131,FALSE))*90/HLOOKUP("Mins",A1:CV300,131,FALSE))</f>
        <v>0.29399680681213408</v>
      </c>
      <c r="BU131" s="15517">
        <f>IF(HLOOKUP("Mins",A1:CV300,131,FALSE)=0,0,HLOOKUP("fsXG",A1:CV300,131,FALSE)/HLOOKUP("Mins",A1:CV300,131,FALSE)* 90)</f>
        <v>4.5502927088877057E-2</v>
      </c>
      <c r="BV131" s="15518">
        <f>IF(HLOOKUP("Mins",A1:CV300,131,FALSE)=0,0,HLOOKUP("fsXA",A1:CV300,131,FALSE)/HLOOKUP("Mins",A1:CV300,131,FALSE)* 90)</f>
        <v>1.6764236295902075E-2</v>
      </c>
      <c r="BW131" s="15519">
        <f>6*HLOOKUP("fsXG/90",A1:CV300,131,FALSE)+3*HLOOKUP("fsXA/90",A1:CV300,131,FALSE)</f>
        <v>0.32331027142096858</v>
      </c>
      <c r="BX131" s="15520">
        <v>4.6896461397409439E-2</v>
      </c>
      <c r="BY131" s="15521">
        <v>0</v>
      </c>
      <c r="BZ131" s="15522">
        <f>6*HLOOKUP("uXG/90",A1:CV300,131,FALSE)+3*HLOOKUP("uXA/90",A1:CV300,131,FALSE)</f>
        <v>0.28137876838445663</v>
      </c>
    </row>
    <row r="132" spans="1:78" hidden="1" x14ac:dyDescent="0.3">
      <c r="A132" s="15523" t="s">
        <v>295</v>
      </c>
      <c r="B132" s="15524" t="s">
        <v>107</v>
      </c>
      <c r="C132" s="15525">
        <v>4.3000001907348633</v>
      </c>
      <c r="D132" s="15526">
        <v>336</v>
      </c>
      <c r="E132" s="15527">
        <v>5</v>
      </c>
      <c r="F132" s="15528">
        <v>15</v>
      </c>
      <c r="G132" s="15529">
        <v>0</v>
      </c>
      <c r="H132" s="15530">
        <v>0</v>
      </c>
      <c r="I132" s="15531">
        <v>71</v>
      </c>
      <c r="J132" s="15532">
        <f>HLOOKUP("BPS",A1:CV300,132,FALSE)-((-6*HLOOKUP("OG",A1:CV300,132,FALSE))+(-6*HLOOKUP("PK Miss",A1:CV300,132,FALSE))+(9*HLOOKUP("FPL As",A1:CV300,132,FALSE))+(12*HLOOKUP("CS",A1:CV300,132,FALSE))+(12*HLOOKUP("Gs",A1:CV300,132,FALSE)))</f>
        <v>50</v>
      </c>
      <c r="K132" s="15533">
        <v>0</v>
      </c>
      <c r="L132" s="15534">
        <v>1</v>
      </c>
      <c r="M132" s="15535">
        <v>3</v>
      </c>
      <c r="N132" s="15536">
        <v>1</v>
      </c>
      <c r="O132" s="15537">
        <v>1</v>
      </c>
      <c r="P132" s="15538">
        <f>IF(HLOOKUP("Shots",A1:CV300,132,FALSE)=0,0,HLOOKUP("SIB",A1:CV300,132,FALSE)/HLOOKUP("Shots",A1:CV300,132,FALSE))</f>
        <v>1</v>
      </c>
      <c r="Q132" s="15539">
        <v>1</v>
      </c>
      <c r="R132" s="15540">
        <f>IF(HLOOKUP("Shots",A1:CV300,132,FALSE)=0,0,HLOOKUP("S6YD",A1:CV300,132,FALSE)/HLOOKUP("Shots",A1:CV300,132,FALSE))</f>
        <v>1</v>
      </c>
      <c r="S132" s="15541">
        <v>1</v>
      </c>
      <c r="T132" s="15542">
        <f>IF(HLOOKUP("Shots",A1:CV300,132,FALSE)=0,0,HLOOKUP("Headers",A1:CV300,132,FALSE)/HLOOKUP("Shots",A1:CV300,132,FALSE))</f>
        <v>1</v>
      </c>
      <c r="U132" s="15543">
        <v>0</v>
      </c>
      <c r="V132" s="15544">
        <f>IF(HLOOKUP("Shots",A1:CV300,132,FALSE)=0,0,HLOOKUP("SOT",A1:CV300,132,FALSE)/HLOOKUP("Shots",A1:CV300,132,FALSE))</f>
        <v>0</v>
      </c>
      <c r="W132" s="15545">
        <f>IF(HLOOKUP("Shots",A1:CV300,132,FALSE)=0,0,HLOOKUP("Gs",A1:CV300,132,FALSE)/HLOOKUP("Shots",A1:CV300,132,FALSE))</f>
        <v>0</v>
      </c>
      <c r="X132" s="15546">
        <v>1</v>
      </c>
      <c r="Y132" s="15547">
        <v>1</v>
      </c>
      <c r="Z132" s="15548">
        <v>1</v>
      </c>
      <c r="AA132" s="15549">
        <f>IF(HLOOKUP("KP",A1:CV300,132,FALSE)=0,0,HLOOKUP("As",A1:CV300,132,FALSE)/HLOOKUP("KP",A1:CV300,132,FALSE))</f>
        <v>1</v>
      </c>
      <c r="AB132" s="15550">
        <v>12.8</v>
      </c>
      <c r="AC132" s="15551">
        <v>50</v>
      </c>
      <c r="AD132" s="15552">
        <v>0</v>
      </c>
      <c r="AE132" s="15553">
        <v>0</v>
      </c>
      <c r="AF132" s="15554">
        <v>0</v>
      </c>
      <c r="AG132" s="15555">
        <f>IF(HLOOKUP("BC",A1:CV300,132,FALSE)=0,0,HLOOKUP("Gs - BC",A1:CV300,132,FALSE)/HLOOKUP("BC",A1:CV300,132,FALSE))</f>
        <v>0</v>
      </c>
      <c r="AH132" s="15556">
        <f>HLOOKUP("BC",A1:CV300,132,FALSE) - HLOOKUP("BC Miss",A1:CV300,132,FALSE)</f>
        <v>0</v>
      </c>
      <c r="AI132" s="15557">
        <f>IF(HLOOKUP("Gs",A1:CV300,132,FALSE)=0,0,HLOOKUP("Gs - BC",A1:CV300,132,FALSE)/HLOOKUP("Gs",A1:CV300,132,FALSE))</f>
        <v>0</v>
      </c>
      <c r="AJ132" s="15558">
        <v>0</v>
      </c>
      <c r="AK132" s="15559">
        <v>0</v>
      </c>
      <c r="AL132" s="15560">
        <f>HLOOKUP("BC",A1:CV300,132,FALSE) - (HLOOKUP("PK Gs",A1:CV300,132,FALSE) + HLOOKUP("PK Miss",A1:CV300,132,FALSE))</f>
        <v>0</v>
      </c>
      <c r="AM132" s="15561">
        <f>HLOOKUP("BC Miss",A1:CV300,132,FALSE) - HLOOKUP("PK Miss",A1:CV300,132,FALSE)</f>
        <v>0</v>
      </c>
      <c r="AN132" s="15562">
        <f>IF(HLOOKUP("BC - Open",A1:CV300,132,FALSE)=0,0,HLOOKUP("BC - Open Miss",A1:CV300,132,FALSE)/HLOOKUP("BC - Open",A1:CV300,132,FALSE))</f>
        <v>0</v>
      </c>
      <c r="AO132" s="15563">
        <v>0</v>
      </c>
      <c r="AP132" s="15564">
        <f>IF(HLOOKUP("Gs",A1:CV300,132,FALSE)=0,0,HLOOKUP("GIB",A1:CV300,132,FALSE)/HLOOKUP("Gs",A1:CV300,132,FALSE))</f>
        <v>0</v>
      </c>
      <c r="AQ132" s="15565">
        <v>0</v>
      </c>
      <c r="AR132" s="15566">
        <f>IF(HLOOKUP("Gs",A1:CV300,132,FALSE)=0,0,HLOOKUP("Gs - Open",A1:CV300,132,FALSE)/HLOOKUP("Gs",A1:CV300,132,FALSE))</f>
        <v>0</v>
      </c>
      <c r="AS132" s="15567">
        <v>0.17</v>
      </c>
      <c r="AT132" s="15568">
        <v>0.02</v>
      </c>
      <c r="AU132" s="15569">
        <f>IF(HLOOKUP("Mins",A1:CV300,132,FALSE)=0,0,HLOOKUP("Pts",A1:CV300,132,FALSE)/HLOOKUP("Mins",A1:CV300,132,FALSE)* 90)</f>
        <v>4.0178571428571432</v>
      </c>
      <c r="AV132" s="15570">
        <f>IF(HLOOKUP("Apps",A1:CV300,132,FALSE)=0,0,HLOOKUP("Pts",A1:CV300,132,FALSE)/HLOOKUP("Apps",A1:CV300,132,FALSE)* 1)</f>
        <v>3</v>
      </c>
      <c r="AW132" s="15571">
        <f>IF(HLOOKUP("Mins",A1:CV300,132,FALSE)=0,0,HLOOKUP("Gs",A1:CV300,132,FALSE)/HLOOKUP("Mins",A1:CV300,132,FALSE)* 90)</f>
        <v>0</v>
      </c>
      <c r="AX132" s="15572">
        <f>IF(HLOOKUP("Mins",A1:CV300,132,FALSE)=0,0,HLOOKUP("Bonus",A1:CV300,132,FALSE)/HLOOKUP("Mins",A1:CV300,132,FALSE)* 90)</f>
        <v>0</v>
      </c>
      <c r="AY132" s="15573">
        <f>IF(HLOOKUP("Mins",A1:CV300,132,FALSE)=0,0,HLOOKUP("BPS",A1:CV300,132,FALSE)/HLOOKUP("Mins",A1:CV300,132,FALSE)* 90)</f>
        <v>19.017857142857142</v>
      </c>
      <c r="AZ132" s="15574">
        <f>IF(HLOOKUP("Mins",A1:CV300,132,FALSE)=0,0,HLOOKUP("Base BPS",A1:CV300,132,FALSE)/HLOOKUP("Mins",A1:CV300,132,FALSE)* 90)</f>
        <v>13.392857142857142</v>
      </c>
      <c r="BA132" s="15575">
        <f>IF(HLOOKUP("Mins",A1:CV300,132,FALSE)=0,0,HLOOKUP("PenTchs",A1:CV300,132,FALSE)/HLOOKUP("Mins",A1:CV300,132,FALSE)* 90)</f>
        <v>0.80357142857142849</v>
      </c>
      <c r="BB132" s="15576">
        <f>IF(HLOOKUP("Mins",A1:CV300,132,FALSE)=0,0,HLOOKUP("Shots",A1:CV300,132,FALSE)/HLOOKUP("Mins",A1:CV300,132,FALSE)* 90)</f>
        <v>0.26785714285714285</v>
      </c>
      <c r="BC132" s="15577">
        <f>IF(HLOOKUP("Mins",A1:CV300,132,FALSE)=0,0,HLOOKUP("SIB",A1:CV300,132,FALSE)/HLOOKUP("Mins",A1:CV300,132,FALSE)* 90)</f>
        <v>0.26785714285714285</v>
      </c>
      <c r="BD132" s="15578">
        <f>IF(HLOOKUP("Mins",A1:CV300,132,FALSE)=0,0,HLOOKUP("S6YD",A1:CV300,132,FALSE)/HLOOKUP("Mins",A1:CV300,132,FALSE)* 90)</f>
        <v>0.26785714285714285</v>
      </c>
      <c r="BE132" s="15579">
        <f>IF(HLOOKUP("Mins",A1:CV300,132,FALSE)=0,0,HLOOKUP("Headers",A1:CV300,132,FALSE)/HLOOKUP("Mins",A1:CV300,132,FALSE)* 90)</f>
        <v>0.26785714285714285</v>
      </c>
      <c r="BF132" s="15580">
        <f>IF(HLOOKUP("Mins",A1:CV300,132,FALSE)=0,0,HLOOKUP("SOT",A1:CV300,132,FALSE)/HLOOKUP("Mins",A1:CV300,132,FALSE)* 90)</f>
        <v>0</v>
      </c>
      <c r="BG132" s="15581">
        <f>IF(HLOOKUP("Mins",A1:CV300,132,FALSE)=0,0,HLOOKUP("As",A1:CV300,132,FALSE)/HLOOKUP("Mins",A1:CV300,132,FALSE)* 90)</f>
        <v>0.26785714285714285</v>
      </c>
      <c r="BH132" s="15582">
        <f>IF(HLOOKUP("Mins",A1:CV300,132,FALSE)=0,0,HLOOKUP("FPL As",A1:CV300,132,FALSE)/HLOOKUP("Mins",A1:CV300,132,FALSE)* 90)</f>
        <v>0.26785714285714285</v>
      </c>
      <c r="BI132" s="15583">
        <f>IF(HLOOKUP("Mins",A1:CV300,132,FALSE)=0,0,HLOOKUP("BC Created",A1:CV300,132,FALSE)/HLOOKUP("Mins",A1:CV300,132,FALSE)* 90)</f>
        <v>0</v>
      </c>
      <c r="BJ132" s="15584">
        <f>IF(HLOOKUP("Mins",A1:CV300,132,FALSE)=0,0,HLOOKUP("KP",A1:CV300,132,FALSE)/HLOOKUP("Mins",A1:CV300,132,FALSE)* 90)</f>
        <v>0.26785714285714285</v>
      </c>
      <c r="BK132" s="15585">
        <f>IF(HLOOKUP("Mins",A1:CV300,132,FALSE)=0,0,HLOOKUP("BC",A1:CV300,132,FALSE)/HLOOKUP("Mins",A1:CV300,132,FALSE)* 90)</f>
        <v>0</v>
      </c>
      <c r="BL132" s="15586">
        <f>IF(HLOOKUP("Mins",A1:CV300,132,FALSE)=0,0,HLOOKUP("BC Miss",A1:CV300,132,FALSE)/HLOOKUP("Mins",A1:CV300,132,FALSE)* 90)</f>
        <v>0</v>
      </c>
      <c r="BM132" s="15587">
        <f>IF(HLOOKUP("Mins",A1:CV300,132,FALSE)=0,0,HLOOKUP("Gs - BC",A1:CV300,132,FALSE)/HLOOKUP("Mins",A1:CV300,132,FALSE)* 90)</f>
        <v>0</v>
      </c>
      <c r="BN132" s="15588">
        <f>IF(HLOOKUP("Mins",A1:CV300,132,FALSE)=0,0,HLOOKUP("GIB",A1:CV300,132,FALSE)/HLOOKUP("Mins",A1:CV300,132,FALSE)* 90)</f>
        <v>0</v>
      </c>
      <c r="BO132" s="15589">
        <f>IF(HLOOKUP("Mins",A1:CV300,132,FALSE)=0,0,HLOOKUP("Gs - Open",A1:CV300,132,FALSE)/HLOOKUP("Mins",A1:CV300,132,FALSE)* 90)</f>
        <v>0</v>
      </c>
      <c r="BP132" s="15590">
        <f>IF(HLOOKUP("Mins",A1:CV300,132,FALSE)=0,0,HLOOKUP("ICT Index",A1:CV300,132,FALSE)/HLOOKUP("Mins",A1:CV300,132,FALSE)* 90)</f>
        <v>3.4285714285714288</v>
      </c>
      <c r="BQ132" s="15591">
        <f>IF(HLOOKUP("Mins",A1:CV300,132,FALSE)=0,0,(0.02*(HLOOKUP("Shots",A1:CV300,132,FALSE)-HLOOKUP("SIB",A1:CV300,132,FALSE))+0.093*(HLOOKUP("SIB",A1:CV300,132,FALSE)-(HLOOKUP("PK Gs",A1:CV300,132,FALSE)+HLOOKUP("PK Miss",A1:CV300,132,FALSE)))+0.75*(HLOOKUP("PK Gs",A1:CV300,132,FALSE)+HLOOKUP("PK Miss",A1:CV300,132,FALSE)))/HLOOKUP("Mins",A1:CV300,132,FALSE)*90)</f>
        <v>2.4910714285714286E-2</v>
      </c>
      <c r="BR132" s="15592">
        <f>0.0825*HLOOKUP("KP/90",A1:CV300,132,FALSE)</f>
        <v>2.2098214285714287E-2</v>
      </c>
      <c r="BS132" s="15593">
        <f>6*HLOOKUP("xG/90",A1:CV300,132,FALSE)+3*HLOOKUP("xA/90",A1:CV300,132,FALSE)</f>
        <v>0.21575892857142859</v>
      </c>
      <c r="BT132" s="15594">
        <f>HLOOKUP("xPts/90",A1:CV300,132,FALSE)-(6*0.75*(HLOOKUP("PK Gs",A1:CV300,132,FALSE)+HLOOKUP("PK Miss",A1:CV300,132,FALSE))*90/HLOOKUP("Mins",A1:CV300,132,FALSE))</f>
        <v>0.21575892857142859</v>
      </c>
      <c r="BU132" s="15595">
        <f>IF(HLOOKUP("Mins",A1:CV300,132,FALSE)=0,0,HLOOKUP("fsXG",A1:CV300,132,FALSE)/HLOOKUP("Mins",A1:CV300,132,FALSE)* 90)</f>
        <v>4.553571428571429E-2</v>
      </c>
      <c r="BV132" s="15596">
        <f>IF(HLOOKUP("Mins",A1:CV300,132,FALSE)=0,0,HLOOKUP("fsXA",A1:CV300,132,FALSE)/HLOOKUP("Mins",A1:CV300,132,FALSE)* 90)</f>
        <v>5.3571428571428572E-3</v>
      </c>
      <c r="BW132" s="15597">
        <f>6*HLOOKUP("fsXG/90",A1:CV300,132,FALSE)+3*HLOOKUP("fsXA/90",A1:CV300,132,FALSE)</f>
        <v>0.28928571428571431</v>
      </c>
      <c r="BX132" s="15598">
        <v>1.82837825268507E-2</v>
      </c>
      <c r="BY132" s="15599">
        <v>1.5387839637696743E-2</v>
      </c>
      <c r="BZ132" s="15600">
        <f>6*HLOOKUP("uXG/90",A1:CV300,132,FALSE)+3*HLOOKUP("uXA/90",A1:CV300,132,FALSE)</f>
        <v>0.15586621407419443</v>
      </c>
    </row>
    <row r="133" spans="1:78" hidden="1" x14ac:dyDescent="0.3">
      <c r="A133" s="15601" t="s">
        <v>296</v>
      </c>
      <c r="B133" s="15602" t="s">
        <v>102</v>
      </c>
      <c r="C133" s="15603">
        <v>4.4000000953674316</v>
      </c>
      <c r="D133" s="15604">
        <v>719</v>
      </c>
      <c r="E133" s="15605">
        <v>11</v>
      </c>
      <c r="F133" s="15606">
        <v>23</v>
      </c>
      <c r="G133" s="15607">
        <v>1</v>
      </c>
      <c r="H133" s="15608">
        <v>0</v>
      </c>
      <c r="I133" s="15609">
        <v>94</v>
      </c>
      <c r="J133" s="15610">
        <f>HLOOKUP("BPS",A1:CV300,133,FALSE)-((-6*HLOOKUP("OG",A1:CV300,133,FALSE))+(-6*HLOOKUP("PK Miss",A1:CV300,133,FALSE))+(9*HLOOKUP("FPL As",A1:CV300,133,FALSE))+(12*HLOOKUP("CS",A1:CV300,133,FALSE))+(12*HLOOKUP("Gs",A1:CV300,133,FALSE)))</f>
        <v>70</v>
      </c>
      <c r="K133" s="15611">
        <v>0</v>
      </c>
      <c r="L133" s="15612">
        <v>1</v>
      </c>
      <c r="M133" s="15613">
        <v>4</v>
      </c>
      <c r="N133" s="15614">
        <v>1</v>
      </c>
      <c r="O133" s="15615">
        <v>1</v>
      </c>
      <c r="P133" s="15616">
        <f>IF(HLOOKUP("Shots",A1:CV300,133,FALSE)=0,0,HLOOKUP("SIB",A1:CV300,133,FALSE)/HLOOKUP("Shots",A1:CV300,133,FALSE))</f>
        <v>1</v>
      </c>
      <c r="Q133" s="15617">
        <v>1</v>
      </c>
      <c r="R133" s="15618">
        <f>IF(HLOOKUP("Shots",A1:CV300,133,FALSE)=0,0,HLOOKUP("S6YD",A1:CV300,133,FALSE)/HLOOKUP("Shots",A1:CV300,133,FALSE))</f>
        <v>1</v>
      </c>
      <c r="S133" s="15619">
        <v>1</v>
      </c>
      <c r="T133" s="15620">
        <f>IF(HLOOKUP("Shots",A1:CV300,133,FALSE)=0,0,HLOOKUP("Headers",A1:CV300,133,FALSE)/HLOOKUP("Shots",A1:CV300,133,FALSE))</f>
        <v>1</v>
      </c>
      <c r="U133" s="15621">
        <v>1</v>
      </c>
      <c r="V133" s="15622">
        <f>IF(HLOOKUP("Shots",A1:CV300,133,FALSE)=0,0,HLOOKUP("SOT",A1:CV300,133,FALSE)/HLOOKUP("Shots",A1:CV300,133,FALSE))</f>
        <v>1</v>
      </c>
      <c r="W133" s="15623">
        <f>IF(HLOOKUP("Shots",A1:CV300,133,FALSE)=0,0,HLOOKUP("Gs",A1:CV300,133,FALSE)/HLOOKUP("Shots",A1:CV300,133,FALSE))</f>
        <v>1</v>
      </c>
      <c r="X133" s="15624">
        <v>0</v>
      </c>
      <c r="Y133" s="15625">
        <v>0</v>
      </c>
      <c r="Z133" s="15626">
        <v>4</v>
      </c>
      <c r="AA133" s="15627">
        <f>IF(HLOOKUP("KP",A1:CV300,133,FALSE)=0,0,HLOOKUP("As",A1:CV300,133,FALSE)/HLOOKUP("KP",A1:CV300,133,FALSE))</f>
        <v>0</v>
      </c>
      <c r="AB133" s="15628">
        <v>24.2</v>
      </c>
      <c r="AC133" s="15629">
        <v>12</v>
      </c>
      <c r="AD133" s="15630">
        <v>0</v>
      </c>
      <c r="AE133" s="15631">
        <v>1</v>
      </c>
      <c r="AF133" s="15632">
        <v>0</v>
      </c>
      <c r="AG133" s="15633">
        <f>IF(HLOOKUP("BC",A1:CV300,133,FALSE)=0,0,HLOOKUP("Gs - BC",A1:CV300,133,FALSE)/HLOOKUP("BC",A1:CV300,133,FALSE))</f>
        <v>1</v>
      </c>
      <c r="AH133" s="15634">
        <f>HLOOKUP("BC",A1:CV300,133,FALSE) - HLOOKUP("BC Miss",A1:CV300,133,FALSE)</f>
        <v>1</v>
      </c>
      <c r="AI133" s="15635">
        <f>IF(HLOOKUP("Gs",A1:CV300,133,FALSE)=0,0,HLOOKUP("Gs - BC",A1:CV300,133,FALSE)/HLOOKUP("Gs",A1:CV300,133,FALSE))</f>
        <v>1</v>
      </c>
      <c r="AJ133" s="15636">
        <v>0</v>
      </c>
      <c r="AK133" s="15637">
        <v>0</v>
      </c>
      <c r="AL133" s="15638">
        <f>HLOOKUP("BC",A1:CV300,133,FALSE) - (HLOOKUP("PK Gs",A1:CV300,133,FALSE) + HLOOKUP("PK Miss",A1:CV300,133,FALSE))</f>
        <v>1</v>
      </c>
      <c r="AM133" s="15639">
        <f>HLOOKUP("BC Miss",A1:CV300,133,FALSE) - HLOOKUP("PK Miss",A1:CV300,133,FALSE)</f>
        <v>0</v>
      </c>
      <c r="AN133" s="15640">
        <f>IF(HLOOKUP("BC - Open",A1:CV300,133,FALSE)=0,0,HLOOKUP("BC - Open Miss",A1:CV300,133,FALSE)/HLOOKUP("BC - Open",A1:CV300,133,FALSE))</f>
        <v>0</v>
      </c>
      <c r="AO133" s="15641">
        <v>1</v>
      </c>
      <c r="AP133" s="15642">
        <f>IF(HLOOKUP("Gs",A1:CV300,133,FALSE)=0,0,HLOOKUP("GIB",A1:CV300,133,FALSE)/HLOOKUP("Gs",A1:CV300,133,FALSE))</f>
        <v>1</v>
      </c>
      <c r="AQ133" s="15643">
        <v>1</v>
      </c>
      <c r="AR133" s="15644">
        <f>IF(HLOOKUP("Gs",A1:CV300,133,FALSE)=0,0,HLOOKUP("Gs - Open",A1:CV300,133,FALSE)/HLOOKUP("Gs",A1:CV300,133,FALSE))</f>
        <v>1</v>
      </c>
      <c r="AS133" s="15645">
        <v>0.75</v>
      </c>
      <c r="AT133" s="15646">
        <v>0.25</v>
      </c>
      <c r="AU133" s="15647">
        <f>IF(HLOOKUP("Mins",A1:CV300,133,FALSE)=0,0,HLOOKUP("Pts",A1:CV300,133,FALSE)/HLOOKUP("Mins",A1:CV300,133,FALSE)* 90)</f>
        <v>2.878998609179416</v>
      </c>
      <c r="AV133" s="15648">
        <f>IF(HLOOKUP("Apps",A1:CV300,133,FALSE)=0,0,HLOOKUP("Pts",A1:CV300,133,FALSE)/HLOOKUP("Apps",A1:CV300,133,FALSE)* 1)</f>
        <v>2.0909090909090908</v>
      </c>
      <c r="AW133" s="15649">
        <f>IF(HLOOKUP("Mins",A1:CV300,133,FALSE)=0,0,HLOOKUP("Gs",A1:CV300,133,FALSE)/HLOOKUP("Mins",A1:CV300,133,FALSE)* 90)</f>
        <v>0.12517385257301808</v>
      </c>
      <c r="AX133" s="15650">
        <f>IF(HLOOKUP("Mins",A1:CV300,133,FALSE)=0,0,HLOOKUP("Bonus",A1:CV300,133,FALSE)/HLOOKUP("Mins",A1:CV300,133,FALSE)* 90)</f>
        <v>0</v>
      </c>
      <c r="AY133" s="15651">
        <f>IF(HLOOKUP("Mins",A1:CV300,133,FALSE)=0,0,HLOOKUP("BPS",A1:CV300,133,FALSE)/HLOOKUP("Mins",A1:CV300,133,FALSE)* 90)</f>
        <v>11.766342141863699</v>
      </c>
      <c r="AZ133" s="15652">
        <f>IF(HLOOKUP("Mins",A1:CV300,133,FALSE)=0,0,HLOOKUP("Base BPS",A1:CV300,133,FALSE)/HLOOKUP("Mins",A1:CV300,133,FALSE)* 90)</f>
        <v>8.7621696801112652</v>
      </c>
      <c r="BA133" s="15653">
        <f>IF(HLOOKUP("Mins",A1:CV300,133,FALSE)=0,0,HLOOKUP("PenTchs",A1:CV300,133,FALSE)/HLOOKUP("Mins",A1:CV300,133,FALSE)* 90)</f>
        <v>0.50069541029207232</v>
      </c>
      <c r="BB133" s="15654">
        <f>IF(HLOOKUP("Mins",A1:CV300,133,FALSE)=0,0,HLOOKUP("Shots",A1:CV300,133,FALSE)/HLOOKUP("Mins",A1:CV300,133,FALSE)* 90)</f>
        <v>0.12517385257301808</v>
      </c>
      <c r="BC133" s="15655">
        <f>IF(HLOOKUP("Mins",A1:CV300,133,FALSE)=0,0,HLOOKUP("SIB",A1:CV300,133,FALSE)/HLOOKUP("Mins",A1:CV300,133,FALSE)* 90)</f>
        <v>0.12517385257301808</v>
      </c>
      <c r="BD133" s="15656">
        <f>IF(HLOOKUP("Mins",A1:CV300,133,FALSE)=0,0,HLOOKUP("S6YD",A1:CV300,133,FALSE)/HLOOKUP("Mins",A1:CV300,133,FALSE)* 90)</f>
        <v>0.12517385257301808</v>
      </c>
      <c r="BE133" s="15657">
        <f>IF(HLOOKUP("Mins",A1:CV300,133,FALSE)=0,0,HLOOKUP("Headers",A1:CV300,133,FALSE)/HLOOKUP("Mins",A1:CV300,133,FALSE)* 90)</f>
        <v>0.12517385257301808</v>
      </c>
      <c r="BF133" s="15658">
        <f>IF(HLOOKUP("Mins",A1:CV300,133,FALSE)=0,0,HLOOKUP("SOT",A1:CV300,133,FALSE)/HLOOKUP("Mins",A1:CV300,133,FALSE)* 90)</f>
        <v>0.12517385257301808</v>
      </c>
      <c r="BG133" s="15659">
        <f>IF(HLOOKUP("Mins",A1:CV300,133,FALSE)=0,0,HLOOKUP("As",A1:CV300,133,FALSE)/HLOOKUP("Mins",A1:CV300,133,FALSE)* 90)</f>
        <v>0</v>
      </c>
      <c r="BH133" s="15660">
        <f>IF(HLOOKUP("Mins",A1:CV300,133,FALSE)=0,0,HLOOKUP("FPL As",A1:CV300,133,FALSE)/HLOOKUP("Mins",A1:CV300,133,FALSE)* 90)</f>
        <v>0</v>
      </c>
      <c r="BI133" s="15661">
        <f>IF(HLOOKUP("Mins",A1:CV300,133,FALSE)=0,0,HLOOKUP("BC Created",A1:CV300,133,FALSE)/HLOOKUP("Mins",A1:CV300,133,FALSE)* 90)</f>
        <v>0</v>
      </c>
      <c r="BJ133" s="15662">
        <f>IF(HLOOKUP("Mins",A1:CV300,133,FALSE)=0,0,HLOOKUP("KP",A1:CV300,133,FALSE)/HLOOKUP("Mins",A1:CV300,133,FALSE)* 90)</f>
        <v>0.50069541029207232</v>
      </c>
      <c r="BK133" s="15663">
        <f>IF(HLOOKUP("Mins",A1:CV300,133,FALSE)=0,0,HLOOKUP("BC",A1:CV300,133,FALSE)/HLOOKUP("Mins",A1:CV300,133,FALSE)* 90)</f>
        <v>0.12517385257301808</v>
      </c>
      <c r="BL133" s="15664">
        <f>IF(HLOOKUP("Mins",A1:CV300,133,FALSE)=0,0,HLOOKUP("BC Miss",A1:CV300,133,FALSE)/HLOOKUP("Mins",A1:CV300,133,FALSE)* 90)</f>
        <v>0</v>
      </c>
      <c r="BM133" s="15665">
        <f>IF(HLOOKUP("Mins",A1:CV300,133,FALSE)=0,0,HLOOKUP("Gs - BC",A1:CV300,133,FALSE)/HLOOKUP("Mins",A1:CV300,133,FALSE)* 90)</f>
        <v>0.12517385257301808</v>
      </c>
      <c r="BN133" s="15666">
        <f>IF(HLOOKUP("Mins",A1:CV300,133,FALSE)=0,0,HLOOKUP("GIB",A1:CV300,133,FALSE)/HLOOKUP("Mins",A1:CV300,133,FALSE)* 90)</f>
        <v>0.12517385257301808</v>
      </c>
      <c r="BO133" s="15667">
        <f>IF(HLOOKUP("Mins",A1:CV300,133,FALSE)=0,0,HLOOKUP("Gs - Open",A1:CV300,133,FALSE)/HLOOKUP("Mins",A1:CV300,133,FALSE)* 90)</f>
        <v>0.12517385257301808</v>
      </c>
      <c r="BP133" s="15668">
        <f>IF(HLOOKUP("Mins",A1:CV300,133,FALSE)=0,0,HLOOKUP("ICT Index",A1:CV300,133,FALSE)/HLOOKUP("Mins",A1:CV300,133,FALSE)* 90)</f>
        <v>3.0292072322670371</v>
      </c>
      <c r="BQ133" s="15669">
        <f>IF(HLOOKUP("Mins",A1:CV300,133,FALSE)=0,0,(0.02*(HLOOKUP("Shots",A1:CV300,133,FALSE)-HLOOKUP("SIB",A1:CV300,133,FALSE))+0.093*(HLOOKUP("SIB",A1:CV300,133,FALSE)-(HLOOKUP("PK Gs",A1:CV300,133,FALSE)+HLOOKUP("PK Miss",A1:CV300,133,FALSE)))+0.75*(HLOOKUP("PK Gs",A1:CV300,133,FALSE)+HLOOKUP("PK Miss",A1:CV300,133,FALSE)))/HLOOKUP("Mins",A1:CV300,133,FALSE)*90)</f>
        <v>1.1641168289290682E-2</v>
      </c>
      <c r="BR133" s="15670">
        <f>0.0825*HLOOKUP("KP/90",A1:CV300,133,FALSE)</f>
        <v>4.130737134909597E-2</v>
      </c>
      <c r="BS133" s="15671">
        <f>6*HLOOKUP("xG/90",A1:CV300,133,FALSE)+3*HLOOKUP("xA/90",A1:CV300,133,FALSE)</f>
        <v>0.19376912378303202</v>
      </c>
      <c r="BT133" s="15672">
        <f>HLOOKUP("xPts/90",A1:CV300,133,FALSE)-(6*0.75*(HLOOKUP("PK Gs",A1:CV300,133,FALSE)+HLOOKUP("PK Miss",A1:CV300,133,FALSE))*90/HLOOKUP("Mins",A1:CV300,133,FALSE))</f>
        <v>0.19376912378303202</v>
      </c>
      <c r="BU133" s="15673">
        <f>IF(HLOOKUP("Mins",A1:CV300,133,FALSE)=0,0,HLOOKUP("fsXG",A1:CV300,133,FALSE)/HLOOKUP("Mins",A1:CV300,133,FALSE)* 90)</f>
        <v>9.3880389429763567E-2</v>
      </c>
      <c r="BV133" s="15674">
        <f>IF(HLOOKUP("Mins",A1:CV300,133,FALSE)=0,0,HLOOKUP("fsXA",A1:CV300,133,FALSE)/HLOOKUP("Mins",A1:CV300,133,FALSE)* 90)</f>
        <v>3.129346314325452E-2</v>
      </c>
      <c r="BW133" s="15675">
        <f>6*HLOOKUP("fsXG/90",A1:CV300,133,FALSE)+3*HLOOKUP("fsXA/90",A1:CV300,133,FALSE)</f>
        <v>0.65716272600834502</v>
      </c>
      <c r="BX133" s="15676">
        <v>9.4648532569408417E-2</v>
      </c>
      <c r="BY133" s="15677">
        <v>1.3348186388611794E-2</v>
      </c>
      <c r="BZ133" s="15678">
        <f>6*HLOOKUP("uXG/90",A1:CV300,133,FALSE)+3*HLOOKUP("uXA/90",A1:CV300,133,FALSE)</f>
        <v>0.60793575458228588</v>
      </c>
    </row>
    <row r="134" spans="1:78" hidden="1" x14ac:dyDescent="0.3">
      <c r="A134" s="15679" t="s">
        <v>297</v>
      </c>
      <c r="B134" s="15680" t="s">
        <v>102</v>
      </c>
      <c r="C134" s="15681">
        <v>5.3000001907348633</v>
      </c>
      <c r="D134" s="15682">
        <v>270</v>
      </c>
      <c r="E134" s="15683">
        <v>3</v>
      </c>
      <c r="F134" s="15684">
        <v>8</v>
      </c>
      <c r="G134" s="15685">
        <v>0</v>
      </c>
      <c r="H134" s="15686">
        <v>0</v>
      </c>
      <c r="I134" s="15687">
        <v>49</v>
      </c>
      <c r="J134" s="15688">
        <f>HLOOKUP("BPS",A1:CV300,134,FALSE)-((-6*HLOOKUP("OG",A1:CV300,134,FALSE))+(-6*HLOOKUP("PK Miss",A1:CV300,134,FALSE))+(9*HLOOKUP("FPL As",A1:CV300,134,FALSE))+(12*HLOOKUP("CS",A1:CV300,134,FALSE))+(12*HLOOKUP("Gs",A1:CV300,134,FALSE)))</f>
        <v>37</v>
      </c>
      <c r="K134" s="15689">
        <v>0</v>
      </c>
      <c r="L134" s="15690">
        <v>1</v>
      </c>
      <c r="M134" s="15691">
        <v>1</v>
      </c>
      <c r="N134" s="15692">
        <v>3</v>
      </c>
      <c r="O134" s="15693">
        <v>1</v>
      </c>
      <c r="P134" s="15694">
        <f>IF(HLOOKUP("Shots",A1:CV300,134,FALSE)=0,0,HLOOKUP("SIB",A1:CV300,134,FALSE)/HLOOKUP("Shots",A1:CV300,134,FALSE))</f>
        <v>0.33333333333333331</v>
      </c>
      <c r="Q134" s="15695">
        <v>0</v>
      </c>
      <c r="R134" s="15696">
        <f>IF(HLOOKUP("Shots",A1:CV300,134,FALSE)=0,0,HLOOKUP("S6YD",A1:CV300,134,FALSE)/HLOOKUP("Shots",A1:CV300,134,FALSE))</f>
        <v>0</v>
      </c>
      <c r="S134" s="15697">
        <v>0</v>
      </c>
      <c r="T134" s="15698">
        <f>IF(HLOOKUP("Shots",A1:CV300,134,FALSE)=0,0,HLOOKUP("Headers",A1:CV300,134,FALSE)/HLOOKUP("Shots",A1:CV300,134,FALSE))</f>
        <v>0</v>
      </c>
      <c r="U134" s="15699">
        <v>1</v>
      </c>
      <c r="V134" s="15700">
        <f>IF(HLOOKUP("Shots",A1:CV300,134,FALSE)=0,0,HLOOKUP("SOT",A1:CV300,134,FALSE)/HLOOKUP("Shots",A1:CV300,134,FALSE))</f>
        <v>0.33333333333333331</v>
      </c>
      <c r="W134" s="15701">
        <f>IF(HLOOKUP("Shots",A1:CV300,134,FALSE)=0,0,HLOOKUP("Gs",A1:CV300,134,FALSE)/HLOOKUP("Shots",A1:CV300,134,FALSE))</f>
        <v>0</v>
      </c>
      <c r="X134" s="15702">
        <v>0</v>
      </c>
      <c r="Y134" s="15703">
        <v>0</v>
      </c>
      <c r="Z134" s="15704">
        <v>7</v>
      </c>
      <c r="AA134" s="15705">
        <f>IF(HLOOKUP("KP",A1:CV300,134,FALSE)=0,0,HLOOKUP("As",A1:CV300,134,FALSE)/HLOOKUP("KP",A1:CV300,134,FALSE))</f>
        <v>0</v>
      </c>
      <c r="AB134" s="15706">
        <v>15.9</v>
      </c>
      <c r="AC134" s="15707">
        <v>0</v>
      </c>
      <c r="AD134" s="15708">
        <v>1</v>
      </c>
      <c r="AE134" s="15709">
        <v>0</v>
      </c>
      <c r="AF134" s="15710">
        <v>0</v>
      </c>
      <c r="AG134" s="15711">
        <f>IF(HLOOKUP("BC",A1:CV300,134,FALSE)=0,0,HLOOKUP("Gs - BC",A1:CV300,134,FALSE)/HLOOKUP("BC",A1:CV300,134,FALSE))</f>
        <v>0</v>
      </c>
      <c r="AH134" s="15712">
        <f>HLOOKUP("BC",A1:CV300,134,FALSE) - HLOOKUP("BC Miss",A1:CV300,134,FALSE)</f>
        <v>0</v>
      </c>
      <c r="AI134" s="15713">
        <f>IF(HLOOKUP("Gs",A1:CV300,134,FALSE)=0,0,HLOOKUP("Gs - BC",A1:CV300,134,FALSE)/HLOOKUP("Gs",A1:CV300,134,FALSE))</f>
        <v>0</v>
      </c>
      <c r="AJ134" s="15714">
        <v>0</v>
      </c>
      <c r="AK134" s="15715">
        <v>0</v>
      </c>
      <c r="AL134" s="15716">
        <f>HLOOKUP("BC",A1:CV300,134,FALSE) - (HLOOKUP("PK Gs",A1:CV300,134,FALSE) + HLOOKUP("PK Miss",A1:CV300,134,FALSE))</f>
        <v>0</v>
      </c>
      <c r="AM134" s="15717">
        <f>HLOOKUP("BC Miss",A1:CV300,134,FALSE) - HLOOKUP("PK Miss",A1:CV300,134,FALSE)</f>
        <v>0</v>
      </c>
      <c r="AN134" s="15718">
        <f>IF(HLOOKUP("BC - Open",A1:CV300,134,FALSE)=0,0,HLOOKUP("BC - Open Miss",A1:CV300,134,FALSE)/HLOOKUP("BC - Open",A1:CV300,134,FALSE))</f>
        <v>0</v>
      </c>
      <c r="AO134" s="15719">
        <v>0</v>
      </c>
      <c r="AP134" s="15720">
        <f>IF(HLOOKUP("Gs",A1:CV300,134,FALSE)=0,0,HLOOKUP("GIB",A1:CV300,134,FALSE)/HLOOKUP("Gs",A1:CV300,134,FALSE))</f>
        <v>0</v>
      </c>
      <c r="AQ134" s="15721">
        <v>0</v>
      </c>
      <c r="AR134" s="15722">
        <f>IF(HLOOKUP("Gs",A1:CV300,134,FALSE)=0,0,HLOOKUP("Gs - Open",A1:CV300,134,FALSE)/HLOOKUP("Gs",A1:CV300,134,FALSE))</f>
        <v>0</v>
      </c>
      <c r="AS134" s="15723">
        <v>0.09</v>
      </c>
      <c r="AT134" s="15724">
        <v>0.17</v>
      </c>
      <c r="AU134" s="15725">
        <f>IF(HLOOKUP("Mins",A1:CV300,134,FALSE)=0,0,HLOOKUP("Pts",A1:CV300,134,FALSE)/HLOOKUP("Mins",A1:CV300,134,FALSE)* 90)</f>
        <v>2.666666666666667</v>
      </c>
      <c r="AV134" s="15726">
        <f>IF(HLOOKUP("Apps",A1:CV300,134,FALSE)=0,0,HLOOKUP("Pts",A1:CV300,134,FALSE)/HLOOKUP("Apps",A1:CV300,134,FALSE)* 1)</f>
        <v>2.6666666666666665</v>
      </c>
      <c r="AW134" s="15727">
        <f>IF(HLOOKUP("Mins",A1:CV300,134,FALSE)=0,0,HLOOKUP("Gs",A1:CV300,134,FALSE)/HLOOKUP("Mins",A1:CV300,134,FALSE)* 90)</f>
        <v>0</v>
      </c>
      <c r="AX134" s="15728">
        <f>IF(HLOOKUP("Mins",A1:CV300,134,FALSE)=0,0,HLOOKUP("Bonus",A1:CV300,134,FALSE)/HLOOKUP("Mins",A1:CV300,134,FALSE)* 90)</f>
        <v>0</v>
      </c>
      <c r="AY134" s="15729">
        <f>IF(HLOOKUP("Mins",A1:CV300,134,FALSE)=0,0,HLOOKUP("BPS",A1:CV300,134,FALSE)/HLOOKUP("Mins",A1:CV300,134,FALSE)* 90)</f>
        <v>16.333333333333336</v>
      </c>
      <c r="AZ134" s="15730">
        <f>IF(HLOOKUP("Mins",A1:CV300,134,FALSE)=0,0,HLOOKUP("Base BPS",A1:CV300,134,FALSE)/HLOOKUP("Mins",A1:CV300,134,FALSE)* 90)</f>
        <v>12.333333333333334</v>
      </c>
      <c r="BA134" s="15731">
        <f>IF(HLOOKUP("Mins",A1:CV300,134,FALSE)=0,0,HLOOKUP("PenTchs",A1:CV300,134,FALSE)/HLOOKUP("Mins",A1:CV300,134,FALSE)* 90)</f>
        <v>0.33333333333333337</v>
      </c>
      <c r="BB134" s="15732">
        <f>IF(HLOOKUP("Mins",A1:CV300,134,FALSE)=0,0,HLOOKUP("Shots",A1:CV300,134,FALSE)/HLOOKUP("Mins",A1:CV300,134,FALSE)* 90)</f>
        <v>1</v>
      </c>
      <c r="BC134" s="15733">
        <f>IF(HLOOKUP("Mins",A1:CV300,134,FALSE)=0,0,HLOOKUP("SIB",A1:CV300,134,FALSE)/HLOOKUP("Mins",A1:CV300,134,FALSE)* 90)</f>
        <v>0.33333333333333337</v>
      </c>
      <c r="BD134" s="15734">
        <f>IF(HLOOKUP("Mins",A1:CV300,134,FALSE)=0,0,HLOOKUP("S6YD",A1:CV300,134,FALSE)/HLOOKUP("Mins",A1:CV300,134,FALSE)* 90)</f>
        <v>0</v>
      </c>
      <c r="BE134" s="15735">
        <f>IF(HLOOKUP("Mins",A1:CV300,134,FALSE)=0,0,HLOOKUP("Headers",A1:CV300,134,FALSE)/HLOOKUP("Mins",A1:CV300,134,FALSE)* 90)</f>
        <v>0</v>
      </c>
      <c r="BF134" s="15736">
        <f>IF(HLOOKUP("Mins",A1:CV300,134,FALSE)=0,0,HLOOKUP("SOT",A1:CV300,134,FALSE)/HLOOKUP("Mins",A1:CV300,134,FALSE)* 90)</f>
        <v>0.33333333333333337</v>
      </c>
      <c r="BG134" s="15737">
        <f>IF(HLOOKUP("Mins",A1:CV300,134,FALSE)=0,0,HLOOKUP("As",A1:CV300,134,FALSE)/HLOOKUP("Mins",A1:CV300,134,FALSE)* 90)</f>
        <v>0</v>
      </c>
      <c r="BH134" s="15738">
        <f>IF(HLOOKUP("Mins",A1:CV300,134,FALSE)=0,0,HLOOKUP("FPL As",A1:CV300,134,FALSE)/HLOOKUP("Mins",A1:CV300,134,FALSE)* 90)</f>
        <v>0</v>
      </c>
      <c r="BI134" s="15739">
        <f>IF(HLOOKUP("Mins",A1:CV300,134,FALSE)=0,0,HLOOKUP("BC Created",A1:CV300,134,FALSE)/HLOOKUP("Mins",A1:CV300,134,FALSE)* 90)</f>
        <v>0.33333333333333337</v>
      </c>
      <c r="BJ134" s="15740">
        <f>IF(HLOOKUP("Mins",A1:CV300,134,FALSE)=0,0,HLOOKUP("KP",A1:CV300,134,FALSE)/HLOOKUP("Mins",A1:CV300,134,FALSE)* 90)</f>
        <v>2.3333333333333335</v>
      </c>
      <c r="BK134" s="15741">
        <f>IF(HLOOKUP("Mins",A1:CV300,134,FALSE)=0,0,HLOOKUP("BC",A1:CV300,134,FALSE)/HLOOKUP("Mins",A1:CV300,134,FALSE)* 90)</f>
        <v>0</v>
      </c>
      <c r="BL134" s="15742">
        <f>IF(HLOOKUP("Mins",A1:CV300,134,FALSE)=0,0,HLOOKUP("BC Miss",A1:CV300,134,FALSE)/HLOOKUP("Mins",A1:CV300,134,FALSE)* 90)</f>
        <v>0</v>
      </c>
      <c r="BM134" s="15743">
        <f>IF(HLOOKUP("Mins",A1:CV300,134,FALSE)=0,0,HLOOKUP("Gs - BC",A1:CV300,134,FALSE)/HLOOKUP("Mins",A1:CV300,134,FALSE)* 90)</f>
        <v>0</v>
      </c>
      <c r="BN134" s="15744">
        <f>IF(HLOOKUP("Mins",A1:CV300,134,FALSE)=0,0,HLOOKUP("GIB",A1:CV300,134,FALSE)/HLOOKUP("Mins",A1:CV300,134,FALSE)* 90)</f>
        <v>0</v>
      </c>
      <c r="BO134" s="15745">
        <f>IF(HLOOKUP("Mins",A1:CV300,134,FALSE)=0,0,HLOOKUP("Gs - Open",A1:CV300,134,FALSE)/HLOOKUP("Mins",A1:CV300,134,FALSE)* 90)</f>
        <v>0</v>
      </c>
      <c r="BP134" s="15746">
        <f>IF(HLOOKUP("Mins",A1:CV300,134,FALSE)=0,0,HLOOKUP("ICT Index",A1:CV300,134,FALSE)/HLOOKUP("Mins",A1:CV300,134,FALSE)* 90)</f>
        <v>5.3000000000000007</v>
      </c>
      <c r="BQ134" s="15747">
        <f>IF(HLOOKUP("Mins",A1:CV300,134,FALSE)=0,0,(0.02*(HLOOKUP("Shots",A1:CV300,134,FALSE)-HLOOKUP("SIB",A1:CV300,134,FALSE))+0.093*(HLOOKUP("SIB",A1:CV300,134,FALSE)-(HLOOKUP("PK Gs",A1:CV300,134,FALSE)+HLOOKUP("PK Miss",A1:CV300,134,FALSE)))+0.75*(HLOOKUP("PK Gs",A1:CV300,134,FALSE)+HLOOKUP("PK Miss",A1:CV300,134,FALSE)))/HLOOKUP("Mins",A1:CV300,134,FALSE)*90)</f>
        <v>4.4333333333333336E-2</v>
      </c>
      <c r="BR134" s="15748">
        <f>0.0825*HLOOKUP("KP/90",A1:CV300,134,FALSE)</f>
        <v>0.19250000000000003</v>
      </c>
      <c r="BS134" s="15749">
        <f>6*HLOOKUP("xG/90",A1:CV300,134,FALSE)+3*HLOOKUP("xA/90",A1:CV300,134,FALSE)</f>
        <v>0.84350000000000014</v>
      </c>
      <c r="BT134" s="15750">
        <f>HLOOKUP("xPts/90",A1:CV300,134,FALSE)-(6*0.75*(HLOOKUP("PK Gs",A1:CV300,134,FALSE)+HLOOKUP("PK Miss",A1:CV300,134,FALSE))*90/HLOOKUP("Mins",A1:CV300,134,FALSE))</f>
        <v>0.84350000000000014</v>
      </c>
      <c r="BU134" s="15751">
        <f>IF(HLOOKUP("Mins",A1:CV300,134,FALSE)=0,0,HLOOKUP("fsXG",A1:CV300,134,FALSE)/HLOOKUP("Mins",A1:CV300,134,FALSE)* 90)</f>
        <v>0.03</v>
      </c>
      <c r="BV134" s="15752">
        <f>IF(HLOOKUP("Mins",A1:CV300,134,FALSE)=0,0,HLOOKUP("fsXA",A1:CV300,134,FALSE)/HLOOKUP("Mins",A1:CV300,134,FALSE)* 90)</f>
        <v>5.6666666666666678E-2</v>
      </c>
      <c r="BW134" s="15753">
        <f>6*HLOOKUP("fsXG/90",A1:CV300,134,FALSE)+3*HLOOKUP("fsXA/90",A1:CV300,134,FALSE)</f>
        <v>0.35000000000000003</v>
      </c>
      <c r="BX134" s="15754">
        <v>2.2555418312549591E-2</v>
      </c>
      <c r="BY134" s="15755">
        <v>0.12688659131526947</v>
      </c>
      <c r="BZ134" s="15756">
        <f>6*HLOOKUP("uXG/90",A1:CV300,134,FALSE)+3*HLOOKUP("uXA/90",A1:CV300,134,FALSE)</f>
        <v>0.51599228382110596</v>
      </c>
    </row>
    <row r="135" spans="1:78" hidden="1" x14ac:dyDescent="0.3">
      <c r="A135" s="15757" t="s">
        <v>298</v>
      </c>
      <c r="B135" s="15758" t="s">
        <v>84</v>
      </c>
      <c r="C135" s="15759">
        <v>4.5999999046325684</v>
      </c>
      <c r="D135" s="15760">
        <v>1980</v>
      </c>
      <c r="E135" s="15761">
        <v>22</v>
      </c>
      <c r="F135" s="15762">
        <v>75</v>
      </c>
      <c r="G135" s="15763">
        <v>0</v>
      </c>
      <c r="H135" s="15764">
        <v>5</v>
      </c>
      <c r="I135" s="15765">
        <v>387</v>
      </c>
      <c r="J135" s="15766">
        <f>HLOOKUP("BPS",A1:CV300,135,FALSE)-((-6*HLOOKUP("OG",A1:CV300,135,FALSE))+(-6*HLOOKUP("PK Miss",A1:CV300,135,FALSE))+(9*HLOOKUP("FPL As",A1:CV300,135,FALSE))+(12*HLOOKUP("CS",A1:CV300,135,FALSE))+(12*HLOOKUP("Gs",A1:CV300,135,FALSE)))</f>
        <v>282</v>
      </c>
      <c r="K135" s="15767">
        <v>0</v>
      </c>
      <c r="L135" s="15768">
        <v>8</v>
      </c>
      <c r="M135" s="15769">
        <v>32</v>
      </c>
      <c r="N135" s="15770">
        <v>10</v>
      </c>
      <c r="O135" s="15771">
        <v>10</v>
      </c>
      <c r="P135" s="15772">
        <f>IF(HLOOKUP("Shots",A1:CV300,135,FALSE)=0,0,HLOOKUP("SIB",A1:CV300,135,FALSE)/HLOOKUP("Shots",A1:CV300,135,FALSE))</f>
        <v>1</v>
      </c>
      <c r="Q135" s="15773">
        <v>3</v>
      </c>
      <c r="R135" s="15774">
        <f>IF(HLOOKUP("Shots",A1:CV300,135,FALSE)=0,0,HLOOKUP("S6YD",A1:CV300,135,FALSE)/HLOOKUP("Shots",A1:CV300,135,FALSE))</f>
        <v>0.3</v>
      </c>
      <c r="S135" s="15775">
        <v>6</v>
      </c>
      <c r="T135" s="15776">
        <f>IF(HLOOKUP("Shots",A1:CV300,135,FALSE)=0,0,HLOOKUP("Headers",A1:CV300,135,FALSE)/HLOOKUP("Shots",A1:CV300,135,FALSE))</f>
        <v>0.6</v>
      </c>
      <c r="U135" s="15777">
        <v>2</v>
      </c>
      <c r="V135" s="15778">
        <f>IF(HLOOKUP("Shots",A1:CV300,135,FALSE)=0,0,HLOOKUP("SOT",A1:CV300,135,FALSE)/HLOOKUP("Shots",A1:CV300,135,FALSE))</f>
        <v>0.2</v>
      </c>
      <c r="W135" s="15779">
        <f>IF(HLOOKUP("Shots",A1:CV300,135,FALSE)=0,0,HLOOKUP("Gs",A1:CV300,135,FALSE)/HLOOKUP("Shots",A1:CV300,135,FALSE))</f>
        <v>0</v>
      </c>
      <c r="X135" s="15780">
        <v>1</v>
      </c>
      <c r="Y135" s="15781">
        <v>1</v>
      </c>
      <c r="Z135" s="15782">
        <v>10</v>
      </c>
      <c r="AA135" s="15783">
        <f>IF(HLOOKUP("KP",A1:CV300,135,FALSE)=0,0,HLOOKUP("As",A1:CV300,135,FALSE)/HLOOKUP("KP",A1:CV300,135,FALSE))</f>
        <v>0.1</v>
      </c>
      <c r="AB135" s="15784">
        <v>73.400000000000006</v>
      </c>
      <c r="AC135" s="15785">
        <v>4</v>
      </c>
      <c r="AD135" s="15786">
        <v>3</v>
      </c>
      <c r="AE135" s="15787">
        <v>0</v>
      </c>
      <c r="AF135" s="15788">
        <v>0</v>
      </c>
      <c r="AG135" s="15789">
        <f>IF(HLOOKUP("BC",A1:CV300,135,FALSE)=0,0,HLOOKUP("Gs - BC",A1:CV300,135,FALSE)/HLOOKUP("BC",A1:CV300,135,FALSE))</f>
        <v>0</v>
      </c>
      <c r="AH135" s="15790">
        <f>HLOOKUP("BC",A1:CV300,135,FALSE) - HLOOKUP("BC Miss",A1:CV300,135,FALSE)</f>
        <v>0</v>
      </c>
      <c r="AI135" s="15791">
        <f>IF(HLOOKUP("Gs",A1:CV300,135,FALSE)=0,0,HLOOKUP("Gs - BC",A1:CV300,135,FALSE)/HLOOKUP("Gs",A1:CV300,135,FALSE))</f>
        <v>0</v>
      </c>
      <c r="AJ135" s="15792">
        <v>0</v>
      </c>
      <c r="AK135" s="15793">
        <v>0</v>
      </c>
      <c r="AL135" s="15794">
        <f>HLOOKUP("BC",A1:CV300,135,FALSE) - (HLOOKUP("PK Gs",A1:CV300,135,FALSE) + HLOOKUP("PK Miss",A1:CV300,135,FALSE))</f>
        <v>0</v>
      </c>
      <c r="AM135" s="15795">
        <f>HLOOKUP("BC Miss",A1:CV300,135,FALSE) - HLOOKUP("PK Miss",A1:CV300,135,FALSE)</f>
        <v>0</v>
      </c>
      <c r="AN135" s="15796">
        <f>IF(HLOOKUP("BC - Open",A1:CV300,135,FALSE)=0,0,HLOOKUP("BC - Open Miss",A1:CV300,135,FALSE)/HLOOKUP("BC - Open",A1:CV300,135,FALSE))</f>
        <v>0</v>
      </c>
      <c r="AO135" s="15797">
        <v>0</v>
      </c>
      <c r="AP135" s="15798">
        <f>IF(HLOOKUP("Gs",A1:CV300,135,FALSE)=0,0,HLOOKUP("GIB",A1:CV300,135,FALSE)/HLOOKUP("Gs",A1:CV300,135,FALSE))</f>
        <v>0</v>
      </c>
      <c r="AQ135" s="15799">
        <v>0</v>
      </c>
      <c r="AR135" s="15800">
        <f>IF(HLOOKUP("Gs",A1:CV300,135,FALSE)=0,0,HLOOKUP("Gs - Open",A1:CV300,135,FALSE)/HLOOKUP("Gs",A1:CV300,135,FALSE))</f>
        <v>0</v>
      </c>
      <c r="AS135" s="15801">
        <v>1.89</v>
      </c>
      <c r="AT135" s="15802">
        <v>1.69</v>
      </c>
      <c r="AU135" s="15803">
        <f>IF(HLOOKUP("Mins",A1:CV300,135,FALSE)=0,0,HLOOKUP("Pts",A1:CV300,135,FALSE)/HLOOKUP("Mins",A1:CV300,135,FALSE)* 90)</f>
        <v>3.4090909090909092</v>
      </c>
      <c r="AV135" s="15804">
        <f>IF(HLOOKUP("Apps",A1:CV300,135,FALSE)=0,0,HLOOKUP("Pts",A1:CV300,135,FALSE)/HLOOKUP("Apps",A1:CV300,135,FALSE)* 1)</f>
        <v>3.4090909090909092</v>
      </c>
      <c r="AW135" s="15805">
        <f>IF(HLOOKUP("Mins",A1:CV300,135,FALSE)=0,0,HLOOKUP("Gs",A1:CV300,135,FALSE)/HLOOKUP("Mins",A1:CV300,135,FALSE)* 90)</f>
        <v>0</v>
      </c>
      <c r="AX135" s="15806">
        <f>IF(HLOOKUP("Mins",A1:CV300,135,FALSE)=0,0,HLOOKUP("Bonus",A1:CV300,135,FALSE)/HLOOKUP("Mins",A1:CV300,135,FALSE)* 90)</f>
        <v>0.22727272727272729</v>
      </c>
      <c r="AY135" s="15807">
        <f>IF(HLOOKUP("Mins",A1:CV300,135,FALSE)=0,0,HLOOKUP("BPS",A1:CV300,135,FALSE)/HLOOKUP("Mins",A1:CV300,135,FALSE)* 90)</f>
        <v>17.590909090909093</v>
      </c>
      <c r="AZ135" s="15808">
        <f>IF(HLOOKUP("Mins",A1:CV300,135,FALSE)=0,0,HLOOKUP("Base BPS",A1:CV300,135,FALSE)/HLOOKUP("Mins",A1:CV300,135,FALSE)* 90)</f>
        <v>12.818181818181818</v>
      </c>
      <c r="BA135" s="15809">
        <f>IF(HLOOKUP("Mins",A1:CV300,135,FALSE)=0,0,HLOOKUP("PenTchs",A1:CV300,135,FALSE)/HLOOKUP("Mins",A1:CV300,135,FALSE)* 90)</f>
        <v>1.4545454545454546</v>
      </c>
      <c r="BB135" s="15810">
        <f>IF(HLOOKUP("Mins",A1:CV300,135,FALSE)=0,0,HLOOKUP("Shots",A1:CV300,135,FALSE)/HLOOKUP("Mins",A1:CV300,135,FALSE)* 90)</f>
        <v>0.45454545454545459</v>
      </c>
      <c r="BC135" s="15811">
        <f>IF(HLOOKUP("Mins",A1:CV300,135,FALSE)=0,0,HLOOKUP("SIB",A1:CV300,135,FALSE)/HLOOKUP("Mins",A1:CV300,135,FALSE)* 90)</f>
        <v>0.45454545454545459</v>
      </c>
      <c r="BD135" s="15812">
        <f>IF(HLOOKUP("Mins",A1:CV300,135,FALSE)=0,0,HLOOKUP("S6YD",A1:CV300,135,FALSE)/HLOOKUP("Mins",A1:CV300,135,FALSE)* 90)</f>
        <v>0.13636363636363635</v>
      </c>
      <c r="BE135" s="15813">
        <f>IF(HLOOKUP("Mins",A1:CV300,135,FALSE)=0,0,HLOOKUP("Headers",A1:CV300,135,FALSE)/HLOOKUP("Mins",A1:CV300,135,FALSE)* 90)</f>
        <v>0.27272727272727271</v>
      </c>
      <c r="BF135" s="15814">
        <f>IF(HLOOKUP("Mins",A1:CV300,135,FALSE)=0,0,HLOOKUP("SOT",A1:CV300,135,FALSE)/HLOOKUP("Mins",A1:CV300,135,FALSE)* 90)</f>
        <v>9.0909090909090912E-2</v>
      </c>
      <c r="BG135" s="15815">
        <f>IF(HLOOKUP("Mins",A1:CV300,135,FALSE)=0,0,HLOOKUP("As",A1:CV300,135,FALSE)/HLOOKUP("Mins",A1:CV300,135,FALSE)* 90)</f>
        <v>4.5454545454545456E-2</v>
      </c>
      <c r="BH135" s="15816">
        <f>IF(HLOOKUP("Mins",A1:CV300,135,FALSE)=0,0,HLOOKUP("FPL As",A1:CV300,135,FALSE)/HLOOKUP("Mins",A1:CV300,135,FALSE)* 90)</f>
        <v>4.5454545454545456E-2</v>
      </c>
      <c r="BI135" s="15817">
        <f>IF(HLOOKUP("Mins",A1:CV300,135,FALSE)=0,0,HLOOKUP("BC Created",A1:CV300,135,FALSE)/HLOOKUP("Mins",A1:CV300,135,FALSE)* 90)</f>
        <v>0.13636363636363635</v>
      </c>
      <c r="BJ135" s="15818">
        <f>IF(HLOOKUP("Mins",A1:CV300,135,FALSE)=0,0,HLOOKUP("KP",A1:CV300,135,FALSE)/HLOOKUP("Mins",A1:CV300,135,FALSE)* 90)</f>
        <v>0.45454545454545459</v>
      </c>
      <c r="BK135" s="15819">
        <f>IF(HLOOKUP("Mins",A1:CV300,135,FALSE)=0,0,HLOOKUP("BC",A1:CV300,135,FALSE)/HLOOKUP("Mins",A1:CV300,135,FALSE)* 90)</f>
        <v>0</v>
      </c>
      <c r="BL135" s="15820">
        <f>IF(HLOOKUP("Mins",A1:CV300,135,FALSE)=0,0,HLOOKUP("BC Miss",A1:CV300,135,FALSE)/HLOOKUP("Mins",A1:CV300,135,FALSE)* 90)</f>
        <v>0</v>
      </c>
      <c r="BM135" s="15821">
        <f>IF(HLOOKUP("Mins",A1:CV300,135,FALSE)=0,0,HLOOKUP("Gs - BC",A1:CV300,135,FALSE)/HLOOKUP("Mins",A1:CV300,135,FALSE)* 90)</f>
        <v>0</v>
      </c>
      <c r="BN135" s="15822">
        <f>IF(HLOOKUP("Mins",A1:CV300,135,FALSE)=0,0,HLOOKUP("GIB",A1:CV300,135,FALSE)/HLOOKUP("Mins",A1:CV300,135,FALSE)* 90)</f>
        <v>0</v>
      </c>
      <c r="BO135" s="15823">
        <f>IF(HLOOKUP("Mins",A1:CV300,135,FALSE)=0,0,HLOOKUP("Gs - Open",A1:CV300,135,FALSE)/HLOOKUP("Mins",A1:CV300,135,FALSE)* 90)</f>
        <v>0</v>
      </c>
      <c r="BP135" s="15824">
        <f>IF(HLOOKUP("Mins",A1:CV300,135,FALSE)=0,0,HLOOKUP("ICT Index",A1:CV300,135,FALSE)/HLOOKUP("Mins",A1:CV300,135,FALSE)* 90)</f>
        <v>3.3363636363636364</v>
      </c>
      <c r="BQ135" s="15825">
        <f>IF(HLOOKUP("Mins",A1:CV300,135,FALSE)=0,0,(0.02*(HLOOKUP("Shots",A1:CV300,135,FALSE)-HLOOKUP("SIB",A1:CV300,135,FALSE))+0.093*(HLOOKUP("SIB",A1:CV300,135,FALSE)-(HLOOKUP("PK Gs",A1:CV300,135,FALSE)+HLOOKUP("PK Miss",A1:CV300,135,FALSE)))+0.75*(HLOOKUP("PK Gs",A1:CV300,135,FALSE)+HLOOKUP("PK Miss",A1:CV300,135,FALSE)))/HLOOKUP("Mins",A1:CV300,135,FALSE)*90)</f>
        <v>4.2272727272727267E-2</v>
      </c>
      <c r="BR135" s="15826">
        <f>0.0825*HLOOKUP("KP/90",A1:CV300,135,FALSE)</f>
        <v>3.7500000000000006E-2</v>
      </c>
      <c r="BS135" s="15827">
        <f>6*HLOOKUP("xG/90",A1:CV300,135,FALSE)+3*HLOOKUP("xA/90",A1:CV300,135,FALSE)</f>
        <v>0.36613636363636359</v>
      </c>
      <c r="BT135" s="15828">
        <f>HLOOKUP("xPts/90",A1:CV300,135,FALSE)-(6*0.75*(HLOOKUP("PK Gs",A1:CV300,135,FALSE)+HLOOKUP("PK Miss",A1:CV300,135,FALSE))*90/HLOOKUP("Mins",A1:CV300,135,FALSE))</f>
        <v>0.36613636363636359</v>
      </c>
      <c r="BU135" s="15829">
        <f>IF(HLOOKUP("Mins",A1:CV300,135,FALSE)=0,0,HLOOKUP("fsXG",A1:CV300,135,FALSE)/HLOOKUP("Mins",A1:CV300,135,FALSE)* 90)</f>
        <v>8.5909090909090907E-2</v>
      </c>
      <c r="BV135" s="15830">
        <f>IF(HLOOKUP("Mins",A1:CV300,135,FALSE)=0,0,HLOOKUP("fsXA",A1:CV300,135,FALSE)/HLOOKUP("Mins",A1:CV300,135,FALSE)* 90)</f>
        <v>7.6818181818181813E-2</v>
      </c>
      <c r="BW135" s="15831">
        <f>6*HLOOKUP("fsXG/90",A1:CV300,135,FALSE)+3*HLOOKUP("fsXA/90",A1:CV300,135,FALSE)</f>
        <v>0.74590909090909085</v>
      </c>
      <c r="BX135" s="15832">
        <v>2.40438561886549E-2</v>
      </c>
      <c r="BY135" s="15833">
        <v>0.10482920706272125</v>
      </c>
      <c r="BZ135" s="15834">
        <f>6*HLOOKUP("uXG/90",A1:CV300,135,FALSE)+3*HLOOKUP("uXA/90",A1:CV300,135,FALSE)</f>
        <v>0.45875075832009315</v>
      </c>
    </row>
    <row r="136" spans="1:78" hidden="1" x14ac:dyDescent="0.3">
      <c r="A136" s="15835" t="s">
        <v>299</v>
      </c>
      <c r="B136" s="15836" t="s">
        <v>86</v>
      </c>
      <c r="C136" s="15837">
        <v>4.5</v>
      </c>
      <c r="D136" s="15838">
        <v>1222</v>
      </c>
      <c r="E136" s="15839">
        <v>14</v>
      </c>
      <c r="F136" s="15840">
        <v>34</v>
      </c>
      <c r="G136" s="15841">
        <v>0</v>
      </c>
      <c r="H136" s="15842">
        <v>4</v>
      </c>
      <c r="I136" s="15843">
        <v>212</v>
      </c>
      <c r="J136" s="15844">
        <f>HLOOKUP("BPS",A1:CV300,136,FALSE)-((-6*HLOOKUP("OG",A1:CV300,136,FALSE))+(-6*HLOOKUP("PK Miss",A1:CV300,136,FALSE))+(9*HLOOKUP("FPL As",A1:CV300,136,FALSE))+(12*HLOOKUP("CS",A1:CV300,136,FALSE))+(12*HLOOKUP("Gs",A1:CV300,136,FALSE)))</f>
        <v>176</v>
      </c>
      <c r="K136" s="15845">
        <v>0</v>
      </c>
      <c r="L136" s="15846">
        <v>3</v>
      </c>
      <c r="M136" s="15847">
        <v>9</v>
      </c>
      <c r="N136" s="15848">
        <v>5</v>
      </c>
      <c r="O136" s="15849">
        <v>5</v>
      </c>
      <c r="P136" s="15850">
        <f>IF(HLOOKUP("Shots",A1:CV300,136,FALSE)=0,0,HLOOKUP("SIB",A1:CV300,136,FALSE)/HLOOKUP("Shots",A1:CV300,136,FALSE))</f>
        <v>1</v>
      </c>
      <c r="Q136" s="15851">
        <v>1</v>
      </c>
      <c r="R136" s="15852">
        <f>IF(HLOOKUP("Shots",A1:CV300,136,FALSE)=0,0,HLOOKUP("S6YD",A1:CV300,136,FALSE)/HLOOKUP("Shots",A1:CV300,136,FALSE))</f>
        <v>0.2</v>
      </c>
      <c r="S136" s="15853">
        <v>4</v>
      </c>
      <c r="T136" s="15854">
        <f>IF(HLOOKUP("Shots",A1:CV300,136,FALSE)=0,0,HLOOKUP("Headers",A1:CV300,136,FALSE)/HLOOKUP("Shots",A1:CV300,136,FALSE))</f>
        <v>0.8</v>
      </c>
      <c r="U136" s="15855">
        <v>0</v>
      </c>
      <c r="V136" s="15856">
        <f>IF(HLOOKUP("Shots",A1:CV300,136,FALSE)=0,0,HLOOKUP("SOT",A1:CV300,136,FALSE)/HLOOKUP("Shots",A1:CV300,136,FALSE))</f>
        <v>0</v>
      </c>
      <c r="W136" s="15857">
        <f>IF(HLOOKUP("Shots",A1:CV300,136,FALSE)=0,0,HLOOKUP("Gs",A1:CV300,136,FALSE)/HLOOKUP("Shots",A1:CV300,136,FALSE))</f>
        <v>0</v>
      </c>
      <c r="X136" s="15858">
        <v>0</v>
      </c>
      <c r="Y136" s="15859">
        <v>0</v>
      </c>
      <c r="Z136" s="15860">
        <v>0</v>
      </c>
      <c r="AA136" s="15861">
        <f>IF(HLOOKUP("KP",A1:CV300,136,FALSE)=0,0,HLOOKUP("As",A1:CV300,136,FALSE)/HLOOKUP("KP",A1:CV300,136,FALSE))</f>
        <v>0</v>
      </c>
      <c r="AB136" s="15862">
        <v>29.9</v>
      </c>
      <c r="AC136" s="15863">
        <v>0</v>
      </c>
      <c r="AD136" s="15864">
        <v>0</v>
      </c>
      <c r="AE136" s="15865">
        <v>0</v>
      </c>
      <c r="AF136" s="15866">
        <v>0</v>
      </c>
      <c r="AG136" s="15867">
        <f>IF(HLOOKUP("BC",A1:CV300,136,FALSE)=0,0,HLOOKUP("Gs - BC",A1:CV300,136,FALSE)/HLOOKUP("BC",A1:CV300,136,FALSE))</f>
        <v>0</v>
      </c>
      <c r="AH136" s="15868">
        <f>HLOOKUP("BC",A1:CV300,136,FALSE) - HLOOKUP("BC Miss",A1:CV300,136,FALSE)</f>
        <v>0</v>
      </c>
      <c r="AI136" s="15869">
        <f>IF(HLOOKUP("Gs",A1:CV300,136,FALSE)=0,0,HLOOKUP("Gs - BC",A1:CV300,136,FALSE)/HLOOKUP("Gs",A1:CV300,136,FALSE))</f>
        <v>0</v>
      </c>
      <c r="AJ136" s="15870">
        <v>0</v>
      </c>
      <c r="AK136" s="15871">
        <v>0</v>
      </c>
      <c r="AL136" s="15872">
        <f>HLOOKUP("BC",A1:CV300,136,FALSE) - (HLOOKUP("PK Gs",A1:CV300,136,FALSE) + HLOOKUP("PK Miss",A1:CV300,136,FALSE))</f>
        <v>0</v>
      </c>
      <c r="AM136" s="15873">
        <f>HLOOKUP("BC Miss",A1:CV300,136,FALSE) - HLOOKUP("PK Miss",A1:CV300,136,FALSE)</f>
        <v>0</v>
      </c>
      <c r="AN136" s="15874">
        <f>IF(HLOOKUP("BC - Open",A1:CV300,136,FALSE)=0,0,HLOOKUP("BC - Open Miss",A1:CV300,136,FALSE)/HLOOKUP("BC - Open",A1:CV300,136,FALSE))</f>
        <v>0</v>
      </c>
      <c r="AO136" s="15875">
        <v>0</v>
      </c>
      <c r="AP136" s="15876">
        <f>IF(HLOOKUP("Gs",A1:CV300,136,FALSE)=0,0,HLOOKUP("GIB",A1:CV300,136,FALSE)/HLOOKUP("Gs",A1:CV300,136,FALSE))</f>
        <v>0</v>
      </c>
      <c r="AQ136" s="15877">
        <v>0</v>
      </c>
      <c r="AR136" s="15878">
        <f>IF(HLOOKUP("Gs",A1:CV300,136,FALSE)=0,0,HLOOKUP("Gs - Open",A1:CV300,136,FALSE)/HLOOKUP("Gs",A1:CV300,136,FALSE))</f>
        <v>0</v>
      </c>
      <c r="AS136" s="15879">
        <v>0.47</v>
      </c>
      <c r="AT136" s="15880">
        <v>7.0000000000000007E-2</v>
      </c>
      <c r="AU136" s="15881">
        <f>IF(HLOOKUP("Mins",A1:CV300,136,FALSE)=0,0,HLOOKUP("Pts",A1:CV300,136,FALSE)/HLOOKUP("Mins",A1:CV300,136,FALSE)* 90)</f>
        <v>2.5040916530278232</v>
      </c>
      <c r="AV136" s="15882">
        <f>IF(HLOOKUP("Apps",A1:CV300,136,FALSE)=0,0,HLOOKUP("Pts",A1:CV300,136,FALSE)/HLOOKUP("Apps",A1:CV300,136,FALSE)* 1)</f>
        <v>2.4285714285714284</v>
      </c>
      <c r="AW136" s="15883">
        <f>IF(HLOOKUP("Mins",A1:CV300,136,FALSE)=0,0,HLOOKUP("Gs",A1:CV300,136,FALSE)/HLOOKUP("Mins",A1:CV300,136,FALSE)* 90)</f>
        <v>0</v>
      </c>
      <c r="AX136" s="15884">
        <f>IF(HLOOKUP("Mins",A1:CV300,136,FALSE)=0,0,HLOOKUP("Bonus",A1:CV300,136,FALSE)/HLOOKUP("Mins",A1:CV300,136,FALSE)* 90)</f>
        <v>0.29459901800327332</v>
      </c>
      <c r="AY136" s="15885">
        <f>IF(HLOOKUP("Mins",A1:CV300,136,FALSE)=0,0,HLOOKUP("BPS",A1:CV300,136,FALSE)/HLOOKUP("Mins",A1:CV300,136,FALSE)* 90)</f>
        <v>15.613747954173485</v>
      </c>
      <c r="AZ136" s="15886">
        <f>IF(HLOOKUP("Mins",A1:CV300,136,FALSE)=0,0,HLOOKUP("Base BPS",A1:CV300,136,FALSE)/HLOOKUP("Mins",A1:CV300,136,FALSE)* 90)</f>
        <v>12.962356792144027</v>
      </c>
      <c r="BA136" s="15887">
        <f>IF(HLOOKUP("Mins",A1:CV300,136,FALSE)=0,0,HLOOKUP("PenTchs",A1:CV300,136,FALSE)/HLOOKUP("Mins",A1:CV300,136,FALSE)* 90)</f>
        <v>0.66284779050736498</v>
      </c>
      <c r="BB136" s="15888">
        <f>IF(HLOOKUP("Mins",A1:CV300,136,FALSE)=0,0,HLOOKUP("Shots",A1:CV300,136,FALSE)/HLOOKUP("Mins",A1:CV300,136,FALSE)* 90)</f>
        <v>0.36824877250409166</v>
      </c>
      <c r="BC136" s="15889">
        <f>IF(HLOOKUP("Mins",A1:CV300,136,FALSE)=0,0,HLOOKUP("SIB",A1:CV300,136,FALSE)/HLOOKUP("Mins",A1:CV300,136,FALSE)* 90)</f>
        <v>0.36824877250409166</v>
      </c>
      <c r="BD136" s="15890">
        <f>IF(HLOOKUP("Mins",A1:CV300,136,FALSE)=0,0,HLOOKUP("S6YD",A1:CV300,136,FALSE)/HLOOKUP("Mins",A1:CV300,136,FALSE)* 90)</f>
        <v>7.3649754500818329E-2</v>
      </c>
      <c r="BE136" s="15891">
        <f>IF(HLOOKUP("Mins",A1:CV300,136,FALSE)=0,0,HLOOKUP("Headers",A1:CV300,136,FALSE)/HLOOKUP("Mins",A1:CV300,136,FALSE)* 90)</f>
        <v>0.29459901800327332</v>
      </c>
      <c r="BF136" s="15892">
        <f>IF(HLOOKUP("Mins",A1:CV300,136,FALSE)=0,0,HLOOKUP("SOT",A1:CV300,136,FALSE)/HLOOKUP("Mins",A1:CV300,136,FALSE)* 90)</f>
        <v>0</v>
      </c>
      <c r="BG136" s="15893">
        <f>IF(HLOOKUP("Mins",A1:CV300,136,FALSE)=0,0,HLOOKUP("As",A1:CV300,136,FALSE)/HLOOKUP("Mins",A1:CV300,136,FALSE)* 90)</f>
        <v>0</v>
      </c>
      <c r="BH136" s="15894">
        <f>IF(HLOOKUP("Mins",A1:CV300,136,FALSE)=0,0,HLOOKUP("FPL As",A1:CV300,136,FALSE)/HLOOKUP("Mins",A1:CV300,136,FALSE)* 90)</f>
        <v>0</v>
      </c>
      <c r="BI136" s="15895">
        <f>IF(HLOOKUP("Mins",A1:CV300,136,FALSE)=0,0,HLOOKUP("BC Created",A1:CV300,136,FALSE)/HLOOKUP("Mins",A1:CV300,136,FALSE)* 90)</f>
        <v>0</v>
      </c>
      <c r="BJ136" s="15896">
        <f>IF(HLOOKUP("Mins",A1:CV300,136,FALSE)=0,0,HLOOKUP("KP",A1:CV300,136,FALSE)/HLOOKUP("Mins",A1:CV300,136,FALSE)* 90)</f>
        <v>0</v>
      </c>
      <c r="BK136" s="15897">
        <f>IF(HLOOKUP("Mins",A1:CV300,136,FALSE)=0,0,HLOOKUP("BC",A1:CV300,136,FALSE)/HLOOKUP("Mins",A1:CV300,136,FALSE)* 90)</f>
        <v>0</v>
      </c>
      <c r="BL136" s="15898">
        <f>IF(HLOOKUP("Mins",A1:CV300,136,FALSE)=0,0,HLOOKUP("BC Miss",A1:CV300,136,FALSE)/HLOOKUP("Mins",A1:CV300,136,FALSE)* 90)</f>
        <v>0</v>
      </c>
      <c r="BM136" s="15899">
        <f>IF(HLOOKUP("Mins",A1:CV300,136,FALSE)=0,0,HLOOKUP("Gs - BC",A1:CV300,136,FALSE)/HLOOKUP("Mins",A1:CV300,136,FALSE)* 90)</f>
        <v>0</v>
      </c>
      <c r="BN136" s="15900">
        <f>IF(HLOOKUP("Mins",A1:CV300,136,FALSE)=0,0,HLOOKUP("GIB",A1:CV300,136,FALSE)/HLOOKUP("Mins",A1:CV300,136,FALSE)* 90)</f>
        <v>0</v>
      </c>
      <c r="BO136" s="15901">
        <f>IF(HLOOKUP("Mins",A1:CV300,136,FALSE)=0,0,HLOOKUP("Gs - Open",A1:CV300,136,FALSE)/HLOOKUP("Mins",A1:CV300,136,FALSE)* 90)</f>
        <v>0</v>
      </c>
      <c r="BP136" s="15902">
        <f>IF(HLOOKUP("Mins",A1:CV300,136,FALSE)=0,0,HLOOKUP("ICT Index",A1:CV300,136,FALSE)/HLOOKUP("Mins",A1:CV300,136,FALSE)* 90)</f>
        <v>2.2021276595744679</v>
      </c>
      <c r="BQ136" s="15903">
        <f>IF(HLOOKUP("Mins",A1:CV300,136,FALSE)=0,0,(0.02*(HLOOKUP("Shots",A1:CV300,136,FALSE)-HLOOKUP("SIB",A1:CV300,136,FALSE))+0.093*(HLOOKUP("SIB",A1:CV300,136,FALSE)-(HLOOKUP("PK Gs",A1:CV300,136,FALSE)+HLOOKUP("PK Miss",A1:CV300,136,FALSE)))+0.75*(HLOOKUP("PK Gs",A1:CV300,136,FALSE)+HLOOKUP("PK Miss",A1:CV300,136,FALSE)))/HLOOKUP("Mins",A1:CV300,136,FALSE)*90)</f>
        <v>3.424713584288052E-2</v>
      </c>
      <c r="BR136" s="15904">
        <f>0.0825*HLOOKUP("KP/90",A1:CV300,136,FALSE)</f>
        <v>0</v>
      </c>
      <c r="BS136" s="15905">
        <f>6*HLOOKUP("xG/90",A1:CV300,136,FALSE)+3*HLOOKUP("xA/90",A1:CV300,136,FALSE)</f>
        <v>0.20548281505728311</v>
      </c>
      <c r="BT136" s="15906">
        <f>HLOOKUP("xPts/90",A1:CV300,136,FALSE)-(6*0.75*(HLOOKUP("PK Gs",A1:CV300,136,FALSE)+HLOOKUP("PK Miss",A1:CV300,136,FALSE))*90/HLOOKUP("Mins",A1:CV300,136,FALSE))</f>
        <v>0.20548281505728311</v>
      </c>
      <c r="BU136" s="15907">
        <f>IF(HLOOKUP("Mins",A1:CV300,136,FALSE)=0,0,HLOOKUP("fsXG",A1:CV300,136,FALSE)/HLOOKUP("Mins",A1:CV300,136,FALSE)* 90)</f>
        <v>3.4615384615384617E-2</v>
      </c>
      <c r="BV136" s="15908">
        <f>IF(HLOOKUP("Mins",A1:CV300,136,FALSE)=0,0,HLOOKUP("fsXA",A1:CV300,136,FALSE)/HLOOKUP("Mins",A1:CV300,136,FALSE)* 90)</f>
        <v>5.1554828150572841E-3</v>
      </c>
      <c r="BW136" s="15909">
        <f>6*HLOOKUP("fsXG/90",A1:CV300,136,FALSE)+3*HLOOKUP("fsXA/90",A1:CV300,136,FALSE)</f>
        <v>0.22315875613747954</v>
      </c>
      <c r="BX136" s="15910">
        <v>1.822299137711525E-2</v>
      </c>
      <c r="BY136" s="15911">
        <v>0</v>
      </c>
      <c r="BZ136" s="15912">
        <f>6*HLOOKUP("uXG/90",A1:CV300,136,FALSE)+3*HLOOKUP("uXA/90",A1:CV300,136,FALSE)</f>
        <v>0.1093379482626915</v>
      </c>
    </row>
    <row r="137" spans="1:78" hidden="1" x14ac:dyDescent="0.3">
      <c r="A137" s="15913" t="s">
        <v>300</v>
      </c>
      <c r="B137" s="15914" t="s">
        <v>81</v>
      </c>
      <c r="C137" s="15915">
        <v>5.0999999046325684</v>
      </c>
      <c r="D137" s="15916">
        <v>1890</v>
      </c>
      <c r="E137" s="15917">
        <v>21</v>
      </c>
      <c r="F137" s="15918">
        <v>82</v>
      </c>
      <c r="G137" s="15919">
        <v>1</v>
      </c>
      <c r="H137" s="15920">
        <v>8</v>
      </c>
      <c r="I137" s="15921">
        <v>458</v>
      </c>
      <c r="J137" s="15922">
        <f>HLOOKUP("BPS",A1:CV300,137,FALSE)-((-6*HLOOKUP("OG",A1:CV300,137,FALSE))+(-6*HLOOKUP("PK Miss",A1:CV300,137,FALSE))+(9*HLOOKUP("FPL As",A1:CV300,137,FALSE))+(12*HLOOKUP("CS",A1:CV300,137,FALSE))+(12*HLOOKUP("Gs",A1:CV300,137,FALSE)))</f>
        <v>341</v>
      </c>
      <c r="K137" s="15923">
        <v>0</v>
      </c>
      <c r="L137" s="15924">
        <v>8</v>
      </c>
      <c r="M137" s="15925">
        <v>21</v>
      </c>
      <c r="N137" s="15926">
        <v>10</v>
      </c>
      <c r="O137" s="15927">
        <v>9</v>
      </c>
      <c r="P137" s="15928">
        <f>IF(HLOOKUP("Shots",A1:CV300,137,FALSE)=0,0,HLOOKUP("SIB",A1:CV300,137,FALSE)/HLOOKUP("Shots",A1:CV300,137,FALSE))</f>
        <v>0.9</v>
      </c>
      <c r="Q137" s="15929">
        <v>4</v>
      </c>
      <c r="R137" s="15930">
        <f>IF(HLOOKUP("Shots",A1:CV300,137,FALSE)=0,0,HLOOKUP("S6YD",A1:CV300,137,FALSE)/HLOOKUP("Shots",A1:CV300,137,FALSE))</f>
        <v>0.4</v>
      </c>
      <c r="S137" s="15931">
        <v>6</v>
      </c>
      <c r="T137" s="15932">
        <f>IF(HLOOKUP("Shots",A1:CV300,137,FALSE)=0,0,HLOOKUP("Headers",A1:CV300,137,FALSE)/HLOOKUP("Shots",A1:CV300,137,FALSE))</f>
        <v>0.6</v>
      </c>
      <c r="U137" s="15933">
        <v>3</v>
      </c>
      <c r="V137" s="15934">
        <f>IF(HLOOKUP("Shots",A1:CV300,137,FALSE)=0,0,HLOOKUP("SOT",A1:CV300,137,FALSE)/HLOOKUP("Shots",A1:CV300,137,FALSE))</f>
        <v>0.3</v>
      </c>
      <c r="W137" s="15935">
        <f>IF(HLOOKUP("Shots",A1:CV300,137,FALSE)=0,0,HLOOKUP("Gs",A1:CV300,137,FALSE)/HLOOKUP("Shots",A1:CV300,137,FALSE))</f>
        <v>0.1</v>
      </c>
      <c r="X137" s="15936">
        <v>1</v>
      </c>
      <c r="Y137" s="15937">
        <v>1</v>
      </c>
      <c r="Z137" s="15938">
        <v>3</v>
      </c>
      <c r="AA137" s="15939">
        <f>IF(HLOOKUP("KP",A1:CV300,137,FALSE)=0,0,HLOOKUP("As",A1:CV300,137,FALSE)/HLOOKUP("KP",A1:CV300,137,FALSE))</f>
        <v>0.33333333333333331</v>
      </c>
      <c r="AB137" s="15940">
        <v>72.3</v>
      </c>
      <c r="AC137" s="15941">
        <v>4</v>
      </c>
      <c r="AD137" s="15942">
        <v>1</v>
      </c>
      <c r="AE137" s="15943">
        <v>2</v>
      </c>
      <c r="AF137" s="15944">
        <v>1</v>
      </c>
      <c r="AG137" s="15945">
        <f>IF(HLOOKUP("BC",A1:CV300,137,FALSE)=0,0,HLOOKUP("Gs - BC",A1:CV300,137,FALSE)/HLOOKUP("BC",A1:CV300,137,FALSE))</f>
        <v>0.5</v>
      </c>
      <c r="AH137" s="15946">
        <f>HLOOKUP("BC",A1:CV300,137,FALSE) - HLOOKUP("BC Miss",A1:CV300,137,FALSE)</f>
        <v>1</v>
      </c>
      <c r="AI137" s="15947">
        <f>IF(HLOOKUP("Gs",A1:CV300,137,FALSE)=0,0,HLOOKUP("Gs - BC",A1:CV300,137,FALSE)/HLOOKUP("Gs",A1:CV300,137,FALSE))</f>
        <v>1</v>
      </c>
      <c r="AJ137" s="15948">
        <v>0</v>
      </c>
      <c r="AK137" s="15949">
        <v>0</v>
      </c>
      <c r="AL137" s="15950">
        <f>HLOOKUP("BC",A1:CV300,137,FALSE) - (HLOOKUP("PK Gs",A1:CV300,137,FALSE) + HLOOKUP("PK Miss",A1:CV300,137,FALSE))</f>
        <v>2</v>
      </c>
      <c r="AM137" s="15951">
        <f>HLOOKUP("BC Miss",A1:CV300,137,FALSE) - HLOOKUP("PK Miss",A1:CV300,137,FALSE)</f>
        <v>1</v>
      </c>
      <c r="AN137" s="15952">
        <f>IF(HLOOKUP("BC - Open",A1:CV300,137,FALSE)=0,0,HLOOKUP("BC - Open Miss",A1:CV300,137,FALSE)/HLOOKUP("BC - Open",A1:CV300,137,FALSE))</f>
        <v>0.5</v>
      </c>
      <c r="AO137" s="15953">
        <v>1</v>
      </c>
      <c r="AP137" s="15954">
        <f>IF(HLOOKUP("Gs",A1:CV300,137,FALSE)=0,0,HLOOKUP("GIB",A1:CV300,137,FALSE)/HLOOKUP("Gs",A1:CV300,137,FALSE))</f>
        <v>1</v>
      </c>
      <c r="AQ137" s="15955">
        <v>0</v>
      </c>
      <c r="AR137" s="15956">
        <f>IF(HLOOKUP("Gs",A1:CV300,137,FALSE)=0,0,HLOOKUP("Gs - Open",A1:CV300,137,FALSE)/HLOOKUP("Gs",A1:CV300,137,FALSE))</f>
        <v>0</v>
      </c>
      <c r="AS137" s="15957">
        <v>1.42</v>
      </c>
      <c r="AT137" s="15958">
        <v>0.2</v>
      </c>
      <c r="AU137" s="15959">
        <f>IF(HLOOKUP("Mins",A1:CV300,137,FALSE)=0,0,HLOOKUP("Pts",A1:CV300,137,FALSE)/HLOOKUP("Mins",A1:CV300,137,FALSE)* 90)</f>
        <v>3.9047619047619051</v>
      </c>
      <c r="AV137" s="15960">
        <f>IF(HLOOKUP("Apps",A1:CV300,137,FALSE)=0,0,HLOOKUP("Pts",A1:CV300,137,FALSE)/HLOOKUP("Apps",A1:CV300,137,FALSE)* 1)</f>
        <v>3.9047619047619047</v>
      </c>
      <c r="AW137" s="15961">
        <f>IF(HLOOKUP("Mins",A1:CV300,137,FALSE)=0,0,HLOOKUP("Gs",A1:CV300,137,FALSE)/HLOOKUP("Mins",A1:CV300,137,FALSE)* 90)</f>
        <v>4.7619047619047623E-2</v>
      </c>
      <c r="AX137" s="15962">
        <f>IF(HLOOKUP("Mins",A1:CV300,137,FALSE)=0,0,HLOOKUP("Bonus",A1:CV300,137,FALSE)/HLOOKUP("Mins",A1:CV300,137,FALSE)* 90)</f>
        <v>0.38095238095238099</v>
      </c>
      <c r="AY137" s="15963">
        <f>IF(HLOOKUP("Mins",A1:CV300,137,FALSE)=0,0,HLOOKUP("BPS",A1:CV300,137,FALSE)/HLOOKUP("Mins",A1:CV300,137,FALSE)* 90)</f>
        <v>21.80952380952381</v>
      </c>
      <c r="AZ137" s="15964">
        <f>IF(HLOOKUP("Mins",A1:CV300,137,FALSE)=0,0,HLOOKUP("Base BPS",A1:CV300,137,FALSE)/HLOOKUP("Mins",A1:CV300,137,FALSE)* 90)</f>
        <v>16.238095238095237</v>
      </c>
      <c r="BA137" s="15965">
        <f>IF(HLOOKUP("Mins",A1:CV300,137,FALSE)=0,0,HLOOKUP("PenTchs",A1:CV300,137,FALSE)/HLOOKUP("Mins",A1:CV300,137,FALSE)* 90)</f>
        <v>1</v>
      </c>
      <c r="BB137" s="15966">
        <f>IF(HLOOKUP("Mins",A1:CV300,137,FALSE)=0,0,HLOOKUP("Shots",A1:CV300,137,FALSE)/HLOOKUP("Mins",A1:CV300,137,FALSE)* 90)</f>
        <v>0.47619047619047616</v>
      </c>
      <c r="BC137" s="15967">
        <f>IF(HLOOKUP("Mins",A1:CV300,137,FALSE)=0,0,HLOOKUP("SIB",A1:CV300,137,FALSE)/HLOOKUP("Mins",A1:CV300,137,FALSE)* 90)</f>
        <v>0.4285714285714286</v>
      </c>
      <c r="BD137" s="15968">
        <f>IF(HLOOKUP("Mins",A1:CV300,137,FALSE)=0,0,HLOOKUP("S6YD",A1:CV300,137,FALSE)/HLOOKUP("Mins",A1:CV300,137,FALSE)* 90)</f>
        <v>0.19047619047619049</v>
      </c>
      <c r="BE137" s="15969">
        <f>IF(HLOOKUP("Mins",A1:CV300,137,FALSE)=0,0,HLOOKUP("Headers",A1:CV300,137,FALSE)/HLOOKUP("Mins",A1:CV300,137,FALSE)* 90)</f>
        <v>0.2857142857142857</v>
      </c>
      <c r="BF137" s="15970">
        <f>IF(HLOOKUP("Mins",A1:CV300,137,FALSE)=0,0,HLOOKUP("SOT",A1:CV300,137,FALSE)/HLOOKUP("Mins",A1:CV300,137,FALSE)* 90)</f>
        <v>0.14285714285714285</v>
      </c>
      <c r="BG137" s="15971">
        <f>IF(HLOOKUP("Mins",A1:CV300,137,FALSE)=0,0,HLOOKUP("As",A1:CV300,137,FALSE)/HLOOKUP("Mins",A1:CV300,137,FALSE)* 90)</f>
        <v>4.7619047619047623E-2</v>
      </c>
      <c r="BH137" s="15972">
        <f>IF(HLOOKUP("Mins",A1:CV300,137,FALSE)=0,0,HLOOKUP("FPL As",A1:CV300,137,FALSE)/HLOOKUP("Mins",A1:CV300,137,FALSE)* 90)</f>
        <v>4.7619047619047623E-2</v>
      </c>
      <c r="BI137" s="15973">
        <f>IF(HLOOKUP("Mins",A1:CV300,137,FALSE)=0,0,HLOOKUP("BC Created",A1:CV300,137,FALSE)/HLOOKUP("Mins",A1:CV300,137,FALSE)* 90)</f>
        <v>4.7619047619047623E-2</v>
      </c>
      <c r="BJ137" s="15974">
        <f>IF(HLOOKUP("Mins",A1:CV300,137,FALSE)=0,0,HLOOKUP("KP",A1:CV300,137,FALSE)/HLOOKUP("Mins",A1:CV300,137,FALSE)* 90)</f>
        <v>0.14285714285714285</v>
      </c>
      <c r="BK137" s="15975">
        <f>IF(HLOOKUP("Mins",A1:CV300,137,FALSE)=0,0,HLOOKUP("BC",A1:CV300,137,FALSE)/HLOOKUP("Mins",A1:CV300,137,FALSE)* 90)</f>
        <v>9.5238095238095247E-2</v>
      </c>
      <c r="BL137" s="15976">
        <f>IF(HLOOKUP("Mins",A1:CV300,137,FALSE)=0,0,HLOOKUP("BC Miss",A1:CV300,137,FALSE)/HLOOKUP("Mins",A1:CV300,137,FALSE)* 90)</f>
        <v>4.7619047619047623E-2</v>
      </c>
      <c r="BM137" s="15977">
        <f>IF(HLOOKUP("Mins",A1:CV300,137,FALSE)=0,0,HLOOKUP("Gs - BC",A1:CV300,137,FALSE)/HLOOKUP("Mins",A1:CV300,137,FALSE)* 90)</f>
        <v>4.7619047619047623E-2</v>
      </c>
      <c r="BN137" s="15978">
        <f>IF(HLOOKUP("Mins",A1:CV300,137,FALSE)=0,0,HLOOKUP("GIB",A1:CV300,137,FALSE)/HLOOKUP("Mins",A1:CV300,137,FALSE)* 90)</f>
        <v>4.7619047619047623E-2</v>
      </c>
      <c r="BO137" s="15979">
        <f>IF(HLOOKUP("Mins",A1:CV300,137,FALSE)=0,0,HLOOKUP("Gs - Open",A1:CV300,137,FALSE)/HLOOKUP("Mins",A1:CV300,137,FALSE)* 90)</f>
        <v>0</v>
      </c>
      <c r="BP137" s="15980">
        <f>IF(HLOOKUP("Mins",A1:CV300,137,FALSE)=0,0,HLOOKUP("ICT Index",A1:CV300,137,FALSE)/HLOOKUP("Mins",A1:CV300,137,FALSE)* 90)</f>
        <v>3.4428571428571431</v>
      </c>
      <c r="BQ137" s="15981">
        <f>IF(HLOOKUP("Mins",A1:CV300,137,FALSE)=0,0,(0.02*(HLOOKUP("Shots",A1:CV300,137,FALSE)-HLOOKUP("SIB",A1:CV300,137,FALSE))+0.093*(HLOOKUP("SIB",A1:CV300,137,FALSE)-(HLOOKUP("PK Gs",A1:CV300,137,FALSE)+HLOOKUP("PK Miss",A1:CV300,137,FALSE)))+0.75*(HLOOKUP("PK Gs",A1:CV300,137,FALSE)+HLOOKUP("PK Miss",A1:CV300,137,FALSE)))/HLOOKUP("Mins",A1:CV300,137,FALSE)*90)</f>
        <v>4.0809523809523809E-2</v>
      </c>
      <c r="BR137" s="15982">
        <f>0.0825*HLOOKUP("KP/90",A1:CV300,137,FALSE)</f>
        <v>1.1785714285714285E-2</v>
      </c>
      <c r="BS137" s="15983">
        <f>6*HLOOKUP("xG/90",A1:CV300,137,FALSE)+3*HLOOKUP("xA/90",A1:CV300,137,FALSE)</f>
        <v>0.28021428571428569</v>
      </c>
      <c r="BT137" s="15984">
        <f>HLOOKUP("xPts/90",A1:CV300,137,FALSE)-(6*0.75*(HLOOKUP("PK Gs",A1:CV300,137,FALSE)+HLOOKUP("PK Miss",A1:CV300,137,FALSE))*90/HLOOKUP("Mins",A1:CV300,137,FALSE))</f>
        <v>0.28021428571428569</v>
      </c>
      <c r="BU137" s="15985">
        <f>IF(HLOOKUP("Mins",A1:CV300,137,FALSE)=0,0,HLOOKUP("fsXG",A1:CV300,137,FALSE)/HLOOKUP("Mins",A1:CV300,137,FALSE)* 90)</f>
        <v>6.761904761904762E-2</v>
      </c>
      <c r="BV137" s="15986">
        <f>IF(HLOOKUP("Mins",A1:CV300,137,FALSE)=0,0,HLOOKUP("fsXA",A1:CV300,137,FALSE)/HLOOKUP("Mins",A1:CV300,137,FALSE)* 90)</f>
        <v>9.5238095238095247E-3</v>
      </c>
      <c r="BW137" s="15987">
        <f>6*HLOOKUP("fsXG/90",A1:CV300,137,FALSE)+3*HLOOKUP("fsXA/90",A1:CV300,137,FALSE)</f>
        <v>0.43428571428571427</v>
      </c>
      <c r="BX137" s="15988">
        <v>2.819635346531868E-2</v>
      </c>
      <c r="BY137" s="15989">
        <v>1.1906197294592857E-2</v>
      </c>
      <c r="BZ137" s="15990">
        <f>6*HLOOKUP("uXG/90",A1:CV300,137,FALSE)+3*HLOOKUP("uXA/90",A1:CV300,137,FALSE)</f>
        <v>0.20489671267569065</v>
      </c>
    </row>
    <row r="138" spans="1:78" hidden="1" x14ac:dyDescent="0.3">
      <c r="A138" s="15991" t="s">
        <v>301</v>
      </c>
      <c r="B138" s="15992" t="s">
        <v>84</v>
      </c>
      <c r="C138" s="15993">
        <v>5.0999999046325684</v>
      </c>
      <c r="D138" s="15994">
        <v>1980</v>
      </c>
      <c r="E138" s="15995">
        <v>22</v>
      </c>
      <c r="F138" s="15996">
        <v>85</v>
      </c>
      <c r="G138" s="15997">
        <v>1</v>
      </c>
      <c r="H138" s="15998">
        <v>7</v>
      </c>
      <c r="I138" s="15999">
        <v>402</v>
      </c>
      <c r="J138" s="16000">
        <f>HLOOKUP("BPS",A1:CV300,138,FALSE)-((-6*HLOOKUP("OG",A1:CV300,138,FALSE))+(-6*HLOOKUP("PK Miss",A1:CV300,138,FALSE))+(9*HLOOKUP("FPL As",A1:CV300,138,FALSE))+(12*HLOOKUP("CS",A1:CV300,138,FALSE))+(12*HLOOKUP("Gs",A1:CV300,138,FALSE)))</f>
        <v>276</v>
      </c>
      <c r="K138" s="16001">
        <v>0</v>
      </c>
      <c r="L138" s="16002">
        <v>8</v>
      </c>
      <c r="M138" s="16003">
        <v>41</v>
      </c>
      <c r="N138" s="16004">
        <v>12</v>
      </c>
      <c r="O138" s="16005">
        <v>9</v>
      </c>
      <c r="P138" s="16006">
        <f>IF(HLOOKUP("Shots",A1:CV300,138,FALSE)=0,0,HLOOKUP("SIB",A1:CV300,138,FALSE)/HLOOKUP("Shots",A1:CV300,138,FALSE))</f>
        <v>0.75</v>
      </c>
      <c r="Q138" s="16007">
        <v>0</v>
      </c>
      <c r="R138" s="16008">
        <f>IF(HLOOKUP("Shots",A1:CV300,138,FALSE)=0,0,HLOOKUP("S6YD",A1:CV300,138,FALSE)/HLOOKUP("Shots",A1:CV300,138,FALSE))</f>
        <v>0</v>
      </c>
      <c r="S138" s="16009">
        <v>1</v>
      </c>
      <c r="T138" s="16010">
        <f>IF(HLOOKUP("Shots",A1:CV300,138,FALSE)=0,0,HLOOKUP("Headers",A1:CV300,138,FALSE)/HLOOKUP("Shots",A1:CV300,138,FALSE))</f>
        <v>8.3333333333333329E-2</v>
      </c>
      <c r="U138" s="16011">
        <v>2</v>
      </c>
      <c r="V138" s="16012">
        <f>IF(HLOOKUP("Shots",A1:CV300,138,FALSE)=0,0,HLOOKUP("SOT",A1:CV300,138,FALSE)/HLOOKUP("Shots",A1:CV300,138,FALSE))</f>
        <v>0.16666666666666666</v>
      </c>
      <c r="W138" s="16013">
        <f>IF(HLOOKUP("Shots",A1:CV300,138,FALSE)=0,0,HLOOKUP("Gs",A1:CV300,138,FALSE)/HLOOKUP("Shots",A1:CV300,138,FALSE))</f>
        <v>8.3333333333333329E-2</v>
      </c>
      <c r="X138" s="16014">
        <v>2</v>
      </c>
      <c r="Y138" s="16015">
        <v>2</v>
      </c>
      <c r="Z138" s="16016">
        <v>24</v>
      </c>
      <c r="AA138" s="16017">
        <f>IF(HLOOKUP("KP",A1:CV300,138,FALSE)=0,0,HLOOKUP("As",A1:CV300,138,FALSE)/HLOOKUP("KP",A1:CV300,138,FALSE))</f>
        <v>8.3333333333333329E-2</v>
      </c>
      <c r="AB138" s="16018">
        <v>94.4</v>
      </c>
      <c r="AC138" s="16019">
        <v>12</v>
      </c>
      <c r="AD138" s="16020">
        <v>7</v>
      </c>
      <c r="AE138" s="16021">
        <v>0</v>
      </c>
      <c r="AF138" s="16022">
        <v>0</v>
      </c>
      <c r="AG138" s="16023">
        <f>IF(HLOOKUP("BC",A1:CV300,138,FALSE)=0,0,HLOOKUP("Gs - BC",A1:CV300,138,FALSE)/HLOOKUP("BC",A1:CV300,138,FALSE))</f>
        <v>0</v>
      </c>
      <c r="AH138" s="16024">
        <f>HLOOKUP("BC",A1:CV300,138,FALSE) - HLOOKUP("BC Miss",A1:CV300,138,FALSE)</f>
        <v>0</v>
      </c>
      <c r="AI138" s="16025">
        <f>IF(HLOOKUP("Gs",A1:CV300,138,FALSE)=0,0,HLOOKUP("Gs - BC",A1:CV300,138,FALSE)/HLOOKUP("Gs",A1:CV300,138,FALSE))</f>
        <v>0</v>
      </c>
      <c r="AJ138" s="16026">
        <v>0</v>
      </c>
      <c r="AK138" s="16027">
        <v>0</v>
      </c>
      <c r="AL138" s="16028">
        <f>HLOOKUP("BC",A1:CV300,138,FALSE) - (HLOOKUP("PK Gs",A1:CV300,138,FALSE) + HLOOKUP("PK Miss",A1:CV300,138,FALSE))</f>
        <v>0</v>
      </c>
      <c r="AM138" s="16029">
        <f>HLOOKUP("BC Miss",A1:CV300,138,FALSE) - HLOOKUP("PK Miss",A1:CV300,138,FALSE)</f>
        <v>0</v>
      </c>
      <c r="AN138" s="16030">
        <f>IF(HLOOKUP("BC - Open",A1:CV300,138,FALSE)=0,0,HLOOKUP("BC - Open Miss",A1:CV300,138,FALSE)/HLOOKUP("BC - Open",A1:CV300,138,FALSE))</f>
        <v>0</v>
      </c>
      <c r="AO138" s="16031">
        <v>1</v>
      </c>
      <c r="AP138" s="16032">
        <f>IF(HLOOKUP("Gs",A1:CV300,138,FALSE)=0,0,HLOOKUP("GIB",A1:CV300,138,FALSE)/HLOOKUP("Gs",A1:CV300,138,FALSE))</f>
        <v>1</v>
      </c>
      <c r="AQ138" s="16033">
        <v>1</v>
      </c>
      <c r="AR138" s="16034">
        <f>IF(HLOOKUP("Gs",A1:CV300,138,FALSE)=0,0,HLOOKUP("Gs - Open",A1:CV300,138,FALSE)/HLOOKUP("Gs",A1:CV300,138,FALSE))</f>
        <v>1</v>
      </c>
      <c r="AS138" s="16035">
        <v>0.59</v>
      </c>
      <c r="AT138" s="16036">
        <v>2.59</v>
      </c>
      <c r="AU138" s="16037">
        <f>IF(HLOOKUP("Mins",A1:CV300,138,FALSE)=0,0,HLOOKUP("Pts",A1:CV300,138,FALSE)/HLOOKUP("Mins",A1:CV300,138,FALSE)* 90)</f>
        <v>3.8636363636363633</v>
      </c>
      <c r="AV138" s="16038">
        <f>IF(HLOOKUP("Apps",A1:CV300,138,FALSE)=0,0,HLOOKUP("Pts",A1:CV300,138,FALSE)/HLOOKUP("Apps",A1:CV300,138,FALSE)* 1)</f>
        <v>3.8636363636363638</v>
      </c>
      <c r="AW138" s="16039">
        <f>IF(HLOOKUP("Mins",A1:CV300,138,FALSE)=0,0,HLOOKUP("Gs",A1:CV300,138,FALSE)/HLOOKUP("Mins",A1:CV300,138,FALSE)* 90)</f>
        <v>4.5454545454545456E-2</v>
      </c>
      <c r="AX138" s="16040">
        <f>IF(HLOOKUP("Mins",A1:CV300,138,FALSE)=0,0,HLOOKUP("Bonus",A1:CV300,138,FALSE)/HLOOKUP("Mins",A1:CV300,138,FALSE)* 90)</f>
        <v>0.31818181818181818</v>
      </c>
      <c r="AY138" s="16041">
        <f>IF(HLOOKUP("Mins",A1:CV300,138,FALSE)=0,0,HLOOKUP("BPS",A1:CV300,138,FALSE)/HLOOKUP("Mins",A1:CV300,138,FALSE)* 90)</f>
        <v>18.272727272727273</v>
      </c>
      <c r="AZ138" s="16042">
        <f>IF(HLOOKUP("Mins",A1:CV300,138,FALSE)=0,0,HLOOKUP("Base BPS",A1:CV300,138,FALSE)/HLOOKUP("Mins",A1:CV300,138,FALSE)* 90)</f>
        <v>12.545454545454547</v>
      </c>
      <c r="BA138" s="16043">
        <f>IF(HLOOKUP("Mins",A1:CV300,138,FALSE)=0,0,HLOOKUP("PenTchs",A1:CV300,138,FALSE)/HLOOKUP("Mins",A1:CV300,138,FALSE)* 90)</f>
        <v>1.8636363636363638</v>
      </c>
      <c r="BB138" s="16044">
        <f>IF(HLOOKUP("Mins",A1:CV300,138,FALSE)=0,0,HLOOKUP("Shots",A1:CV300,138,FALSE)/HLOOKUP("Mins",A1:CV300,138,FALSE)* 90)</f>
        <v>0.54545454545454541</v>
      </c>
      <c r="BC138" s="16045">
        <f>IF(HLOOKUP("Mins",A1:CV300,138,FALSE)=0,0,HLOOKUP("SIB",A1:CV300,138,FALSE)/HLOOKUP("Mins",A1:CV300,138,FALSE)* 90)</f>
        <v>0.40909090909090906</v>
      </c>
      <c r="BD138" s="16046">
        <f>IF(HLOOKUP("Mins",A1:CV300,138,FALSE)=0,0,HLOOKUP("S6YD",A1:CV300,138,FALSE)/HLOOKUP("Mins",A1:CV300,138,FALSE)* 90)</f>
        <v>0</v>
      </c>
      <c r="BE138" s="16047">
        <f>IF(HLOOKUP("Mins",A1:CV300,138,FALSE)=0,0,HLOOKUP("Headers",A1:CV300,138,FALSE)/HLOOKUP("Mins",A1:CV300,138,FALSE)* 90)</f>
        <v>4.5454545454545456E-2</v>
      </c>
      <c r="BF138" s="16048">
        <f>IF(HLOOKUP("Mins",A1:CV300,138,FALSE)=0,0,HLOOKUP("SOT",A1:CV300,138,FALSE)/HLOOKUP("Mins",A1:CV300,138,FALSE)* 90)</f>
        <v>9.0909090909090912E-2</v>
      </c>
      <c r="BG138" s="16049">
        <f>IF(HLOOKUP("Mins",A1:CV300,138,FALSE)=0,0,HLOOKUP("As",A1:CV300,138,FALSE)/HLOOKUP("Mins",A1:CV300,138,FALSE)* 90)</f>
        <v>9.0909090909090912E-2</v>
      </c>
      <c r="BH138" s="16050">
        <f>IF(HLOOKUP("Mins",A1:CV300,138,FALSE)=0,0,HLOOKUP("FPL As",A1:CV300,138,FALSE)/HLOOKUP("Mins",A1:CV300,138,FALSE)* 90)</f>
        <v>9.0909090909090912E-2</v>
      </c>
      <c r="BI138" s="16051">
        <f>IF(HLOOKUP("Mins",A1:CV300,138,FALSE)=0,0,HLOOKUP("BC Created",A1:CV300,138,FALSE)/HLOOKUP("Mins",A1:CV300,138,FALSE)* 90)</f>
        <v>0.31818181818181818</v>
      </c>
      <c r="BJ138" s="16052">
        <f>IF(HLOOKUP("Mins",A1:CV300,138,FALSE)=0,0,HLOOKUP("KP",A1:CV300,138,FALSE)/HLOOKUP("Mins",A1:CV300,138,FALSE)* 90)</f>
        <v>1.0909090909090908</v>
      </c>
      <c r="BK138" s="16053">
        <f>IF(HLOOKUP("Mins",A1:CV300,138,FALSE)=0,0,HLOOKUP("BC",A1:CV300,138,FALSE)/HLOOKUP("Mins",A1:CV300,138,FALSE)* 90)</f>
        <v>0</v>
      </c>
      <c r="BL138" s="16054">
        <f>IF(HLOOKUP("Mins",A1:CV300,138,FALSE)=0,0,HLOOKUP("BC Miss",A1:CV300,138,FALSE)/HLOOKUP("Mins",A1:CV300,138,FALSE)* 90)</f>
        <v>0</v>
      </c>
      <c r="BM138" s="16055">
        <f>IF(HLOOKUP("Mins",A1:CV300,138,FALSE)=0,0,HLOOKUP("Gs - BC",A1:CV300,138,FALSE)/HLOOKUP("Mins",A1:CV300,138,FALSE)* 90)</f>
        <v>0</v>
      </c>
      <c r="BN138" s="16056">
        <f>IF(HLOOKUP("Mins",A1:CV300,138,FALSE)=0,0,HLOOKUP("GIB",A1:CV300,138,FALSE)/HLOOKUP("Mins",A1:CV300,138,FALSE)* 90)</f>
        <v>4.5454545454545456E-2</v>
      </c>
      <c r="BO138" s="16057">
        <f>IF(HLOOKUP("Mins",A1:CV300,138,FALSE)=0,0,HLOOKUP("Gs - Open",A1:CV300,138,FALSE)/HLOOKUP("Mins",A1:CV300,138,FALSE)* 90)</f>
        <v>4.5454545454545456E-2</v>
      </c>
      <c r="BP138" s="16058">
        <f>IF(HLOOKUP("Mins",A1:CV300,138,FALSE)=0,0,HLOOKUP("ICT Index",A1:CV300,138,FALSE)/HLOOKUP("Mins",A1:CV300,138,FALSE)* 90)</f>
        <v>4.290909090909091</v>
      </c>
      <c r="BQ138" s="16059">
        <f>IF(HLOOKUP("Mins",A1:CV300,138,FALSE)=0,0,(0.02*(HLOOKUP("Shots",A1:CV300,138,FALSE)-HLOOKUP("SIB",A1:CV300,138,FALSE))+0.093*(HLOOKUP("SIB",A1:CV300,138,FALSE)-(HLOOKUP("PK Gs",A1:CV300,138,FALSE)+HLOOKUP("PK Miss",A1:CV300,138,FALSE)))+0.75*(HLOOKUP("PK Gs",A1:CV300,138,FALSE)+HLOOKUP("PK Miss",A1:CV300,138,FALSE)))/HLOOKUP("Mins",A1:CV300,138,FALSE)*90)</f>
        <v>4.0772727272727273E-2</v>
      </c>
      <c r="BR138" s="16060">
        <f>0.0825*HLOOKUP("KP/90",A1:CV300,138,FALSE)</f>
        <v>0.09</v>
      </c>
      <c r="BS138" s="16061">
        <f>6*HLOOKUP("xG/90",A1:CV300,138,FALSE)+3*HLOOKUP("xA/90",A1:CV300,138,FALSE)</f>
        <v>0.51463636363636367</v>
      </c>
      <c r="BT138" s="16062">
        <f>HLOOKUP("xPts/90",A1:CV300,138,FALSE)-(6*0.75*(HLOOKUP("PK Gs",A1:CV300,138,FALSE)+HLOOKUP("PK Miss",A1:CV300,138,FALSE))*90/HLOOKUP("Mins",A1:CV300,138,FALSE))</f>
        <v>0.51463636363636367</v>
      </c>
      <c r="BU138" s="16063">
        <f>IF(HLOOKUP("Mins",A1:CV300,138,FALSE)=0,0,HLOOKUP("fsXG",A1:CV300,138,FALSE)/HLOOKUP("Mins",A1:CV300,138,FALSE)* 90)</f>
        <v>2.6818181818181817E-2</v>
      </c>
      <c r="BV138" s="16064">
        <f>IF(HLOOKUP("Mins",A1:CV300,138,FALSE)=0,0,HLOOKUP("fsXA",A1:CV300,138,FALSE)/HLOOKUP("Mins",A1:CV300,138,FALSE)* 90)</f>
        <v>0.11772727272727272</v>
      </c>
      <c r="BW138" s="16065">
        <f>6*HLOOKUP("fsXG/90",A1:CV300,138,FALSE)+3*HLOOKUP("fsXA/90",A1:CV300,138,FALSE)</f>
        <v>0.51409090909090904</v>
      </c>
      <c r="BX138" s="16066">
        <v>2.8162693604826927E-2</v>
      </c>
      <c r="BY138" s="16067">
        <v>0.16114196181297302</v>
      </c>
      <c r="BZ138" s="16068">
        <f>6*HLOOKUP("uXG/90",A1:CV300,138,FALSE)+3*HLOOKUP("uXA/90",A1:CV300,138,FALSE)</f>
        <v>0.65240204706788063</v>
      </c>
    </row>
    <row r="139" spans="1:78" x14ac:dyDescent="0.3">
      <c r="A139" s="16069" t="s">
        <v>302</v>
      </c>
      <c r="B139" s="16070" t="s">
        <v>109</v>
      </c>
      <c r="C139" s="16071">
        <v>4.3000001907348633</v>
      </c>
      <c r="D139" s="16072">
        <v>57</v>
      </c>
      <c r="E139" s="16073">
        <v>4</v>
      </c>
      <c r="F139" s="16074">
        <v>3</v>
      </c>
      <c r="G139" s="16075">
        <v>0</v>
      </c>
      <c r="H139" s="16076">
        <v>0</v>
      </c>
      <c r="I139" s="16077">
        <v>15</v>
      </c>
      <c r="J139" s="16078">
        <f>HLOOKUP("BPS",A1:CV300,139,FALSE)-((-6*HLOOKUP("OG",A1:CV300,139,FALSE))+(-6*HLOOKUP("PK Miss",A1:CV300,139,FALSE))+(9*HLOOKUP("FPL As",A1:CV300,139,FALSE))+(12*HLOOKUP("CS",A1:CV300,139,FALSE))+(12*HLOOKUP("Gs",A1:CV300,139,FALSE)))</f>
        <v>15</v>
      </c>
      <c r="K139" s="16079">
        <v>0</v>
      </c>
      <c r="L139" s="16080">
        <v>0</v>
      </c>
      <c r="M139" s="16081">
        <v>3</v>
      </c>
      <c r="N139" s="16082">
        <v>0</v>
      </c>
      <c r="O139" s="16083">
        <v>0</v>
      </c>
      <c r="P139" s="16084">
        <f>IF(HLOOKUP("Shots",A1:CV300,139,FALSE)=0,0,HLOOKUP("SIB",A1:CV300,139,FALSE)/HLOOKUP("Shots",A1:CV300,139,FALSE))</f>
        <v>0</v>
      </c>
      <c r="Q139" s="16085">
        <v>0</v>
      </c>
      <c r="R139" s="16086">
        <f>IF(HLOOKUP("Shots",A1:CV300,139,FALSE)=0,0,HLOOKUP("S6YD",A1:CV300,139,FALSE)/HLOOKUP("Shots",A1:CV300,139,FALSE))</f>
        <v>0</v>
      </c>
      <c r="S139" s="16087">
        <v>0</v>
      </c>
      <c r="T139" s="16088">
        <f>IF(HLOOKUP("Shots",A1:CV300,139,FALSE)=0,0,HLOOKUP("Headers",A1:CV300,139,FALSE)/HLOOKUP("Shots",A1:CV300,139,FALSE))</f>
        <v>0</v>
      </c>
      <c r="U139" s="16089">
        <v>0</v>
      </c>
      <c r="V139" s="16090">
        <f>IF(HLOOKUP("Shots",A1:CV300,139,FALSE)=0,0,HLOOKUP("SOT",A1:CV300,139,FALSE)/HLOOKUP("Shots",A1:CV300,139,FALSE))</f>
        <v>0</v>
      </c>
      <c r="W139" s="16091">
        <f>IF(HLOOKUP("Shots",A1:CV300,139,FALSE)=0,0,HLOOKUP("Gs",A1:CV300,139,FALSE)/HLOOKUP("Shots",A1:CV300,139,FALSE))</f>
        <v>0</v>
      </c>
      <c r="X139" s="16092">
        <v>0</v>
      </c>
      <c r="Y139" s="16093">
        <v>0</v>
      </c>
      <c r="Z139" s="16094">
        <v>2</v>
      </c>
      <c r="AA139" s="16095">
        <f>IF(HLOOKUP("KP",A1:CV300,139,FALSE)=0,0,HLOOKUP("As",A1:CV300,139,FALSE)/HLOOKUP("KP",A1:CV300,139,FALSE))</f>
        <v>0</v>
      </c>
      <c r="AB139" s="16096">
        <v>5</v>
      </c>
      <c r="AC139" s="16097">
        <v>0</v>
      </c>
      <c r="AD139" s="16098">
        <v>0</v>
      </c>
      <c r="AE139" s="16099">
        <v>0</v>
      </c>
      <c r="AF139" s="16100">
        <v>0</v>
      </c>
      <c r="AG139" s="16101">
        <f>IF(HLOOKUP("BC",A1:CV300,139,FALSE)=0,0,HLOOKUP("Gs - BC",A1:CV300,139,FALSE)/HLOOKUP("BC",A1:CV300,139,FALSE))</f>
        <v>0</v>
      </c>
      <c r="AH139" s="16102">
        <f>HLOOKUP("BC",A1:CV300,139,FALSE) - HLOOKUP("BC Miss",A1:CV300,139,FALSE)</f>
        <v>0</v>
      </c>
      <c r="AI139" s="16103">
        <f>IF(HLOOKUP("Gs",A1:CV300,139,FALSE)=0,0,HLOOKUP("Gs - BC",A1:CV300,139,FALSE)/HLOOKUP("Gs",A1:CV300,139,FALSE))</f>
        <v>0</v>
      </c>
      <c r="AJ139" s="16104">
        <v>0</v>
      </c>
      <c r="AK139" s="16105">
        <v>0</v>
      </c>
      <c r="AL139" s="16106">
        <f>HLOOKUP("BC",A1:CV300,139,FALSE) - (HLOOKUP("PK Gs",A1:CV300,139,FALSE) + HLOOKUP("PK Miss",A1:CV300,139,FALSE))</f>
        <v>0</v>
      </c>
      <c r="AM139" s="16107">
        <f>HLOOKUP("BC Miss",A1:CV300,139,FALSE) - HLOOKUP("PK Miss",A1:CV300,139,FALSE)</f>
        <v>0</v>
      </c>
      <c r="AN139" s="16108">
        <f>IF(HLOOKUP("BC - Open",A1:CV300,139,FALSE)=0,0,HLOOKUP("BC - Open Miss",A1:CV300,139,FALSE)/HLOOKUP("BC - Open",A1:CV300,139,FALSE))</f>
        <v>0</v>
      </c>
      <c r="AO139" s="16109">
        <v>0</v>
      </c>
      <c r="AP139" s="16110">
        <f>IF(HLOOKUP("Gs",A1:CV300,139,FALSE)=0,0,HLOOKUP("GIB",A1:CV300,139,FALSE)/HLOOKUP("Gs",A1:CV300,139,FALSE))</f>
        <v>0</v>
      </c>
      <c r="AQ139" s="16111">
        <v>0</v>
      </c>
      <c r="AR139" s="16112">
        <f>IF(HLOOKUP("Gs",A1:CV300,139,FALSE)=0,0,HLOOKUP("Gs - Open",A1:CV300,139,FALSE)/HLOOKUP("Gs",A1:CV300,139,FALSE))</f>
        <v>0</v>
      </c>
      <c r="AS139" s="16113">
        <v>0</v>
      </c>
      <c r="AT139" s="16114">
        <v>0.15</v>
      </c>
      <c r="AU139" s="16115">
        <f>IF(HLOOKUP("Mins",A1:CV300,139,FALSE)=0,0,HLOOKUP("Pts",A1:CV300,139,FALSE)/HLOOKUP("Mins",A1:CV300,139,FALSE)* 90)</f>
        <v>4.7368421052631575</v>
      </c>
      <c r="AV139" s="16116">
        <f>IF(HLOOKUP("Apps",A1:CV300,139,FALSE)=0,0,HLOOKUP("Pts",A1:CV300,139,FALSE)/HLOOKUP("Apps",A1:CV300,139,FALSE)* 1)</f>
        <v>0.75</v>
      </c>
      <c r="AW139" s="16117">
        <f>IF(HLOOKUP("Mins",A1:CV300,139,FALSE)=0,0,HLOOKUP("Gs",A1:CV300,139,FALSE)/HLOOKUP("Mins",A1:CV300,139,FALSE)* 90)</f>
        <v>0</v>
      </c>
      <c r="AX139" s="16118">
        <f>IF(HLOOKUP("Mins",A1:CV300,139,FALSE)=0,0,HLOOKUP("Bonus",A1:CV300,139,FALSE)/HLOOKUP("Mins",A1:CV300,139,FALSE)* 90)</f>
        <v>0</v>
      </c>
      <c r="AY139" s="16119">
        <f>IF(HLOOKUP("Mins",A1:CV300,139,FALSE)=0,0,HLOOKUP("BPS",A1:CV300,139,FALSE)/HLOOKUP("Mins",A1:CV300,139,FALSE)* 90)</f>
        <v>23.684210526315788</v>
      </c>
      <c r="AZ139" s="16120">
        <f>IF(HLOOKUP("Mins",A1:CV300,139,FALSE)=0,0,HLOOKUP("Base BPS",A1:CV300,139,FALSE)/HLOOKUP("Mins",A1:CV300,139,FALSE)* 90)</f>
        <v>23.684210526315788</v>
      </c>
      <c r="BA139" s="16121">
        <f>IF(HLOOKUP("Mins",A1:CV300,139,FALSE)=0,0,HLOOKUP("PenTchs",A1:CV300,139,FALSE)/HLOOKUP("Mins",A1:CV300,139,FALSE)* 90)</f>
        <v>4.7368421052631575</v>
      </c>
      <c r="BB139" s="16122">
        <f>IF(HLOOKUP("Mins",A1:CV300,139,FALSE)=0,0,HLOOKUP("Shots",A1:CV300,139,FALSE)/HLOOKUP("Mins",A1:CV300,139,FALSE)* 90)</f>
        <v>0</v>
      </c>
      <c r="BC139" s="16123">
        <f>IF(HLOOKUP("Mins",A1:CV300,139,FALSE)=0,0,HLOOKUP("SIB",A1:CV300,139,FALSE)/HLOOKUP("Mins",A1:CV300,139,FALSE)* 90)</f>
        <v>0</v>
      </c>
      <c r="BD139" s="16124">
        <f>IF(HLOOKUP("Mins",A1:CV300,139,FALSE)=0,0,HLOOKUP("S6YD",A1:CV300,139,FALSE)/HLOOKUP("Mins",A1:CV300,139,FALSE)* 90)</f>
        <v>0</v>
      </c>
      <c r="BE139" s="16125">
        <f>IF(HLOOKUP("Mins",A1:CV300,139,FALSE)=0,0,HLOOKUP("Headers",A1:CV300,139,FALSE)/HLOOKUP("Mins",A1:CV300,139,FALSE)* 90)</f>
        <v>0</v>
      </c>
      <c r="BF139" s="16126">
        <f>IF(HLOOKUP("Mins",A1:CV300,139,FALSE)=0,0,HLOOKUP("SOT",A1:CV300,139,FALSE)/HLOOKUP("Mins",A1:CV300,139,FALSE)* 90)</f>
        <v>0</v>
      </c>
      <c r="BG139" s="16127">
        <f>IF(HLOOKUP("Mins",A1:CV300,139,FALSE)=0,0,HLOOKUP("As",A1:CV300,139,FALSE)/HLOOKUP("Mins",A1:CV300,139,FALSE)* 90)</f>
        <v>0</v>
      </c>
      <c r="BH139" s="16128">
        <f>IF(HLOOKUP("Mins",A1:CV300,139,FALSE)=0,0,HLOOKUP("FPL As",A1:CV300,139,FALSE)/HLOOKUP("Mins",A1:CV300,139,FALSE)* 90)</f>
        <v>0</v>
      </c>
      <c r="BI139" s="16129">
        <f>IF(HLOOKUP("Mins",A1:CV300,139,FALSE)=0,0,HLOOKUP("BC Created",A1:CV300,139,FALSE)/HLOOKUP("Mins",A1:CV300,139,FALSE)* 90)</f>
        <v>0</v>
      </c>
      <c r="BJ139" s="16130">
        <f>IF(HLOOKUP("Mins",A1:CV300,139,FALSE)=0,0,HLOOKUP("KP",A1:CV300,139,FALSE)/HLOOKUP("Mins",A1:CV300,139,FALSE)* 90)</f>
        <v>3.1578947368421053</v>
      </c>
      <c r="BK139" s="16131">
        <f>IF(HLOOKUP("Mins",A1:CV300,139,FALSE)=0,0,HLOOKUP("BC",A1:CV300,139,FALSE)/HLOOKUP("Mins",A1:CV300,139,FALSE)* 90)</f>
        <v>0</v>
      </c>
      <c r="BL139" s="16132">
        <f>IF(HLOOKUP("Mins",A1:CV300,139,FALSE)=0,0,HLOOKUP("BC Miss",A1:CV300,139,FALSE)/HLOOKUP("Mins",A1:CV300,139,FALSE)* 90)</f>
        <v>0</v>
      </c>
      <c r="BM139" s="16133">
        <f>IF(HLOOKUP("Mins",A1:CV300,139,FALSE)=0,0,HLOOKUP("Gs - BC",A1:CV300,139,FALSE)/HLOOKUP("Mins",A1:CV300,139,FALSE)* 90)</f>
        <v>0</v>
      </c>
      <c r="BN139" s="16134">
        <f>IF(HLOOKUP("Mins",A1:CV300,139,FALSE)=0,0,HLOOKUP("GIB",A1:CV300,139,FALSE)/HLOOKUP("Mins",A1:CV300,139,FALSE)* 90)</f>
        <v>0</v>
      </c>
      <c r="BO139" s="16135">
        <f>IF(HLOOKUP("Mins",A1:CV300,139,FALSE)=0,0,HLOOKUP("Gs - Open",A1:CV300,139,FALSE)/HLOOKUP("Mins",A1:CV300,139,FALSE)* 90)</f>
        <v>0</v>
      </c>
      <c r="BP139" s="16136">
        <f>IF(HLOOKUP("Mins",A1:CV300,139,FALSE)=0,0,HLOOKUP("ICT Index",A1:CV300,139,FALSE)/HLOOKUP("Mins",A1:CV300,139,FALSE)* 90)</f>
        <v>7.8947368421052628</v>
      </c>
      <c r="BQ139" s="16137">
        <f>IF(HLOOKUP("Mins",A1:CV300,139,FALSE)=0,0,(0.02*(HLOOKUP("Shots",A1:CV300,139,FALSE)-HLOOKUP("SIB",A1:CV300,139,FALSE))+0.093*(HLOOKUP("SIB",A1:CV300,139,FALSE)-(HLOOKUP("PK Gs",A1:CV300,139,FALSE)+HLOOKUP("PK Miss",A1:CV300,139,FALSE)))+0.75*(HLOOKUP("PK Gs",A1:CV300,139,FALSE)+HLOOKUP("PK Miss",A1:CV300,139,FALSE)))/HLOOKUP("Mins",A1:CV300,139,FALSE)*90)</f>
        <v>0</v>
      </c>
      <c r="BR139" s="16138">
        <f>0.0825*HLOOKUP("KP/90",A1:CV300,139,FALSE)</f>
        <v>0.26052631578947372</v>
      </c>
      <c r="BS139" s="16139">
        <f>6*HLOOKUP("xG/90",A1:CV300,139,FALSE)+3*HLOOKUP("xA/90",A1:CV300,139,FALSE)</f>
        <v>0.78157894736842115</v>
      </c>
      <c r="BT139" s="16140">
        <f>HLOOKUP("xPts/90",A1:CV300,139,FALSE)-(6*0.75*(HLOOKUP("PK Gs",A1:CV300,139,FALSE)+HLOOKUP("PK Miss",A1:CV300,139,FALSE))*90/HLOOKUP("Mins",A1:CV300,139,FALSE))</f>
        <v>0.78157894736842115</v>
      </c>
      <c r="BU139" s="16141">
        <f>IF(HLOOKUP("Mins",A1:CV300,139,FALSE)=0,0,HLOOKUP("fsXG",A1:CV300,139,FALSE)/HLOOKUP("Mins",A1:CV300,139,FALSE)* 90)</f>
        <v>0</v>
      </c>
      <c r="BV139" s="16142">
        <f>IF(HLOOKUP("Mins",A1:CV300,139,FALSE)=0,0,HLOOKUP("fsXA",A1:CV300,139,FALSE)/HLOOKUP("Mins",A1:CV300,139,FALSE)* 90)</f>
        <v>0.23684210526315788</v>
      </c>
      <c r="BW139" s="16143">
        <f>6*HLOOKUP("fsXG/90",A1:CV300,139,FALSE)+3*HLOOKUP("fsXA/90",A1:CV300,139,FALSE)</f>
        <v>0.71052631578947367</v>
      </c>
      <c r="BX139" s="16144">
        <v>0</v>
      </c>
      <c r="BY139" s="16145">
        <v>0.20205654203891754</v>
      </c>
      <c r="BZ139" s="16146">
        <f>6*HLOOKUP("uXG/90",A1:CV300,139,FALSE)+3*HLOOKUP("uXA/90",A1:CV300,139,FALSE)</f>
        <v>0.60616962611675262</v>
      </c>
    </row>
    <row r="140" spans="1:78" hidden="1" x14ac:dyDescent="0.3">
      <c r="A140" s="16147" t="s">
        <v>303</v>
      </c>
      <c r="B140" s="16148" t="s">
        <v>79</v>
      </c>
      <c r="C140" s="16149">
        <v>5.3000001907348633</v>
      </c>
      <c r="D140" s="16150">
        <v>299</v>
      </c>
      <c r="E140" s="16151">
        <v>5</v>
      </c>
      <c r="F140" s="16152">
        <v>5</v>
      </c>
      <c r="G140" s="16153">
        <v>0</v>
      </c>
      <c r="H140" s="16154">
        <v>0</v>
      </c>
      <c r="I140" s="16155">
        <v>51</v>
      </c>
      <c r="J140" s="16156">
        <f>HLOOKUP("BPS",A1:CV300,140,FALSE)-((-6*HLOOKUP("OG",A1:CV300,140,FALSE))+(-6*HLOOKUP("PK Miss",A1:CV300,140,FALSE))+(9*HLOOKUP("FPL As",A1:CV300,140,FALSE))+(12*HLOOKUP("CS",A1:CV300,140,FALSE))+(12*HLOOKUP("Gs",A1:CV300,140,FALSE)))</f>
        <v>51</v>
      </c>
      <c r="K140" s="16157">
        <v>0</v>
      </c>
      <c r="L140" s="16158">
        <v>0</v>
      </c>
      <c r="M140" s="16159">
        <v>7</v>
      </c>
      <c r="N140" s="16160">
        <v>2</v>
      </c>
      <c r="O140" s="16161">
        <v>1</v>
      </c>
      <c r="P140" s="16162">
        <f>IF(HLOOKUP("Shots",A1:CV300,140,FALSE)=0,0,HLOOKUP("SIB",A1:CV300,140,FALSE)/HLOOKUP("Shots",A1:CV300,140,FALSE))</f>
        <v>0.5</v>
      </c>
      <c r="Q140" s="16163">
        <v>0</v>
      </c>
      <c r="R140" s="16164">
        <f>IF(HLOOKUP("Shots",A1:CV300,140,FALSE)=0,0,HLOOKUP("S6YD",A1:CV300,140,FALSE)/HLOOKUP("Shots",A1:CV300,140,FALSE))</f>
        <v>0</v>
      </c>
      <c r="S140" s="16165">
        <v>0</v>
      </c>
      <c r="T140" s="16166">
        <f>IF(HLOOKUP("Shots",A1:CV300,140,FALSE)=0,0,HLOOKUP("Headers",A1:CV300,140,FALSE)/HLOOKUP("Shots",A1:CV300,140,FALSE))</f>
        <v>0</v>
      </c>
      <c r="U140" s="16167">
        <v>0</v>
      </c>
      <c r="V140" s="16168">
        <f>IF(HLOOKUP("Shots",A1:CV300,140,FALSE)=0,0,HLOOKUP("SOT",A1:CV300,140,FALSE)/HLOOKUP("Shots",A1:CV300,140,FALSE))</f>
        <v>0</v>
      </c>
      <c r="W140" s="16169">
        <f>IF(HLOOKUP("Shots",A1:CV300,140,FALSE)=0,0,HLOOKUP("Gs",A1:CV300,140,FALSE)/HLOOKUP("Shots",A1:CV300,140,FALSE))</f>
        <v>0</v>
      </c>
      <c r="X140" s="16170">
        <v>0</v>
      </c>
      <c r="Y140" s="16171">
        <v>0</v>
      </c>
      <c r="Z140" s="16172">
        <v>4</v>
      </c>
      <c r="AA140" s="16173">
        <f>IF(HLOOKUP("KP",A1:CV300,140,FALSE)=0,0,HLOOKUP("As",A1:CV300,140,FALSE)/HLOOKUP("KP",A1:CV300,140,FALSE))</f>
        <v>0</v>
      </c>
      <c r="AB140" s="16174">
        <v>16.2</v>
      </c>
      <c r="AC140" s="16175">
        <v>0</v>
      </c>
      <c r="AD140" s="16176">
        <v>0</v>
      </c>
      <c r="AE140" s="16177">
        <v>0</v>
      </c>
      <c r="AF140" s="16178">
        <v>0</v>
      </c>
      <c r="AG140" s="16179">
        <f>IF(HLOOKUP("BC",A1:CV300,140,FALSE)=0,0,HLOOKUP("Gs - BC",A1:CV300,140,FALSE)/HLOOKUP("BC",A1:CV300,140,FALSE))</f>
        <v>0</v>
      </c>
      <c r="AH140" s="16180">
        <f>HLOOKUP("BC",A1:CV300,140,FALSE) - HLOOKUP("BC Miss",A1:CV300,140,FALSE)</f>
        <v>0</v>
      </c>
      <c r="AI140" s="16181">
        <f>IF(HLOOKUP("Gs",A1:CV300,140,FALSE)=0,0,HLOOKUP("Gs - BC",A1:CV300,140,FALSE)/HLOOKUP("Gs",A1:CV300,140,FALSE))</f>
        <v>0</v>
      </c>
      <c r="AJ140" s="16182">
        <v>0</v>
      </c>
      <c r="AK140" s="16183">
        <v>0</v>
      </c>
      <c r="AL140" s="16184">
        <f>HLOOKUP("BC",A1:CV300,140,FALSE) - (HLOOKUP("PK Gs",A1:CV300,140,FALSE) + HLOOKUP("PK Miss",A1:CV300,140,FALSE))</f>
        <v>0</v>
      </c>
      <c r="AM140" s="16185">
        <f>HLOOKUP("BC Miss",A1:CV300,140,FALSE) - HLOOKUP("PK Miss",A1:CV300,140,FALSE)</f>
        <v>0</v>
      </c>
      <c r="AN140" s="16186">
        <f>IF(HLOOKUP("BC - Open",A1:CV300,140,FALSE)=0,0,HLOOKUP("BC - Open Miss",A1:CV300,140,FALSE)/HLOOKUP("BC - Open",A1:CV300,140,FALSE))</f>
        <v>0</v>
      </c>
      <c r="AO140" s="16187">
        <v>0</v>
      </c>
      <c r="AP140" s="16188">
        <f>IF(HLOOKUP("Gs",A1:CV300,140,FALSE)=0,0,HLOOKUP("GIB",A1:CV300,140,FALSE)/HLOOKUP("Gs",A1:CV300,140,FALSE))</f>
        <v>0</v>
      </c>
      <c r="AQ140" s="16189">
        <v>0</v>
      </c>
      <c r="AR140" s="16190">
        <f>IF(HLOOKUP("Gs",A1:CV300,140,FALSE)=0,0,HLOOKUP("Gs - Open",A1:CV300,140,FALSE)/HLOOKUP("Gs",A1:CV300,140,FALSE))</f>
        <v>0</v>
      </c>
      <c r="AS140" s="16191">
        <v>0.08</v>
      </c>
      <c r="AT140" s="16192">
        <v>0.28999999999999998</v>
      </c>
      <c r="AU140" s="16193">
        <f>IF(HLOOKUP("Mins",A1:CV300,140,FALSE)=0,0,HLOOKUP("Pts",A1:CV300,140,FALSE)/HLOOKUP("Mins",A1:CV300,140,FALSE)* 90)</f>
        <v>1.5050167224080266</v>
      </c>
      <c r="AV140" s="16194">
        <f>IF(HLOOKUP("Apps",A1:CV300,140,FALSE)=0,0,HLOOKUP("Pts",A1:CV300,140,FALSE)/HLOOKUP("Apps",A1:CV300,140,FALSE)* 1)</f>
        <v>1</v>
      </c>
      <c r="AW140" s="16195">
        <f>IF(HLOOKUP("Mins",A1:CV300,140,FALSE)=0,0,HLOOKUP("Gs",A1:CV300,140,FALSE)/HLOOKUP("Mins",A1:CV300,140,FALSE)* 90)</f>
        <v>0</v>
      </c>
      <c r="AX140" s="16196">
        <f>IF(HLOOKUP("Mins",A1:CV300,140,FALSE)=0,0,HLOOKUP("Bonus",A1:CV300,140,FALSE)/HLOOKUP("Mins",A1:CV300,140,FALSE)* 90)</f>
        <v>0</v>
      </c>
      <c r="AY140" s="16197">
        <f>IF(HLOOKUP("Mins",A1:CV300,140,FALSE)=0,0,HLOOKUP("BPS",A1:CV300,140,FALSE)/HLOOKUP("Mins",A1:CV300,140,FALSE)* 90)</f>
        <v>15.351170568561873</v>
      </c>
      <c r="AZ140" s="16198">
        <f>IF(HLOOKUP("Mins",A1:CV300,140,FALSE)=0,0,HLOOKUP("Base BPS",A1:CV300,140,FALSE)/HLOOKUP("Mins",A1:CV300,140,FALSE)* 90)</f>
        <v>15.351170568561873</v>
      </c>
      <c r="BA140" s="16199">
        <f>IF(HLOOKUP("Mins",A1:CV300,140,FALSE)=0,0,HLOOKUP("PenTchs",A1:CV300,140,FALSE)/HLOOKUP("Mins",A1:CV300,140,FALSE)* 90)</f>
        <v>2.1070234113712374</v>
      </c>
      <c r="BB140" s="16200">
        <f>IF(HLOOKUP("Mins",A1:CV300,140,FALSE)=0,0,HLOOKUP("Shots",A1:CV300,140,FALSE)/HLOOKUP("Mins",A1:CV300,140,FALSE)* 90)</f>
        <v>0.60200668896321075</v>
      </c>
      <c r="BC140" s="16201">
        <f>IF(HLOOKUP("Mins",A1:CV300,140,FALSE)=0,0,HLOOKUP("SIB",A1:CV300,140,FALSE)/HLOOKUP("Mins",A1:CV300,140,FALSE)* 90)</f>
        <v>0.30100334448160537</v>
      </c>
      <c r="BD140" s="16202">
        <f>IF(HLOOKUP("Mins",A1:CV300,140,FALSE)=0,0,HLOOKUP("S6YD",A1:CV300,140,FALSE)/HLOOKUP("Mins",A1:CV300,140,FALSE)* 90)</f>
        <v>0</v>
      </c>
      <c r="BE140" s="16203">
        <f>IF(HLOOKUP("Mins",A1:CV300,140,FALSE)=0,0,HLOOKUP("Headers",A1:CV300,140,FALSE)/HLOOKUP("Mins",A1:CV300,140,FALSE)* 90)</f>
        <v>0</v>
      </c>
      <c r="BF140" s="16204">
        <f>IF(HLOOKUP("Mins",A1:CV300,140,FALSE)=0,0,HLOOKUP("SOT",A1:CV300,140,FALSE)/HLOOKUP("Mins",A1:CV300,140,FALSE)* 90)</f>
        <v>0</v>
      </c>
      <c r="BG140" s="16205">
        <f>IF(HLOOKUP("Mins",A1:CV300,140,FALSE)=0,0,HLOOKUP("As",A1:CV300,140,FALSE)/HLOOKUP("Mins",A1:CV300,140,FALSE)* 90)</f>
        <v>0</v>
      </c>
      <c r="BH140" s="16206">
        <f>IF(HLOOKUP("Mins",A1:CV300,140,FALSE)=0,0,HLOOKUP("FPL As",A1:CV300,140,FALSE)/HLOOKUP("Mins",A1:CV300,140,FALSE)* 90)</f>
        <v>0</v>
      </c>
      <c r="BI140" s="16207">
        <f>IF(HLOOKUP("Mins",A1:CV300,140,FALSE)=0,0,HLOOKUP("BC Created",A1:CV300,140,FALSE)/HLOOKUP("Mins",A1:CV300,140,FALSE)* 90)</f>
        <v>0</v>
      </c>
      <c r="BJ140" s="16208">
        <f>IF(HLOOKUP("Mins",A1:CV300,140,FALSE)=0,0,HLOOKUP("KP",A1:CV300,140,FALSE)/HLOOKUP("Mins",A1:CV300,140,FALSE)* 90)</f>
        <v>1.2040133779264215</v>
      </c>
      <c r="BK140" s="16209">
        <f>IF(HLOOKUP("Mins",A1:CV300,140,FALSE)=0,0,HLOOKUP("BC",A1:CV300,140,FALSE)/HLOOKUP("Mins",A1:CV300,140,FALSE)* 90)</f>
        <v>0</v>
      </c>
      <c r="BL140" s="16210">
        <f>IF(HLOOKUP("Mins",A1:CV300,140,FALSE)=0,0,HLOOKUP("BC Miss",A1:CV300,140,FALSE)/HLOOKUP("Mins",A1:CV300,140,FALSE)* 90)</f>
        <v>0</v>
      </c>
      <c r="BM140" s="16211">
        <f>IF(HLOOKUP("Mins",A1:CV300,140,FALSE)=0,0,HLOOKUP("Gs - BC",A1:CV300,140,FALSE)/HLOOKUP("Mins",A1:CV300,140,FALSE)* 90)</f>
        <v>0</v>
      </c>
      <c r="BN140" s="16212">
        <f>IF(HLOOKUP("Mins",A1:CV300,140,FALSE)=0,0,HLOOKUP("GIB",A1:CV300,140,FALSE)/HLOOKUP("Mins",A1:CV300,140,FALSE)* 90)</f>
        <v>0</v>
      </c>
      <c r="BO140" s="16213">
        <f>IF(HLOOKUP("Mins",A1:CV300,140,FALSE)=0,0,HLOOKUP("Gs - Open",A1:CV300,140,FALSE)/HLOOKUP("Mins",A1:CV300,140,FALSE)* 90)</f>
        <v>0</v>
      </c>
      <c r="BP140" s="16214">
        <f>IF(HLOOKUP("Mins",A1:CV300,140,FALSE)=0,0,HLOOKUP("ICT Index",A1:CV300,140,FALSE)/HLOOKUP("Mins",A1:CV300,140,FALSE)* 90)</f>
        <v>4.8762541806020065</v>
      </c>
      <c r="BQ140" s="16215">
        <f>IF(HLOOKUP("Mins",A1:CV300,140,FALSE)=0,0,(0.02*(HLOOKUP("Shots",A1:CV300,140,FALSE)-HLOOKUP("SIB",A1:CV300,140,FALSE))+0.093*(HLOOKUP("SIB",A1:CV300,140,FALSE)-(HLOOKUP("PK Gs",A1:CV300,140,FALSE)+HLOOKUP("PK Miss",A1:CV300,140,FALSE)))+0.75*(HLOOKUP("PK Gs",A1:CV300,140,FALSE)+HLOOKUP("PK Miss",A1:CV300,140,FALSE)))/HLOOKUP("Mins",A1:CV300,140,FALSE)*90)</f>
        <v>3.4013377926421409E-2</v>
      </c>
      <c r="BR140" s="16216">
        <f>0.0825*HLOOKUP("KP/90",A1:CV300,140,FALSE)</f>
        <v>9.9331103678929777E-2</v>
      </c>
      <c r="BS140" s="16217">
        <f>6*HLOOKUP("xG/90",A1:CV300,140,FALSE)+3*HLOOKUP("xA/90",A1:CV300,140,FALSE)</f>
        <v>0.50207357859531776</v>
      </c>
      <c r="BT140" s="16218">
        <f>HLOOKUP("xPts/90",A1:CV300,140,FALSE)-(6*0.75*(HLOOKUP("PK Gs",A1:CV300,140,FALSE)+HLOOKUP("PK Miss",A1:CV300,140,FALSE))*90/HLOOKUP("Mins",A1:CV300,140,FALSE))</f>
        <v>0.50207357859531776</v>
      </c>
      <c r="BU140" s="16219">
        <f>IF(HLOOKUP("Mins",A1:CV300,140,FALSE)=0,0,HLOOKUP("fsXG",A1:CV300,140,FALSE)/HLOOKUP("Mins",A1:CV300,140,FALSE)* 90)</f>
        <v>2.4080267558528427E-2</v>
      </c>
      <c r="BV140" s="16220">
        <f>IF(HLOOKUP("Mins",A1:CV300,140,FALSE)=0,0,HLOOKUP("fsXA",A1:CV300,140,FALSE)/HLOOKUP("Mins",A1:CV300,140,FALSE)* 90)</f>
        <v>8.7290969899665546E-2</v>
      </c>
      <c r="BW140" s="16221">
        <f>6*HLOOKUP("fsXG/90",A1:CV300,140,FALSE)+3*HLOOKUP("fsXA/90",A1:CV300,140,FALSE)</f>
        <v>0.40635451505016718</v>
      </c>
      <c r="BX140" s="16222">
        <v>2.029036357998848E-2</v>
      </c>
      <c r="BY140" s="16223">
        <v>9.5303468406200409E-2</v>
      </c>
      <c r="BZ140" s="16224">
        <f>6*HLOOKUP("uXG/90",A1:CV300,140,FALSE)+3*HLOOKUP("uXA/90",A1:CV300,140,FALSE)</f>
        <v>0.4076525866985321</v>
      </c>
    </row>
    <row r="141" spans="1:78" hidden="1" x14ac:dyDescent="0.3">
      <c r="A141" s="16225" t="s">
        <v>304</v>
      </c>
      <c r="B141" s="16226" t="s">
        <v>118</v>
      </c>
      <c r="C141" s="16227">
        <v>5.3000001907348633</v>
      </c>
      <c r="D141" s="16228">
        <v>966</v>
      </c>
      <c r="E141" s="16229">
        <v>14</v>
      </c>
      <c r="F141" s="16230">
        <v>29</v>
      </c>
      <c r="G141" s="16231">
        <v>0</v>
      </c>
      <c r="H141" s="16232">
        <v>2</v>
      </c>
      <c r="I141" s="16233">
        <v>182</v>
      </c>
      <c r="J141" s="16234">
        <f>HLOOKUP("BPS",A1:CV300,141,FALSE)-((-6*HLOOKUP("OG",A1:CV300,141,FALSE))+(-6*HLOOKUP("PK Miss",A1:CV300,141,FALSE))+(9*HLOOKUP("FPL As",A1:CV300,141,FALSE))+(12*HLOOKUP("CS",A1:CV300,141,FALSE))+(12*HLOOKUP("Gs",A1:CV300,141,FALSE)))</f>
        <v>137</v>
      </c>
      <c r="K141" s="16235">
        <v>0</v>
      </c>
      <c r="L141" s="16236">
        <v>3</v>
      </c>
      <c r="M141" s="16237">
        <v>25</v>
      </c>
      <c r="N141" s="16238">
        <v>6</v>
      </c>
      <c r="O141" s="16239">
        <v>4</v>
      </c>
      <c r="P141" s="16240">
        <f>IF(HLOOKUP("Shots",A1:CV300,141,FALSE)=0,0,HLOOKUP("SIB",A1:CV300,141,FALSE)/HLOOKUP("Shots",A1:CV300,141,FALSE))</f>
        <v>0.66666666666666663</v>
      </c>
      <c r="Q141" s="16241">
        <v>1</v>
      </c>
      <c r="R141" s="16242">
        <f>IF(HLOOKUP("Shots",A1:CV300,141,FALSE)=0,0,HLOOKUP("S6YD",A1:CV300,141,FALSE)/HLOOKUP("Shots",A1:CV300,141,FALSE))</f>
        <v>0.16666666666666666</v>
      </c>
      <c r="S141" s="16243">
        <v>0</v>
      </c>
      <c r="T141" s="16244">
        <f>IF(HLOOKUP("Shots",A1:CV300,141,FALSE)=0,0,HLOOKUP("Headers",A1:CV300,141,FALSE)/HLOOKUP("Shots",A1:CV300,141,FALSE))</f>
        <v>0</v>
      </c>
      <c r="U141" s="16245">
        <v>2</v>
      </c>
      <c r="V141" s="16246">
        <f>IF(HLOOKUP("Shots",A1:CV300,141,FALSE)=0,0,HLOOKUP("SOT",A1:CV300,141,FALSE)/HLOOKUP("Shots",A1:CV300,141,FALSE))</f>
        <v>0.33333333333333331</v>
      </c>
      <c r="W141" s="16247">
        <f>IF(HLOOKUP("Shots",A1:CV300,141,FALSE)=0,0,HLOOKUP("Gs",A1:CV300,141,FALSE)/HLOOKUP("Shots",A1:CV300,141,FALSE))</f>
        <v>0</v>
      </c>
      <c r="X141" s="16248">
        <v>1</v>
      </c>
      <c r="Y141" s="16249">
        <v>1</v>
      </c>
      <c r="Z141" s="16250">
        <v>7</v>
      </c>
      <c r="AA141" s="16251">
        <f>IF(HLOOKUP("KP",A1:CV300,141,FALSE)=0,0,HLOOKUP("As",A1:CV300,141,FALSE)/HLOOKUP("KP",A1:CV300,141,FALSE))</f>
        <v>0.14285714285714285</v>
      </c>
      <c r="AB141" s="16252">
        <v>41.6</v>
      </c>
      <c r="AC141" s="16253">
        <v>12</v>
      </c>
      <c r="AD141" s="16254">
        <v>2</v>
      </c>
      <c r="AE141" s="16255">
        <v>1</v>
      </c>
      <c r="AF141" s="16256">
        <v>1</v>
      </c>
      <c r="AG141" s="16257">
        <f>IF(HLOOKUP("BC",A1:CV300,141,FALSE)=0,0,HLOOKUP("Gs - BC",A1:CV300,141,FALSE)/HLOOKUP("BC",A1:CV300,141,FALSE))</f>
        <v>0</v>
      </c>
      <c r="AH141" s="16258">
        <f>HLOOKUP("BC",A1:CV300,141,FALSE) - HLOOKUP("BC Miss",A1:CV300,141,FALSE)</f>
        <v>0</v>
      </c>
      <c r="AI141" s="16259">
        <f>IF(HLOOKUP("Gs",A1:CV300,141,FALSE)=0,0,HLOOKUP("Gs - BC",A1:CV300,141,FALSE)/HLOOKUP("Gs",A1:CV300,141,FALSE))</f>
        <v>0</v>
      </c>
      <c r="AJ141" s="16260">
        <v>0</v>
      </c>
      <c r="AK141" s="16261">
        <v>0</v>
      </c>
      <c r="AL141" s="16262">
        <f>HLOOKUP("BC",A1:CV300,141,FALSE) - (HLOOKUP("PK Gs",A1:CV300,141,FALSE) + HLOOKUP("PK Miss",A1:CV300,141,FALSE))</f>
        <v>1</v>
      </c>
      <c r="AM141" s="16263">
        <f>HLOOKUP("BC Miss",A1:CV300,141,FALSE) - HLOOKUP("PK Miss",A1:CV300,141,FALSE)</f>
        <v>1</v>
      </c>
      <c r="AN141" s="16264">
        <f>IF(HLOOKUP("BC - Open",A1:CV300,141,FALSE)=0,0,HLOOKUP("BC - Open Miss",A1:CV300,141,FALSE)/HLOOKUP("BC - Open",A1:CV300,141,FALSE))</f>
        <v>1</v>
      </c>
      <c r="AO141" s="16265">
        <v>0</v>
      </c>
      <c r="AP141" s="16266">
        <f>IF(HLOOKUP("Gs",A1:CV300,141,FALSE)=0,0,HLOOKUP("GIB",A1:CV300,141,FALSE)/HLOOKUP("Gs",A1:CV300,141,FALSE))</f>
        <v>0</v>
      </c>
      <c r="AQ141" s="16267">
        <v>0</v>
      </c>
      <c r="AR141" s="16268">
        <f>IF(HLOOKUP("Gs",A1:CV300,141,FALSE)=0,0,HLOOKUP("Gs - Open",A1:CV300,141,FALSE)/HLOOKUP("Gs",A1:CV300,141,FALSE))</f>
        <v>0</v>
      </c>
      <c r="AS141" s="16269">
        <v>0.82</v>
      </c>
      <c r="AT141" s="16270">
        <v>0.65</v>
      </c>
      <c r="AU141" s="16271">
        <f>IF(HLOOKUP("Mins",A1:CV300,141,FALSE)=0,0,HLOOKUP("Pts",A1:CV300,141,FALSE)/HLOOKUP("Mins",A1:CV300,141,FALSE)* 90)</f>
        <v>2.701863354037267</v>
      </c>
      <c r="AV141" s="16272">
        <f>IF(HLOOKUP("Apps",A1:CV300,141,FALSE)=0,0,HLOOKUP("Pts",A1:CV300,141,FALSE)/HLOOKUP("Apps",A1:CV300,141,FALSE)* 1)</f>
        <v>2.0714285714285716</v>
      </c>
      <c r="AW141" s="16273">
        <f>IF(HLOOKUP("Mins",A1:CV300,141,FALSE)=0,0,HLOOKUP("Gs",A1:CV300,141,FALSE)/HLOOKUP("Mins",A1:CV300,141,FALSE)* 90)</f>
        <v>0</v>
      </c>
      <c r="AX141" s="16274">
        <f>IF(HLOOKUP("Mins",A1:CV300,141,FALSE)=0,0,HLOOKUP("Bonus",A1:CV300,141,FALSE)/HLOOKUP("Mins",A1:CV300,141,FALSE)* 90)</f>
        <v>0.18633540372670809</v>
      </c>
      <c r="AY141" s="16275">
        <f>IF(HLOOKUP("Mins",A1:CV300,141,FALSE)=0,0,HLOOKUP("BPS",A1:CV300,141,FALSE)/HLOOKUP("Mins",A1:CV300,141,FALSE)* 90)</f>
        <v>16.956521739130434</v>
      </c>
      <c r="AZ141" s="16276">
        <f>IF(HLOOKUP("Mins",A1:CV300,141,FALSE)=0,0,HLOOKUP("Base BPS",A1:CV300,141,FALSE)/HLOOKUP("Mins",A1:CV300,141,FALSE)* 90)</f>
        <v>12.763975155279503</v>
      </c>
      <c r="BA141" s="16277">
        <f>IF(HLOOKUP("Mins",A1:CV300,141,FALSE)=0,0,HLOOKUP("PenTchs",A1:CV300,141,FALSE)/HLOOKUP("Mins",A1:CV300,141,FALSE)* 90)</f>
        <v>2.329192546583851</v>
      </c>
      <c r="BB141" s="16278">
        <f>IF(HLOOKUP("Mins",A1:CV300,141,FALSE)=0,0,HLOOKUP("Shots",A1:CV300,141,FALSE)/HLOOKUP("Mins",A1:CV300,141,FALSE)* 90)</f>
        <v>0.55900621118012417</v>
      </c>
      <c r="BC141" s="16279">
        <f>IF(HLOOKUP("Mins",A1:CV300,141,FALSE)=0,0,HLOOKUP("SIB",A1:CV300,141,FALSE)/HLOOKUP("Mins",A1:CV300,141,FALSE)* 90)</f>
        <v>0.37267080745341619</v>
      </c>
      <c r="BD141" s="16280">
        <f>IF(HLOOKUP("Mins",A1:CV300,141,FALSE)=0,0,HLOOKUP("S6YD",A1:CV300,141,FALSE)/HLOOKUP("Mins",A1:CV300,141,FALSE)* 90)</f>
        <v>9.3167701863354047E-2</v>
      </c>
      <c r="BE141" s="16281">
        <f>IF(HLOOKUP("Mins",A1:CV300,141,FALSE)=0,0,HLOOKUP("Headers",A1:CV300,141,FALSE)/HLOOKUP("Mins",A1:CV300,141,FALSE)* 90)</f>
        <v>0</v>
      </c>
      <c r="BF141" s="16282">
        <f>IF(HLOOKUP("Mins",A1:CV300,141,FALSE)=0,0,HLOOKUP("SOT",A1:CV300,141,FALSE)/HLOOKUP("Mins",A1:CV300,141,FALSE)* 90)</f>
        <v>0.18633540372670809</v>
      </c>
      <c r="BG141" s="16283">
        <f>IF(HLOOKUP("Mins",A1:CV300,141,FALSE)=0,0,HLOOKUP("As",A1:CV300,141,FALSE)/HLOOKUP("Mins",A1:CV300,141,FALSE)* 90)</f>
        <v>9.3167701863354047E-2</v>
      </c>
      <c r="BH141" s="16284">
        <f>IF(HLOOKUP("Mins",A1:CV300,141,FALSE)=0,0,HLOOKUP("FPL As",A1:CV300,141,FALSE)/HLOOKUP("Mins",A1:CV300,141,FALSE)* 90)</f>
        <v>9.3167701863354047E-2</v>
      </c>
      <c r="BI141" s="16285">
        <f>IF(HLOOKUP("Mins",A1:CV300,141,FALSE)=0,0,HLOOKUP("BC Created",A1:CV300,141,FALSE)/HLOOKUP("Mins",A1:CV300,141,FALSE)* 90)</f>
        <v>0.18633540372670809</v>
      </c>
      <c r="BJ141" s="16286">
        <f>IF(HLOOKUP("Mins",A1:CV300,141,FALSE)=0,0,HLOOKUP("KP",A1:CV300,141,FALSE)/HLOOKUP("Mins",A1:CV300,141,FALSE)* 90)</f>
        <v>0.65217391304347827</v>
      </c>
      <c r="BK141" s="16287">
        <f>IF(HLOOKUP("Mins",A1:CV300,141,FALSE)=0,0,HLOOKUP("BC",A1:CV300,141,FALSE)/HLOOKUP("Mins",A1:CV300,141,FALSE)* 90)</f>
        <v>9.3167701863354047E-2</v>
      </c>
      <c r="BL141" s="16288">
        <f>IF(HLOOKUP("Mins",A1:CV300,141,FALSE)=0,0,HLOOKUP("BC Miss",A1:CV300,141,FALSE)/HLOOKUP("Mins",A1:CV300,141,FALSE)* 90)</f>
        <v>9.3167701863354047E-2</v>
      </c>
      <c r="BM141" s="16289">
        <f>IF(HLOOKUP("Mins",A1:CV300,141,FALSE)=0,0,HLOOKUP("Gs - BC",A1:CV300,141,FALSE)/HLOOKUP("Mins",A1:CV300,141,FALSE)* 90)</f>
        <v>0</v>
      </c>
      <c r="BN141" s="16290">
        <f>IF(HLOOKUP("Mins",A1:CV300,141,FALSE)=0,0,HLOOKUP("GIB",A1:CV300,141,FALSE)/HLOOKUP("Mins",A1:CV300,141,FALSE)* 90)</f>
        <v>0</v>
      </c>
      <c r="BO141" s="16291">
        <f>IF(HLOOKUP("Mins",A1:CV300,141,FALSE)=0,0,HLOOKUP("Gs - Open",A1:CV300,141,FALSE)/HLOOKUP("Mins",A1:CV300,141,FALSE)* 90)</f>
        <v>0</v>
      </c>
      <c r="BP141" s="16292">
        <f>IF(HLOOKUP("Mins",A1:CV300,141,FALSE)=0,0,HLOOKUP("ICT Index",A1:CV300,141,FALSE)/HLOOKUP("Mins",A1:CV300,141,FALSE)* 90)</f>
        <v>3.8757763975155282</v>
      </c>
      <c r="BQ141" s="16293">
        <f>IF(HLOOKUP("Mins",A1:CV300,141,FALSE)=0,0,(0.02*(HLOOKUP("Shots",A1:CV300,141,FALSE)-HLOOKUP("SIB",A1:CV300,141,FALSE))+0.093*(HLOOKUP("SIB",A1:CV300,141,FALSE)-(HLOOKUP("PK Gs",A1:CV300,141,FALSE)+HLOOKUP("PK Miss",A1:CV300,141,FALSE)))+0.75*(HLOOKUP("PK Gs",A1:CV300,141,FALSE)+HLOOKUP("PK Miss",A1:CV300,141,FALSE)))/HLOOKUP("Mins",A1:CV300,141,FALSE)*90)</f>
        <v>3.8385093167701861E-2</v>
      </c>
      <c r="BR141" s="16294">
        <f>0.0825*HLOOKUP("KP/90",A1:CV300,141,FALSE)</f>
        <v>5.3804347826086958E-2</v>
      </c>
      <c r="BS141" s="16295">
        <f>6*HLOOKUP("xG/90",A1:CV300,141,FALSE)+3*HLOOKUP("xA/90",A1:CV300,141,FALSE)</f>
        <v>0.39172360248447202</v>
      </c>
      <c r="BT141" s="16296">
        <f>HLOOKUP("xPts/90",A1:CV300,141,FALSE)-(6*0.75*(HLOOKUP("PK Gs",A1:CV300,141,FALSE)+HLOOKUP("PK Miss",A1:CV300,141,FALSE))*90/HLOOKUP("Mins",A1:CV300,141,FALSE))</f>
        <v>0.39172360248447202</v>
      </c>
      <c r="BU141" s="16297">
        <f>IF(HLOOKUP("Mins",A1:CV300,141,FALSE)=0,0,HLOOKUP("fsXG",A1:CV300,141,FALSE)/HLOOKUP("Mins",A1:CV300,141,FALSE)* 90)</f>
        <v>7.6397515527950308E-2</v>
      </c>
      <c r="BV141" s="16298">
        <f>IF(HLOOKUP("Mins",A1:CV300,141,FALSE)=0,0,HLOOKUP("fsXA",A1:CV300,141,FALSE)/HLOOKUP("Mins",A1:CV300,141,FALSE)* 90)</f>
        <v>6.0559006211180127E-2</v>
      </c>
      <c r="BW141" s="16299">
        <f>6*HLOOKUP("fsXG/90",A1:CV300,141,FALSE)+3*HLOOKUP("fsXA/90",A1:CV300,141,FALSE)</f>
        <v>0.64006211180124217</v>
      </c>
      <c r="BX141" s="16300">
        <v>7.2908952832221985E-2</v>
      </c>
      <c r="BY141" s="16301">
        <v>0.13665288686752319</v>
      </c>
      <c r="BZ141" s="16302">
        <f>6*HLOOKUP("uXG/90",A1:CV300,141,FALSE)+3*HLOOKUP("uXA/90",A1:CV300,141,FALSE)</f>
        <v>0.84741237759590149</v>
      </c>
    </row>
    <row r="142" spans="1:78" hidden="1" x14ac:dyDescent="0.3">
      <c r="A142" s="16303" t="s">
        <v>305</v>
      </c>
      <c r="B142" s="16304" t="s">
        <v>98</v>
      </c>
      <c r="C142" s="16305">
        <v>4.8000001907348633</v>
      </c>
      <c r="D142" s="16306">
        <v>1394</v>
      </c>
      <c r="E142" s="16307">
        <v>17</v>
      </c>
      <c r="F142" s="16308">
        <v>32</v>
      </c>
      <c r="G142" s="16309">
        <v>1</v>
      </c>
      <c r="H142" s="16310">
        <v>0</v>
      </c>
      <c r="I142" s="16311">
        <v>187</v>
      </c>
      <c r="J142" s="16312">
        <f>HLOOKUP("BPS",A1:CV300,142,FALSE)-((-6*HLOOKUP("OG",A1:CV300,142,FALSE))+(-6*HLOOKUP("PK Miss",A1:CV300,142,FALSE))+(9*HLOOKUP("FPL As",A1:CV300,142,FALSE))+(12*HLOOKUP("CS",A1:CV300,142,FALSE))+(12*HLOOKUP("Gs",A1:CV300,142,FALSE)))</f>
        <v>142</v>
      </c>
      <c r="K142" s="16313">
        <v>0</v>
      </c>
      <c r="L142" s="16314">
        <v>2</v>
      </c>
      <c r="M142" s="16315">
        <v>29</v>
      </c>
      <c r="N142" s="16316">
        <v>8</v>
      </c>
      <c r="O142" s="16317">
        <v>6</v>
      </c>
      <c r="P142" s="16318">
        <f>IF(HLOOKUP("Shots",A1:CV300,142,FALSE)=0,0,HLOOKUP("SIB",A1:CV300,142,FALSE)/HLOOKUP("Shots",A1:CV300,142,FALSE))</f>
        <v>0.75</v>
      </c>
      <c r="Q142" s="16319">
        <v>2</v>
      </c>
      <c r="R142" s="16320">
        <f>IF(HLOOKUP("Shots",A1:CV300,142,FALSE)=0,0,HLOOKUP("S6YD",A1:CV300,142,FALSE)/HLOOKUP("Shots",A1:CV300,142,FALSE))</f>
        <v>0.25</v>
      </c>
      <c r="S142" s="16321">
        <v>1</v>
      </c>
      <c r="T142" s="16322">
        <f>IF(HLOOKUP("Shots",A1:CV300,142,FALSE)=0,0,HLOOKUP("Headers",A1:CV300,142,FALSE)/HLOOKUP("Shots",A1:CV300,142,FALSE))</f>
        <v>0.125</v>
      </c>
      <c r="U142" s="16323">
        <v>1</v>
      </c>
      <c r="V142" s="16324">
        <f>IF(HLOOKUP("Shots",A1:CV300,142,FALSE)=0,0,HLOOKUP("SOT",A1:CV300,142,FALSE)/HLOOKUP("Shots",A1:CV300,142,FALSE))</f>
        <v>0.125</v>
      </c>
      <c r="W142" s="16325">
        <f>IF(HLOOKUP("Shots",A1:CV300,142,FALSE)=0,0,HLOOKUP("Gs",A1:CV300,142,FALSE)/HLOOKUP("Shots",A1:CV300,142,FALSE))</f>
        <v>0.125</v>
      </c>
      <c r="X142" s="16326">
        <v>1</v>
      </c>
      <c r="Y142" s="16327">
        <v>1</v>
      </c>
      <c r="Z142" s="16328">
        <v>15</v>
      </c>
      <c r="AA142" s="16329">
        <f>IF(HLOOKUP("KP",A1:CV300,142,FALSE)=0,0,HLOOKUP("As",A1:CV300,142,FALSE)/HLOOKUP("KP",A1:CV300,142,FALSE))</f>
        <v>6.6666666666666666E-2</v>
      </c>
      <c r="AB142" s="16330">
        <v>60.4</v>
      </c>
      <c r="AC142" s="16331">
        <v>10</v>
      </c>
      <c r="AD142" s="16332">
        <v>3</v>
      </c>
      <c r="AE142" s="16333">
        <v>2</v>
      </c>
      <c r="AF142" s="16334">
        <v>1</v>
      </c>
      <c r="AG142" s="16335">
        <f>IF(HLOOKUP("BC",A1:CV300,142,FALSE)=0,0,HLOOKUP("Gs - BC",A1:CV300,142,FALSE)/HLOOKUP("BC",A1:CV300,142,FALSE))</f>
        <v>0.5</v>
      </c>
      <c r="AH142" s="16336">
        <f>HLOOKUP("BC",A1:CV300,142,FALSE) - HLOOKUP("BC Miss",A1:CV300,142,FALSE)</f>
        <v>1</v>
      </c>
      <c r="AI142" s="16337">
        <f>IF(HLOOKUP("Gs",A1:CV300,142,FALSE)=0,0,HLOOKUP("Gs - BC",A1:CV300,142,FALSE)/HLOOKUP("Gs",A1:CV300,142,FALSE))</f>
        <v>1</v>
      </c>
      <c r="AJ142" s="16338">
        <v>0</v>
      </c>
      <c r="AK142" s="16339">
        <v>0</v>
      </c>
      <c r="AL142" s="16340">
        <f>HLOOKUP("BC",A1:CV300,142,FALSE) - (HLOOKUP("PK Gs",A1:CV300,142,FALSE) + HLOOKUP("PK Miss",A1:CV300,142,FALSE))</f>
        <v>2</v>
      </c>
      <c r="AM142" s="16341">
        <f>HLOOKUP("BC Miss",A1:CV300,142,FALSE) - HLOOKUP("PK Miss",A1:CV300,142,FALSE)</f>
        <v>1</v>
      </c>
      <c r="AN142" s="16342">
        <f>IF(HLOOKUP("BC - Open",A1:CV300,142,FALSE)=0,0,HLOOKUP("BC - Open Miss",A1:CV300,142,FALSE)/HLOOKUP("BC - Open",A1:CV300,142,FALSE))</f>
        <v>0.5</v>
      </c>
      <c r="AO142" s="16343">
        <v>1</v>
      </c>
      <c r="AP142" s="16344">
        <f>IF(HLOOKUP("Gs",A1:CV300,142,FALSE)=0,0,HLOOKUP("GIB",A1:CV300,142,FALSE)/HLOOKUP("Gs",A1:CV300,142,FALSE))</f>
        <v>1</v>
      </c>
      <c r="AQ142" s="16345">
        <v>0</v>
      </c>
      <c r="AR142" s="16346">
        <f>IF(HLOOKUP("Gs",A1:CV300,142,FALSE)=0,0,HLOOKUP("Gs - Open",A1:CV300,142,FALSE)/HLOOKUP("Gs",A1:CV300,142,FALSE))</f>
        <v>0</v>
      </c>
      <c r="AS142" s="16347">
        <v>1.4</v>
      </c>
      <c r="AT142" s="16348">
        <v>2.09</v>
      </c>
      <c r="AU142" s="16349">
        <f>IF(HLOOKUP("Mins",A1:CV300,142,FALSE)=0,0,HLOOKUP("Pts",A1:CV300,142,FALSE)/HLOOKUP("Mins",A1:CV300,142,FALSE)* 90)</f>
        <v>2.0659971305595408</v>
      </c>
      <c r="AV142" s="16350">
        <f>IF(HLOOKUP("Apps",A1:CV300,142,FALSE)=0,0,HLOOKUP("Pts",A1:CV300,142,FALSE)/HLOOKUP("Apps",A1:CV300,142,FALSE)* 1)</f>
        <v>1.8823529411764706</v>
      </c>
      <c r="AW142" s="16351">
        <f>IF(HLOOKUP("Mins",A1:CV300,142,FALSE)=0,0,HLOOKUP("Gs",A1:CV300,142,FALSE)/HLOOKUP("Mins",A1:CV300,142,FALSE)* 90)</f>
        <v>6.4562410329985651E-2</v>
      </c>
      <c r="AX142" s="16352">
        <f>IF(HLOOKUP("Mins",A1:CV300,142,FALSE)=0,0,HLOOKUP("Bonus",A1:CV300,142,FALSE)/HLOOKUP("Mins",A1:CV300,142,FALSE)* 90)</f>
        <v>0</v>
      </c>
      <c r="AY142" s="16353">
        <f>IF(HLOOKUP("Mins",A1:CV300,142,FALSE)=0,0,HLOOKUP("BPS",A1:CV300,142,FALSE)/HLOOKUP("Mins",A1:CV300,142,FALSE)* 90)</f>
        <v>12.073170731707318</v>
      </c>
      <c r="AZ142" s="16354">
        <f>IF(HLOOKUP("Mins",A1:CV300,142,FALSE)=0,0,HLOOKUP("Base BPS",A1:CV300,142,FALSE)/HLOOKUP("Mins",A1:CV300,142,FALSE)* 90)</f>
        <v>9.1678622668579628</v>
      </c>
      <c r="BA142" s="16355">
        <f>IF(HLOOKUP("Mins",A1:CV300,142,FALSE)=0,0,HLOOKUP("PenTchs",A1:CV300,142,FALSE)/HLOOKUP("Mins",A1:CV300,142,FALSE)* 90)</f>
        <v>1.8723098995695837</v>
      </c>
      <c r="BB142" s="16356">
        <f>IF(HLOOKUP("Mins",A1:CV300,142,FALSE)=0,0,HLOOKUP("Shots",A1:CV300,142,FALSE)/HLOOKUP("Mins",A1:CV300,142,FALSE)* 90)</f>
        <v>0.5164992826398852</v>
      </c>
      <c r="BC142" s="16357">
        <f>IF(HLOOKUP("Mins",A1:CV300,142,FALSE)=0,0,HLOOKUP("SIB",A1:CV300,142,FALSE)/HLOOKUP("Mins",A1:CV300,142,FALSE)* 90)</f>
        <v>0.38737446197991388</v>
      </c>
      <c r="BD142" s="16358">
        <f>IF(HLOOKUP("Mins",A1:CV300,142,FALSE)=0,0,HLOOKUP("S6YD",A1:CV300,142,FALSE)/HLOOKUP("Mins",A1:CV300,142,FALSE)* 90)</f>
        <v>0.1291248206599713</v>
      </c>
      <c r="BE142" s="16359">
        <f>IF(HLOOKUP("Mins",A1:CV300,142,FALSE)=0,0,HLOOKUP("Headers",A1:CV300,142,FALSE)/HLOOKUP("Mins",A1:CV300,142,FALSE)* 90)</f>
        <v>6.4562410329985651E-2</v>
      </c>
      <c r="BF142" s="16360">
        <f>IF(HLOOKUP("Mins",A1:CV300,142,FALSE)=0,0,HLOOKUP("SOT",A1:CV300,142,FALSE)/HLOOKUP("Mins",A1:CV300,142,FALSE)* 90)</f>
        <v>6.4562410329985651E-2</v>
      </c>
      <c r="BG142" s="16361">
        <f>IF(HLOOKUP("Mins",A1:CV300,142,FALSE)=0,0,HLOOKUP("As",A1:CV300,142,FALSE)/HLOOKUP("Mins",A1:CV300,142,FALSE)* 90)</f>
        <v>6.4562410329985651E-2</v>
      </c>
      <c r="BH142" s="16362">
        <f>IF(HLOOKUP("Mins",A1:CV300,142,FALSE)=0,0,HLOOKUP("FPL As",A1:CV300,142,FALSE)/HLOOKUP("Mins",A1:CV300,142,FALSE)* 90)</f>
        <v>6.4562410329985651E-2</v>
      </c>
      <c r="BI142" s="16363">
        <f>IF(HLOOKUP("Mins",A1:CV300,142,FALSE)=0,0,HLOOKUP("BC Created",A1:CV300,142,FALSE)/HLOOKUP("Mins",A1:CV300,142,FALSE)* 90)</f>
        <v>0.19368723098995694</v>
      </c>
      <c r="BJ142" s="16364">
        <f>IF(HLOOKUP("Mins",A1:CV300,142,FALSE)=0,0,HLOOKUP("KP",A1:CV300,142,FALSE)/HLOOKUP("Mins",A1:CV300,142,FALSE)* 90)</f>
        <v>0.96843615494978486</v>
      </c>
      <c r="BK142" s="16365">
        <f>IF(HLOOKUP("Mins",A1:CV300,142,FALSE)=0,0,HLOOKUP("BC",A1:CV300,142,FALSE)/HLOOKUP("Mins",A1:CV300,142,FALSE)* 90)</f>
        <v>0.1291248206599713</v>
      </c>
      <c r="BL142" s="16366">
        <f>IF(HLOOKUP("Mins",A1:CV300,142,FALSE)=0,0,HLOOKUP("BC Miss",A1:CV300,142,FALSE)/HLOOKUP("Mins",A1:CV300,142,FALSE)* 90)</f>
        <v>6.4562410329985651E-2</v>
      </c>
      <c r="BM142" s="16367">
        <f>IF(HLOOKUP("Mins",A1:CV300,142,FALSE)=0,0,HLOOKUP("Gs - BC",A1:CV300,142,FALSE)/HLOOKUP("Mins",A1:CV300,142,FALSE)* 90)</f>
        <v>6.4562410329985651E-2</v>
      </c>
      <c r="BN142" s="16368">
        <f>IF(HLOOKUP("Mins",A1:CV300,142,FALSE)=0,0,HLOOKUP("GIB",A1:CV300,142,FALSE)/HLOOKUP("Mins",A1:CV300,142,FALSE)* 90)</f>
        <v>6.4562410329985651E-2</v>
      </c>
      <c r="BO142" s="16369">
        <f>IF(HLOOKUP("Mins",A1:CV300,142,FALSE)=0,0,HLOOKUP("Gs - Open",A1:CV300,142,FALSE)/HLOOKUP("Mins",A1:CV300,142,FALSE)* 90)</f>
        <v>0</v>
      </c>
      <c r="BP142" s="16370">
        <f>IF(HLOOKUP("Mins",A1:CV300,142,FALSE)=0,0,HLOOKUP("ICT Index",A1:CV300,142,FALSE)/HLOOKUP("Mins",A1:CV300,142,FALSE)* 90)</f>
        <v>3.8995695839311333</v>
      </c>
      <c r="BQ142" s="16371">
        <f>IF(HLOOKUP("Mins",A1:CV300,142,FALSE)=0,0,(0.02*(HLOOKUP("Shots",A1:CV300,142,FALSE)-HLOOKUP("SIB",A1:CV300,142,FALSE))+0.093*(HLOOKUP("SIB",A1:CV300,142,FALSE)-(HLOOKUP("PK Gs",A1:CV300,142,FALSE)+HLOOKUP("PK Miss",A1:CV300,142,FALSE)))+0.75*(HLOOKUP("PK Gs",A1:CV300,142,FALSE)+HLOOKUP("PK Miss",A1:CV300,142,FALSE)))/HLOOKUP("Mins",A1:CV300,142,FALSE)*90)</f>
        <v>3.8608321377331424E-2</v>
      </c>
      <c r="BR142" s="16372">
        <f>0.0825*HLOOKUP("KP/90",A1:CV300,142,FALSE)</f>
        <v>7.9895982783357258E-2</v>
      </c>
      <c r="BS142" s="16373">
        <f>6*HLOOKUP("xG/90",A1:CV300,142,FALSE)+3*HLOOKUP("xA/90",A1:CV300,142,FALSE)</f>
        <v>0.47133787661406035</v>
      </c>
      <c r="BT142" s="16374">
        <f>HLOOKUP("xPts/90",A1:CV300,142,FALSE)-(6*0.75*(HLOOKUP("PK Gs",A1:CV300,142,FALSE)+HLOOKUP("PK Miss",A1:CV300,142,FALSE))*90/HLOOKUP("Mins",A1:CV300,142,FALSE))</f>
        <v>0.47133787661406035</v>
      </c>
      <c r="BU142" s="16375">
        <f>IF(HLOOKUP("Mins",A1:CV300,142,FALSE)=0,0,HLOOKUP("fsXG",A1:CV300,142,FALSE)/HLOOKUP("Mins",A1:CV300,142,FALSE)* 90)</f>
        <v>9.0387374461979905E-2</v>
      </c>
      <c r="BV142" s="16376">
        <f>IF(HLOOKUP("Mins",A1:CV300,142,FALSE)=0,0,HLOOKUP("fsXA",A1:CV300,142,FALSE)/HLOOKUP("Mins",A1:CV300,142,FALSE)* 90)</f>
        <v>0.13493543758967</v>
      </c>
      <c r="BW142" s="16377">
        <f>6*HLOOKUP("fsXG/90",A1:CV300,142,FALSE)+3*HLOOKUP("fsXA/90",A1:CV300,142,FALSE)</f>
        <v>0.94713055954088943</v>
      </c>
      <c r="BX142" s="16378">
        <v>0.11160092055797577</v>
      </c>
      <c r="BY142" s="16379">
        <v>0.14603544771671295</v>
      </c>
      <c r="BZ142" s="16380">
        <f>6*HLOOKUP("uXG/90",A1:CV300,142,FALSE)+3*HLOOKUP("uXA/90",A1:CV300,142,FALSE)</f>
        <v>1.1077118664979935</v>
      </c>
    </row>
    <row r="143" spans="1:78" hidden="1" x14ac:dyDescent="0.3">
      <c r="A143" s="16381" t="s">
        <v>306</v>
      </c>
      <c r="B143" s="16382" t="s">
        <v>105</v>
      </c>
      <c r="C143" s="16383">
        <v>5.1999998092651367</v>
      </c>
      <c r="D143" s="16384">
        <v>680</v>
      </c>
      <c r="E143" s="16385">
        <v>9</v>
      </c>
      <c r="F143" s="16386">
        <v>26</v>
      </c>
      <c r="G143" s="16387">
        <v>0</v>
      </c>
      <c r="H143" s="16388">
        <v>1</v>
      </c>
      <c r="I143" s="16389">
        <v>159</v>
      </c>
      <c r="J143" s="16390">
        <f>HLOOKUP("BPS",A1:CV300,143,FALSE)-((-6*HLOOKUP("OG",A1:CV300,143,FALSE))+(-6*HLOOKUP("PK Miss",A1:CV300,143,FALSE))+(9*HLOOKUP("FPL As",A1:CV300,143,FALSE))+(12*HLOOKUP("CS",A1:CV300,143,FALSE))+(12*HLOOKUP("Gs",A1:CV300,143,FALSE)))</f>
        <v>123</v>
      </c>
      <c r="K143" s="16391">
        <v>0</v>
      </c>
      <c r="L143" s="16392">
        <v>3</v>
      </c>
      <c r="M143" s="16393">
        <v>1</v>
      </c>
      <c r="N143" s="16394">
        <v>10</v>
      </c>
      <c r="O143" s="16395">
        <v>1</v>
      </c>
      <c r="P143" s="16396">
        <f>IF(HLOOKUP("Shots",A1:CV300,143,FALSE)=0,0,HLOOKUP("SIB",A1:CV300,143,FALSE)/HLOOKUP("Shots",A1:CV300,143,FALSE))</f>
        <v>0.1</v>
      </c>
      <c r="Q143" s="16397">
        <v>0</v>
      </c>
      <c r="R143" s="16398">
        <f>IF(HLOOKUP("Shots",A1:CV300,143,FALSE)=0,0,HLOOKUP("S6YD",A1:CV300,143,FALSE)/HLOOKUP("Shots",A1:CV300,143,FALSE))</f>
        <v>0</v>
      </c>
      <c r="S143" s="16399">
        <v>0</v>
      </c>
      <c r="T143" s="16400">
        <f>IF(HLOOKUP("Shots",A1:CV300,143,FALSE)=0,0,HLOOKUP("Headers",A1:CV300,143,FALSE)/HLOOKUP("Shots",A1:CV300,143,FALSE))</f>
        <v>0</v>
      </c>
      <c r="U143" s="16401">
        <v>2</v>
      </c>
      <c r="V143" s="16402">
        <f>IF(HLOOKUP("Shots",A1:CV300,143,FALSE)=0,0,HLOOKUP("SOT",A1:CV300,143,FALSE)/HLOOKUP("Shots",A1:CV300,143,FALSE))</f>
        <v>0.2</v>
      </c>
      <c r="W143" s="16403">
        <f>IF(HLOOKUP("Shots",A1:CV300,143,FALSE)=0,0,HLOOKUP("Gs",A1:CV300,143,FALSE)/HLOOKUP("Shots",A1:CV300,143,FALSE))</f>
        <v>0</v>
      </c>
      <c r="X143" s="16404">
        <v>0</v>
      </c>
      <c r="Y143" s="16405">
        <v>0</v>
      </c>
      <c r="Z143" s="16406">
        <v>13</v>
      </c>
      <c r="AA143" s="16407">
        <f>IF(HLOOKUP("KP",A1:CV300,143,FALSE)=0,0,HLOOKUP("As",A1:CV300,143,FALSE)/HLOOKUP("KP",A1:CV300,143,FALSE))</f>
        <v>0</v>
      </c>
      <c r="AB143" s="16408">
        <v>43.5</v>
      </c>
      <c r="AC143" s="16409">
        <v>0</v>
      </c>
      <c r="AD143" s="16410">
        <v>0</v>
      </c>
      <c r="AE143" s="16411">
        <v>0</v>
      </c>
      <c r="AF143" s="16412">
        <v>0</v>
      </c>
      <c r="AG143" s="16413">
        <f>IF(HLOOKUP("BC",A1:CV300,143,FALSE)=0,0,HLOOKUP("Gs - BC",A1:CV300,143,FALSE)/HLOOKUP("BC",A1:CV300,143,FALSE))</f>
        <v>0</v>
      </c>
      <c r="AH143" s="16414">
        <f>HLOOKUP("BC",A1:CV300,143,FALSE) - HLOOKUP("BC Miss",A1:CV300,143,FALSE)</f>
        <v>0</v>
      </c>
      <c r="AI143" s="16415">
        <f>IF(HLOOKUP("Gs",A1:CV300,143,FALSE)=0,0,HLOOKUP("Gs - BC",A1:CV300,143,FALSE)/HLOOKUP("Gs",A1:CV300,143,FALSE))</f>
        <v>0</v>
      </c>
      <c r="AJ143" s="16416">
        <v>0</v>
      </c>
      <c r="AK143" s="16417">
        <v>0</v>
      </c>
      <c r="AL143" s="16418">
        <f>HLOOKUP("BC",A1:CV300,143,FALSE) - (HLOOKUP("PK Gs",A1:CV300,143,FALSE) + HLOOKUP("PK Miss",A1:CV300,143,FALSE))</f>
        <v>0</v>
      </c>
      <c r="AM143" s="16419">
        <f>HLOOKUP("BC Miss",A1:CV300,143,FALSE) - HLOOKUP("PK Miss",A1:CV300,143,FALSE)</f>
        <v>0</v>
      </c>
      <c r="AN143" s="16420">
        <f>IF(HLOOKUP("BC - Open",A1:CV300,143,FALSE)=0,0,HLOOKUP("BC - Open Miss",A1:CV300,143,FALSE)/HLOOKUP("BC - Open",A1:CV300,143,FALSE))</f>
        <v>0</v>
      </c>
      <c r="AO143" s="16421">
        <v>0</v>
      </c>
      <c r="AP143" s="16422">
        <f>IF(HLOOKUP("Gs",A1:CV300,143,FALSE)=0,0,HLOOKUP("GIB",A1:CV300,143,FALSE)/HLOOKUP("Gs",A1:CV300,143,FALSE))</f>
        <v>0</v>
      </c>
      <c r="AQ143" s="16423">
        <v>0</v>
      </c>
      <c r="AR143" s="16424">
        <f>IF(HLOOKUP("Gs",A1:CV300,143,FALSE)=0,0,HLOOKUP("Gs - Open",A1:CV300,143,FALSE)/HLOOKUP("Gs",A1:CV300,143,FALSE))</f>
        <v>0</v>
      </c>
      <c r="AS143" s="16425">
        <v>0.32</v>
      </c>
      <c r="AT143" s="16426">
        <v>0.87</v>
      </c>
      <c r="AU143" s="16427">
        <f>IF(HLOOKUP("Mins",A1:CV300,143,FALSE)=0,0,HLOOKUP("Pts",A1:CV300,143,FALSE)/HLOOKUP("Mins",A1:CV300,143,FALSE)* 90)</f>
        <v>3.4411764705882355</v>
      </c>
      <c r="AV143" s="16428">
        <f>IF(HLOOKUP("Apps",A1:CV300,143,FALSE)=0,0,HLOOKUP("Pts",A1:CV300,143,FALSE)/HLOOKUP("Apps",A1:CV300,143,FALSE)* 1)</f>
        <v>2.8888888888888888</v>
      </c>
      <c r="AW143" s="16429">
        <f>IF(HLOOKUP("Mins",A1:CV300,143,FALSE)=0,0,HLOOKUP("Gs",A1:CV300,143,FALSE)/HLOOKUP("Mins",A1:CV300,143,FALSE)* 90)</f>
        <v>0</v>
      </c>
      <c r="AX143" s="16430">
        <f>IF(HLOOKUP("Mins",A1:CV300,143,FALSE)=0,0,HLOOKUP("Bonus",A1:CV300,143,FALSE)/HLOOKUP("Mins",A1:CV300,143,FALSE)* 90)</f>
        <v>0.13235294117647059</v>
      </c>
      <c r="AY143" s="16431">
        <f>IF(HLOOKUP("Mins",A1:CV300,143,FALSE)=0,0,HLOOKUP("BPS",A1:CV300,143,FALSE)/HLOOKUP("Mins",A1:CV300,143,FALSE)* 90)</f>
        <v>21.044117647058822</v>
      </c>
      <c r="AZ143" s="16432">
        <f>IF(HLOOKUP("Mins",A1:CV300,143,FALSE)=0,0,HLOOKUP("Base BPS",A1:CV300,143,FALSE)/HLOOKUP("Mins",A1:CV300,143,FALSE)* 90)</f>
        <v>16.27941176470588</v>
      </c>
      <c r="BA143" s="16433">
        <f>IF(HLOOKUP("Mins",A1:CV300,143,FALSE)=0,0,HLOOKUP("PenTchs",A1:CV300,143,FALSE)/HLOOKUP("Mins",A1:CV300,143,FALSE)* 90)</f>
        <v>0.13235294117647059</v>
      </c>
      <c r="BB143" s="16434">
        <f>IF(HLOOKUP("Mins",A1:CV300,143,FALSE)=0,0,HLOOKUP("Shots",A1:CV300,143,FALSE)/HLOOKUP("Mins",A1:CV300,143,FALSE)* 90)</f>
        <v>1.3235294117647058</v>
      </c>
      <c r="BC143" s="16435">
        <f>IF(HLOOKUP("Mins",A1:CV300,143,FALSE)=0,0,HLOOKUP("SIB",A1:CV300,143,FALSE)/HLOOKUP("Mins",A1:CV300,143,FALSE)* 90)</f>
        <v>0.13235294117647059</v>
      </c>
      <c r="BD143" s="16436">
        <f>IF(HLOOKUP("Mins",A1:CV300,143,FALSE)=0,0,HLOOKUP("S6YD",A1:CV300,143,FALSE)/HLOOKUP("Mins",A1:CV300,143,FALSE)* 90)</f>
        <v>0</v>
      </c>
      <c r="BE143" s="16437">
        <f>IF(HLOOKUP("Mins",A1:CV300,143,FALSE)=0,0,HLOOKUP("Headers",A1:CV300,143,FALSE)/HLOOKUP("Mins",A1:CV300,143,FALSE)* 90)</f>
        <v>0</v>
      </c>
      <c r="BF143" s="16438">
        <f>IF(HLOOKUP("Mins",A1:CV300,143,FALSE)=0,0,HLOOKUP("SOT",A1:CV300,143,FALSE)/HLOOKUP("Mins",A1:CV300,143,FALSE)* 90)</f>
        <v>0.26470588235294118</v>
      </c>
      <c r="BG143" s="16439">
        <f>IF(HLOOKUP("Mins",A1:CV300,143,FALSE)=0,0,HLOOKUP("As",A1:CV300,143,FALSE)/HLOOKUP("Mins",A1:CV300,143,FALSE)* 90)</f>
        <v>0</v>
      </c>
      <c r="BH143" s="16440">
        <f>IF(HLOOKUP("Mins",A1:CV300,143,FALSE)=0,0,HLOOKUP("FPL As",A1:CV300,143,FALSE)/HLOOKUP("Mins",A1:CV300,143,FALSE)* 90)</f>
        <v>0</v>
      </c>
      <c r="BI143" s="16441">
        <f>IF(HLOOKUP("Mins",A1:CV300,143,FALSE)=0,0,HLOOKUP("BC Created",A1:CV300,143,FALSE)/HLOOKUP("Mins",A1:CV300,143,FALSE)* 90)</f>
        <v>0</v>
      </c>
      <c r="BJ143" s="16442">
        <f>IF(HLOOKUP("Mins",A1:CV300,143,FALSE)=0,0,HLOOKUP("KP",A1:CV300,143,FALSE)/HLOOKUP("Mins",A1:CV300,143,FALSE)* 90)</f>
        <v>1.7205882352941178</v>
      </c>
      <c r="BK143" s="16443">
        <f>IF(HLOOKUP("Mins",A1:CV300,143,FALSE)=0,0,HLOOKUP("BC",A1:CV300,143,FALSE)/HLOOKUP("Mins",A1:CV300,143,FALSE)* 90)</f>
        <v>0</v>
      </c>
      <c r="BL143" s="16444">
        <f>IF(HLOOKUP("Mins",A1:CV300,143,FALSE)=0,0,HLOOKUP("BC Miss",A1:CV300,143,FALSE)/HLOOKUP("Mins",A1:CV300,143,FALSE)* 90)</f>
        <v>0</v>
      </c>
      <c r="BM143" s="16445">
        <f>IF(HLOOKUP("Mins",A1:CV300,143,FALSE)=0,0,HLOOKUP("Gs - BC",A1:CV300,143,FALSE)/HLOOKUP("Mins",A1:CV300,143,FALSE)* 90)</f>
        <v>0</v>
      </c>
      <c r="BN143" s="16446">
        <f>IF(HLOOKUP("Mins",A1:CV300,143,FALSE)=0,0,HLOOKUP("GIB",A1:CV300,143,FALSE)/HLOOKUP("Mins",A1:CV300,143,FALSE)* 90)</f>
        <v>0</v>
      </c>
      <c r="BO143" s="16447">
        <f>IF(HLOOKUP("Mins",A1:CV300,143,FALSE)=0,0,HLOOKUP("Gs - Open",A1:CV300,143,FALSE)/HLOOKUP("Mins",A1:CV300,143,FALSE)* 90)</f>
        <v>0</v>
      </c>
      <c r="BP143" s="16448">
        <f>IF(HLOOKUP("Mins",A1:CV300,143,FALSE)=0,0,HLOOKUP("ICT Index",A1:CV300,143,FALSE)/HLOOKUP("Mins",A1:CV300,143,FALSE)* 90)</f>
        <v>5.7573529411764701</v>
      </c>
      <c r="BQ143" s="16449">
        <f>IF(HLOOKUP("Mins",A1:CV300,143,FALSE)=0,0,(0.02*(HLOOKUP("Shots",A1:CV300,143,FALSE)-HLOOKUP("SIB",A1:CV300,143,FALSE))+0.093*(HLOOKUP("SIB",A1:CV300,143,FALSE)-(HLOOKUP("PK Gs",A1:CV300,143,FALSE)+HLOOKUP("PK Miss",A1:CV300,143,FALSE)))+0.75*(HLOOKUP("PK Gs",A1:CV300,143,FALSE)+HLOOKUP("PK Miss",A1:CV300,143,FALSE)))/HLOOKUP("Mins",A1:CV300,143,FALSE)*90)</f>
        <v>3.6132352941176477E-2</v>
      </c>
      <c r="BR143" s="16450">
        <f>0.0825*HLOOKUP("KP/90",A1:CV300,143,FALSE)</f>
        <v>0.14194852941176472</v>
      </c>
      <c r="BS143" s="16451">
        <f>6*HLOOKUP("xG/90",A1:CV300,143,FALSE)+3*HLOOKUP("xA/90",A1:CV300,143,FALSE)</f>
        <v>0.64263970588235297</v>
      </c>
      <c r="BT143" s="16452">
        <f>HLOOKUP("xPts/90",A1:CV300,143,FALSE)-(6*0.75*(HLOOKUP("PK Gs",A1:CV300,143,FALSE)+HLOOKUP("PK Miss",A1:CV300,143,FALSE))*90/HLOOKUP("Mins",A1:CV300,143,FALSE))</f>
        <v>0.64263970588235297</v>
      </c>
      <c r="BU143" s="16453">
        <f>IF(HLOOKUP("Mins",A1:CV300,143,FALSE)=0,0,HLOOKUP("fsXG",A1:CV300,143,FALSE)/HLOOKUP("Mins",A1:CV300,143,FALSE)* 90)</f>
        <v>4.2352941176470586E-2</v>
      </c>
      <c r="BV143" s="16454">
        <f>IF(HLOOKUP("Mins",A1:CV300,143,FALSE)=0,0,HLOOKUP("fsXA",A1:CV300,143,FALSE)/HLOOKUP("Mins",A1:CV300,143,FALSE)* 90)</f>
        <v>0.11514705882352942</v>
      </c>
      <c r="BW143" s="16455">
        <f>6*HLOOKUP("fsXG/90",A1:CV300,143,FALSE)+3*HLOOKUP("fsXA/90",A1:CV300,143,FALSE)</f>
        <v>0.59955882352941181</v>
      </c>
      <c r="BX143" s="16456">
        <v>4.6709004789590836E-2</v>
      </c>
      <c r="BY143" s="16457">
        <v>9.6127815544605255E-2</v>
      </c>
      <c r="BZ143" s="16458">
        <f>6*HLOOKUP("uXG/90",A1:CV300,143,FALSE)+3*HLOOKUP("uXA/90",A1:CV300,143,FALSE)</f>
        <v>0.56863747537136078</v>
      </c>
    </row>
    <row r="144" spans="1:78" hidden="1" x14ac:dyDescent="0.3">
      <c r="A144" s="16459" t="s">
        <v>307</v>
      </c>
      <c r="B144" s="16460" t="s">
        <v>147</v>
      </c>
      <c r="C144" s="16461">
        <v>4.5999999046325684</v>
      </c>
      <c r="D144" s="16462">
        <v>1229</v>
      </c>
      <c r="E144" s="16463">
        <v>14</v>
      </c>
      <c r="F144" s="16464">
        <v>47</v>
      </c>
      <c r="G144" s="16465">
        <v>1</v>
      </c>
      <c r="H144" s="16466">
        <v>7</v>
      </c>
      <c r="I144" s="16467">
        <v>255</v>
      </c>
      <c r="J144" s="16468">
        <f>HLOOKUP("BPS",A1:CV300,144,FALSE)-((-6*HLOOKUP("OG",A1:CV300,144,FALSE))+(-6*HLOOKUP("PK Miss",A1:CV300,144,FALSE))+(9*HLOOKUP("FPL As",A1:CV300,144,FALSE))+(12*HLOOKUP("CS",A1:CV300,144,FALSE))+(12*HLOOKUP("Gs",A1:CV300,144,FALSE)))</f>
        <v>195</v>
      </c>
      <c r="K144" s="16469">
        <v>0</v>
      </c>
      <c r="L144" s="16470">
        <v>4</v>
      </c>
      <c r="M144" s="16471">
        <v>9</v>
      </c>
      <c r="N144" s="16472">
        <v>7</v>
      </c>
      <c r="O144" s="16473">
        <v>6</v>
      </c>
      <c r="P144" s="16474">
        <f>IF(HLOOKUP("Shots",A1:CV300,144,FALSE)=0,0,HLOOKUP("SIB",A1:CV300,144,FALSE)/HLOOKUP("Shots",A1:CV300,144,FALSE))</f>
        <v>0.8571428571428571</v>
      </c>
      <c r="Q144" s="16475">
        <v>1</v>
      </c>
      <c r="R144" s="16476">
        <f>IF(HLOOKUP("Shots",A1:CV300,144,FALSE)=0,0,HLOOKUP("S6YD",A1:CV300,144,FALSE)/HLOOKUP("Shots",A1:CV300,144,FALSE))</f>
        <v>0.14285714285714285</v>
      </c>
      <c r="S144" s="16477">
        <v>3</v>
      </c>
      <c r="T144" s="16478">
        <f>IF(HLOOKUP("Shots",A1:CV300,144,FALSE)=0,0,HLOOKUP("Headers",A1:CV300,144,FALSE)/HLOOKUP("Shots",A1:CV300,144,FALSE))</f>
        <v>0.42857142857142855</v>
      </c>
      <c r="U144" s="16479">
        <v>3</v>
      </c>
      <c r="V144" s="16480">
        <f>IF(HLOOKUP("Shots",A1:CV300,144,FALSE)=0,0,HLOOKUP("SOT",A1:CV300,144,FALSE)/HLOOKUP("Shots",A1:CV300,144,FALSE))</f>
        <v>0.42857142857142855</v>
      </c>
      <c r="W144" s="16481">
        <f>IF(HLOOKUP("Shots",A1:CV300,144,FALSE)=0,0,HLOOKUP("Gs",A1:CV300,144,FALSE)/HLOOKUP("Shots",A1:CV300,144,FALSE))</f>
        <v>0.14285714285714285</v>
      </c>
      <c r="X144" s="16482">
        <v>0</v>
      </c>
      <c r="Y144" s="16483">
        <v>0</v>
      </c>
      <c r="Z144" s="16484">
        <v>4</v>
      </c>
      <c r="AA144" s="16485">
        <f>IF(HLOOKUP("KP",A1:CV300,144,FALSE)=0,0,HLOOKUP("As",A1:CV300,144,FALSE)/HLOOKUP("KP",A1:CV300,144,FALSE))</f>
        <v>0</v>
      </c>
      <c r="AB144" s="16486">
        <v>47.7</v>
      </c>
      <c r="AC144" s="16487">
        <v>4</v>
      </c>
      <c r="AD144" s="16488">
        <v>0</v>
      </c>
      <c r="AE144" s="16489">
        <v>2</v>
      </c>
      <c r="AF144" s="16490">
        <v>2</v>
      </c>
      <c r="AG144" s="16491">
        <f>IF(HLOOKUP("BC",A1:CV300,144,FALSE)=0,0,HLOOKUP("Gs - BC",A1:CV300,144,FALSE)/HLOOKUP("BC",A1:CV300,144,FALSE))</f>
        <v>0</v>
      </c>
      <c r="AH144" s="16492">
        <f>HLOOKUP("BC",A1:CV300,144,FALSE) - HLOOKUP("BC Miss",A1:CV300,144,FALSE)</f>
        <v>0</v>
      </c>
      <c r="AI144" s="16493">
        <f>IF(HLOOKUP("Gs",A1:CV300,144,FALSE)=0,0,HLOOKUP("Gs - BC",A1:CV300,144,FALSE)/HLOOKUP("Gs",A1:CV300,144,FALSE))</f>
        <v>0</v>
      </c>
      <c r="AJ144" s="16494">
        <v>0</v>
      </c>
      <c r="AK144" s="16495">
        <v>0</v>
      </c>
      <c r="AL144" s="16496">
        <f>HLOOKUP("BC",A1:CV300,144,FALSE) - (HLOOKUP("PK Gs",A1:CV300,144,FALSE) + HLOOKUP("PK Miss",A1:CV300,144,FALSE))</f>
        <v>2</v>
      </c>
      <c r="AM144" s="16497">
        <f>HLOOKUP("BC Miss",A1:CV300,144,FALSE) - HLOOKUP("PK Miss",A1:CV300,144,FALSE)</f>
        <v>2</v>
      </c>
      <c r="AN144" s="16498">
        <f>IF(HLOOKUP("BC - Open",A1:CV300,144,FALSE)=0,0,HLOOKUP("BC - Open Miss",A1:CV300,144,FALSE)/HLOOKUP("BC - Open",A1:CV300,144,FALSE))</f>
        <v>1</v>
      </c>
      <c r="AO144" s="16499">
        <v>0</v>
      </c>
      <c r="AP144" s="16500">
        <f>IF(HLOOKUP("Gs",A1:CV300,144,FALSE)=0,0,HLOOKUP("GIB",A1:CV300,144,FALSE)/HLOOKUP("Gs",A1:CV300,144,FALSE))</f>
        <v>0</v>
      </c>
      <c r="AQ144" s="16501">
        <v>0</v>
      </c>
      <c r="AR144" s="16502">
        <f>IF(HLOOKUP("Gs",A1:CV300,144,FALSE)=0,0,HLOOKUP("Gs - Open",A1:CV300,144,FALSE)/HLOOKUP("Gs",A1:CV300,144,FALSE))</f>
        <v>0</v>
      </c>
      <c r="AS144" s="16503">
        <v>0.41</v>
      </c>
      <c r="AT144" s="16504">
        <v>0.32</v>
      </c>
      <c r="AU144" s="16505">
        <f>IF(HLOOKUP("Mins",A1:CV300,144,FALSE)=0,0,HLOOKUP("Pts",A1:CV300,144,FALSE)/HLOOKUP("Mins",A1:CV300,144,FALSE)* 90)</f>
        <v>3.4418226200162736</v>
      </c>
      <c r="AV144" s="16506">
        <f>IF(HLOOKUP("Apps",A1:CV300,144,FALSE)=0,0,HLOOKUP("Pts",A1:CV300,144,FALSE)/HLOOKUP("Apps",A1:CV300,144,FALSE)* 1)</f>
        <v>3.3571428571428572</v>
      </c>
      <c r="AW144" s="16507">
        <f>IF(HLOOKUP("Mins",A1:CV300,144,FALSE)=0,0,HLOOKUP("Gs",A1:CV300,144,FALSE)/HLOOKUP("Mins",A1:CV300,144,FALSE)* 90)</f>
        <v>7.3230268510984534E-2</v>
      </c>
      <c r="AX144" s="16508">
        <f>IF(HLOOKUP("Mins",A1:CV300,144,FALSE)=0,0,HLOOKUP("Bonus",A1:CV300,144,FALSE)/HLOOKUP("Mins",A1:CV300,144,FALSE)* 90)</f>
        <v>0.5126118795768918</v>
      </c>
      <c r="AY144" s="16509">
        <f>IF(HLOOKUP("Mins",A1:CV300,144,FALSE)=0,0,HLOOKUP("BPS",A1:CV300,144,FALSE)/HLOOKUP("Mins",A1:CV300,144,FALSE)* 90)</f>
        <v>18.673718470301058</v>
      </c>
      <c r="AZ144" s="16510">
        <f>IF(HLOOKUP("Mins",A1:CV300,144,FALSE)=0,0,HLOOKUP("Base BPS",A1:CV300,144,FALSE)/HLOOKUP("Mins",A1:CV300,144,FALSE)* 90)</f>
        <v>14.279902359641985</v>
      </c>
      <c r="BA144" s="16511">
        <f>IF(HLOOKUP("Mins",A1:CV300,144,FALSE)=0,0,HLOOKUP("PenTchs",A1:CV300,144,FALSE)/HLOOKUP("Mins",A1:CV300,144,FALSE)* 90)</f>
        <v>0.65907241659886084</v>
      </c>
      <c r="BB144" s="16512">
        <f>IF(HLOOKUP("Mins",A1:CV300,144,FALSE)=0,0,HLOOKUP("Shots",A1:CV300,144,FALSE)/HLOOKUP("Mins",A1:CV300,144,FALSE)* 90)</f>
        <v>0.5126118795768918</v>
      </c>
      <c r="BC144" s="16513">
        <f>IF(HLOOKUP("Mins",A1:CV300,144,FALSE)=0,0,HLOOKUP("SIB",A1:CV300,144,FALSE)/HLOOKUP("Mins",A1:CV300,144,FALSE)* 90)</f>
        <v>0.43938161106590723</v>
      </c>
      <c r="BD144" s="16514">
        <f>IF(HLOOKUP("Mins",A1:CV300,144,FALSE)=0,0,HLOOKUP("S6YD",A1:CV300,144,FALSE)/HLOOKUP("Mins",A1:CV300,144,FALSE)* 90)</f>
        <v>7.3230268510984534E-2</v>
      </c>
      <c r="BE144" s="16515">
        <f>IF(HLOOKUP("Mins",A1:CV300,144,FALSE)=0,0,HLOOKUP("Headers",A1:CV300,144,FALSE)/HLOOKUP("Mins",A1:CV300,144,FALSE)* 90)</f>
        <v>0.21969080553295361</v>
      </c>
      <c r="BF144" s="16516">
        <f>IF(HLOOKUP("Mins",A1:CV300,144,FALSE)=0,0,HLOOKUP("SOT",A1:CV300,144,FALSE)/HLOOKUP("Mins",A1:CV300,144,FALSE)* 90)</f>
        <v>0.21969080553295361</v>
      </c>
      <c r="BG144" s="16517">
        <f>IF(HLOOKUP("Mins",A1:CV300,144,FALSE)=0,0,HLOOKUP("As",A1:CV300,144,FALSE)/HLOOKUP("Mins",A1:CV300,144,FALSE)* 90)</f>
        <v>0</v>
      </c>
      <c r="BH144" s="16518">
        <f>IF(HLOOKUP("Mins",A1:CV300,144,FALSE)=0,0,HLOOKUP("FPL As",A1:CV300,144,FALSE)/HLOOKUP("Mins",A1:CV300,144,FALSE)* 90)</f>
        <v>0</v>
      </c>
      <c r="BI144" s="16519">
        <f>IF(HLOOKUP("Mins",A1:CV300,144,FALSE)=0,0,HLOOKUP("BC Created",A1:CV300,144,FALSE)/HLOOKUP("Mins",A1:CV300,144,FALSE)* 90)</f>
        <v>0</v>
      </c>
      <c r="BJ144" s="16520">
        <f>IF(HLOOKUP("Mins",A1:CV300,144,FALSE)=0,0,HLOOKUP("KP",A1:CV300,144,FALSE)/HLOOKUP("Mins",A1:CV300,144,FALSE)* 90)</f>
        <v>0.29292107404393813</v>
      </c>
      <c r="BK144" s="16521">
        <f>IF(HLOOKUP("Mins",A1:CV300,144,FALSE)=0,0,HLOOKUP("BC",A1:CV300,144,FALSE)/HLOOKUP("Mins",A1:CV300,144,FALSE)* 90)</f>
        <v>0.14646053702196907</v>
      </c>
      <c r="BL144" s="16522">
        <f>IF(HLOOKUP("Mins",A1:CV300,144,FALSE)=0,0,HLOOKUP("BC Miss",A1:CV300,144,FALSE)/HLOOKUP("Mins",A1:CV300,144,FALSE)* 90)</f>
        <v>0.14646053702196907</v>
      </c>
      <c r="BM144" s="16523">
        <f>IF(HLOOKUP("Mins",A1:CV300,144,FALSE)=0,0,HLOOKUP("Gs - BC",A1:CV300,144,FALSE)/HLOOKUP("Mins",A1:CV300,144,FALSE)* 90)</f>
        <v>0</v>
      </c>
      <c r="BN144" s="16524">
        <f>IF(HLOOKUP("Mins",A1:CV300,144,FALSE)=0,0,HLOOKUP("GIB",A1:CV300,144,FALSE)/HLOOKUP("Mins",A1:CV300,144,FALSE)* 90)</f>
        <v>0</v>
      </c>
      <c r="BO144" s="16525">
        <f>IF(HLOOKUP("Mins",A1:CV300,144,FALSE)=0,0,HLOOKUP("Gs - Open",A1:CV300,144,FALSE)/HLOOKUP("Mins",A1:CV300,144,FALSE)* 90)</f>
        <v>0</v>
      </c>
      <c r="BP144" s="16526">
        <f>IF(HLOOKUP("Mins",A1:CV300,144,FALSE)=0,0,HLOOKUP("ICT Index",A1:CV300,144,FALSE)/HLOOKUP("Mins",A1:CV300,144,FALSE)* 90)</f>
        <v>3.4930838079739628</v>
      </c>
      <c r="BQ144" s="16527">
        <f>IF(HLOOKUP("Mins",A1:CV300,144,FALSE)=0,0,(0.02*(HLOOKUP("Shots",A1:CV300,144,FALSE)-HLOOKUP("SIB",A1:CV300,144,FALSE))+0.093*(HLOOKUP("SIB",A1:CV300,144,FALSE)-(HLOOKUP("PK Gs",A1:CV300,144,FALSE)+HLOOKUP("PK Miss",A1:CV300,144,FALSE)))+0.75*(HLOOKUP("PK Gs",A1:CV300,144,FALSE)+HLOOKUP("PK Miss",A1:CV300,144,FALSE)))/HLOOKUP("Mins",A1:CV300,144,FALSE)*90)</f>
        <v>4.2327095199349067E-2</v>
      </c>
      <c r="BR144" s="16528">
        <f>0.0825*HLOOKUP("KP/90",A1:CV300,144,FALSE)</f>
        <v>2.4165988608624896E-2</v>
      </c>
      <c r="BS144" s="16529">
        <f>6*HLOOKUP("xG/90",A1:CV300,144,FALSE)+3*HLOOKUP("xA/90",A1:CV300,144,FALSE)</f>
        <v>0.32646053702196909</v>
      </c>
      <c r="BT144" s="16530">
        <f>HLOOKUP("xPts/90",A1:CV300,144,FALSE)-(6*0.75*(HLOOKUP("PK Gs",A1:CV300,144,FALSE)+HLOOKUP("PK Miss",A1:CV300,144,FALSE))*90/HLOOKUP("Mins",A1:CV300,144,FALSE))</f>
        <v>0.32646053702196909</v>
      </c>
      <c r="BU144" s="16531">
        <f>IF(HLOOKUP("Mins",A1:CV300,144,FALSE)=0,0,HLOOKUP("fsXG",A1:CV300,144,FALSE)/HLOOKUP("Mins",A1:CV300,144,FALSE)* 90)</f>
        <v>3.0024410089503663E-2</v>
      </c>
      <c r="BV144" s="16532">
        <f>IF(HLOOKUP("Mins",A1:CV300,144,FALSE)=0,0,HLOOKUP("fsXA",A1:CV300,144,FALSE)/HLOOKUP("Mins",A1:CV300,144,FALSE)* 90)</f>
        <v>2.3433685923515055E-2</v>
      </c>
      <c r="BW144" s="16533">
        <f>6*HLOOKUP("fsXG/90",A1:CV300,144,FALSE)+3*HLOOKUP("fsXA/90",A1:CV300,144,FALSE)</f>
        <v>0.25044751830756717</v>
      </c>
      <c r="BX144" s="16534">
        <v>4.1059795767068863E-2</v>
      </c>
      <c r="BY144" s="16535">
        <v>8.7430253624916077E-3</v>
      </c>
      <c r="BZ144" s="16536">
        <f>6*HLOOKUP("uXG/90",A1:CV300,144,FALSE)+3*HLOOKUP("uXA/90",A1:CV300,144,FALSE)</f>
        <v>0.272587850689888</v>
      </c>
    </row>
    <row r="145" spans="1:78" hidden="1" x14ac:dyDescent="0.3">
      <c r="A145" s="16537" t="s">
        <v>308</v>
      </c>
      <c r="B145" s="16538" t="s">
        <v>105</v>
      </c>
      <c r="C145" s="16539">
        <v>5.3000001907348633</v>
      </c>
      <c r="D145" s="16540">
        <v>790</v>
      </c>
      <c r="E145" s="16541">
        <v>10</v>
      </c>
      <c r="F145" s="16542">
        <v>22</v>
      </c>
      <c r="G145" s="16543">
        <v>0</v>
      </c>
      <c r="H145" s="16544">
        <v>0</v>
      </c>
      <c r="I145" s="16545">
        <v>158</v>
      </c>
      <c r="J145" s="16546">
        <f>HLOOKUP("BPS",A1:CV300,145,FALSE)-((-6*HLOOKUP("OG",A1:CV300,145,FALSE))+(-6*HLOOKUP("PK Miss",A1:CV300,145,FALSE))+(9*HLOOKUP("FPL As",A1:CV300,145,FALSE))+(12*HLOOKUP("CS",A1:CV300,145,FALSE))+(12*HLOOKUP("Gs",A1:CV300,145,FALSE)))</f>
        <v>134</v>
      </c>
      <c r="K145" s="16547">
        <v>0</v>
      </c>
      <c r="L145" s="16548">
        <v>2</v>
      </c>
      <c r="M145" s="16549">
        <v>11</v>
      </c>
      <c r="N145" s="16550">
        <v>5</v>
      </c>
      <c r="O145" s="16551">
        <v>5</v>
      </c>
      <c r="P145" s="16552">
        <f>IF(HLOOKUP("Shots",A1:CV300,145,FALSE)=0,0,HLOOKUP("SIB",A1:CV300,145,FALSE)/HLOOKUP("Shots",A1:CV300,145,FALSE))</f>
        <v>1</v>
      </c>
      <c r="Q145" s="16553">
        <v>1</v>
      </c>
      <c r="R145" s="16554">
        <f>IF(HLOOKUP("Shots",A1:CV300,145,FALSE)=0,0,HLOOKUP("S6YD",A1:CV300,145,FALSE)/HLOOKUP("Shots",A1:CV300,145,FALSE))</f>
        <v>0.2</v>
      </c>
      <c r="S145" s="16555">
        <v>5</v>
      </c>
      <c r="T145" s="16556">
        <f>IF(HLOOKUP("Shots",A1:CV300,145,FALSE)=0,0,HLOOKUP("Headers",A1:CV300,145,FALSE)/HLOOKUP("Shots",A1:CV300,145,FALSE))</f>
        <v>1</v>
      </c>
      <c r="U145" s="16557">
        <v>1</v>
      </c>
      <c r="V145" s="16558">
        <f>IF(HLOOKUP("Shots",A1:CV300,145,FALSE)=0,0,HLOOKUP("SOT",A1:CV300,145,FALSE)/HLOOKUP("Shots",A1:CV300,145,FALSE))</f>
        <v>0.2</v>
      </c>
      <c r="W145" s="16559">
        <f>IF(HLOOKUP("Shots",A1:CV300,145,FALSE)=0,0,HLOOKUP("Gs",A1:CV300,145,FALSE)/HLOOKUP("Shots",A1:CV300,145,FALSE))</f>
        <v>0</v>
      </c>
      <c r="X145" s="16560">
        <v>0</v>
      </c>
      <c r="Y145" s="16561">
        <v>0</v>
      </c>
      <c r="Z145" s="16562">
        <v>1</v>
      </c>
      <c r="AA145" s="16563">
        <f>IF(HLOOKUP("KP",A1:CV300,145,FALSE)=0,0,HLOOKUP("As",A1:CV300,145,FALSE)/HLOOKUP("KP",A1:CV300,145,FALSE))</f>
        <v>0</v>
      </c>
      <c r="AB145" s="16564">
        <v>22.2</v>
      </c>
      <c r="AC145" s="16565">
        <v>0</v>
      </c>
      <c r="AD145" s="16566">
        <v>0</v>
      </c>
      <c r="AE145" s="16567">
        <v>1</v>
      </c>
      <c r="AF145" s="16568">
        <v>1</v>
      </c>
      <c r="AG145" s="16569">
        <f>IF(HLOOKUP("BC",A1:CV300,145,FALSE)=0,0,HLOOKUP("Gs - BC",A1:CV300,145,FALSE)/HLOOKUP("BC",A1:CV300,145,FALSE))</f>
        <v>0</v>
      </c>
      <c r="AH145" s="16570">
        <f>HLOOKUP("BC",A1:CV300,145,FALSE) - HLOOKUP("BC Miss",A1:CV300,145,FALSE)</f>
        <v>0</v>
      </c>
      <c r="AI145" s="16571">
        <f>IF(HLOOKUP("Gs",A1:CV300,145,FALSE)=0,0,HLOOKUP("Gs - BC",A1:CV300,145,FALSE)/HLOOKUP("Gs",A1:CV300,145,FALSE))</f>
        <v>0</v>
      </c>
      <c r="AJ145" s="16572">
        <v>0</v>
      </c>
      <c r="AK145" s="16573">
        <v>0</v>
      </c>
      <c r="AL145" s="16574">
        <f>HLOOKUP("BC",A1:CV300,145,FALSE) - (HLOOKUP("PK Gs",A1:CV300,145,FALSE) + HLOOKUP("PK Miss",A1:CV300,145,FALSE))</f>
        <v>1</v>
      </c>
      <c r="AM145" s="16575">
        <f>HLOOKUP("BC Miss",A1:CV300,145,FALSE) - HLOOKUP("PK Miss",A1:CV300,145,FALSE)</f>
        <v>1</v>
      </c>
      <c r="AN145" s="16576">
        <f>IF(HLOOKUP("BC - Open",A1:CV300,145,FALSE)=0,0,HLOOKUP("BC - Open Miss",A1:CV300,145,FALSE)/HLOOKUP("BC - Open",A1:CV300,145,FALSE))</f>
        <v>1</v>
      </c>
      <c r="AO145" s="16577">
        <v>0</v>
      </c>
      <c r="AP145" s="16578">
        <f>IF(HLOOKUP("Gs",A1:CV300,145,FALSE)=0,0,HLOOKUP("GIB",A1:CV300,145,FALSE)/HLOOKUP("Gs",A1:CV300,145,FALSE))</f>
        <v>0</v>
      </c>
      <c r="AQ145" s="16579">
        <v>0</v>
      </c>
      <c r="AR145" s="16580">
        <f>IF(HLOOKUP("Gs",A1:CV300,145,FALSE)=0,0,HLOOKUP("Gs - Open",A1:CV300,145,FALSE)/HLOOKUP("Gs",A1:CV300,145,FALSE))</f>
        <v>0</v>
      </c>
      <c r="AS145" s="16581">
        <v>0.34</v>
      </c>
      <c r="AT145" s="16582">
        <v>0.16</v>
      </c>
      <c r="AU145" s="16583">
        <f>IF(HLOOKUP("Mins",A1:CV300,145,FALSE)=0,0,HLOOKUP("Pts",A1:CV300,145,FALSE)/HLOOKUP("Mins",A1:CV300,145,FALSE)* 90)</f>
        <v>2.5063291139240507</v>
      </c>
      <c r="AV145" s="16584">
        <f>IF(HLOOKUP("Apps",A1:CV300,145,FALSE)=0,0,HLOOKUP("Pts",A1:CV300,145,FALSE)/HLOOKUP("Apps",A1:CV300,145,FALSE)* 1)</f>
        <v>2.2000000000000002</v>
      </c>
      <c r="AW145" s="16585">
        <f>IF(HLOOKUP("Mins",A1:CV300,145,FALSE)=0,0,HLOOKUP("Gs",A1:CV300,145,FALSE)/HLOOKUP("Mins",A1:CV300,145,FALSE)* 90)</f>
        <v>0</v>
      </c>
      <c r="AX145" s="16586">
        <f>IF(HLOOKUP("Mins",A1:CV300,145,FALSE)=0,0,HLOOKUP("Bonus",A1:CV300,145,FALSE)/HLOOKUP("Mins",A1:CV300,145,FALSE)* 90)</f>
        <v>0</v>
      </c>
      <c r="AY145" s="16587">
        <f>IF(HLOOKUP("Mins",A1:CV300,145,FALSE)=0,0,HLOOKUP("BPS",A1:CV300,145,FALSE)/HLOOKUP("Mins",A1:CV300,145,FALSE)* 90)</f>
        <v>18</v>
      </c>
      <c r="AZ145" s="16588">
        <f>IF(HLOOKUP("Mins",A1:CV300,145,FALSE)=0,0,HLOOKUP("Base BPS",A1:CV300,145,FALSE)/HLOOKUP("Mins",A1:CV300,145,FALSE)* 90)</f>
        <v>15.265822784810126</v>
      </c>
      <c r="BA145" s="16589">
        <f>IF(HLOOKUP("Mins",A1:CV300,145,FALSE)=0,0,HLOOKUP("PenTchs",A1:CV300,145,FALSE)/HLOOKUP("Mins",A1:CV300,145,FALSE)* 90)</f>
        <v>1.2531645569620253</v>
      </c>
      <c r="BB145" s="16590">
        <f>IF(HLOOKUP("Mins",A1:CV300,145,FALSE)=0,0,HLOOKUP("Shots",A1:CV300,145,FALSE)/HLOOKUP("Mins",A1:CV300,145,FALSE)* 90)</f>
        <v>0.569620253164557</v>
      </c>
      <c r="BC145" s="16591">
        <f>IF(HLOOKUP("Mins",A1:CV300,145,FALSE)=0,0,HLOOKUP("SIB",A1:CV300,145,FALSE)/HLOOKUP("Mins",A1:CV300,145,FALSE)* 90)</f>
        <v>0.569620253164557</v>
      </c>
      <c r="BD145" s="16592">
        <f>IF(HLOOKUP("Mins",A1:CV300,145,FALSE)=0,0,HLOOKUP("S6YD",A1:CV300,145,FALSE)/HLOOKUP("Mins",A1:CV300,145,FALSE)* 90)</f>
        <v>0.11392405063291139</v>
      </c>
      <c r="BE145" s="16593">
        <f>IF(HLOOKUP("Mins",A1:CV300,145,FALSE)=0,0,HLOOKUP("Headers",A1:CV300,145,FALSE)/HLOOKUP("Mins",A1:CV300,145,FALSE)* 90)</f>
        <v>0.569620253164557</v>
      </c>
      <c r="BF145" s="16594">
        <f>IF(HLOOKUP("Mins",A1:CV300,145,FALSE)=0,0,HLOOKUP("SOT",A1:CV300,145,FALSE)/HLOOKUP("Mins",A1:CV300,145,FALSE)* 90)</f>
        <v>0.11392405063291139</v>
      </c>
      <c r="BG145" s="16595">
        <f>IF(HLOOKUP("Mins",A1:CV300,145,FALSE)=0,0,HLOOKUP("As",A1:CV300,145,FALSE)/HLOOKUP("Mins",A1:CV300,145,FALSE)* 90)</f>
        <v>0</v>
      </c>
      <c r="BH145" s="16596">
        <f>IF(HLOOKUP("Mins",A1:CV300,145,FALSE)=0,0,HLOOKUP("FPL As",A1:CV300,145,FALSE)/HLOOKUP("Mins",A1:CV300,145,FALSE)* 90)</f>
        <v>0</v>
      </c>
      <c r="BI145" s="16597">
        <f>IF(HLOOKUP("Mins",A1:CV300,145,FALSE)=0,0,HLOOKUP("BC Created",A1:CV300,145,FALSE)/HLOOKUP("Mins",A1:CV300,145,FALSE)* 90)</f>
        <v>0</v>
      </c>
      <c r="BJ145" s="16598">
        <f>IF(HLOOKUP("Mins",A1:CV300,145,FALSE)=0,0,HLOOKUP("KP",A1:CV300,145,FALSE)/HLOOKUP("Mins",A1:CV300,145,FALSE)* 90)</f>
        <v>0.11392405063291139</v>
      </c>
      <c r="BK145" s="16599">
        <f>IF(HLOOKUP("Mins",A1:CV300,145,FALSE)=0,0,HLOOKUP("BC",A1:CV300,145,FALSE)/HLOOKUP("Mins",A1:CV300,145,FALSE)* 90)</f>
        <v>0.11392405063291139</v>
      </c>
      <c r="BL145" s="16600">
        <f>IF(HLOOKUP("Mins",A1:CV300,145,FALSE)=0,0,HLOOKUP("BC Miss",A1:CV300,145,FALSE)/HLOOKUP("Mins",A1:CV300,145,FALSE)* 90)</f>
        <v>0.11392405063291139</v>
      </c>
      <c r="BM145" s="16601">
        <f>IF(HLOOKUP("Mins",A1:CV300,145,FALSE)=0,0,HLOOKUP("Gs - BC",A1:CV300,145,FALSE)/HLOOKUP("Mins",A1:CV300,145,FALSE)* 90)</f>
        <v>0</v>
      </c>
      <c r="BN145" s="16602">
        <f>IF(HLOOKUP("Mins",A1:CV300,145,FALSE)=0,0,HLOOKUP("GIB",A1:CV300,145,FALSE)/HLOOKUP("Mins",A1:CV300,145,FALSE)* 90)</f>
        <v>0</v>
      </c>
      <c r="BO145" s="16603">
        <f>IF(HLOOKUP("Mins",A1:CV300,145,FALSE)=0,0,HLOOKUP("Gs - Open",A1:CV300,145,FALSE)/HLOOKUP("Mins",A1:CV300,145,FALSE)* 90)</f>
        <v>0</v>
      </c>
      <c r="BP145" s="16604">
        <f>IF(HLOOKUP("Mins",A1:CV300,145,FALSE)=0,0,HLOOKUP("ICT Index",A1:CV300,145,FALSE)/HLOOKUP("Mins",A1:CV300,145,FALSE)* 90)</f>
        <v>2.5291139240506326</v>
      </c>
      <c r="BQ145" s="16605">
        <f>IF(HLOOKUP("Mins",A1:CV300,145,FALSE)=0,0,(0.02*(HLOOKUP("Shots",A1:CV300,145,FALSE)-HLOOKUP("SIB",A1:CV300,145,FALSE))+0.093*(HLOOKUP("SIB",A1:CV300,145,FALSE)-(HLOOKUP("PK Gs",A1:CV300,145,FALSE)+HLOOKUP("PK Miss",A1:CV300,145,FALSE)))+0.75*(HLOOKUP("PK Gs",A1:CV300,145,FALSE)+HLOOKUP("PK Miss",A1:CV300,145,FALSE)))/HLOOKUP("Mins",A1:CV300,145,FALSE)*90)</f>
        <v>5.2974683544303798E-2</v>
      </c>
      <c r="BR145" s="16606">
        <f>0.0825*HLOOKUP("KP/90",A1:CV300,145,FALSE)</f>
        <v>9.3987341772151893E-3</v>
      </c>
      <c r="BS145" s="16607">
        <f>6*HLOOKUP("xG/90",A1:CV300,145,FALSE)+3*HLOOKUP("xA/90",A1:CV300,145,FALSE)</f>
        <v>0.34604430379746837</v>
      </c>
      <c r="BT145" s="16608">
        <f>HLOOKUP("xPts/90",A1:CV300,145,FALSE)-(6*0.75*(HLOOKUP("PK Gs",A1:CV300,145,FALSE)+HLOOKUP("PK Miss",A1:CV300,145,FALSE))*90/HLOOKUP("Mins",A1:CV300,145,FALSE))</f>
        <v>0.34604430379746837</v>
      </c>
      <c r="BU145" s="16609">
        <f>IF(HLOOKUP("Mins",A1:CV300,145,FALSE)=0,0,HLOOKUP("fsXG",A1:CV300,145,FALSE)/HLOOKUP("Mins",A1:CV300,145,FALSE)* 90)</f>
        <v>3.8734177215189881E-2</v>
      </c>
      <c r="BV145" s="16610">
        <f>IF(HLOOKUP("Mins",A1:CV300,145,FALSE)=0,0,HLOOKUP("fsXA",A1:CV300,145,FALSE)/HLOOKUP("Mins",A1:CV300,145,FALSE)* 90)</f>
        <v>1.8227848101265823E-2</v>
      </c>
      <c r="BW145" s="16611">
        <f>6*HLOOKUP("fsXG/90",A1:CV300,145,FALSE)+3*HLOOKUP("fsXA/90",A1:CV300,145,FALSE)</f>
        <v>0.28708860759493676</v>
      </c>
      <c r="BX145" s="16612">
        <v>6.0504071414470673E-2</v>
      </c>
      <c r="BY145" s="16613">
        <v>4.7525982372462749E-3</v>
      </c>
      <c r="BZ145" s="16614">
        <f>6*HLOOKUP("uXG/90",A1:CV300,145,FALSE)+3*HLOOKUP("uXA/90",A1:CV300,145,FALSE)</f>
        <v>0.37728222319856286</v>
      </c>
    </row>
    <row r="146" spans="1:78" hidden="1" x14ac:dyDescent="0.3">
      <c r="A146" s="16615" t="s">
        <v>309</v>
      </c>
      <c r="B146" s="16616" t="s">
        <v>93</v>
      </c>
      <c r="C146" s="16617">
        <v>4.3000001907348633</v>
      </c>
      <c r="D146" s="16618">
        <v>901</v>
      </c>
      <c r="E146" s="16619">
        <v>11</v>
      </c>
      <c r="F146" s="16620">
        <v>26</v>
      </c>
      <c r="G146" s="16621">
        <v>1</v>
      </c>
      <c r="H146" s="16622">
        <v>2</v>
      </c>
      <c r="I146" s="16623">
        <v>161</v>
      </c>
      <c r="J146" s="16624">
        <f>HLOOKUP("BPS",A1:CV300,146,FALSE)-((-6*HLOOKUP("OG",A1:CV300,146,FALSE))+(-6*HLOOKUP("PK Miss",A1:CV300,146,FALSE))+(9*HLOOKUP("FPL As",A1:CV300,146,FALSE))+(12*HLOOKUP("CS",A1:CV300,146,FALSE))+(12*HLOOKUP("Gs",A1:CV300,146,FALSE)))</f>
        <v>137</v>
      </c>
      <c r="K146" s="16625">
        <v>0</v>
      </c>
      <c r="L146" s="16626">
        <v>1</v>
      </c>
      <c r="M146" s="16627">
        <v>14</v>
      </c>
      <c r="N146" s="16628">
        <v>7</v>
      </c>
      <c r="O146" s="16629">
        <v>7</v>
      </c>
      <c r="P146" s="16630">
        <f>IF(HLOOKUP("Shots",A1:CV300,146,FALSE)=0,0,HLOOKUP("SIB",A1:CV300,146,FALSE)/HLOOKUP("Shots",A1:CV300,146,FALSE))</f>
        <v>1</v>
      </c>
      <c r="Q146" s="16631">
        <v>1</v>
      </c>
      <c r="R146" s="16632">
        <f>IF(HLOOKUP("Shots",A1:CV300,146,FALSE)=0,0,HLOOKUP("S6YD",A1:CV300,146,FALSE)/HLOOKUP("Shots",A1:CV300,146,FALSE))</f>
        <v>0.14285714285714285</v>
      </c>
      <c r="S146" s="16633">
        <v>3</v>
      </c>
      <c r="T146" s="16634">
        <f>IF(HLOOKUP("Shots",A1:CV300,146,FALSE)=0,0,HLOOKUP("Headers",A1:CV300,146,FALSE)/HLOOKUP("Shots",A1:CV300,146,FALSE))</f>
        <v>0.42857142857142855</v>
      </c>
      <c r="U146" s="16635">
        <v>2</v>
      </c>
      <c r="V146" s="16636">
        <f>IF(HLOOKUP("Shots",A1:CV300,146,FALSE)=0,0,HLOOKUP("SOT",A1:CV300,146,FALSE)/HLOOKUP("Shots",A1:CV300,146,FALSE))</f>
        <v>0.2857142857142857</v>
      </c>
      <c r="W146" s="16637">
        <f>IF(HLOOKUP("Shots",A1:CV300,146,FALSE)=0,0,HLOOKUP("Gs",A1:CV300,146,FALSE)/HLOOKUP("Shots",A1:CV300,146,FALSE))</f>
        <v>0.14285714285714285</v>
      </c>
      <c r="X146" s="16638">
        <v>0</v>
      </c>
      <c r="Y146" s="16639">
        <v>0</v>
      </c>
      <c r="Z146" s="16640">
        <v>1</v>
      </c>
      <c r="AA146" s="16641">
        <f>IF(HLOOKUP("KP",A1:CV300,146,FALSE)=0,0,HLOOKUP("As",A1:CV300,146,FALSE)/HLOOKUP("KP",A1:CV300,146,FALSE))</f>
        <v>0</v>
      </c>
      <c r="AB146" s="16642">
        <v>38.9</v>
      </c>
      <c r="AC146" s="16643">
        <v>20</v>
      </c>
      <c r="AD146" s="16644">
        <v>0</v>
      </c>
      <c r="AE146" s="16645">
        <v>1</v>
      </c>
      <c r="AF146" s="16646">
        <v>0</v>
      </c>
      <c r="AG146" s="16647">
        <f>IF(HLOOKUP("BC",A1:CV300,146,FALSE)=0,0,HLOOKUP("Gs - BC",A1:CV300,146,FALSE)/HLOOKUP("BC",A1:CV300,146,FALSE))</f>
        <v>1</v>
      </c>
      <c r="AH146" s="16648">
        <f>HLOOKUP("BC",A1:CV300,146,FALSE) - HLOOKUP("BC Miss",A1:CV300,146,FALSE)</f>
        <v>1</v>
      </c>
      <c r="AI146" s="16649">
        <f>IF(HLOOKUP("Gs",A1:CV300,146,FALSE)=0,0,HLOOKUP("Gs - BC",A1:CV300,146,FALSE)/HLOOKUP("Gs",A1:CV300,146,FALSE))</f>
        <v>1</v>
      </c>
      <c r="AJ146" s="16650">
        <v>0</v>
      </c>
      <c r="AK146" s="16651">
        <v>0</v>
      </c>
      <c r="AL146" s="16652">
        <f>HLOOKUP("BC",A1:CV300,146,FALSE) - (HLOOKUP("PK Gs",A1:CV300,146,FALSE) + HLOOKUP("PK Miss",A1:CV300,146,FALSE))</f>
        <v>1</v>
      </c>
      <c r="AM146" s="16653">
        <f>HLOOKUP("BC Miss",A1:CV300,146,FALSE) - HLOOKUP("PK Miss",A1:CV300,146,FALSE)</f>
        <v>0</v>
      </c>
      <c r="AN146" s="16654">
        <f>IF(HLOOKUP("BC - Open",A1:CV300,146,FALSE)=0,0,HLOOKUP("BC - Open Miss",A1:CV300,146,FALSE)/HLOOKUP("BC - Open",A1:CV300,146,FALSE))</f>
        <v>0</v>
      </c>
      <c r="AO146" s="16655">
        <v>1</v>
      </c>
      <c r="AP146" s="16656">
        <f>IF(HLOOKUP("Gs",A1:CV300,146,FALSE)=0,0,HLOOKUP("GIB",A1:CV300,146,FALSE)/HLOOKUP("Gs",A1:CV300,146,FALSE))</f>
        <v>1</v>
      </c>
      <c r="AQ146" s="16657">
        <v>0</v>
      </c>
      <c r="AR146" s="16658">
        <f>IF(HLOOKUP("Gs",A1:CV300,146,FALSE)=0,0,HLOOKUP("Gs - Open",A1:CV300,146,FALSE)/HLOOKUP("Gs",A1:CV300,146,FALSE))</f>
        <v>0</v>
      </c>
      <c r="AS146" s="16659">
        <v>0.93</v>
      </c>
      <c r="AT146" s="16660">
        <v>0.06</v>
      </c>
      <c r="AU146" s="16661">
        <f>IF(HLOOKUP("Mins",A1:CV300,146,FALSE)=0,0,HLOOKUP("Pts",A1:CV300,146,FALSE)/HLOOKUP("Mins",A1:CV300,146,FALSE)* 90)</f>
        <v>2.597114317425083</v>
      </c>
      <c r="AV146" s="16662">
        <f>IF(HLOOKUP("Apps",A1:CV300,146,FALSE)=0,0,HLOOKUP("Pts",A1:CV300,146,FALSE)/HLOOKUP("Apps",A1:CV300,146,FALSE)* 1)</f>
        <v>2.3636363636363638</v>
      </c>
      <c r="AW146" s="16663">
        <f>IF(HLOOKUP("Mins",A1:CV300,146,FALSE)=0,0,HLOOKUP("Gs",A1:CV300,146,FALSE)/HLOOKUP("Mins",A1:CV300,146,FALSE)* 90)</f>
        <v>9.9889012208657049E-2</v>
      </c>
      <c r="AX146" s="16664">
        <f>IF(HLOOKUP("Mins",A1:CV300,146,FALSE)=0,0,HLOOKUP("Bonus",A1:CV300,146,FALSE)/HLOOKUP("Mins",A1:CV300,146,FALSE)* 90)</f>
        <v>0.1997780244173141</v>
      </c>
      <c r="AY146" s="16665">
        <f>IF(HLOOKUP("Mins",A1:CV300,146,FALSE)=0,0,HLOOKUP("BPS",A1:CV300,146,FALSE)/HLOOKUP("Mins",A1:CV300,146,FALSE)* 90)</f>
        <v>16.082130965593784</v>
      </c>
      <c r="AZ146" s="16666">
        <f>IF(HLOOKUP("Mins",A1:CV300,146,FALSE)=0,0,HLOOKUP("Base BPS",A1:CV300,146,FALSE)/HLOOKUP("Mins",A1:CV300,146,FALSE)* 90)</f>
        <v>13.684794672586015</v>
      </c>
      <c r="BA146" s="16667">
        <f>IF(HLOOKUP("Mins",A1:CV300,146,FALSE)=0,0,HLOOKUP("PenTchs",A1:CV300,146,FALSE)/HLOOKUP("Mins",A1:CV300,146,FALSE)* 90)</f>
        <v>1.3984461709211988</v>
      </c>
      <c r="BB146" s="16668">
        <f>IF(HLOOKUP("Mins",A1:CV300,146,FALSE)=0,0,HLOOKUP("Shots",A1:CV300,146,FALSE)/HLOOKUP("Mins",A1:CV300,146,FALSE)* 90)</f>
        <v>0.69922308546059941</v>
      </c>
      <c r="BC146" s="16669">
        <f>IF(HLOOKUP("Mins",A1:CV300,146,FALSE)=0,0,HLOOKUP("SIB",A1:CV300,146,FALSE)/HLOOKUP("Mins",A1:CV300,146,FALSE)* 90)</f>
        <v>0.69922308546059941</v>
      </c>
      <c r="BD146" s="16670">
        <f>IF(HLOOKUP("Mins",A1:CV300,146,FALSE)=0,0,HLOOKUP("S6YD",A1:CV300,146,FALSE)/HLOOKUP("Mins",A1:CV300,146,FALSE)* 90)</f>
        <v>9.9889012208657049E-2</v>
      </c>
      <c r="BE146" s="16671">
        <f>IF(HLOOKUP("Mins",A1:CV300,146,FALSE)=0,0,HLOOKUP("Headers",A1:CV300,146,FALSE)/HLOOKUP("Mins",A1:CV300,146,FALSE)* 90)</f>
        <v>0.29966703662597111</v>
      </c>
      <c r="BF146" s="16672">
        <f>IF(HLOOKUP("Mins",A1:CV300,146,FALSE)=0,0,HLOOKUP("SOT",A1:CV300,146,FALSE)/HLOOKUP("Mins",A1:CV300,146,FALSE)* 90)</f>
        <v>0.1997780244173141</v>
      </c>
      <c r="BG146" s="16673">
        <f>IF(HLOOKUP("Mins",A1:CV300,146,FALSE)=0,0,HLOOKUP("As",A1:CV300,146,FALSE)/HLOOKUP("Mins",A1:CV300,146,FALSE)* 90)</f>
        <v>0</v>
      </c>
      <c r="BH146" s="16674">
        <f>IF(HLOOKUP("Mins",A1:CV300,146,FALSE)=0,0,HLOOKUP("FPL As",A1:CV300,146,FALSE)/HLOOKUP("Mins",A1:CV300,146,FALSE)* 90)</f>
        <v>0</v>
      </c>
      <c r="BI146" s="16675">
        <f>IF(HLOOKUP("Mins",A1:CV300,146,FALSE)=0,0,HLOOKUP("BC Created",A1:CV300,146,FALSE)/HLOOKUP("Mins",A1:CV300,146,FALSE)* 90)</f>
        <v>0</v>
      </c>
      <c r="BJ146" s="16676">
        <f>IF(HLOOKUP("Mins",A1:CV300,146,FALSE)=0,0,HLOOKUP("KP",A1:CV300,146,FALSE)/HLOOKUP("Mins",A1:CV300,146,FALSE)* 90)</f>
        <v>9.9889012208657049E-2</v>
      </c>
      <c r="BK146" s="16677">
        <f>IF(HLOOKUP("Mins",A1:CV300,146,FALSE)=0,0,HLOOKUP("BC",A1:CV300,146,FALSE)/HLOOKUP("Mins",A1:CV300,146,FALSE)* 90)</f>
        <v>9.9889012208657049E-2</v>
      </c>
      <c r="BL146" s="16678">
        <f>IF(HLOOKUP("Mins",A1:CV300,146,FALSE)=0,0,HLOOKUP("BC Miss",A1:CV300,146,FALSE)/HLOOKUP("Mins",A1:CV300,146,FALSE)* 90)</f>
        <v>0</v>
      </c>
      <c r="BM146" s="16679">
        <f>IF(HLOOKUP("Mins",A1:CV300,146,FALSE)=0,0,HLOOKUP("Gs - BC",A1:CV300,146,FALSE)/HLOOKUP("Mins",A1:CV300,146,FALSE)* 90)</f>
        <v>9.9889012208657049E-2</v>
      </c>
      <c r="BN146" s="16680">
        <f>IF(HLOOKUP("Mins",A1:CV300,146,FALSE)=0,0,HLOOKUP("GIB",A1:CV300,146,FALSE)/HLOOKUP("Mins",A1:CV300,146,FALSE)* 90)</f>
        <v>9.9889012208657049E-2</v>
      </c>
      <c r="BO146" s="16681">
        <f>IF(HLOOKUP("Mins",A1:CV300,146,FALSE)=0,0,HLOOKUP("Gs - Open",A1:CV300,146,FALSE)/HLOOKUP("Mins",A1:CV300,146,FALSE)* 90)</f>
        <v>0</v>
      </c>
      <c r="BP146" s="16682">
        <f>IF(HLOOKUP("Mins",A1:CV300,146,FALSE)=0,0,HLOOKUP("ICT Index",A1:CV300,146,FALSE)/HLOOKUP("Mins",A1:CV300,146,FALSE)* 90)</f>
        <v>3.8856825749167587</v>
      </c>
      <c r="BQ146" s="16683">
        <f>IF(HLOOKUP("Mins",A1:CV300,146,FALSE)=0,0,(0.02*(HLOOKUP("Shots",A1:CV300,146,FALSE)-HLOOKUP("SIB",A1:CV300,146,FALSE))+0.093*(HLOOKUP("SIB",A1:CV300,146,FALSE)-(HLOOKUP("PK Gs",A1:CV300,146,FALSE)+HLOOKUP("PK Miss",A1:CV300,146,FALSE)))+0.75*(HLOOKUP("PK Gs",A1:CV300,146,FALSE)+HLOOKUP("PK Miss",A1:CV300,146,FALSE)))/HLOOKUP("Mins",A1:CV300,146,FALSE)*90)</f>
        <v>6.5027746947835738E-2</v>
      </c>
      <c r="BR146" s="16684">
        <f>0.0825*HLOOKUP("KP/90",A1:CV300,146,FALSE)</f>
        <v>8.2408435072142076E-3</v>
      </c>
      <c r="BS146" s="16685">
        <f>6*HLOOKUP("xG/90",A1:CV300,146,FALSE)+3*HLOOKUP("xA/90",A1:CV300,146,FALSE)</f>
        <v>0.41488901220865704</v>
      </c>
      <c r="BT146" s="16686">
        <f>HLOOKUP("xPts/90",A1:CV300,146,FALSE)-(6*0.75*(HLOOKUP("PK Gs",A1:CV300,146,FALSE)+HLOOKUP("PK Miss",A1:CV300,146,FALSE))*90/HLOOKUP("Mins",A1:CV300,146,FALSE))</f>
        <v>0.41488901220865704</v>
      </c>
      <c r="BU146" s="16687">
        <f>IF(HLOOKUP("Mins",A1:CV300,146,FALSE)=0,0,HLOOKUP("fsXG",A1:CV300,146,FALSE)/HLOOKUP("Mins",A1:CV300,146,FALSE)* 90)</f>
        <v>9.2896781354051064E-2</v>
      </c>
      <c r="BV146" s="16688">
        <f>IF(HLOOKUP("Mins",A1:CV300,146,FALSE)=0,0,HLOOKUP("fsXA",A1:CV300,146,FALSE)/HLOOKUP("Mins",A1:CV300,146,FALSE)* 90)</f>
        <v>5.9933407325194225E-3</v>
      </c>
      <c r="BW146" s="16689">
        <f>6*HLOOKUP("fsXG/90",A1:CV300,146,FALSE)+3*HLOOKUP("fsXA/90",A1:CV300,146,FALSE)</f>
        <v>0.57536071032186464</v>
      </c>
      <c r="BX146" s="16690">
        <v>0.10521357506513596</v>
      </c>
      <c r="BY146" s="16691">
        <v>7.6651214621961117E-3</v>
      </c>
      <c r="BZ146" s="16692">
        <f>6*HLOOKUP("uXG/90",A1:CV300,146,FALSE)+3*HLOOKUP("uXA/90",A1:CV300,146,FALSE)</f>
        <v>0.65427681477740407</v>
      </c>
    </row>
    <row r="147" spans="1:78" hidden="1" x14ac:dyDescent="0.3">
      <c r="A147" s="16693" t="s">
        <v>310</v>
      </c>
      <c r="B147" s="16694" t="s">
        <v>102</v>
      </c>
      <c r="C147" s="16695">
        <v>4.3000001907348633</v>
      </c>
      <c r="D147" s="16696">
        <v>855</v>
      </c>
      <c r="E147" s="16697">
        <v>10</v>
      </c>
      <c r="F147" s="16698">
        <v>36</v>
      </c>
      <c r="G147" s="16699">
        <v>2</v>
      </c>
      <c r="H147" s="16700">
        <v>2</v>
      </c>
      <c r="I147" s="16701">
        <v>156</v>
      </c>
      <c r="J147" s="16702">
        <f>HLOOKUP("BPS",A1:CV300,147,FALSE)-((-6*HLOOKUP("OG",A1:CV300,147,FALSE))+(-6*HLOOKUP("PK Miss",A1:CV300,147,FALSE))+(9*HLOOKUP("FPL As",A1:CV300,147,FALSE))+(12*HLOOKUP("CS",A1:CV300,147,FALSE))+(12*HLOOKUP("Gs",A1:CV300,147,FALSE)))</f>
        <v>108</v>
      </c>
      <c r="K147" s="16703">
        <v>0</v>
      </c>
      <c r="L147" s="16704">
        <v>2</v>
      </c>
      <c r="M147" s="16705">
        <v>8</v>
      </c>
      <c r="N147" s="16706">
        <v>5</v>
      </c>
      <c r="O147" s="16707">
        <v>5</v>
      </c>
      <c r="P147" s="16708">
        <f>IF(HLOOKUP("Shots",A1:CV300,147,FALSE)=0,0,HLOOKUP("SIB",A1:CV300,147,FALSE)/HLOOKUP("Shots",A1:CV300,147,FALSE))</f>
        <v>1</v>
      </c>
      <c r="Q147" s="16709">
        <v>2</v>
      </c>
      <c r="R147" s="16710">
        <f>IF(HLOOKUP("Shots",A1:CV300,147,FALSE)=0,0,HLOOKUP("S6YD",A1:CV300,147,FALSE)/HLOOKUP("Shots",A1:CV300,147,FALSE))</f>
        <v>0.4</v>
      </c>
      <c r="S147" s="16711">
        <v>4</v>
      </c>
      <c r="T147" s="16712">
        <f>IF(HLOOKUP("Shots",A1:CV300,147,FALSE)=0,0,HLOOKUP("Headers",A1:CV300,147,FALSE)/HLOOKUP("Shots",A1:CV300,147,FALSE))</f>
        <v>0.8</v>
      </c>
      <c r="U147" s="16713">
        <v>4</v>
      </c>
      <c r="V147" s="16714">
        <f>IF(HLOOKUP("Shots",A1:CV300,147,FALSE)=0,0,HLOOKUP("SOT",A1:CV300,147,FALSE)/HLOOKUP("Shots",A1:CV300,147,FALSE))</f>
        <v>0.8</v>
      </c>
      <c r="W147" s="16715">
        <f>IF(HLOOKUP("Shots",A1:CV300,147,FALSE)=0,0,HLOOKUP("Gs",A1:CV300,147,FALSE)/HLOOKUP("Shots",A1:CV300,147,FALSE))</f>
        <v>0.4</v>
      </c>
      <c r="X147" s="16716">
        <v>0</v>
      </c>
      <c r="Y147" s="16717">
        <v>0</v>
      </c>
      <c r="Z147" s="16718">
        <v>1</v>
      </c>
      <c r="AA147" s="16719">
        <f>IF(HLOOKUP("KP",A1:CV300,147,FALSE)=0,0,HLOOKUP("As",A1:CV300,147,FALSE)/HLOOKUP("KP",A1:CV300,147,FALSE))</f>
        <v>0</v>
      </c>
      <c r="AB147" s="16720">
        <v>36.799999999999997</v>
      </c>
      <c r="AC147" s="16721">
        <v>17</v>
      </c>
      <c r="AD147" s="16722">
        <v>0</v>
      </c>
      <c r="AE147" s="16723">
        <v>2</v>
      </c>
      <c r="AF147" s="16724">
        <v>1</v>
      </c>
      <c r="AG147" s="16725">
        <f>IF(HLOOKUP("BC",A1:CV300,147,FALSE)=0,0,HLOOKUP("Gs - BC",A1:CV300,147,FALSE)/HLOOKUP("BC",A1:CV300,147,FALSE))</f>
        <v>0.5</v>
      </c>
      <c r="AH147" s="16726">
        <f>HLOOKUP("BC",A1:CV300,147,FALSE) - HLOOKUP("BC Miss",A1:CV300,147,FALSE)</f>
        <v>1</v>
      </c>
      <c r="AI147" s="16727">
        <f>IF(HLOOKUP("Gs",A1:CV300,147,FALSE)=0,0,HLOOKUP("Gs - BC",A1:CV300,147,FALSE)/HLOOKUP("Gs",A1:CV300,147,FALSE))</f>
        <v>0.5</v>
      </c>
      <c r="AJ147" s="16728">
        <v>0</v>
      </c>
      <c r="AK147" s="16729">
        <v>0</v>
      </c>
      <c r="AL147" s="16730">
        <f>HLOOKUP("BC",A1:CV300,147,FALSE) - (HLOOKUP("PK Gs",A1:CV300,147,FALSE) + HLOOKUP("PK Miss",A1:CV300,147,FALSE))</f>
        <v>2</v>
      </c>
      <c r="AM147" s="16731">
        <f>HLOOKUP("BC Miss",A1:CV300,147,FALSE) - HLOOKUP("PK Miss",A1:CV300,147,FALSE)</f>
        <v>1</v>
      </c>
      <c r="AN147" s="16732">
        <f>IF(HLOOKUP("BC - Open",A1:CV300,147,FALSE)=0,0,HLOOKUP("BC - Open Miss",A1:CV300,147,FALSE)/HLOOKUP("BC - Open",A1:CV300,147,FALSE))</f>
        <v>0.5</v>
      </c>
      <c r="AO147" s="16733">
        <v>2</v>
      </c>
      <c r="AP147" s="16734">
        <f>IF(HLOOKUP("Gs",A1:CV300,147,FALSE)=0,0,HLOOKUP("GIB",A1:CV300,147,FALSE)/HLOOKUP("Gs",A1:CV300,147,FALSE))</f>
        <v>1</v>
      </c>
      <c r="AQ147" s="16735">
        <v>0</v>
      </c>
      <c r="AR147" s="16736">
        <f>IF(HLOOKUP("Gs",A1:CV300,147,FALSE)=0,0,HLOOKUP("Gs - Open",A1:CV300,147,FALSE)/HLOOKUP("Gs",A1:CV300,147,FALSE))</f>
        <v>0</v>
      </c>
      <c r="AS147" s="16737">
        <v>0.95</v>
      </c>
      <c r="AT147" s="16738">
        <v>0.02</v>
      </c>
      <c r="AU147" s="16739">
        <f>IF(HLOOKUP("Mins",A1:CV300,147,FALSE)=0,0,HLOOKUP("Pts",A1:CV300,147,FALSE)/HLOOKUP("Mins",A1:CV300,147,FALSE)* 90)</f>
        <v>3.7894736842105261</v>
      </c>
      <c r="AV147" s="16740">
        <f>IF(HLOOKUP("Apps",A1:CV300,147,FALSE)=0,0,HLOOKUP("Pts",A1:CV300,147,FALSE)/HLOOKUP("Apps",A1:CV300,147,FALSE)* 1)</f>
        <v>3.6</v>
      </c>
      <c r="AW147" s="16741">
        <f>IF(HLOOKUP("Mins",A1:CV300,147,FALSE)=0,0,HLOOKUP("Gs",A1:CV300,147,FALSE)/HLOOKUP("Mins",A1:CV300,147,FALSE)* 90)</f>
        <v>0.2105263157894737</v>
      </c>
      <c r="AX147" s="16742">
        <f>IF(HLOOKUP("Mins",A1:CV300,147,FALSE)=0,0,HLOOKUP("Bonus",A1:CV300,147,FALSE)/HLOOKUP("Mins",A1:CV300,147,FALSE)* 90)</f>
        <v>0.2105263157894737</v>
      </c>
      <c r="AY147" s="16743">
        <f>IF(HLOOKUP("Mins",A1:CV300,147,FALSE)=0,0,HLOOKUP("BPS",A1:CV300,147,FALSE)/HLOOKUP("Mins",A1:CV300,147,FALSE)* 90)</f>
        <v>16.421052631578949</v>
      </c>
      <c r="AZ147" s="16744">
        <f>IF(HLOOKUP("Mins",A1:CV300,147,FALSE)=0,0,HLOOKUP("Base BPS",A1:CV300,147,FALSE)/HLOOKUP("Mins",A1:CV300,147,FALSE)* 90)</f>
        <v>11.368421052631579</v>
      </c>
      <c r="BA147" s="16745">
        <f>IF(HLOOKUP("Mins",A1:CV300,147,FALSE)=0,0,HLOOKUP("PenTchs",A1:CV300,147,FALSE)/HLOOKUP("Mins",A1:CV300,147,FALSE)* 90)</f>
        <v>0.8421052631578948</v>
      </c>
      <c r="BB147" s="16746">
        <f>IF(HLOOKUP("Mins",A1:CV300,147,FALSE)=0,0,HLOOKUP("Shots",A1:CV300,147,FALSE)/HLOOKUP("Mins",A1:CV300,147,FALSE)* 90)</f>
        <v>0.52631578947368418</v>
      </c>
      <c r="BC147" s="16747">
        <f>IF(HLOOKUP("Mins",A1:CV300,147,FALSE)=0,0,HLOOKUP("SIB",A1:CV300,147,FALSE)/HLOOKUP("Mins",A1:CV300,147,FALSE)* 90)</f>
        <v>0.52631578947368418</v>
      </c>
      <c r="BD147" s="16748">
        <f>IF(HLOOKUP("Mins",A1:CV300,147,FALSE)=0,0,HLOOKUP("S6YD",A1:CV300,147,FALSE)/HLOOKUP("Mins",A1:CV300,147,FALSE)* 90)</f>
        <v>0.2105263157894737</v>
      </c>
      <c r="BE147" s="16749">
        <f>IF(HLOOKUP("Mins",A1:CV300,147,FALSE)=0,0,HLOOKUP("Headers",A1:CV300,147,FALSE)/HLOOKUP("Mins",A1:CV300,147,FALSE)* 90)</f>
        <v>0.4210526315789474</v>
      </c>
      <c r="BF147" s="16750">
        <f>IF(HLOOKUP("Mins",A1:CV300,147,FALSE)=0,0,HLOOKUP("SOT",A1:CV300,147,FALSE)/HLOOKUP("Mins",A1:CV300,147,FALSE)* 90)</f>
        <v>0.4210526315789474</v>
      </c>
      <c r="BG147" s="16751">
        <f>IF(HLOOKUP("Mins",A1:CV300,147,FALSE)=0,0,HLOOKUP("As",A1:CV300,147,FALSE)/HLOOKUP("Mins",A1:CV300,147,FALSE)* 90)</f>
        <v>0</v>
      </c>
      <c r="BH147" s="16752">
        <f>IF(HLOOKUP("Mins",A1:CV300,147,FALSE)=0,0,HLOOKUP("FPL As",A1:CV300,147,FALSE)/HLOOKUP("Mins",A1:CV300,147,FALSE)* 90)</f>
        <v>0</v>
      </c>
      <c r="BI147" s="16753">
        <f>IF(HLOOKUP("Mins",A1:CV300,147,FALSE)=0,0,HLOOKUP("BC Created",A1:CV300,147,FALSE)/HLOOKUP("Mins",A1:CV300,147,FALSE)* 90)</f>
        <v>0</v>
      </c>
      <c r="BJ147" s="16754">
        <f>IF(HLOOKUP("Mins",A1:CV300,147,FALSE)=0,0,HLOOKUP("KP",A1:CV300,147,FALSE)/HLOOKUP("Mins",A1:CV300,147,FALSE)* 90)</f>
        <v>0.10526315789473685</v>
      </c>
      <c r="BK147" s="16755">
        <f>IF(HLOOKUP("Mins",A1:CV300,147,FALSE)=0,0,HLOOKUP("BC",A1:CV300,147,FALSE)/HLOOKUP("Mins",A1:CV300,147,FALSE)* 90)</f>
        <v>0.2105263157894737</v>
      </c>
      <c r="BL147" s="16756">
        <f>IF(HLOOKUP("Mins",A1:CV300,147,FALSE)=0,0,HLOOKUP("BC Miss",A1:CV300,147,FALSE)/HLOOKUP("Mins",A1:CV300,147,FALSE)* 90)</f>
        <v>0.10526315789473685</v>
      </c>
      <c r="BM147" s="16757">
        <f>IF(HLOOKUP("Mins",A1:CV300,147,FALSE)=0,0,HLOOKUP("Gs - BC",A1:CV300,147,FALSE)/HLOOKUP("Mins",A1:CV300,147,FALSE)* 90)</f>
        <v>0.10526315789473685</v>
      </c>
      <c r="BN147" s="16758">
        <f>IF(HLOOKUP("Mins",A1:CV300,147,FALSE)=0,0,HLOOKUP("GIB",A1:CV300,147,FALSE)/HLOOKUP("Mins",A1:CV300,147,FALSE)* 90)</f>
        <v>0.2105263157894737</v>
      </c>
      <c r="BO147" s="16759">
        <f>IF(HLOOKUP("Mins",A1:CV300,147,FALSE)=0,0,HLOOKUP("Gs - Open",A1:CV300,147,FALSE)/HLOOKUP("Mins",A1:CV300,147,FALSE)* 90)</f>
        <v>0</v>
      </c>
      <c r="BP147" s="16760">
        <f>IF(HLOOKUP("Mins",A1:CV300,147,FALSE)=0,0,HLOOKUP("ICT Index",A1:CV300,147,FALSE)/HLOOKUP("Mins",A1:CV300,147,FALSE)* 90)</f>
        <v>3.8736842105263154</v>
      </c>
      <c r="BQ147" s="16761">
        <f>IF(HLOOKUP("Mins",A1:CV300,147,FALSE)=0,0,(0.02*(HLOOKUP("Shots",A1:CV300,147,FALSE)-HLOOKUP("SIB",A1:CV300,147,FALSE))+0.093*(HLOOKUP("SIB",A1:CV300,147,FALSE)-(HLOOKUP("PK Gs",A1:CV300,147,FALSE)+HLOOKUP("PK Miss",A1:CV300,147,FALSE)))+0.75*(HLOOKUP("PK Gs",A1:CV300,147,FALSE)+HLOOKUP("PK Miss",A1:CV300,147,FALSE)))/HLOOKUP("Mins",A1:CV300,147,FALSE)*90)</f>
        <v>4.8947368421052628E-2</v>
      </c>
      <c r="BR147" s="16762">
        <f>0.0825*HLOOKUP("KP/90",A1:CV300,147,FALSE)</f>
        <v>8.6842105263157908E-3</v>
      </c>
      <c r="BS147" s="16763">
        <f>6*HLOOKUP("xG/90",A1:CV300,147,FALSE)+3*HLOOKUP("xA/90",A1:CV300,147,FALSE)</f>
        <v>0.31973684210526315</v>
      </c>
      <c r="BT147" s="16764">
        <f>HLOOKUP("xPts/90",A1:CV300,147,FALSE)-(6*0.75*(HLOOKUP("PK Gs",A1:CV300,147,FALSE)+HLOOKUP("PK Miss",A1:CV300,147,FALSE))*90/HLOOKUP("Mins",A1:CV300,147,FALSE))</f>
        <v>0.31973684210526315</v>
      </c>
      <c r="BU147" s="16765">
        <f>IF(HLOOKUP("Mins",A1:CV300,147,FALSE)=0,0,HLOOKUP("fsXG",A1:CV300,147,FALSE)/HLOOKUP("Mins",A1:CV300,147,FALSE)* 90)</f>
        <v>0.1</v>
      </c>
      <c r="BV147" s="16766">
        <f>IF(HLOOKUP("Mins",A1:CV300,147,FALSE)=0,0,HLOOKUP("fsXA",A1:CV300,147,FALSE)/HLOOKUP("Mins",A1:CV300,147,FALSE)* 90)</f>
        <v>2.1052631578947368E-3</v>
      </c>
      <c r="BW147" s="16767">
        <f>6*HLOOKUP("fsXG/90",A1:CV300,147,FALSE)+3*HLOOKUP("fsXA/90",A1:CV300,147,FALSE)</f>
        <v>0.60631578947368425</v>
      </c>
      <c r="BX147" s="16768">
        <v>4.2270414531230927E-2</v>
      </c>
      <c r="BY147" s="16769">
        <v>5.7614506222307682E-3</v>
      </c>
      <c r="BZ147" s="16770">
        <f>6*HLOOKUP("uXG/90",A1:CV300,147,FALSE)+3*HLOOKUP("uXA/90",A1:CV300,147,FALSE)</f>
        <v>0.27090683905407786</v>
      </c>
    </row>
    <row r="148" spans="1:78" hidden="1" x14ac:dyDescent="0.3">
      <c r="A148" s="16771" t="s">
        <v>311</v>
      </c>
      <c r="B148" s="16772" t="s">
        <v>105</v>
      </c>
      <c r="C148" s="16773">
        <v>5.1999998092651367</v>
      </c>
      <c r="D148" s="16774">
        <v>577</v>
      </c>
      <c r="E148" s="16775">
        <v>8</v>
      </c>
      <c r="F148" s="16776">
        <v>23</v>
      </c>
      <c r="G148" s="16777">
        <v>0</v>
      </c>
      <c r="H148" s="16778">
        <v>3</v>
      </c>
      <c r="I148" s="16779">
        <v>143</v>
      </c>
      <c r="J148" s="16780">
        <f>HLOOKUP("BPS",A1:CV300,148,FALSE)-((-6*HLOOKUP("OG",A1:CV300,148,FALSE))+(-6*HLOOKUP("PK Miss",A1:CV300,148,FALSE))+(9*HLOOKUP("FPL As",A1:CV300,148,FALSE))+(12*HLOOKUP("CS",A1:CV300,148,FALSE))+(12*HLOOKUP("Gs",A1:CV300,148,FALSE)))</f>
        <v>119</v>
      </c>
      <c r="K148" s="16781">
        <v>0</v>
      </c>
      <c r="L148" s="16782">
        <v>2</v>
      </c>
      <c r="M148" s="16783">
        <v>13</v>
      </c>
      <c r="N148" s="16784">
        <v>8</v>
      </c>
      <c r="O148" s="16785">
        <v>2</v>
      </c>
      <c r="P148" s="16786">
        <f>IF(HLOOKUP("Shots",A1:CV300,148,FALSE)=0,0,HLOOKUP("SIB",A1:CV300,148,FALSE)/HLOOKUP("Shots",A1:CV300,148,FALSE))</f>
        <v>0.25</v>
      </c>
      <c r="Q148" s="16787">
        <v>0</v>
      </c>
      <c r="R148" s="16788">
        <f>IF(HLOOKUP("Shots",A1:CV300,148,FALSE)=0,0,HLOOKUP("S6YD",A1:CV300,148,FALSE)/HLOOKUP("Shots",A1:CV300,148,FALSE))</f>
        <v>0</v>
      </c>
      <c r="S148" s="16789">
        <v>0</v>
      </c>
      <c r="T148" s="16790">
        <f>IF(HLOOKUP("Shots",A1:CV300,148,FALSE)=0,0,HLOOKUP("Headers",A1:CV300,148,FALSE)/HLOOKUP("Shots",A1:CV300,148,FALSE))</f>
        <v>0</v>
      </c>
      <c r="U148" s="16791">
        <v>3</v>
      </c>
      <c r="V148" s="16792">
        <f>IF(HLOOKUP("Shots",A1:CV300,148,FALSE)=0,0,HLOOKUP("SOT",A1:CV300,148,FALSE)/HLOOKUP("Shots",A1:CV300,148,FALSE))</f>
        <v>0.375</v>
      </c>
      <c r="W148" s="16793">
        <f>IF(HLOOKUP("Shots",A1:CV300,148,FALSE)=0,0,HLOOKUP("Gs",A1:CV300,148,FALSE)/HLOOKUP("Shots",A1:CV300,148,FALSE))</f>
        <v>0</v>
      </c>
      <c r="X148" s="16794">
        <v>0</v>
      </c>
      <c r="Y148" s="16795">
        <v>0</v>
      </c>
      <c r="Z148" s="16796">
        <v>8</v>
      </c>
      <c r="AA148" s="16797">
        <f>IF(HLOOKUP("KP",A1:CV300,148,FALSE)=0,0,HLOOKUP("As",A1:CV300,148,FALSE)/HLOOKUP("KP",A1:CV300,148,FALSE))</f>
        <v>0</v>
      </c>
      <c r="AB148" s="16798">
        <v>34.299999999999997</v>
      </c>
      <c r="AC148" s="16799">
        <v>0</v>
      </c>
      <c r="AD148" s="16800">
        <v>3</v>
      </c>
      <c r="AE148" s="16801">
        <v>0</v>
      </c>
      <c r="AF148" s="16802">
        <v>0</v>
      </c>
      <c r="AG148" s="16803">
        <f>IF(HLOOKUP("BC",A1:CV300,148,FALSE)=0,0,HLOOKUP("Gs - BC",A1:CV300,148,FALSE)/HLOOKUP("BC",A1:CV300,148,FALSE))</f>
        <v>0</v>
      </c>
      <c r="AH148" s="16804">
        <f>HLOOKUP("BC",A1:CV300,148,FALSE) - HLOOKUP("BC Miss",A1:CV300,148,FALSE)</f>
        <v>0</v>
      </c>
      <c r="AI148" s="16805">
        <f>IF(HLOOKUP("Gs",A1:CV300,148,FALSE)=0,0,HLOOKUP("Gs - BC",A1:CV300,148,FALSE)/HLOOKUP("Gs",A1:CV300,148,FALSE))</f>
        <v>0</v>
      </c>
      <c r="AJ148" s="16806">
        <v>0</v>
      </c>
      <c r="AK148" s="16807">
        <v>0</v>
      </c>
      <c r="AL148" s="16808">
        <f>HLOOKUP("BC",A1:CV300,148,FALSE) - (HLOOKUP("PK Gs",A1:CV300,148,FALSE) + HLOOKUP("PK Miss",A1:CV300,148,FALSE))</f>
        <v>0</v>
      </c>
      <c r="AM148" s="16809">
        <f>HLOOKUP("BC Miss",A1:CV300,148,FALSE) - HLOOKUP("PK Miss",A1:CV300,148,FALSE)</f>
        <v>0</v>
      </c>
      <c r="AN148" s="16810">
        <f>IF(HLOOKUP("BC - Open",A1:CV300,148,FALSE)=0,0,HLOOKUP("BC - Open Miss",A1:CV300,148,FALSE)/HLOOKUP("BC - Open",A1:CV300,148,FALSE))</f>
        <v>0</v>
      </c>
      <c r="AO148" s="16811">
        <v>0</v>
      </c>
      <c r="AP148" s="16812">
        <f>IF(HLOOKUP("Gs",A1:CV300,148,FALSE)=0,0,HLOOKUP("GIB",A1:CV300,148,FALSE)/HLOOKUP("Gs",A1:CV300,148,FALSE))</f>
        <v>0</v>
      </c>
      <c r="AQ148" s="16813">
        <v>0</v>
      </c>
      <c r="AR148" s="16814">
        <f>IF(HLOOKUP("Gs",A1:CV300,148,FALSE)=0,0,HLOOKUP("Gs - Open",A1:CV300,148,FALSE)/HLOOKUP("Gs",A1:CV300,148,FALSE))</f>
        <v>0</v>
      </c>
      <c r="AS148" s="16815">
        <v>0.26</v>
      </c>
      <c r="AT148" s="16816">
        <v>1.33</v>
      </c>
      <c r="AU148" s="16817">
        <f>IF(HLOOKUP("Mins",A1:CV300,148,FALSE)=0,0,HLOOKUP("Pts",A1:CV300,148,FALSE)/HLOOKUP("Mins",A1:CV300,148,FALSE)* 90)</f>
        <v>3.5875216637781628</v>
      </c>
      <c r="AV148" s="16818">
        <f>IF(HLOOKUP("Apps",A1:CV300,148,FALSE)=0,0,HLOOKUP("Pts",A1:CV300,148,FALSE)/HLOOKUP("Apps",A1:CV300,148,FALSE)* 1)</f>
        <v>2.875</v>
      </c>
      <c r="AW148" s="16819">
        <f>IF(HLOOKUP("Mins",A1:CV300,148,FALSE)=0,0,HLOOKUP("Gs",A1:CV300,148,FALSE)/HLOOKUP("Mins",A1:CV300,148,FALSE)* 90)</f>
        <v>0</v>
      </c>
      <c r="AX148" s="16820">
        <f>IF(HLOOKUP("Mins",A1:CV300,148,FALSE)=0,0,HLOOKUP("Bonus",A1:CV300,148,FALSE)/HLOOKUP("Mins",A1:CV300,148,FALSE)* 90)</f>
        <v>0.46793760831889086</v>
      </c>
      <c r="AY148" s="16821">
        <f>IF(HLOOKUP("Mins",A1:CV300,148,FALSE)=0,0,HLOOKUP("BPS",A1:CV300,148,FALSE)/HLOOKUP("Mins",A1:CV300,148,FALSE)* 90)</f>
        <v>22.305025996533793</v>
      </c>
      <c r="AZ148" s="16822">
        <f>IF(HLOOKUP("Mins",A1:CV300,148,FALSE)=0,0,HLOOKUP("Base BPS",A1:CV300,148,FALSE)/HLOOKUP("Mins",A1:CV300,148,FALSE)* 90)</f>
        <v>18.56152512998267</v>
      </c>
      <c r="BA148" s="16823">
        <f>IF(HLOOKUP("Mins",A1:CV300,148,FALSE)=0,0,HLOOKUP("PenTchs",A1:CV300,148,FALSE)/HLOOKUP("Mins",A1:CV300,148,FALSE)* 90)</f>
        <v>2.0277296360485271</v>
      </c>
      <c r="BB148" s="16824">
        <f>IF(HLOOKUP("Mins",A1:CV300,148,FALSE)=0,0,HLOOKUP("Shots",A1:CV300,148,FALSE)/HLOOKUP("Mins",A1:CV300,148,FALSE)* 90)</f>
        <v>1.2478336221837087</v>
      </c>
      <c r="BC148" s="16825">
        <f>IF(HLOOKUP("Mins",A1:CV300,148,FALSE)=0,0,HLOOKUP("SIB",A1:CV300,148,FALSE)/HLOOKUP("Mins",A1:CV300,148,FALSE)* 90)</f>
        <v>0.31195840554592719</v>
      </c>
      <c r="BD148" s="16826">
        <f>IF(HLOOKUP("Mins",A1:CV300,148,FALSE)=0,0,HLOOKUP("S6YD",A1:CV300,148,FALSE)/HLOOKUP("Mins",A1:CV300,148,FALSE)* 90)</f>
        <v>0</v>
      </c>
      <c r="BE148" s="16827">
        <f>IF(HLOOKUP("Mins",A1:CV300,148,FALSE)=0,0,HLOOKUP("Headers",A1:CV300,148,FALSE)/HLOOKUP("Mins",A1:CV300,148,FALSE)* 90)</f>
        <v>0</v>
      </c>
      <c r="BF148" s="16828">
        <f>IF(HLOOKUP("Mins",A1:CV300,148,FALSE)=0,0,HLOOKUP("SOT",A1:CV300,148,FALSE)/HLOOKUP("Mins",A1:CV300,148,FALSE)* 90)</f>
        <v>0.46793760831889086</v>
      </c>
      <c r="BG148" s="16829">
        <f>IF(HLOOKUP("Mins",A1:CV300,148,FALSE)=0,0,HLOOKUP("As",A1:CV300,148,FALSE)/HLOOKUP("Mins",A1:CV300,148,FALSE)* 90)</f>
        <v>0</v>
      </c>
      <c r="BH148" s="16830">
        <f>IF(HLOOKUP("Mins",A1:CV300,148,FALSE)=0,0,HLOOKUP("FPL As",A1:CV300,148,FALSE)/HLOOKUP("Mins",A1:CV300,148,FALSE)* 90)</f>
        <v>0</v>
      </c>
      <c r="BI148" s="16831">
        <f>IF(HLOOKUP("Mins",A1:CV300,148,FALSE)=0,0,HLOOKUP("BC Created",A1:CV300,148,FALSE)/HLOOKUP("Mins",A1:CV300,148,FALSE)* 90)</f>
        <v>0.46793760831889086</v>
      </c>
      <c r="BJ148" s="16832">
        <f>IF(HLOOKUP("Mins",A1:CV300,148,FALSE)=0,0,HLOOKUP("KP",A1:CV300,148,FALSE)/HLOOKUP("Mins",A1:CV300,148,FALSE)* 90)</f>
        <v>1.2478336221837087</v>
      </c>
      <c r="BK148" s="16833">
        <f>IF(HLOOKUP("Mins",A1:CV300,148,FALSE)=0,0,HLOOKUP("BC",A1:CV300,148,FALSE)/HLOOKUP("Mins",A1:CV300,148,FALSE)* 90)</f>
        <v>0</v>
      </c>
      <c r="BL148" s="16834">
        <f>IF(HLOOKUP("Mins",A1:CV300,148,FALSE)=0,0,HLOOKUP("BC Miss",A1:CV300,148,FALSE)/HLOOKUP("Mins",A1:CV300,148,FALSE)* 90)</f>
        <v>0</v>
      </c>
      <c r="BM148" s="16835">
        <f>IF(HLOOKUP("Mins",A1:CV300,148,FALSE)=0,0,HLOOKUP("Gs - BC",A1:CV300,148,FALSE)/HLOOKUP("Mins",A1:CV300,148,FALSE)* 90)</f>
        <v>0</v>
      </c>
      <c r="BN148" s="16836">
        <f>IF(HLOOKUP("Mins",A1:CV300,148,FALSE)=0,0,HLOOKUP("GIB",A1:CV300,148,FALSE)/HLOOKUP("Mins",A1:CV300,148,FALSE)* 90)</f>
        <v>0</v>
      </c>
      <c r="BO148" s="16837">
        <f>IF(HLOOKUP("Mins",A1:CV300,148,FALSE)=0,0,HLOOKUP("Gs - Open",A1:CV300,148,FALSE)/HLOOKUP("Mins",A1:CV300,148,FALSE)* 90)</f>
        <v>0</v>
      </c>
      <c r="BP148" s="16838">
        <f>IF(HLOOKUP("Mins",A1:CV300,148,FALSE)=0,0,HLOOKUP("ICT Index",A1:CV300,148,FALSE)/HLOOKUP("Mins",A1:CV300,148,FALSE)* 90)</f>
        <v>5.3500866551126514</v>
      </c>
      <c r="BQ148" s="16839">
        <f>IF(HLOOKUP("Mins",A1:CV300,148,FALSE)=0,0,(0.02*(HLOOKUP("Shots",A1:CV300,148,FALSE)-HLOOKUP("SIB",A1:CV300,148,FALSE))+0.093*(HLOOKUP("SIB",A1:CV300,148,FALSE)-(HLOOKUP("PK Gs",A1:CV300,148,FALSE)+HLOOKUP("PK Miss",A1:CV300,148,FALSE)))+0.75*(HLOOKUP("PK Gs",A1:CV300,148,FALSE)+HLOOKUP("PK Miss",A1:CV300,148,FALSE)))/HLOOKUP("Mins",A1:CV300,148,FALSE)*90)</f>
        <v>4.7729636048526869E-2</v>
      </c>
      <c r="BR148" s="16840">
        <f>0.0825*HLOOKUP("KP/90",A1:CV300,148,FALSE)</f>
        <v>0.10294627383015598</v>
      </c>
      <c r="BS148" s="16841">
        <f>6*HLOOKUP("xG/90",A1:CV300,148,FALSE)+3*HLOOKUP("xA/90",A1:CV300,148,FALSE)</f>
        <v>0.59521663778162914</v>
      </c>
      <c r="BT148" s="16842">
        <f>HLOOKUP("xPts/90",A1:CV300,148,FALSE)-(6*0.75*(HLOOKUP("PK Gs",A1:CV300,148,FALSE)+HLOOKUP("PK Miss",A1:CV300,148,FALSE))*90/HLOOKUP("Mins",A1:CV300,148,FALSE))</f>
        <v>0.59521663778162914</v>
      </c>
      <c r="BU148" s="16843">
        <f>IF(HLOOKUP("Mins",A1:CV300,148,FALSE)=0,0,HLOOKUP("fsXG",A1:CV300,148,FALSE)/HLOOKUP("Mins",A1:CV300,148,FALSE)* 90)</f>
        <v>4.0554592720970541E-2</v>
      </c>
      <c r="BV148" s="16844">
        <f>IF(HLOOKUP("Mins",A1:CV300,148,FALSE)=0,0,HLOOKUP("fsXA",A1:CV300,148,FALSE)/HLOOKUP("Mins",A1:CV300,148,FALSE)* 90)</f>
        <v>0.20745233968804161</v>
      </c>
      <c r="BW148" s="16845">
        <f>6*HLOOKUP("fsXG/90",A1:CV300,148,FALSE)+3*HLOOKUP("fsXA/90",A1:CV300,148,FALSE)</f>
        <v>0.86568457538994803</v>
      </c>
      <c r="BX148" s="16846">
        <v>3.6586910486221313E-2</v>
      </c>
      <c r="BY148" s="16847">
        <v>0.2586405873298645</v>
      </c>
      <c r="BZ148" s="16848">
        <f>6*HLOOKUP("uXG/90",A1:CV300,148,FALSE)+3*HLOOKUP("uXA/90",A1:CV300,148,FALSE)</f>
        <v>0.99544322490692139</v>
      </c>
    </row>
    <row r="149" spans="1:78" hidden="1" x14ac:dyDescent="0.3">
      <c r="A149" s="16849" t="s">
        <v>312</v>
      </c>
      <c r="B149" s="16850" t="s">
        <v>93</v>
      </c>
      <c r="C149" s="16851">
        <v>4.3000001907348633</v>
      </c>
      <c r="D149" s="16852">
        <v>789</v>
      </c>
      <c r="E149" s="16853">
        <v>9</v>
      </c>
      <c r="F149" s="16854">
        <v>23</v>
      </c>
      <c r="G149" s="16855">
        <v>0</v>
      </c>
      <c r="H149" s="16856">
        <v>3</v>
      </c>
      <c r="I149" s="16857">
        <v>129</v>
      </c>
      <c r="J149" s="16858">
        <f>HLOOKUP("BPS",A1:CV300,149,FALSE)-((-6*HLOOKUP("OG",A1:CV300,149,FALSE))+(-6*HLOOKUP("PK Miss",A1:CV300,149,FALSE))+(9*HLOOKUP("FPL As",A1:CV300,149,FALSE))+(12*HLOOKUP("CS",A1:CV300,149,FALSE))+(12*HLOOKUP("Gs",A1:CV300,149,FALSE)))</f>
        <v>108</v>
      </c>
      <c r="K149" s="16859">
        <v>0</v>
      </c>
      <c r="L149" s="16860">
        <v>1</v>
      </c>
      <c r="M149" s="16861">
        <v>12</v>
      </c>
      <c r="N149" s="16862">
        <v>3</v>
      </c>
      <c r="O149" s="16863">
        <v>3</v>
      </c>
      <c r="P149" s="16864">
        <f>IF(HLOOKUP("Shots",A1:CV300,149,FALSE)=0,0,HLOOKUP("SIB",A1:CV300,149,FALSE)/HLOOKUP("Shots",A1:CV300,149,FALSE))</f>
        <v>1</v>
      </c>
      <c r="Q149" s="16865">
        <v>0</v>
      </c>
      <c r="R149" s="16866">
        <f>IF(HLOOKUP("Shots",A1:CV300,149,FALSE)=0,0,HLOOKUP("S6YD",A1:CV300,149,FALSE)/HLOOKUP("Shots",A1:CV300,149,FALSE))</f>
        <v>0</v>
      </c>
      <c r="S149" s="16867">
        <v>0</v>
      </c>
      <c r="T149" s="16868">
        <f>IF(HLOOKUP("Shots",A1:CV300,149,FALSE)=0,0,HLOOKUP("Headers",A1:CV300,149,FALSE)/HLOOKUP("Shots",A1:CV300,149,FALSE))</f>
        <v>0</v>
      </c>
      <c r="U149" s="16869">
        <v>1</v>
      </c>
      <c r="V149" s="16870">
        <f>IF(HLOOKUP("Shots",A1:CV300,149,FALSE)=0,0,HLOOKUP("SOT",A1:CV300,149,FALSE)/HLOOKUP("Shots",A1:CV300,149,FALSE))</f>
        <v>0.33333333333333331</v>
      </c>
      <c r="W149" s="16871">
        <f>IF(HLOOKUP("Shots",A1:CV300,149,FALSE)=0,0,HLOOKUP("Gs",A1:CV300,149,FALSE)/HLOOKUP("Shots",A1:CV300,149,FALSE))</f>
        <v>0</v>
      </c>
      <c r="X149" s="16872">
        <v>1</v>
      </c>
      <c r="Y149" s="16873">
        <v>1</v>
      </c>
      <c r="Z149" s="16874">
        <v>3</v>
      </c>
      <c r="AA149" s="16875">
        <f>IF(HLOOKUP("KP",A1:CV300,149,FALSE)=0,0,HLOOKUP("As",A1:CV300,149,FALSE)/HLOOKUP("KP",A1:CV300,149,FALSE))</f>
        <v>0.33333333333333331</v>
      </c>
      <c r="AB149" s="16876">
        <v>25.3</v>
      </c>
      <c r="AC149" s="16877">
        <v>8</v>
      </c>
      <c r="AD149" s="16878">
        <v>1</v>
      </c>
      <c r="AE149" s="16879">
        <v>0</v>
      </c>
      <c r="AF149" s="16880">
        <v>0</v>
      </c>
      <c r="AG149" s="16881">
        <f>IF(HLOOKUP("BC",A1:CV300,149,FALSE)=0,0,HLOOKUP("Gs - BC",A1:CV300,149,FALSE)/HLOOKUP("BC",A1:CV300,149,FALSE))</f>
        <v>0</v>
      </c>
      <c r="AH149" s="16882">
        <f>HLOOKUP("BC",A1:CV300,149,FALSE) - HLOOKUP("BC Miss",A1:CV300,149,FALSE)</f>
        <v>0</v>
      </c>
      <c r="AI149" s="16883">
        <f>IF(HLOOKUP("Gs",A1:CV300,149,FALSE)=0,0,HLOOKUP("Gs - BC",A1:CV300,149,FALSE)/HLOOKUP("Gs",A1:CV300,149,FALSE))</f>
        <v>0</v>
      </c>
      <c r="AJ149" s="16884">
        <v>0</v>
      </c>
      <c r="AK149" s="16885">
        <v>0</v>
      </c>
      <c r="AL149" s="16886">
        <f>HLOOKUP("BC",A1:CV300,149,FALSE) - (HLOOKUP("PK Gs",A1:CV300,149,FALSE) + HLOOKUP("PK Miss",A1:CV300,149,FALSE))</f>
        <v>0</v>
      </c>
      <c r="AM149" s="16887">
        <f>HLOOKUP("BC Miss",A1:CV300,149,FALSE) - HLOOKUP("PK Miss",A1:CV300,149,FALSE)</f>
        <v>0</v>
      </c>
      <c r="AN149" s="16888">
        <f>IF(HLOOKUP("BC - Open",A1:CV300,149,FALSE)=0,0,HLOOKUP("BC - Open Miss",A1:CV300,149,FALSE)/HLOOKUP("BC - Open",A1:CV300,149,FALSE))</f>
        <v>0</v>
      </c>
      <c r="AO149" s="16889">
        <v>0</v>
      </c>
      <c r="AP149" s="16890">
        <f>IF(HLOOKUP("Gs",A1:CV300,149,FALSE)=0,0,HLOOKUP("GIB",A1:CV300,149,FALSE)/HLOOKUP("Gs",A1:CV300,149,FALSE))</f>
        <v>0</v>
      </c>
      <c r="AQ149" s="16891">
        <v>0</v>
      </c>
      <c r="AR149" s="16892">
        <f>IF(HLOOKUP("Gs",A1:CV300,149,FALSE)=0,0,HLOOKUP("Gs - Open",A1:CV300,149,FALSE)/HLOOKUP("Gs",A1:CV300,149,FALSE))</f>
        <v>0</v>
      </c>
      <c r="AS149" s="16893">
        <v>0.21</v>
      </c>
      <c r="AT149" s="16894">
        <v>0.46</v>
      </c>
      <c r="AU149" s="16895">
        <f>IF(HLOOKUP("Mins",A1:CV300,149,FALSE)=0,0,HLOOKUP("Pts",A1:CV300,149,FALSE)/HLOOKUP("Mins",A1:CV300,149,FALSE)* 90)</f>
        <v>2.623574144486692</v>
      </c>
      <c r="AV149" s="16896">
        <f>IF(HLOOKUP("Apps",A1:CV300,149,FALSE)=0,0,HLOOKUP("Pts",A1:CV300,149,FALSE)/HLOOKUP("Apps",A1:CV300,149,FALSE)* 1)</f>
        <v>2.5555555555555554</v>
      </c>
      <c r="AW149" s="16897">
        <f>IF(HLOOKUP("Mins",A1:CV300,149,FALSE)=0,0,HLOOKUP("Gs",A1:CV300,149,FALSE)/HLOOKUP("Mins",A1:CV300,149,FALSE)* 90)</f>
        <v>0</v>
      </c>
      <c r="AX149" s="16898">
        <f>IF(HLOOKUP("Mins",A1:CV300,149,FALSE)=0,0,HLOOKUP("Bonus",A1:CV300,149,FALSE)/HLOOKUP("Mins",A1:CV300,149,FALSE)* 90)</f>
        <v>0.34220532319391633</v>
      </c>
      <c r="AY149" s="16899">
        <f>IF(HLOOKUP("Mins",A1:CV300,149,FALSE)=0,0,HLOOKUP("BPS",A1:CV300,149,FALSE)/HLOOKUP("Mins",A1:CV300,149,FALSE)* 90)</f>
        <v>14.714828897338403</v>
      </c>
      <c r="AZ149" s="16900">
        <f>IF(HLOOKUP("Mins",A1:CV300,149,FALSE)=0,0,HLOOKUP("Base BPS",A1:CV300,149,FALSE)/HLOOKUP("Mins",A1:CV300,149,FALSE)* 90)</f>
        <v>12.319391634980988</v>
      </c>
      <c r="BA149" s="16901">
        <f>IF(HLOOKUP("Mins",A1:CV300,149,FALSE)=0,0,HLOOKUP("PenTchs",A1:CV300,149,FALSE)/HLOOKUP("Mins",A1:CV300,149,FALSE)* 90)</f>
        <v>1.3688212927756653</v>
      </c>
      <c r="BB149" s="16902">
        <f>IF(HLOOKUP("Mins",A1:CV300,149,FALSE)=0,0,HLOOKUP("Shots",A1:CV300,149,FALSE)/HLOOKUP("Mins",A1:CV300,149,FALSE)* 90)</f>
        <v>0.34220532319391633</v>
      </c>
      <c r="BC149" s="16903">
        <f>IF(HLOOKUP("Mins",A1:CV300,149,FALSE)=0,0,HLOOKUP("SIB",A1:CV300,149,FALSE)/HLOOKUP("Mins",A1:CV300,149,FALSE)* 90)</f>
        <v>0.34220532319391633</v>
      </c>
      <c r="BD149" s="16904">
        <f>IF(HLOOKUP("Mins",A1:CV300,149,FALSE)=0,0,HLOOKUP("S6YD",A1:CV300,149,FALSE)/HLOOKUP("Mins",A1:CV300,149,FALSE)* 90)</f>
        <v>0</v>
      </c>
      <c r="BE149" s="16905">
        <f>IF(HLOOKUP("Mins",A1:CV300,149,FALSE)=0,0,HLOOKUP("Headers",A1:CV300,149,FALSE)/HLOOKUP("Mins",A1:CV300,149,FALSE)* 90)</f>
        <v>0</v>
      </c>
      <c r="BF149" s="16906">
        <f>IF(HLOOKUP("Mins",A1:CV300,149,FALSE)=0,0,HLOOKUP("SOT",A1:CV300,149,FALSE)/HLOOKUP("Mins",A1:CV300,149,FALSE)* 90)</f>
        <v>0.11406844106463877</v>
      </c>
      <c r="BG149" s="16907">
        <f>IF(HLOOKUP("Mins",A1:CV300,149,FALSE)=0,0,HLOOKUP("As",A1:CV300,149,FALSE)/HLOOKUP("Mins",A1:CV300,149,FALSE)* 90)</f>
        <v>0.11406844106463877</v>
      </c>
      <c r="BH149" s="16908">
        <f>IF(HLOOKUP("Mins",A1:CV300,149,FALSE)=0,0,HLOOKUP("FPL As",A1:CV300,149,FALSE)/HLOOKUP("Mins",A1:CV300,149,FALSE)* 90)</f>
        <v>0.11406844106463877</v>
      </c>
      <c r="BI149" s="16909">
        <f>IF(HLOOKUP("Mins",A1:CV300,149,FALSE)=0,0,HLOOKUP("BC Created",A1:CV300,149,FALSE)/HLOOKUP("Mins",A1:CV300,149,FALSE)* 90)</f>
        <v>0.11406844106463877</v>
      </c>
      <c r="BJ149" s="16910">
        <f>IF(HLOOKUP("Mins",A1:CV300,149,FALSE)=0,0,HLOOKUP("KP",A1:CV300,149,FALSE)/HLOOKUP("Mins",A1:CV300,149,FALSE)* 90)</f>
        <v>0.34220532319391633</v>
      </c>
      <c r="BK149" s="16911">
        <f>IF(HLOOKUP("Mins",A1:CV300,149,FALSE)=0,0,HLOOKUP("BC",A1:CV300,149,FALSE)/HLOOKUP("Mins",A1:CV300,149,FALSE)* 90)</f>
        <v>0</v>
      </c>
      <c r="BL149" s="16912">
        <f>IF(HLOOKUP("Mins",A1:CV300,149,FALSE)=0,0,HLOOKUP("BC Miss",A1:CV300,149,FALSE)/HLOOKUP("Mins",A1:CV300,149,FALSE)* 90)</f>
        <v>0</v>
      </c>
      <c r="BM149" s="16913">
        <f>IF(HLOOKUP("Mins",A1:CV300,149,FALSE)=0,0,HLOOKUP("Gs - BC",A1:CV300,149,FALSE)/HLOOKUP("Mins",A1:CV300,149,FALSE)* 90)</f>
        <v>0</v>
      </c>
      <c r="BN149" s="16914">
        <f>IF(HLOOKUP("Mins",A1:CV300,149,FALSE)=0,0,HLOOKUP("GIB",A1:CV300,149,FALSE)/HLOOKUP("Mins",A1:CV300,149,FALSE)* 90)</f>
        <v>0</v>
      </c>
      <c r="BO149" s="16915">
        <f>IF(HLOOKUP("Mins",A1:CV300,149,FALSE)=0,0,HLOOKUP("Gs - Open",A1:CV300,149,FALSE)/HLOOKUP("Mins",A1:CV300,149,FALSE)* 90)</f>
        <v>0</v>
      </c>
      <c r="BP149" s="16916">
        <f>IF(HLOOKUP("Mins",A1:CV300,149,FALSE)=0,0,HLOOKUP("ICT Index",A1:CV300,149,FALSE)/HLOOKUP("Mins",A1:CV300,149,FALSE)* 90)</f>
        <v>2.8859315589353614</v>
      </c>
      <c r="BQ149" s="16917">
        <f>IF(HLOOKUP("Mins",A1:CV300,149,FALSE)=0,0,(0.02*(HLOOKUP("Shots",A1:CV300,149,FALSE)-HLOOKUP("SIB",A1:CV300,149,FALSE))+0.093*(HLOOKUP("SIB",A1:CV300,149,FALSE)-(HLOOKUP("PK Gs",A1:CV300,149,FALSE)+HLOOKUP("PK Miss",A1:CV300,149,FALSE)))+0.75*(HLOOKUP("PK Gs",A1:CV300,149,FALSE)+HLOOKUP("PK Miss",A1:CV300,149,FALSE)))/HLOOKUP("Mins",A1:CV300,149,FALSE)*90)</f>
        <v>3.1825095057034222E-2</v>
      </c>
      <c r="BR149" s="16918">
        <f>0.0825*HLOOKUP("KP/90",A1:CV300,149,FALSE)</f>
        <v>2.8231939163498098E-2</v>
      </c>
      <c r="BS149" s="16919">
        <f>6*HLOOKUP("xG/90",A1:CV300,149,FALSE)+3*HLOOKUP("xA/90",A1:CV300,149,FALSE)</f>
        <v>0.27564638783269962</v>
      </c>
      <c r="BT149" s="16920">
        <f>HLOOKUP("xPts/90",A1:CV300,149,FALSE)-(6*0.75*(HLOOKUP("PK Gs",A1:CV300,149,FALSE)+HLOOKUP("PK Miss",A1:CV300,149,FALSE))*90/HLOOKUP("Mins",A1:CV300,149,FALSE))</f>
        <v>0.27564638783269962</v>
      </c>
      <c r="BU149" s="16921">
        <f>IF(HLOOKUP("Mins",A1:CV300,149,FALSE)=0,0,HLOOKUP("fsXG",A1:CV300,149,FALSE)/HLOOKUP("Mins",A1:CV300,149,FALSE)* 90)</f>
        <v>2.3954372623574145E-2</v>
      </c>
      <c r="BV149" s="16922">
        <f>IF(HLOOKUP("Mins",A1:CV300,149,FALSE)=0,0,HLOOKUP("fsXA",A1:CV300,149,FALSE)/HLOOKUP("Mins",A1:CV300,149,FALSE)* 90)</f>
        <v>5.2471482889733842E-2</v>
      </c>
      <c r="BW149" s="16923">
        <f>6*HLOOKUP("fsXG/90",A1:CV300,149,FALSE)+3*HLOOKUP("fsXA/90",A1:CV300,149,FALSE)</f>
        <v>0.3011406844106464</v>
      </c>
      <c r="BX149" s="16924">
        <v>2.3550193756818771E-2</v>
      </c>
      <c r="BY149" s="16925">
        <v>8.2892835140228271E-2</v>
      </c>
      <c r="BZ149" s="16926">
        <f>6*HLOOKUP("uXG/90",A1:CV300,149,FALSE)+3*HLOOKUP("uXA/90",A1:CV300,149,FALSE)</f>
        <v>0.38997966796159744</v>
      </c>
    </row>
    <row r="150" spans="1:78" hidden="1" x14ac:dyDescent="0.3">
      <c r="A150" s="16927" t="s">
        <v>313</v>
      </c>
      <c r="B150" s="16928" t="s">
        <v>113</v>
      </c>
      <c r="C150" s="16929">
        <v>4.1999998092651367</v>
      </c>
      <c r="D150" s="16930">
        <v>639</v>
      </c>
      <c r="E150" s="16931">
        <v>10</v>
      </c>
      <c r="F150" s="16932">
        <v>23</v>
      </c>
      <c r="G150" s="16933">
        <v>0</v>
      </c>
      <c r="H150" s="16934">
        <v>3</v>
      </c>
      <c r="I150" s="16935">
        <v>140</v>
      </c>
      <c r="J150" s="16936">
        <f>HLOOKUP("BPS",A1:CV300,150,FALSE)-((-6*HLOOKUP("OG",A1:CV300,150,FALSE))+(-6*HLOOKUP("PK Miss",A1:CV300,150,FALSE))+(9*HLOOKUP("FPL As",A1:CV300,150,FALSE))+(12*HLOOKUP("CS",A1:CV300,150,FALSE))+(12*HLOOKUP("Gs",A1:CV300,150,FALSE)))</f>
        <v>107</v>
      </c>
      <c r="K150" s="16937">
        <v>0</v>
      </c>
      <c r="L150" s="16938">
        <v>2</v>
      </c>
      <c r="M150" s="16939">
        <v>9</v>
      </c>
      <c r="N150" s="16940">
        <v>5</v>
      </c>
      <c r="O150" s="16941">
        <v>1</v>
      </c>
      <c r="P150" s="16942">
        <f>IF(HLOOKUP("Shots",A1:CV300,150,FALSE)=0,0,HLOOKUP("SIB",A1:CV300,150,FALSE)/HLOOKUP("Shots",A1:CV300,150,FALSE))</f>
        <v>0.2</v>
      </c>
      <c r="Q150" s="16943">
        <v>0</v>
      </c>
      <c r="R150" s="16944">
        <f>IF(HLOOKUP("Shots",A1:CV300,150,FALSE)=0,0,HLOOKUP("S6YD",A1:CV300,150,FALSE)/HLOOKUP("Shots",A1:CV300,150,FALSE))</f>
        <v>0</v>
      </c>
      <c r="S150" s="16945">
        <v>0</v>
      </c>
      <c r="T150" s="16946">
        <f>IF(HLOOKUP("Shots",A1:CV300,150,FALSE)=0,0,HLOOKUP("Headers",A1:CV300,150,FALSE)/HLOOKUP("Shots",A1:CV300,150,FALSE))</f>
        <v>0</v>
      </c>
      <c r="U150" s="16947">
        <v>2</v>
      </c>
      <c r="V150" s="16948">
        <f>IF(HLOOKUP("Shots",A1:CV300,150,FALSE)=0,0,HLOOKUP("SOT",A1:CV300,150,FALSE)/HLOOKUP("Shots",A1:CV300,150,FALSE))</f>
        <v>0.4</v>
      </c>
      <c r="W150" s="16949">
        <f>IF(HLOOKUP("Shots",A1:CV300,150,FALSE)=0,0,HLOOKUP("Gs",A1:CV300,150,FALSE)/HLOOKUP("Shots",A1:CV300,150,FALSE))</f>
        <v>0</v>
      </c>
      <c r="X150" s="16950">
        <v>1</v>
      </c>
      <c r="Y150" s="16951">
        <v>1</v>
      </c>
      <c r="Z150" s="16952">
        <v>7</v>
      </c>
      <c r="AA150" s="16953">
        <f>IF(HLOOKUP("KP",A1:CV300,150,FALSE)=0,0,HLOOKUP("As",A1:CV300,150,FALSE)/HLOOKUP("KP",A1:CV300,150,FALSE))</f>
        <v>0.14285714285714285</v>
      </c>
      <c r="AB150" s="16954">
        <v>34.299999999999997</v>
      </c>
      <c r="AC150" s="16955">
        <v>14</v>
      </c>
      <c r="AD150" s="16956">
        <v>2</v>
      </c>
      <c r="AE150" s="16957">
        <v>0</v>
      </c>
      <c r="AF150" s="16958">
        <v>0</v>
      </c>
      <c r="AG150" s="16959">
        <f>IF(HLOOKUP("BC",A1:CV300,150,FALSE)=0,0,HLOOKUP("Gs - BC",A1:CV300,150,FALSE)/HLOOKUP("BC",A1:CV300,150,FALSE))</f>
        <v>0</v>
      </c>
      <c r="AH150" s="16960">
        <f>HLOOKUP("BC",A1:CV300,150,FALSE) - HLOOKUP("BC Miss",A1:CV300,150,FALSE)</f>
        <v>0</v>
      </c>
      <c r="AI150" s="16961">
        <f>IF(HLOOKUP("Gs",A1:CV300,150,FALSE)=0,0,HLOOKUP("Gs - BC",A1:CV300,150,FALSE)/HLOOKUP("Gs",A1:CV300,150,FALSE))</f>
        <v>0</v>
      </c>
      <c r="AJ150" s="16962">
        <v>0</v>
      </c>
      <c r="AK150" s="16963">
        <v>0</v>
      </c>
      <c r="AL150" s="16964">
        <f>HLOOKUP("BC",A1:CV300,150,FALSE) - (HLOOKUP("PK Gs",A1:CV300,150,FALSE) + HLOOKUP("PK Miss",A1:CV300,150,FALSE))</f>
        <v>0</v>
      </c>
      <c r="AM150" s="16965">
        <f>HLOOKUP("BC Miss",A1:CV300,150,FALSE) - HLOOKUP("PK Miss",A1:CV300,150,FALSE)</f>
        <v>0</v>
      </c>
      <c r="AN150" s="16966">
        <f>IF(HLOOKUP("BC - Open",A1:CV300,150,FALSE)=0,0,HLOOKUP("BC - Open Miss",A1:CV300,150,FALSE)/HLOOKUP("BC - Open",A1:CV300,150,FALSE))</f>
        <v>0</v>
      </c>
      <c r="AO150" s="16967">
        <v>0</v>
      </c>
      <c r="AP150" s="16968">
        <f>IF(HLOOKUP("Gs",A1:CV300,150,FALSE)=0,0,HLOOKUP("GIB",A1:CV300,150,FALSE)/HLOOKUP("Gs",A1:CV300,150,FALSE))</f>
        <v>0</v>
      </c>
      <c r="AQ150" s="16969">
        <v>0</v>
      </c>
      <c r="AR150" s="16970">
        <f>IF(HLOOKUP("Gs",A1:CV300,150,FALSE)=0,0,HLOOKUP("Gs - Open",A1:CV300,150,FALSE)/HLOOKUP("Gs",A1:CV300,150,FALSE))</f>
        <v>0</v>
      </c>
      <c r="AS150" s="16971">
        <v>0.11</v>
      </c>
      <c r="AT150" s="16972">
        <v>0.9</v>
      </c>
      <c r="AU150" s="16973">
        <f>IF(HLOOKUP("Mins",A1:CV300,150,FALSE)=0,0,HLOOKUP("Pts",A1:CV300,150,FALSE)/HLOOKUP("Mins",A1:CV300,150,FALSE)* 90)</f>
        <v>3.23943661971831</v>
      </c>
      <c r="AV150" s="16974">
        <f>IF(HLOOKUP("Apps",A1:CV300,150,FALSE)=0,0,HLOOKUP("Pts",A1:CV300,150,FALSE)/HLOOKUP("Apps",A1:CV300,150,FALSE)* 1)</f>
        <v>2.2999999999999998</v>
      </c>
      <c r="AW150" s="16975">
        <f>IF(HLOOKUP("Mins",A1:CV300,150,FALSE)=0,0,HLOOKUP("Gs",A1:CV300,150,FALSE)/HLOOKUP("Mins",A1:CV300,150,FALSE)* 90)</f>
        <v>0</v>
      </c>
      <c r="AX150" s="16976">
        <f>IF(HLOOKUP("Mins",A1:CV300,150,FALSE)=0,0,HLOOKUP("Bonus",A1:CV300,150,FALSE)/HLOOKUP("Mins",A1:CV300,150,FALSE)* 90)</f>
        <v>0.42253521126760563</v>
      </c>
      <c r="AY150" s="16977">
        <f>IF(HLOOKUP("Mins",A1:CV300,150,FALSE)=0,0,HLOOKUP("BPS",A1:CV300,150,FALSE)/HLOOKUP("Mins",A1:CV300,150,FALSE)* 90)</f>
        <v>19.718309859154928</v>
      </c>
      <c r="AZ150" s="16978">
        <f>IF(HLOOKUP("Mins",A1:CV300,150,FALSE)=0,0,HLOOKUP("Base BPS",A1:CV300,150,FALSE)/HLOOKUP("Mins",A1:CV300,150,FALSE)* 90)</f>
        <v>15.070422535211268</v>
      </c>
      <c r="BA150" s="16979">
        <f>IF(HLOOKUP("Mins",A1:CV300,150,FALSE)=0,0,HLOOKUP("PenTchs",A1:CV300,150,FALSE)/HLOOKUP("Mins",A1:CV300,150,FALSE)* 90)</f>
        <v>1.267605633802817</v>
      </c>
      <c r="BB150" s="16980">
        <f>IF(HLOOKUP("Mins",A1:CV300,150,FALSE)=0,0,HLOOKUP("Shots",A1:CV300,150,FALSE)/HLOOKUP("Mins",A1:CV300,150,FALSE)* 90)</f>
        <v>0.70422535211267612</v>
      </c>
      <c r="BC150" s="16981">
        <f>IF(HLOOKUP("Mins",A1:CV300,150,FALSE)=0,0,HLOOKUP("SIB",A1:CV300,150,FALSE)/HLOOKUP("Mins",A1:CV300,150,FALSE)* 90)</f>
        <v>0.14084507042253522</v>
      </c>
      <c r="BD150" s="16982">
        <f>IF(HLOOKUP("Mins",A1:CV300,150,FALSE)=0,0,HLOOKUP("S6YD",A1:CV300,150,FALSE)/HLOOKUP("Mins",A1:CV300,150,FALSE)* 90)</f>
        <v>0</v>
      </c>
      <c r="BE150" s="16983">
        <f>IF(HLOOKUP("Mins",A1:CV300,150,FALSE)=0,0,HLOOKUP("Headers",A1:CV300,150,FALSE)/HLOOKUP("Mins",A1:CV300,150,FALSE)* 90)</f>
        <v>0</v>
      </c>
      <c r="BF150" s="16984">
        <f>IF(HLOOKUP("Mins",A1:CV300,150,FALSE)=0,0,HLOOKUP("SOT",A1:CV300,150,FALSE)/HLOOKUP("Mins",A1:CV300,150,FALSE)* 90)</f>
        <v>0.28169014084507044</v>
      </c>
      <c r="BG150" s="16985">
        <f>IF(HLOOKUP("Mins",A1:CV300,150,FALSE)=0,0,HLOOKUP("As",A1:CV300,150,FALSE)/HLOOKUP("Mins",A1:CV300,150,FALSE)* 90)</f>
        <v>0.14084507042253522</v>
      </c>
      <c r="BH150" s="16986">
        <f>IF(HLOOKUP("Mins",A1:CV300,150,FALSE)=0,0,HLOOKUP("FPL As",A1:CV300,150,FALSE)/HLOOKUP("Mins",A1:CV300,150,FALSE)* 90)</f>
        <v>0.14084507042253522</v>
      </c>
      <c r="BI150" s="16987">
        <f>IF(HLOOKUP("Mins",A1:CV300,150,FALSE)=0,0,HLOOKUP("BC Created",A1:CV300,150,FALSE)/HLOOKUP("Mins",A1:CV300,150,FALSE)* 90)</f>
        <v>0.28169014084507044</v>
      </c>
      <c r="BJ150" s="16988">
        <f>IF(HLOOKUP("Mins",A1:CV300,150,FALSE)=0,0,HLOOKUP("KP",A1:CV300,150,FALSE)/HLOOKUP("Mins",A1:CV300,150,FALSE)* 90)</f>
        <v>0.9859154929577465</v>
      </c>
      <c r="BK150" s="16989">
        <f>IF(HLOOKUP("Mins",A1:CV300,150,FALSE)=0,0,HLOOKUP("BC",A1:CV300,150,FALSE)/HLOOKUP("Mins",A1:CV300,150,FALSE)* 90)</f>
        <v>0</v>
      </c>
      <c r="BL150" s="16990">
        <f>IF(HLOOKUP("Mins",A1:CV300,150,FALSE)=0,0,HLOOKUP("BC Miss",A1:CV300,150,FALSE)/HLOOKUP("Mins",A1:CV300,150,FALSE)* 90)</f>
        <v>0</v>
      </c>
      <c r="BM150" s="16991">
        <f>IF(HLOOKUP("Mins",A1:CV300,150,FALSE)=0,0,HLOOKUP("Gs - BC",A1:CV300,150,FALSE)/HLOOKUP("Mins",A1:CV300,150,FALSE)* 90)</f>
        <v>0</v>
      </c>
      <c r="BN150" s="16992">
        <f>IF(HLOOKUP("Mins",A1:CV300,150,FALSE)=0,0,HLOOKUP("GIB",A1:CV300,150,FALSE)/HLOOKUP("Mins",A1:CV300,150,FALSE)* 90)</f>
        <v>0</v>
      </c>
      <c r="BO150" s="16993">
        <f>IF(HLOOKUP("Mins",A1:CV300,150,FALSE)=0,0,HLOOKUP("Gs - Open",A1:CV300,150,FALSE)/HLOOKUP("Mins",A1:CV300,150,FALSE)* 90)</f>
        <v>0</v>
      </c>
      <c r="BP150" s="16994">
        <f>IF(HLOOKUP("Mins",A1:CV300,150,FALSE)=0,0,HLOOKUP("ICT Index",A1:CV300,150,FALSE)/HLOOKUP("Mins",A1:CV300,150,FALSE)* 90)</f>
        <v>4.8309859154929571</v>
      </c>
      <c r="BQ150" s="16995">
        <f>IF(HLOOKUP("Mins",A1:CV300,150,FALSE)=0,0,(0.02*(HLOOKUP("Shots",A1:CV300,150,FALSE)-HLOOKUP("SIB",A1:CV300,150,FALSE))+0.093*(HLOOKUP("SIB",A1:CV300,150,FALSE)-(HLOOKUP("PK Gs",A1:CV300,150,FALSE)+HLOOKUP("PK Miss",A1:CV300,150,FALSE)))+0.75*(HLOOKUP("PK Gs",A1:CV300,150,FALSE)+HLOOKUP("PK Miss",A1:CV300,150,FALSE)))/HLOOKUP("Mins",A1:CV300,150,FALSE)*90)</f>
        <v>2.4366197183098588E-2</v>
      </c>
      <c r="BR150" s="16996">
        <f>0.0825*HLOOKUP("KP/90",A1:CV300,150,FALSE)</f>
        <v>8.1338028169014087E-2</v>
      </c>
      <c r="BS150" s="16997">
        <f>6*HLOOKUP("xG/90",A1:CV300,150,FALSE)+3*HLOOKUP("xA/90",A1:CV300,150,FALSE)</f>
        <v>0.39021126760563379</v>
      </c>
      <c r="BT150" s="16998">
        <f>HLOOKUP("xPts/90",A1:CV300,150,FALSE)-(6*0.75*(HLOOKUP("PK Gs",A1:CV300,150,FALSE)+HLOOKUP("PK Miss",A1:CV300,150,FALSE))*90/HLOOKUP("Mins",A1:CV300,150,FALSE))</f>
        <v>0.39021126760563379</v>
      </c>
      <c r="BU150" s="16999">
        <f>IF(HLOOKUP("Mins",A1:CV300,150,FALSE)=0,0,HLOOKUP("fsXG",A1:CV300,150,FALSE)/HLOOKUP("Mins",A1:CV300,150,FALSE)* 90)</f>
        <v>1.5492957746478873E-2</v>
      </c>
      <c r="BV150" s="17000">
        <f>IF(HLOOKUP("Mins",A1:CV300,150,FALSE)=0,0,HLOOKUP("fsXA",A1:CV300,150,FALSE)/HLOOKUP("Mins",A1:CV300,150,FALSE)* 90)</f>
        <v>0.12676056338028169</v>
      </c>
      <c r="BW150" s="17001">
        <f>6*HLOOKUP("fsXG/90",A1:CV300,150,FALSE)+3*HLOOKUP("fsXA/90",A1:CV300,150,FALSE)</f>
        <v>0.47323943661971829</v>
      </c>
      <c r="BX150" s="17002">
        <v>1.3170504942536354E-2</v>
      </c>
      <c r="BY150" s="17003">
        <v>0.17813055217266083</v>
      </c>
      <c r="BZ150" s="17004">
        <f>6*HLOOKUP("uXG/90",A1:CV300,150,FALSE)+3*HLOOKUP("uXA/90",A1:CV300,150,FALSE)</f>
        <v>0.61341468617320061</v>
      </c>
    </row>
    <row r="151" spans="1:78" hidden="1" x14ac:dyDescent="0.3">
      <c r="A151" s="17005" t="s">
        <v>314</v>
      </c>
      <c r="B151" s="17006" t="s">
        <v>100</v>
      </c>
      <c r="C151" s="17007">
        <v>4.1999998092651367</v>
      </c>
      <c r="D151" s="17008">
        <v>339</v>
      </c>
      <c r="E151" s="17009">
        <v>10</v>
      </c>
      <c r="F151" s="17010">
        <v>15</v>
      </c>
      <c r="G151" s="17011">
        <v>0</v>
      </c>
      <c r="H151" s="17012">
        <v>0</v>
      </c>
      <c r="I151" s="17013">
        <v>77</v>
      </c>
      <c r="J151" s="17014">
        <f>HLOOKUP("BPS",A1:CV300,151,FALSE)-((-6*HLOOKUP("OG",A1:CV300,151,FALSE))+(-6*HLOOKUP("PK Miss",A1:CV300,151,FALSE))+(9*HLOOKUP("FPL As",A1:CV300,151,FALSE))+(12*HLOOKUP("CS",A1:CV300,151,FALSE))+(12*HLOOKUP("Gs",A1:CV300,151,FALSE)))</f>
        <v>65</v>
      </c>
      <c r="K151" s="17015">
        <v>0</v>
      </c>
      <c r="L151" s="17016">
        <v>1</v>
      </c>
      <c r="M151" s="17017">
        <v>8</v>
      </c>
      <c r="N151" s="17018">
        <v>3</v>
      </c>
      <c r="O151" s="17019">
        <v>3</v>
      </c>
      <c r="P151" s="17020">
        <f>IF(HLOOKUP("Shots",A1:CV300,151,FALSE)=0,0,HLOOKUP("SIB",A1:CV300,151,FALSE)/HLOOKUP("Shots",A1:CV300,151,FALSE))</f>
        <v>1</v>
      </c>
      <c r="Q151" s="17021">
        <v>0</v>
      </c>
      <c r="R151" s="17022">
        <f>IF(HLOOKUP("Shots",A1:CV300,151,FALSE)=0,0,HLOOKUP("S6YD",A1:CV300,151,FALSE)/HLOOKUP("Shots",A1:CV300,151,FALSE))</f>
        <v>0</v>
      </c>
      <c r="S151" s="17023">
        <v>0</v>
      </c>
      <c r="T151" s="17024">
        <f>IF(HLOOKUP("Shots",A1:CV300,151,FALSE)=0,0,HLOOKUP("Headers",A1:CV300,151,FALSE)/HLOOKUP("Shots",A1:CV300,151,FALSE))</f>
        <v>0</v>
      </c>
      <c r="U151" s="17025">
        <v>0</v>
      </c>
      <c r="V151" s="17026">
        <f>IF(HLOOKUP("Shots",A1:CV300,151,FALSE)=0,0,HLOOKUP("SOT",A1:CV300,151,FALSE)/HLOOKUP("Shots",A1:CV300,151,FALSE))</f>
        <v>0</v>
      </c>
      <c r="W151" s="17027">
        <f>IF(HLOOKUP("Shots",A1:CV300,151,FALSE)=0,0,HLOOKUP("Gs",A1:CV300,151,FALSE)/HLOOKUP("Shots",A1:CV300,151,FALSE))</f>
        <v>0</v>
      </c>
      <c r="X151" s="17028">
        <v>0</v>
      </c>
      <c r="Y151" s="17029">
        <v>0</v>
      </c>
      <c r="Z151" s="17030">
        <v>3</v>
      </c>
      <c r="AA151" s="17031">
        <f>IF(HLOOKUP("KP",A1:CV300,151,FALSE)=0,0,HLOOKUP("As",A1:CV300,151,FALSE)/HLOOKUP("KP",A1:CV300,151,FALSE))</f>
        <v>0</v>
      </c>
      <c r="AB151" s="17032">
        <v>16.5</v>
      </c>
      <c r="AC151" s="17033">
        <v>0</v>
      </c>
      <c r="AD151" s="17034">
        <v>1</v>
      </c>
      <c r="AE151" s="17035">
        <v>0</v>
      </c>
      <c r="AF151" s="17036">
        <v>0</v>
      </c>
      <c r="AG151" s="17037">
        <f>IF(HLOOKUP("BC",A1:CV300,151,FALSE)=0,0,HLOOKUP("Gs - BC",A1:CV300,151,FALSE)/HLOOKUP("BC",A1:CV300,151,FALSE))</f>
        <v>0</v>
      </c>
      <c r="AH151" s="17038">
        <f>HLOOKUP("BC",A1:CV300,151,FALSE) - HLOOKUP("BC Miss",A1:CV300,151,FALSE)</f>
        <v>0</v>
      </c>
      <c r="AI151" s="17039">
        <f>IF(HLOOKUP("Gs",A1:CV300,151,FALSE)=0,0,HLOOKUP("Gs - BC",A1:CV300,151,FALSE)/HLOOKUP("Gs",A1:CV300,151,FALSE))</f>
        <v>0</v>
      </c>
      <c r="AJ151" s="17040">
        <v>0</v>
      </c>
      <c r="AK151" s="17041">
        <v>0</v>
      </c>
      <c r="AL151" s="17042">
        <f>HLOOKUP("BC",A1:CV300,151,FALSE) - (HLOOKUP("PK Gs",A1:CV300,151,FALSE) + HLOOKUP("PK Miss",A1:CV300,151,FALSE))</f>
        <v>0</v>
      </c>
      <c r="AM151" s="17043">
        <f>HLOOKUP("BC Miss",A1:CV300,151,FALSE) - HLOOKUP("PK Miss",A1:CV300,151,FALSE)</f>
        <v>0</v>
      </c>
      <c r="AN151" s="17044">
        <f>IF(HLOOKUP("BC - Open",A1:CV300,151,FALSE)=0,0,HLOOKUP("BC - Open Miss",A1:CV300,151,FALSE)/HLOOKUP("BC - Open",A1:CV300,151,FALSE))</f>
        <v>0</v>
      </c>
      <c r="AO151" s="17045">
        <v>0</v>
      </c>
      <c r="AP151" s="17046">
        <f>IF(HLOOKUP("Gs",A1:CV300,151,FALSE)=0,0,HLOOKUP("GIB",A1:CV300,151,FALSE)/HLOOKUP("Gs",A1:CV300,151,FALSE))</f>
        <v>0</v>
      </c>
      <c r="AQ151" s="17047">
        <v>0</v>
      </c>
      <c r="AR151" s="17048">
        <f>IF(HLOOKUP("Gs",A1:CV300,151,FALSE)=0,0,HLOOKUP("Gs - Open",A1:CV300,151,FALSE)/HLOOKUP("Gs",A1:CV300,151,FALSE))</f>
        <v>0</v>
      </c>
      <c r="AS151" s="17049">
        <v>0.14000000000000001</v>
      </c>
      <c r="AT151" s="17050">
        <v>0.42</v>
      </c>
      <c r="AU151" s="17051">
        <f>IF(HLOOKUP("Mins",A1:CV300,151,FALSE)=0,0,HLOOKUP("Pts",A1:CV300,151,FALSE)/HLOOKUP("Mins",A1:CV300,151,FALSE)* 90)</f>
        <v>3.9823008849557522</v>
      </c>
      <c r="AV151" s="17052">
        <f>IF(HLOOKUP("Apps",A1:CV300,151,FALSE)=0,0,HLOOKUP("Pts",A1:CV300,151,FALSE)/HLOOKUP("Apps",A1:CV300,151,FALSE)* 1)</f>
        <v>1.5</v>
      </c>
      <c r="AW151" s="17053">
        <f>IF(HLOOKUP("Mins",A1:CV300,151,FALSE)=0,0,HLOOKUP("Gs",A1:CV300,151,FALSE)/HLOOKUP("Mins",A1:CV300,151,FALSE)* 90)</f>
        <v>0</v>
      </c>
      <c r="AX151" s="17054">
        <f>IF(HLOOKUP("Mins",A1:CV300,151,FALSE)=0,0,HLOOKUP("Bonus",A1:CV300,151,FALSE)/HLOOKUP("Mins",A1:CV300,151,FALSE)* 90)</f>
        <v>0</v>
      </c>
      <c r="AY151" s="17055">
        <f>IF(HLOOKUP("Mins",A1:CV300,151,FALSE)=0,0,HLOOKUP("BPS",A1:CV300,151,FALSE)/HLOOKUP("Mins",A1:CV300,151,FALSE)* 90)</f>
        <v>20.442477876106196</v>
      </c>
      <c r="AZ151" s="17056">
        <f>IF(HLOOKUP("Mins",A1:CV300,151,FALSE)=0,0,HLOOKUP("Base BPS",A1:CV300,151,FALSE)/HLOOKUP("Mins",A1:CV300,151,FALSE)* 90)</f>
        <v>17.256637168141594</v>
      </c>
      <c r="BA151" s="17057">
        <f>IF(HLOOKUP("Mins",A1:CV300,151,FALSE)=0,0,HLOOKUP("PenTchs",A1:CV300,151,FALSE)/HLOOKUP("Mins",A1:CV300,151,FALSE)* 90)</f>
        <v>2.1238938053097343</v>
      </c>
      <c r="BB151" s="17058">
        <f>IF(HLOOKUP("Mins",A1:CV300,151,FALSE)=0,0,HLOOKUP("Shots",A1:CV300,151,FALSE)/HLOOKUP("Mins",A1:CV300,151,FALSE)* 90)</f>
        <v>0.79646017699115046</v>
      </c>
      <c r="BC151" s="17059">
        <f>IF(HLOOKUP("Mins",A1:CV300,151,FALSE)=0,0,HLOOKUP("SIB",A1:CV300,151,FALSE)/HLOOKUP("Mins",A1:CV300,151,FALSE)* 90)</f>
        <v>0.79646017699115046</v>
      </c>
      <c r="BD151" s="17060">
        <f>IF(HLOOKUP("Mins",A1:CV300,151,FALSE)=0,0,HLOOKUP("S6YD",A1:CV300,151,FALSE)/HLOOKUP("Mins",A1:CV300,151,FALSE)* 90)</f>
        <v>0</v>
      </c>
      <c r="BE151" s="17061">
        <f>IF(HLOOKUP("Mins",A1:CV300,151,FALSE)=0,0,HLOOKUP("Headers",A1:CV300,151,FALSE)/HLOOKUP("Mins",A1:CV300,151,FALSE)* 90)</f>
        <v>0</v>
      </c>
      <c r="BF151" s="17062">
        <f>IF(HLOOKUP("Mins",A1:CV300,151,FALSE)=0,0,HLOOKUP("SOT",A1:CV300,151,FALSE)/HLOOKUP("Mins",A1:CV300,151,FALSE)* 90)</f>
        <v>0</v>
      </c>
      <c r="BG151" s="17063">
        <f>IF(HLOOKUP("Mins",A1:CV300,151,FALSE)=0,0,HLOOKUP("As",A1:CV300,151,FALSE)/HLOOKUP("Mins",A1:CV300,151,FALSE)* 90)</f>
        <v>0</v>
      </c>
      <c r="BH151" s="17064">
        <f>IF(HLOOKUP("Mins",A1:CV300,151,FALSE)=0,0,HLOOKUP("FPL As",A1:CV300,151,FALSE)/HLOOKUP("Mins",A1:CV300,151,FALSE)* 90)</f>
        <v>0</v>
      </c>
      <c r="BI151" s="17065">
        <f>IF(HLOOKUP("Mins",A1:CV300,151,FALSE)=0,0,HLOOKUP("BC Created",A1:CV300,151,FALSE)/HLOOKUP("Mins",A1:CV300,151,FALSE)* 90)</f>
        <v>0.26548672566371678</v>
      </c>
      <c r="BJ151" s="17066">
        <f>IF(HLOOKUP("Mins",A1:CV300,151,FALSE)=0,0,HLOOKUP("KP",A1:CV300,151,FALSE)/HLOOKUP("Mins",A1:CV300,151,FALSE)* 90)</f>
        <v>0.79646017699115046</v>
      </c>
      <c r="BK151" s="17067">
        <f>IF(HLOOKUP("Mins",A1:CV300,151,FALSE)=0,0,HLOOKUP("BC",A1:CV300,151,FALSE)/HLOOKUP("Mins",A1:CV300,151,FALSE)* 90)</f>
        <v>0</v>
      </c>
      <c r="BL151" s="17068">
        <f>IF(HLOOKUP("Mins",A1:CV300,151,FALSE)=0,0,HLOOKUP("BC Miss",A1:CV300,151,FALSE)/HLOOKUP("Mins",A1:CV300,151,FALSE)* 90)</f>
        <v>0</v>
      </c>
      <c r="BM151" s="17069">
        <f>IF(HLOOKUP("Mins",A1:CV300,151,FALSE)=0,0,HLOOKUP("Gs - BC",A1:CV300,151,FALSE)/HLOOKUP("Mins",A1:CV300,151,FALSE)* 90)</f>
        <v>0</v>
      </c>
      <c r="BN151" s="17070">
        <f>IF(HLOOKUP("Mins",A1:CV300,151,FALSE)=0,0,HLOOKUP("GIB",A1:CV300,151,FALSE)/HLOOKUP("Mins",A1:CV300,151,FALSE)* 90)</f>
        <v>0</v>
      </c>
      <c r="BO151" s="17071">
        <f>IF(HLOOKUP("Mins",A1:CV300,151,FALSE)=0,0,HLOOKUP("Gs - Open",A1:CV300,151,FALSE)/HLOOKUP("Mins",A1:CV300,151,FALSE)* 90)</f>
        <v>0</v>
      </c>
      <c r="BP151" s="17072">
        <f>IF(HLOOKUP("Mins",A1:CV300,151,FALSE)=0,0,HLOOKUP("ICT Index",A1:CV300,151,FALSE)/HLOOKUP("Mins",A1:CV300,151,FALSE)* 90)</f>
        <v>4.3805309734513278</v>
      </c>
      <c r="BQ151" s="17073">
        <f>IF(HLOOKUP("Mins",A1:CV300,151,FALSE)=0,0,(0.02*(HLOOKUP("Shots",A1:CV300,151,FALSE)-HLOOKUP("SIB",A1:CV300,151,FALSE))+0.093*(HLOOKUP("SIB",A1:CV300,151,FALSE)-(HLOOKUP("PK Gs",A1:CV300,151,FALSE)+HLOOKUP("PK Miss",A1:CV300,151,FALSE)))+0.75*(HLOOKUP("PK Gs",A1:CV300,151,FALSE)+HLOOKUP("PK Miss",A1:CV300,151,FALSE)))/HLOOKUP("Mins",A1:CV300,151,FALSE)*90)</f>
        <v>7.4070796460177002E-2</v>
      </c>
      <c r="BR151" s="17074">
        <f>0.0825*HLOOKUP("KP/90",A1:CV300,151,FALSE)</f>
        <v>6.5707964601769919E-2</v>
      </c>
      <c r="BS151" s="17075">
        <f>6*HLOOKUP("xG/90",A1:CV300,151,FALSE)+3*HLOOKUP("xA/90",A1:CV300,151,FALSE)</f>
        <v>0.64154867256637171</v>
      </c>
      <c r="BT151" s="17076">
        <f>HLOOKUP("xPts/90",A1:CV300,151,FALSE)-(6*0.75*(HLOOKUP("PK Gs",A1:CV300,151,FALSE)+HLOOKUP("PK Miss",A1:CV300,151,FALSE))*90/HLOOKUP("Mins",A1:CV300,151,FALSE))</f>
        <v>0.64154867256637171</v>
      </c>
      <c r="BU151" s="17077">
        <f>IF(HLOOKUP("Mins",A1:CV300,151,FALSE)=0,0,HLOOKUP("fsXG",A1:CV300,151,FALSE)/HLOOKUP("Mins",A1:CV300,151,FALSE)* 90)</f>
        <v>3.7168141592920353E-2</v>
      </c>
      <c r="BV151" s="17078">
        <f>IF(HLOOKUP("Mins",A1:CV300,151,FALSE)=0,0,HLOOKUP("fsXA",A1:CV300,151,FALSE)/HLOOKUP("Mins",A1:CV300,151,FALSE)* 90)</f>
        <v>0.11150442477876106</v>
      </c>
      <c r="BW151" s="17079">
        <f>6*HLOOKUP("fsXG/90",A1:CV300,151,FALSE)+3*HLOOKUP("fsXA/90",A1:CV300,151,FALSE)</f>
        <v>0.55752212389380529</v>
      </c>
      <c r="BX151" s="17080">
        <v>3.7967279553413391E-2</v>
      </c>
      <c r="BY151" s="17081">
        <v>0.11306294798851013</v>
      </c>
      <c r="BZ151" s="17082">
        <f>6*HLOOKUP("uXG/90",A1:CV300,151,FALSE)+3*HLOOKUP("uXA/90",A1:CV300,151,FALSE)</f>
        <v>0.56699252128601074</v>
      </c>
    </row>
    <row r="152" spans="1:78" hidden="1" x14ac:dyDescent="0.3">
      <c r="A152" s="17083" t="s">
        <v>315</v>
      </c>
      <c r="B152" s="17084" t="s">
        <v>86</v>
      </c>
      <c r="C152" s="17085">
        <v>4.4000000953674316</v>
      </c>
      <c r="D152" s="17086">
        <v>1360</v>
      </c>
      <c r="E152" s="17087">
        <v>17</v>
      </c>
      <c r="F152" s="17088">
        <v>43</v>
      </c>
      <c r="G152" s="17089">
        <v>0</v>
      </c>
      <c r="H152" s="17090">
        <v>2</v>
      </c>
      <c r="I152" s="17091">
        <v>240</v>
      </c>
      <c r="J152" s="17092">
        <f>HLOOKUP("BPS",A1:CV300,152,FALSE)-((-6*HLOOKUP("OG",A1:CV300,152,FALSE))+(-6*HLOOKUP("PK Miss",A1:CV300,152,FALSE))+(9*HLOOKUP("FPL As",A1:CV300,152,FALSE))+(12*HLOOKUP("CS",A1:CV300,152,FALSE))+(12*HLOOKUP("Gs",A1:CV300,152,FALSE)))</f>
        <v>174</v>
      </c>
      <c r="K152" s="17093">
        <v>0</v>
      </c>
      <c r="L152" s="17094">
        <v>4</v>
      </c>
      <c r="M152" s="17095">
        <v>4</v>
      </c>
      <c r="N152" s="17096">
        <v>5</v>
      </c>
      <c r="O152" s="17097">
        <v>1</v>
      </c>
      <c r="P152" s="17098">
        <f>IF(HLOOKUP("Shots",A1:CV300,152,FALSE)=0,0,HLOOKUP("SIB",A1:CV300,152,FALSE)/HLOOKUP("Shots",A1:CV300,152,FALSE))</f>
        <v>0.2</v>
      </c>
      <c r="Q152" s="17099">
        <v>0</v>
      </c>
      <c r="R152" s="17100">
        <f>IF(HLOOKUP("Shots",A1:CV300,152,FALSE)=0,0,HLOOKUP("S6YD",A1:CV300,152,FALSE)/HLOOKUP("Shots",A1:CV300,152,FALSE))</f>
        <v>0</v>
      </c>
      <c r="S152" s="17101">
        <v>1</v>
      </c>
      <c r="T152" s="17102">
        <f>IF(HLOOKUP("Shots",A1:CV300,152,FALSE)=0,0,HLOOKUP("Headers",A1:CV300,152,FALSE)/HLOOKUP("Shots",A1:CV300,152,FALSE))</f>
        <v>0.2</v>
      </c>
      <c r="U152" s="17103">
        <v>2</v>
      </c>
      <c r="V152" s="17104">
        <f>IF(HLOOKUP("Shots",A1:CV300,152,FALSE)=0,0,HLOOKUP("SOT",A1:CV300,152,FALSE)/HLOOKUP("Shots",A1:CV300,152,FALSE))</f>
        <v>0.4</v>
      </c>
      <c r="W152" s="17105">
        <f>IF(HLOOKUP("Shots",A1:CV300,152,FALSE)=0,0,HLOOKUP("Gs",A1:CV300,152,FALSE)/HLOOKUP("Shots",A1:CV300,152,FALSE))</f>
        <v>0</v>
      </c>
      <c r="X152" s="17106">
        <v>2</v>
      </c>
      <c r="Y152" s="17107">
        <v>2</v>
      </c>
      <c r="Z152" s="17108">
        <v>8</v>
      </c>
      <c r="AA152" s="17109">
        <f>IF(HLOOKUP("KP",A1:CV300,152,FALSE)=0,0,HLOOKUP("As",A1:CV300,152,FALSE)/HLOOKUP("KP",A1:CV300,152,FALSE))</f>
        <v>0.25</v>
      </c>
      <c r="AB152" s="17110">
        <v>51</v>
      </c>
      <c r="AC152" s="17111">
        <v>9</v>
      </c>
      <c r="AD152" s="17112">
        <v>1</v>
      </c>
      <c r="AE152" s="17113">
        <v>0</v>
      </c>
      <c r="AF152" s="17114">
        <v>0</v>
      </c>
      <c r="AG152" s="17115">
        <f>IF(HLOOKUP("BC",A1:CV300,152,FALSE)=0,0,HLOOKUP("Gs - BC",A1:CV300,152,FALSE)/HLOOKUP("BC",A1:CV300,152,FALSE))</f>
        <v>0</v>
      </c>
      <c r="AH152" s="17116">
        <f>HLOOKUP("BC",A1:CV300,152,FALSE) - HLOOKUP("BC Miss",A1:CV300,152,FALSE)</f>
        <v>0</v>
      </c>
      <c r="AI152" s="17117">
        <f>IF(HLOOKUP("Gs",A1:CV300,152,FALSE)=0,0,HLOOKUP("Gs - BC",A1:CV300,152,FALSE)/HLOOKUP("Gs",A1:CV300,152,FALSE))</f>
        <v>0</v>
      </c>
      <c r="AJ152" s="17118">
        <v>0</v>
      </c>
      <c r="AK152" s="17119">
        <v>0</v>
      </c>
      <c r="AL152" s="17120">
        <f>HLOOKUP("BC",A1:CV300,152,FALSE) - (HLOOKUP("PK Gs",A1:CV300,152,FALSE) + HLOOKUP("PK Miss",A1:CV300,152,FALSE))</f>
        <v>0</v>
      </c>
      <c r="AM152" s="17121">
        <f>HLOOKUP("BC Miss",A1:CV300,152,FALSE) - HLOOKUP("PK Miss",A1:CV300,152,FALSE)</f>
        <v>0</v>
      </c>
      <c r="AN152" s="17122">
        <f>IF(HLOOKUP("BC - Open",A1:CV300,152,FALSE)=0,0,HLOOKUP("BC - Open Miss",A1:CV300,152,FALSE)/HLOOKUP("BC - Open",A1:CV300,152,FALSE))</f>
        <v>0</v>
      </c>
      <c r="AO152" s="17123">
        <v>0</v>
      </c>
      <c r="AP152" s="17124">
        <f>IF(HLOOKUP("Gs",A1:CV300,152,FALSE)=0,0,HLOOKUP("GIB",A1:CV300,152,FALSE)/HLOOKUP("Gs",A1:CV300,152,FALSE))</f>
        <v>0</v>
      </c>
      <c r="AQ152" s="17125">
        <v>0</v>
      </c>
      <c r="AR152" s="17126">
        <f>IF(HLOOKUP("Gs",A1:CV300,152,FALSE)=0,0,HLOOKUP("Gs - Open",A1:CV300,152,FALSE)/HLOOKUP("Gs",A1:CV300,152,FALSE))</f>
        <v>0</v>
      </c>
      <c r="AS152" s="17127">
        <v>0.18</v>
      </c>
      <c r="AT152" s="17128">
        <v>0.51</v>
      </c>
      <c r="AU152" s="17129">
        <f>IF(HLOOKUP("Mins",A1:CV300,152,FALSE)=0,0,HLOOKUP("Pts",A1:CV300,152,FALSE)/HLOOKUP("Mins",A1:CV300,152,FALSE)* 90)</f>
        <v>2.8455882352941178</v>
      </c>
      <c r="AV152" s="17130">
        <f>IF(HLOOKUP("Apps",A1:CV300,152,FALSE)=0,0,HLOOKUP("Pts",A1:CV300,152,FALSE)/HLOOKUP("Apps",A1:CV300,152,FALSE)* 1)</f>
        <v>2.5294117647058822</v>
      </c>
      <c r="AW152" s="17131">
        <f>IF(HLOOKUP("Mins",A1:CV300,152,FALSE)=0,0,HLOOKUP("Gs",A1:CV300,152,FALSE)/HLOOKUP("Mins",A1:CV300,152,FALSE)* 90)</f>
        <v>0</v>
      </c>
      <c r="AX152" s="17132">
        <f>IF(HLOOKUP("Mins",A1:CV300,152,FALSE)=0,0,HLOOKUP("Bonus",A1:CV300,152,FALSE)/HLOOKUP("Mins",A1:CV300,152,FALSE)* 90)</f>
        <v>0.13235294117647059</v>
      </c>
      <c r="AY152" s="17133">
        <f>IF(HLOOKUP("Mins",A1:CV300,152,FALSE)=0,0,HLOOKUP("BPS",A1:CV300,152,FALSE)/HLOOKUP("Mins",A1:CV300,152,FALSE)* 90)</f>
        <v>15.882352941176471</v>
      </c>
      <c r="AZ152" s="17134">
        <f>IF(HLOOKUP("Mins",A1:CV300,152,FALSE)=0,0,HLOOKUP("Base BPS",A1:CV300,152,FALSE)/HLOOKUP("Mins",A1:CV300,152,FALSE)* 90)</f>
        <v>11.51470588235294</v>
      </c>
      <c r="BA152" s="17135">
        <f>IF(HLOOKUP("Mins",A1:CV300,152,FALSE)=0,0,HLOOKUP("PenTchs",A1:CV300,152,FALSE)/HLOOKUP("Mins",A1:CV300,152,FALSE)* 90)</f>
        <v>0.26470588235294118</v>
      </c>
      <c r="BB152" s="17136">
        <f>IF(HLOOKUP("Mins",A1:CV300,152,FALSE)=0,0,HLOOKUP("Shots",A1:CV300,152,FALSE)/HLOOKUP("Mins",A1:CV300,152,FALSE)* 90)</f>
        <v>0.33088235294117646</v>
      </c>
      <c r="BC152" s="17137">
        <f>IF(HLOOKUP("Mins",A1:CV300,152,FALSE)=0,0,HLOOKUP("SIB",A1:CV300,152,FALSE)/HLOOKUP("Mins",A1:CV300,152,FALSE)* 90)</f>
        <v>6.6176470588235295E-2</v>
      </c>
      <c r="BD152" s="17138">
        <f>IF(HLOOKUP("Mins",A1:CV300,152,FALSE)=0,0,HLOOKUP("S6YD",A1:CV300,152,FALSE)/HLOOKUP("Mins",A1:CV300,152,FALSE)* 90)</f>
        <v>0</v>
      </c>
      <c r="BE152" s="17139">
        <f>IF(HLOOKUP("Mins",A1:CV300,152,FALSE)=0,0,HLOOKUP("Headers",A1:CV300,152,FALSE)/HLOOKUP("Mins",A1:CV300,152,FALSE)* 90)</f>
        <v>6.6176470588235295E-2</v>
      </c>
      <c r="BF152" s="17140">
        <f>IF(HLOOKUP("Mins",A1:CV300,152,FALSE)=0,0,HLOOKUP("SOT",A1:CV300,152,FALSE)/HLOOKUP("Mins",A1:CV300,152,FALSE)* 90)</f>
        <v>0.13235294117647059</v>
      </c>
      <c r="BG152" s="17141">
        <f>IF(HLOOKUP("Mins",A1:CV300,152,FALSE)=0,0,HLOOKUP("As",A1:CV300,152,FALSE)/HLOOKUP("Mins",A1:CV300,152,FALSE)* 90)</f>
        <v>0.13235294117647059</v>
      </c>
      <c r="BH152" s="17142">
        <f>IF(HLOOKUP("Mins",A1:CV300,152,FALSE)=0,0,HLOOKUP("FPL As",A1:CV300,152,FALSE)/HLOOKUP("Mins",A1:CV300,152,FALSE)* 90)</f>
        <v>0.13235294117647059</v>
      </c>
      <c r="BI152" s="17143">
        <f>IF(HLOOKUP("Mins",A1:CV300,152,FALSE)=0,0,HLOOKUP("BC Created",A1:CV300,152,FALSE)/HLOOKUP("Mins",A1:CV300,152,FALSE)* 90)</f>
        <v>6.6176470588235295E-2</v>
      </c>
      <c r="BJ152" s="17144">
        <f>IF(HLOOKUP("Mins",A1:CV300,152,FALSE)=0,0,HLOOKUP("KP",A1:CV300,152,FALSE)/HLOOKUP("Mins",A1:CV300,152,FALSE)* 90)</f>
        <v>0.52941176470588236</v>
      </c>
      <c r="BK152" s="17145">
        <f>IF(HLOOKUP("Mins",A1:CV300,152,FALSE)=0,0,HLOOKUP("BC",A1:CV300,152,FALSE)/HLOOKUP("Mins",A1:CV300,152,FALSE)* 90)</f>
        <v>0</v>
      </c>
      <c r="BL152" s="17146">
        <f>IF(HLOOKUP("Mins",A1:CV300,152,FALSE)=0,0,HLOOKUP("BC Miss",A1:CV300,152,FALSE)/HLOOKUP("Mins",A1:CV300,152,FALSE)* 90)</f>
        <v>0</v>
      </c>
      <c r="BM152" s="17147">
        <f>IF(HLOOKUP("Mins",A1:CV300,152,FALSE)=0,0,HLOOKUP("Gs - BC",A1:CV300,152,FALSE)/HLOOKUP("Mins",A1:CV300,152,FALSE)* 90)</f>
        <v>0</v>
      </c>
      <c r="BN152" s="17148">
        <f>IF(HLOOKUP("Mins",A1:CV300,152,FALSE)=0,0,HLOOKUP("GIB",A1:CV300,152,FALSE)/HLOOKUP("Mins",A1:CV300,152,FALSE)* 90)</f>
        <v>0</v>
      </c>
      <c r="BO152" s="17149">
        <f>IF(HLOOKUP("Mins",A1:CV300,152,FALSE)=0,0,HLOOKUP("Gs - Open",A1:CV300,152,FALSE)/HLOOKUP("Mins",A1:CV300,152,FALSE)* 90)</f>
        <v>0</v>
      </c>
      <c r="BP152" s="17150">
        <f>IF(HLOOKUP("Mins",A1:CV300,152,FALSE)=0,0,HLOOKUP("ICT Index",A1:CV300,152,FALSE)/HLOOKUP("Mins",A1:CV300,152,FALSE)* 90)</f>
        <v>3.375</v>
      </c>
      <c r="BQ152" s="17151">
        <f>IF(HLOOKUP("Mins",A1:CV300,152,FALSE)=0,0,(0.02*(HLOOKUP("Shots",A1:CV300,152,FALSE)-HLOOKUP("SIB",A1:CV300,152,FALSE))+0.093*(HLOOKUP("SIB",A1:CV300,152,FALSE)-(HLOOKUP("PK Gs",A1:CV300,152,FALSE)+HLOOKUP("PK Miss",A1:CV300,152,FALSE)))+0.75*(HLOOKUP("PK Gs",A1:CV300,152,FALSE)+HLOOKUP("PK Miss",A1:CV300,152,FALSE)))/HLOOKUP("Mins",A1:CV300,152,FALSE)*90)</f>
        <v>1.1448529411764705E-2</v>
      </c>
      <c r="BR152" s="17152">
        <f>0.0825*HLOOKUP("KP/90",A1:CV300,152,FALSE)</f>
        <v>4.3676470588235296E-2</v>
      </c>
      <c r="BS152" s="17153">
        <f>6*HLOOKUP("xG/90",A1:CV300,152,FALSE)+3*HLOOKUP("xA/90",A1:CV300,152,FALSE)</f>
        <v>0.19972058823529412</v>
      </c>
      <c r="BT152" s="17154">
        <f>HLOOKUP("xPts/90",A1:CV300,152,FALSE)-(6*0.75*(HLOOKUP("PK Gs",A1:CV300,152,FALSE)+HLOOKUP("PK Miss",A1:CV300,152,FALSE))*90/HLOOKUP("Mins",A1:CV300,152,FALSE))</f>
        <v>0.19972058823529412</v>
      </c>
      <c r="BU152" s="17155">
        <f>IF(HLOOKUP("Mins",A1:CV300,152,FALSE)=0,0,HLOOKUP("fsXG",A1:CV300,152,FALSE)/HLOOKUP("Mins",A1:CV300,152,FALSE)* 90)</f>
        <v>1.1911764705882353E-2</v>
      </c>
      <c r="BV152" s="17156">
        <f>IF(HLOOKUP("Mins",A1:CV300,152,FALSE)=0,0,HLOOKUP("fsXA",A1:CV300,152,FALSE)/HLOOKUP("Mins",A1:CV300,152,FALSE)* 90)</f>
        <v>3.3750000000000002E-2</v>
      </c>
      <c r="BW152" s="17157">
        <f>6*HLOOKUP("fsXG/90",A1:CV300,152,FALSE)+3*HLOOKUP("fsXA/90",A1:CV300,152,FALSE)</f>
        <v>0.17272058823529413</v>
      </c>
      <c r="BX152" s="17158">
        <v>1.4441695995628834E-2</v>
      </c>
      <c r="BY152" s="17159">
        <v>6.768064945936203E-2</v>
      </c>
      <c r="BZ152" s="17160">
        <f>6*HLOOKUP("uXG/90",A1:CV300,152,FALSE)+3*HLOOKUP("uXA/90",A1:CV300,152,FALSE)</f>
        <v>0.28969212435185909</v>
      </c>
    </row>
    <row r="153" spans="1:78" hidden="1" x14ac:dyDescent="0.3">
      <c r="A153" s="17161" t="s">
        <v>316</v>
      </c>
      <c r="B153" s="17162" t="s">
        <v>151</v>
      </c>
      <c r="C153" s="17163">
        <v>4.4000000953674316</v>
      </c>
      <c r="D153" s="17164">
        <v>187</v>
      </c>
      <c r="E153" s="17165">
        <v>5</v>
      </c>
      <c r="F153" s="17166">
        <v>7</v>
      </c>
      <c r="G153" s="17167">
        <v>0</v>
      </c>
      <c r="H153" s="17168">
        <v>0</v>
      </c>
      <c r="I153" s="17169">
        <v>30</v>
      </c>
      <c r="J153" s="17170">
        <f>HLOOKUP("BPS",A1:CV300,153,FALSE)-((-6*HLOOKUP("OG",A1:CV300,153,FALSE))+(-6*HLOOKUP("PK Miss",A1:CV300,153,FALSE))+(9*HLOOKUP("FPL As",A1:CV300,153,FALSE))+(12*HLOOKUP("CS",A1:CV300,153,FALSE))+(12*HLOOKUP("Gs",A1:CV300,153,FALSE)))</f>
        <v>30</v>
      </c>
      <c r="K153" s="17171">
        <v>0</v>
      </c>
      <c r="L153" s="17172">
        <v>0</v>
      </c>
      <c r="M153" s="17173">
        <v>0</v>
      </c>
      <c r="N153" s="17174">
        <v>0</v>
      </c>
      <c r="O153" s="17175">
        <v>0</v>
      </c>
      <c r="P153" s="17176">
        <f>IF(HLOOKUP("Shots",A1:CV300,153,FALSE)=0,0,HLOOKUP("SIB",A1:CV300,153,FALSE)/HLOOKUP("Shots",A1:CV300,153,FALSE))</f>
        <v>0</v>
      </c>
      <c r="Q153" s="17177">
        <v>0</v>
      </c>
      <c r="R153" s="17178">
        <f>IF(HLOOKUP("Shots",A1:CV300,153,FALSE)=0,0,HLOOKUP("S6YD",A1:CV300,153,FALSE)/HLOOKUP("Shots",A1:CV300,153,FALSE))</f>
        <v>0</v>
      </c>
      <c r="S153" s="17179">
        <v>0</v>
      </c>
      <c r="T153" s="17180">
        <f>IF(HLOOKUP("Shots",A1:CV300,153,FALSE)=0,0,HLOOKUP("Headers",A1:CV300,153,FALSE)/HLOOKUP("Shots",A1:CV300,153,FALSE))</f>
        <v>0</v>
      </c>
      <c r="U153" s="17181">
        <v>0</v>
      </c>
      <c r="V153" s="17182">
        <f>IF(HLOOKUP("Shots",A1:CV300,153,FALSE)=0,0,HLOOKUP("SOT",A1:CV300,153,FALSE)/HLOOKUP("Shots",A1:CV300,153,FALSE))</f>
        <v>0</v>
      </c>
      <c r="W153" s="17183">
        <f>IF(HLOOKUP("Shots",A1:CV300,153,FALSE)=0,0,HLOOKUP("Gs",A1:CV300,153,FALSE)/HLOOKUP("Shots",A1:CV300,153,FALSE))</f>
        <v>0</v>
      </c>
      <c r="X153" s="17184">
        <v>0</v>
      </c>
      <c r="Y153" s="17185">
        <v>0</v>
      </c>
      <c r="Z153" s="17186">
        <v>0</v>
      </c>
      <c r="AA153" s="17187">
        <f>IF(HLOOKUP("KP",A1:CV300,153,FALSE)=0,0,HLOOKUP("As",A1:CV300,153,FALSE)/HLOOKUP("KP",A1:CV300,153,FALSE))</f>
        <v>0</v>
      </c>
      <c r="AB153" s="17188">
        <v>2.4</v>
      </c>
      <c r="AC153" s="17189">
        <v>0</v>
      </c>
      <c r="AD153" s="17190">
        <v>0</v>
      </c>
      <c r="AE153" s="17191">
        <v>0</v>
      </c>
      <c r="AF153" s="17192">
        <v>0</v>
      </c>
      <c r="AG153" s="17193">
        <f>IF(HLOOKUP("BC",A1:CV300,153,FALSE)=0,0,HLOOKUP("Gs - BC",A1:CV300,153,FALSE)/HLOOKUP("BC",A1:CV300,153,FALSE))</f>
        <v>0</v>
      </c>
      <c r="AH153" s="17194">
        <f>HLOOKUP("BC",A1:CV300,153,FALSE) - HLOOKUP("BC Miss",A1:CV300,153,FALSE)</f>
        <v>0</v>
      </c>
      <c r="AI153" s="17195">
        <f>IF(HLOOKUP("Gs",A1:CV300,153,FALSE)=0,0,HLOOKUP("Gs - BC",A1:CV300,153,FALSE)/HLOOKUP("Gs",A1:CV300,153,FALSE))</f>
        <v>0</v>
      </c>
      <c r="AJ153" s="17196">
        <v>0</v>
      </c>
      <c r="AK153" s="17197">
        <v>0</v>
      </c>
      <c r="AL153" s="17198">
        <f>HLOOKUP("BC",A1:CV300,153,FALSE) - (HLOOKUP("PK Gs",A1:CV300,153,FALSE) + HLOOKUP("PK Miss",A1:CV300,153,FALSE))</f>
        <v>0</v>
      </c>
      <c r="AM153" s="17199">
        <f>HLOOKUP("BC Miss",A1:CV300,153,FALSE) - HLOOKUP("PK Miss",A1:CV300,153,FALSE)</f>
        <v>0</v>
      </c>
      <c r="AN153" s="17200">
        <f>IF(HLOOKUP("BC - Open",A1:CV300,153,FALSE)=0,0,HLOOKUP("BC - Open Miss",A1:CV300,153,FALSE)/HLOOKUP("BC - Open",A1:CV300,153,FALSE))</f>
        <v>0</v>
      </c>
      <c r="AO153" s="17201">
        <v>0</v>
      </c>
      <c r="AP153" s="17202">
        <f>IF(HLOOKUP("Gs",A1:CV300,153,FALSE)=0,0,HLOOKUP("GIB",A1:CV300,153,FALSE)/HLOOKUP("Gs",A1:CV300,153,FALSE))</f>
        <v>0</v>
      </c>
      <c r="AQ153" s="17203">
        <v>0</v>
      </c>
      <c r="AR153" s="17204">
        <f>IF(HLOOKUP("Gs",A1:CV300,153,FALSE)=0,0,HLOOKUP("Gs - Open",A1:CV300,153,FALSE)/HLOOKUP("Gs",A1:CV300,153,FALSE))</f>
        <v>0</v>
      </c>
      <c r="AS153" s="17205">
        <v>0</v>
      </c>
      <c r="AT153" s="17206">
        <v>0.02</v>
      </c>
      <c r="AU153" s="17207">
        <f>IF(HLOOKUP("Mins",A1:CV300,153,FALSE)=0,0,HLOOKUP("Pts",A1:CV300,153,FALSE)/HLOOKUP("Mins",A1:CV300,153,FALSE)* 90)</f>
        <v>3.368983957219251</v>
      </c>
      <c r="AV153" s="17208">
        <f>IF(HLOOKUP("Apps",A1:CV300,153,FALSE)=0,0,HLOOKUP("Pts",A1:CV300,153,FALSE)/HLOOKUP("Apps",A1:CV300,153,FALSE)* 1)</f>
        <v>1.4</v>
      </c>
      <c r="AW153" s="17209">
        <f>IF(HLOOKUP("Mins",A1:CV300,153,FALSE)=0,0,HLOOKUP("Gs",A1:CV300,153,FALSE)/HLOOKUP("Mins",A1:CV300,153,FALSE)* 90)</f>
        <v>0</v>
      </c>
      <c r="AX153" s="17210">
        <f>IF(HLOOKUP("Mins",A1:CV300,153,FALSE)=0,0,HLOOKUP("Bonus",A1:CV300,153,FALSE)/HLOOKUP("Mins",A1:CV300,153,FALSE)* 90)</f>
        <v>0</v>
      </c>
      <c r="AY153" s="17211">
        <f>IF(HLOOKUP("Mins",A1:CV300,153,FALSE)=0,0,HLOOKUP("BPS",A1:CV300,153,FALSE)/HLOOKUP("Mins",A1:CV300,153,FALSE)* 90)</f>
        <v>14.438502673796792</v>
      </c>
      <c r="AZ153" s="17212">
        <f>IF(HLOOKUP("Mins",A1:CV300,153,FALSE)=0,0,HLOOKUP("Base BPS",A1:CV300,153,FALSE)/HLOOKUP("Mins",A1:CV300,153,FALSE)* 90)</f>
        <v>14.438502673796792</v>
      </c>
      <c r="BA153" s="17213">
        <f>IF(HLOOKUP("Mins",A1:CV300,153,FALSE)=0,0,HLOOKUP("PenTchs",A1:CV300,153,FALSE)/HLOOKUP("Mins",A1:CV300,153,FALSE)* 90)</f>
        <v>0</v>
      </c>
      <c r="BB153" s="17214">
        <f>IF(HLOOKUP("Mins",A1:CV300,153,FALSE)=0,0,HLOOKUP("Shots",A1:CV300,153,FALSE)/HLOOKUP("Mins",A1:CV300,153,FALSE)* 90)</f>
        <v>0</v>
      </c>
      <c r="BC153" s="17215">
        <f>IF(HLOOKUP("Mins",A1:CV300,153,FALSE)=0,0,HLOOKUP("SIB",A1:CV300,153,FALSE)/HLOOKUP("Mins",A1:CV300,153,FALSE)* 90)</f>
        <v>0</v>
      </c>
      <c r="BD153" s="17216">
        <f>IF(HLOOKUP("Mins",A1:CV300,153,FALSE)=0,0,HLOOKUP("S6YD",A1:CV300,153,FALSE)/HLOOKUP("Mins",A1:CV300,153,FALSE)* 90)</f>
        <v>0</v>
      </c>
      <c r="BE153" s="17217">
        <f>IF(HLOOKUP("Mins",A1:CV300,153,FALSE)=0,0,HLOOKUP("Headers",A1:CV300,153,FALSE)/HLOOKUP("Mins",A1:CV300,153,FALSE)* 90)</f>
        <v>0</v>
      </c>
      <c r="BF153" s="17218">
        <f>IF(HLOOKUP("Mins",A1:CV300,153,FALSE)=0,0,HLOOKUP("SOT",A1:CV300,153,FALSE)/HLOOKUP("Mins",A1:CV300,153,FALSE)* 90)</f>
        <v>0</v>
      </c>
      <c r="BG153" s="17219">
        <f>IF(HLOOKUP("Mins",A1:CV300,153,FALSE)=0,0,HLOOKUP("As",A1:CV300,153,FALSE)/HLOOKUP("Mins",A1:CV300,153,FALSE)* 90)</f>
        <v>0</v>
      </c>
      <c r="BH153" s="17220">
        <f>IF(HLOOKUP("Mins",A1:CV300,153,FALSE)=0,0,HLOOKUP("FPL As",A1:CV300,153,FALSE)/HLOOKUP("Mins",A1:CV300,153,FALSE)* 90)</f>
        <v>0</v>
      </c>
      <c r="BI153" s="17221">
        <f>IF(HLOOKUP("Mins",A1:CV300,153,FALSE)=0,0,HLOOKUP("BC Created",A1:CV300,153,FALSE)/HLOOKUP("Mins",A1:CV300,153,FALSE)* 90)</f>
        <v>0</v>
      </c>
      <c r="BJ153" s="17222">
        <f>IF(HLOOKUP("Mins",A1:CV300,153,FALSE)=0,0,HLOOKUP("KP",A1:CV300,153,FALSE)/HLOOKUP("Mins",A1:CV300,153,FALSE)* 90)</f>
        <v>0</v>
      </c>
      <c r="BK153" s="17223">
        <f>IF(HLOOKUP("Mins",A1:CV300,153,FALSE)=0,0,HLOOKUP("BC",A1:CV300,153,FALSE)/HLOOKUP("Mins",A1:CV300,153,FALSE)* 90)</f>
        <v>0</v>
      </c>
      <c r="BL153" s="17224">
        <f>IF(HLOOKUP("Mins",A1:CV300,153,FALSE)=0,0,HLOOKUP("BC Miss",A1:CV300,153,FALSE)/HLOOKUP("Mins",A1:CV300,153,FALSE)* 90)</f>
        <v>0</v>
      </c>
      <c r="BM153" s="17225">
        <f>IF(HLOOKUP("Mins",A1:CV300,153,FALSE)=0,0,HLOOKUP("Gs - BC",A1:CV300,153,FALSE)/HLOOKUP("Mins",A1:CV300,153,FALSE)* 90)</f>
        <v>0</v>
      </c>
      <c r="BN153" s="17226">
        <f>IF(HLOOKUP("Mins",A1:CV300,153,FALSE)=0,0,HLOOKUP("GIB",A1:CV300,153,FALSE)/HLOOKUP("Mins",A1:CV300,153,FALSE)* 90)</f>
        <v>0</v>
      </c>
      <c r="BO153" s="17227">
        <f>IF(HLOOKUP("Mins",A1:CV300,153,FALSE)=0,0,HLOOKUP("Gs - Open",A1:CV300,153,FALSE)/HLOOKUP("Mins",A1:CV300,153,FALSE)* 90)</f>
        <v>0</v>
      </c>
      <c r="BP153" s="17228">
        <f>IF(HLOOKUP("Mins",A1:CV300,153,FALSE)=0,0,HLOOKUP("ICT Index",A1:CV300,153,FALSE)/HLOOKUP("Mins",A1:CV300,153,FALSE)* 90)</f>
        <v>1.1550802139037433</v>
      </c>
      <c r="BQ153" s="17229">
        <f>IF(HLOOKUP("Mins",A1:CV300,153,FALSE)=0,0,(0.02*(HLOOKUP("Shots",A1:CV300,153,FALSE)-HLOOKUP("SIB",A1:CV300,153,FALSE))+0.093*(HLOOKUP("SIB",A1:CV300,153,FALSE)-(HLOOKUP("PK Gs",A1:CV300,153,FALSE)+HLOOKUP("PK Miss",A1:CV300,153,FALSE)))+0.75*(HLOOKUP("PK Gs",A1:CV300,153,FALSE)+HLOOKUP("PK Miss",A1:CV300,153,FALSE)))/HLOOKUP("Mins",A1:CV300,153,FALSE)*90)</f>
        <v>0</v>
      </c>
      <c r="BR153" s="17230">
        <f>0.0825*HLOOKUP("KP/90",A1:CV300,153,FALSE)</f>
        <v>0</v>
      </c>
      <c r="BS153" s="17231">
        <f>6*HLOOKUP("xG/90",A1:CV300,153,FALSE)+3*HLOOKUP("xA/90",A1:CV300,153,FALSE)</f>
        <v>0</v>
      </c>
      <c r="BT153" s="17232">
        <f>HLOOKUP("xPts/90",A1:CV300,153,FALSE)-(6*0.75*(HLOOKUP("PK Gs",A1:CV300,153,FALSE)+HLOOKUP("PK Miss",A1:CV300,153,FALSE))*90/HLOOKUP("Mins",A1:CV300,153,FALSE))</f>
        <v>0</v>
      </c>
      <c r="BU153" s="17233">
        <f>IF(HLOOKUP("Mins",A1:CV300,153,FALSE)=0,0,HLOOKUP("fsXG",A1:CV300,153,FALSE)/HLOOKUP("Mins",A1:CV300,153,FALSE)* 90)</f>
        <v>0</v>
      </c>
      <c r="BV153" s="17234">
        <f>IF(HLOOKUP("Mins",A1:CV300,153,FALSE)=0,0,HLOOKUP("fsXA",A1:CV300,153,FALSE)/HLOOKUP("Mins",A1:CV300,153,FALSE)* 90)</f>
        <v>9.6256684491978616E-3</v>
      </c>
      <c r="BW153" s="17235">
        <f>6*HLOOKUP("fsXG/90",A1:CV300,153,FALSE)+3*HLOOKUP("fsXA/90",A1:CV300,153,FALSE)</f>
        <v>2.8877005347593583E-2</v>
      </c>
      <c r="BX153" s="17236">
        <v>0</v>
      </c>
      <c r="BY153" s="17237">
        <v>0</v>
      </c>
      <c r="BZ153" s="17238">
        <f>6*HLOOKUP("uXG/90",A1:CV300,153,FALSE)+3*HLOOKUP("uXA/90",A1:CV300,153,FALSE)</f>
        <v>0</v>
      </c>
    </row>
    <row r="154" spans="1:78" hidden="1" x14ac:dyDescent="0.3">
      <c r="A154" s="17239" t="s">
        <v>317</v>
      </c>
      <c r="B154" s="17240" t="s">
        <v>115</v>
      </c>
      <c r="C154" s="17241">
        <v>3.9000000953674316</v>
      </c>
      <c r="D154" s="17242">
        <v>57</v>
      </c>
      <c r="E154" s="17243">
        <v>1</v>
      </c>
      <c r="F154" s="17244">
        <v>1</v>
      </c>
      <c r="G154" s="17245">
        <v>0</v>
      </c>
      <c r="H154" s="17246">
        <v>0</v>
      </c>
      <c r="I154" s="17247">
        <v>3</v>
      </c>
      <c r="J154" s="17248">
        <f>HLOOKUP("BPS",A1:CV300,154,FALSE)-((-6*HLOOKUP("OG",A1:CV300,154,FALSE))+(-6*HLOOKUP("PK Miss",A1:CV300,154,FALSE))+(9*HLOOKUP("FPL As",A1:CV300,154,FALSE))+(12*HLOOKUP("CS",A1:CV300,154,FALSE))+(12*HLOOKUP("Gs",A1:CV300,154,FALSE)))</f>
        <v>3</v>
      </c>
      <c r="K154" s="17249">
        <v>0</v>
      </c>
      <c r="L154" s="17250">
        <v>0</v>
      </c>
      <c r="M154" s="17251">
        <v>2</v>
      </c>
      <c r="N154" s="17252">
        <v>2</v>
      </c>
      <c r="O154" s="17253">
        <v>2</v>
      </c>
      <c r="P154" s="17254">
        <f>IF(HLOOKUP("Shots",A1:CV300,154,FALSE)=0,0,HLOOKUP("SIB",A1:CV300,154,FALSE)/HLOOKUP("Shots",A1:CV300,154,FALSE))</f>
        <v>1</v>
      </c>
      <c r="Q154" s="17255">
        <v>0</v>
      </c>
      <c r="R154" s="17256">
        <f>IF(HLOOKUP("Shots",A1:CV300,154,FALSE)=0,0,HLOOKUP("S6YD",A1:CV300,154,FALSE)/HLOOKUP("Shots",A1:CV300,154,FALSE))</f>
        <v>0</v>
      </c>
      <c r="S154" s="17257">
        <v>2</v>
      </c>
      <c r="T154" s="17258">
        <f>IF(HLOOKUP("Shots",A1:CV300,154,FALSE)=0,0,HLOOKUP("Headers",A1:CV300,154,FALSE)/HLOOKUP("Shots",A1:CV300,154,FALSE))</f>
        <v>1</v>
      </c>
      <c r="U154" s="17259">
        <v>0</v>
      </c>
      <c r="V154" s="17260">
        <f>IF(HLOOKUP("Shots",A1:CV300,154,FALSE)=0,0,HLOOKUP("SOT",A1:CV300,154,FALSE)/HLOOKUP("Shots",A1:CV300,154,FALSE))</f>
        <v>0</v>
      </c>
      <c r="W154" s="17261">
        <f>IF(HLOOKUP("Shots",A1:CV300,154,FALSE)=0,0,HLOOKUP("Gs",A1:CV300,154,FALSE)/HLOOKUP("Shots",A1:CV300,154,FALSE))</f>
        <v>0</v>
      </c>
      <c r="X154" s="17262">
        <v>0</v>
      </c>
      <c r="Y154" s="17263">
        <v>0</v>
      </c>
      <c r="Z154" s="17264">
        <v>0</v>
      </c>
      <c r="AA154" s="17265">
        <f>IF(HLOOKUP("KP",A1:CV300,154,FALSE)=0,0,HLOOKUP("As",A1:CV300,154,FALSE)/HLOOKUP("KP",A1:CV300,154,FALSE))</f>
        <v>0</v>
      </c>
      <c r="AB154" s="17266">
        <v>1</v>
      </c>
      <c r="AC154" s="17267">
        <v>0</v>
      </c>
      <c r="AD154" s="17268">
        <v>0</v>
      </c>
      <c r="AE154" s="17269">
        <v>0</v>
      </c>
      <c r="AF154" s="17270">
        <v>0</v>
      </c>
      <c r="AG154" s="17271">
        <f>IF(HLOOKUP("BC",A1:CV300,154,FALSE)=0,0,HLOOKUP("Gs - BC",A1:CV300,154,FALSE)/HLOOKUP("BC",A1:CV300,154,FALSE))</f>
        <v>0</v>
      </c>
      <c r="AH154" s="17272">
        <f>HLOOKUP("BC",A1:CV300,154,FALSE) - HLOOKUP("BC Miss",A1:CV300,154,FALSE)</f>
        <v>0</v>
      </c>
      <c r="AI154" s="17273">
        <f>IF(HLOOKUP("Gs",A1:CV300,154,FALSE)=0,0,HLOOKUP("Gs - BC",A1:CV300,154,FALSE)/HLOOKUP("Gs",A1:CV300,154,FALSE))</f>
        <v>0</v>
      </c>
      <c r="AJ154" s="17274">
        <v>0</v>
      </c>
      <c r="AK154" s="17275">
        <v>0</v>
      </c>
      <c r="AL154" s="17276">
        <f>HLOOKUP("BC",A1:CV300,154,FALSE) - (HLOOKUP("PK Gs",A1:CV300,154,FALSE) + HLOOKUP("PK Miss",A1:CV300,154,FALSE))</f>
        <v>0</v>
      </c>
      <c r="AM154" s="17277">
        <f>HLOOKUP("BC Miss",A1:CV300,154,FALSE) - HLOOKUP("PK Miss",A1:CV300,154,FALSE)</f>
        <v>0</v>
      </c>
      <c r="AN154" s="17278">
        <f>IF(HLOOKUP("BC - Open",A1:CV300,154,FALSE)=0,0,HLOOKUP("BC - Open Miss",A1:CV300,154,FALSE)/HLOOKUP("BC - Open",A1:CV300,154,FALSE))</f>
        <v>0</v>
      </c>
      <c r="AO154" s="17279">
        <v>0</v>
      </c>
      <c r="AP154" s="17280">
        <f>IF(HLOOKUP("Gs",A1:CV300,154,FALSE)=0,0,HLOOKUP("GIB",A1:CV300,154,FALSE)/HLOOKUP("Gs",A1:CV300,154,FALSE))</f>
        <v>0</v>
      </c>
      <c r="AQ154" s="17281">
        <v>0</v>
      </c>
      <c r="AR154" s="17282">
        <f>IF(HLOOKUP("Gs",A1:CV300,154,FALSE)=0,0,HLOOKUP("Gs - Open",A1:CV300,154,FALSE)/HLOOKUP("Gs",A1:CV300,154,FALSE))</f>
        <v>0</v>
      </c>
      <c r="AS154" s="17283">
        <v>0.1</v>
      </c>
      <c r="AT154" s="17284">
        <v>0</v>
      </c>
      <c r="AU154" s="17285">
        <f>IF(HLOOKUP("Mins",A1:CV300,154,FALSE)=0,0,HLOOKUP("Pts",A1:CV300,154,FALSE)/HLOOKUP("Mins",A1:CV300,154,FALSE)* 90)</f>
        <v>1.5789473684210527</v>
      </c>
      <c r="AV154" s="17286">
        <f>IF(HLOOKUP("Apps",A1:CV300,154,FALSE)=0,0,HLOOKUP("Pts",A1:CV300,154,FALSE)/HLOOKUP("Apps",A1:CV300,154,FALSE)* 1)</f>
        <v>1</v>
      </c>
      <c r="AW154" s="17287">
        <f>IF(HLOOKUP("Mins",A1:CV300,154,FALSE)=0,0,HLOOKUP("Gs",A1:CV300,154,FALSE)/HLOOKUP("Mins",A1:CV300,154,FALSE)* 90)</f>
        <v>0</v>
      </c>
      <c r="AX154" s="17288">
        <f>IF(HLOOKUP("Mins",A1:CV300,154,FALSE)=0,0,HLOOKUP("Bonus",A1:CV300,154,FALSE)/HLOOKUP("Mins",A1:CV300,154,FALSE)* 90)</f>
        <v>0</v>
      </c>
      <c r="AY154" s="17289">
        <f>IF(HLOOKUP("Mins",A1:CV300,154,FALSE)=0,0,HLOOKUP("BPS",A1:CV300,154,FALSE)/HLOOKUP("Mins",A1:CV300,154,FALSE)* 90)</f>
        <v>4.7368421052631575</v>
      </c>
      <c r="AZ154" s="17290">
        <f>IF(HLOOKUP("Mins",A1:CV300,154,FALSE)=0,0,HLOOKUP("Base BPS",A1:CV300,154,FALSE)/HLOOKUP("Mins",A1:CV300,154,FALSE)* 90)</f>
        <v>4.7368421052631575</v>
      </c>
      <c r="BA154" s="17291">
        <f>IF(HLOOKUP("Mins",A1:CV300,154,FALSE)=0,0,HLOOKUP("PenTchs",A1:CV300,154,FALSE)/HLOOKUP("Mins",A1:CV300,154,FALSE)* 90)</f>
        <v>3.1578947368421053</v>
      </c>
      <c r="BB154" s="17292">
        <f>IF(HLOOKUP("Mins",A1:CV300,154,FALSE)=0,0,HLOOKUP("Shots",A1:CV300,154,FALSE)/HLOOKUP("Mins",A1:CV300,154,FALSE)* 90)</f>
        <v>3.1578947368421053</v>
      </c>
      <c r="BC154" s="17293">
        <f>IF(HLOOKUP("Mins",A1:CV300,154,FALSE)=0,0,HLOOKUP("SIB",A1:CV300,154,FALSE)/HLOOKUP("Mins",A1:CV300,154,FALSE)* 90)</f>
        <v>3.1578947368421053</v>
      </c>
      <c r="BD154" s="17294">
        <f>IF(HLOOKUP("Mins",A1:CV300,154,FALSE)=0,0,HLOOKUP("S6YD",A1:CV300,154,FALSE)/HLOOKUP("Mins",A1:CV300,154,FALSE)* 90)</f>
        <v>0</v>
      </c>
      <c r="BE154" s="17295">
        <f>IF(HLOOKUP("Mins",A1:CV300,154,FALSE)=0,0,HLOOKUP("Headers",A1:CV300,154,FALSE)/HLOOKUP("Mins",A1:CV300,154,FALSE)* 90)</f>
        <v>3.1578947368421053</v>
      </c>
      <c r="BF154" s="17296">
        <f>IF(HLOOKUP("Mins",A1:CV300,154,FALSE)=0,0,HLOOKUP("SOT",A1:CV300,154,FALSE)/HLOOKUP("Mins",A1:CV300,154,FALSE)* 90)</f>
        <v>0</v>
      </c>
      <c r="BG154" s="17297">
        <f>IF(HLOOKUP("Mins",A1:CV300,154,FALSE)=0,0,HLOOKUP("As",A1:CV300,154,FALSE)/HLOOKUP("Mins",A1:CV300,154,FALSE)* 90)</f>
        <v>0</v>
      </c>
      <c r="BH154" s="17298">
        <f>IF(HLOOKUP("Mins",A1:CV300,154,FALSE)=0,0,HLOOKUP("FPL As",A1:CV300,154,FALSE)/HLOOKUP("Mins",A1:CV300,154,FALSE)* 90)</f>
        <v>0</v>
      </c>
      <c r="BI154" s="17299">
        <f>IF(HLOOKUP("Mins",A1:CV300,154,FALSE)=0,0,HLOOKUP("BC Created",A1:CV300,154,FALSE)/HLOOKUP("Mins",A1:CV300,154,FALSE)* 90)</f>
        <v>0</v>
      </c>
      <c r="BJ154" s="17300">
        <f>IF(HLOOKUP("Mins",A1:CV300,154,FALSE)=0,0,HLOOKUP("KP",A1:CV300,154,FALSE)/HLOOKUP("Mins",A1:CV300,154,FALSE)* 90)</f>
        <v>0</v>
      </c>
      <c r="BK154" s="17301">
        <f>IF(HLOOKUP("Mins",A1:CV300,154,FALSE)=0,0,HLOOKUP("BC",A1:CV300,154,FALSE)/HLOOKUP("Mins",A1:CV300,154,FALSE)* 90)</f>
        <v>0</v>
      </c>
      <c r="BL154" s="17302">
        <f>IF(HLOOKUP("Mins",A1:CV300,154,FALSE)=0,0,HLOOKUP("BC Miss",A1:CV300,154,FALSE)/HLOOKUP("Mins",A1:CV300,154,FALSE)* 90)</f>
        <v>0</v>
      </c>
      <c r="BM154" s="17303">
        <f>IF(HLOOKUP("Mins",A1:CV300,154,FALSE)=0,0,HLOOKUP("Gs - BC",A1:CV300,154,FALSE)/HLOOKUP("Mins",A1:CV300,154,FALSE)* 90)</f>
        <v>0</v>
      </c>
      <c r="BN154" s="17304">
        <f>IF(HLOOKUP("Mins",A1:CV300,154,FALSE)=0,0,HLOOKUP("GIB",A1:CV300,154,FALSE)/HLOOKUP("Mins",A1:CV300,154,FALSE)* 90)</f>
        <v>0</v>
      </c>
      <c r="BO154" s="17305">
        <f>IF(HLOOKUP("Mins",A1:CV300,154,FALSE)=0,0,HLOOKUP("Gs - Open",A1:CV300,154,FALSE)/HLOOKUP("Mins",A1:CV300,154,FALSE)* 90)</f>
        <v>0</v>
      </c>
      <c r="BP154" s="17306">
        <f>IF(HLOOKUP("Mins",A1:CV300,154,FALSE)=0,0,HLOOKUP("ICT Index",A1:CV300,154,FALSE)/HLOOKUP("Mins",A1:CV300,154,FALSE)* 90)</f>
        <v>1.5789473684210527</v>
      </c>
      <c r="BQ154" s="17307">
        <f>IF(HLOOKUP("Mins",A1:CV300,154,FALSE)=0,0,(0.02*(HLOOKUP("Shots",A1:CV300,154,FALSE)-HLOOKUP("SIB",A1:CV300,154,FALSE))+0.093*(HLOOKUP("SIB",A1:CV300,154,FALSE)-(HLOOKUP("PK Gs",A1:CV300,154,FALSE)+HLOOKUP("PK Miss",A1:CV300,154,FALSE)))+0.75*(HLOOKUP("PK Gs",A1:CV300,154,FALSE)+HLOOKUP("PK Miss",A1:CV300,154,FALSE)))/HLOOKUP("Mins",A1:CV300,154,FALSE)*90)</f>
        <v>0.29368421052631577</v>
      </c>
      <c r="BR154" s="17308">
        <f>0.0825*HLOOKUP("KP/90",A1:CV300,154,FALSE)</f>
        <v>0</v>
      </c>
      <c r="BS154" s="17309">
        <f>6*HLOOKUP("xG/90",A1:CV300,154,FALSE)+3*HLOOKUP("xA/90",A1:CV300,154,FALSE)</f>
        <v>1.7621052631578946</v>
      </c>
      <c r="BT154" s="17310">
        <f>HLOOKUP("xPts/90",A1:CV300,154,FALSE)-(6*0.75*(HLOOKUP("PK Gs",A1:CV300,154,FALSE)+HLOOKUP("PK Miss",A1:CV300,154,FALSE))*90/HLOOKUP("Mins",A1:CV300,154,FALSE))</f>
        <v>1.7621052631578946</v>
      </c>
      <c r="BU154" s="17311">
        <f>IF(HLOOKUP("Mins",A1:CV300,154,FALSE)=0,0,HLOOKUP("fsXG",A1:CV300,154,FALSE)/HLOOKUP("Mins",A1:CV300,154,FALSE)* 90)</f>
        <v>0.15789473684210525</v>
      </c>
      <c r="BV154" s="17312">
        <f>IF(HLOOKUP("Mins",A1:CV300,154,FALSE)=0,0,HLOOKUP("fsXA",A1:CV300,154,FALSE)/HLOOKUP("Mins",A1:CV300,154,FALSE)* 90)</f>
        <v>0</v>
      </c>
      <c r="BW154" s="17313">
        <f>6*HLOOKUP("fsXG/90",A1:CV300,154,FALSE)+3*HLOOKUP("fsXA/90",A1:CV300,154,FALSE)</f>
        <v>0.94736842105263153</v>
      </c>
      <c r="BX154" s="17314">
        <v>9.1512143611907959E-2</v>
      </c>
      <c r="BY154" s="17315">
        <v>0</v>
      </c>
      <c r="BZ154" s="17316">
        <f>6*HLOOKUP("uXG/90",A1:CV300,154,FALSE)+3*HLOOKUP("uXA/90",A1:CV300,154,FALSE)</f>
        <v>0.54907286167144775</v>
      </c>
    </row>
    <row r="155" spans="1:78" hidden="1" x14ac:dyDescent="0.3">
      <c r="A155" s="17317" t="s">
        <v>318</v>
      </c>
      <c r="B155" s="17318" t="s">
        <v>151</v>
      </c>
      <c r="C155" s="17319">
        <v>4.8000001907348633</v>
      </c>
      <c r="D155" s="17320">
        <v>45</v>
      </c>
      <c r="E155" s="17321">
        <v>1</v>
      </c>
      <c r="F155" s="17322">
        <v>1</v>
      </c>
      <c r="G155" s="17323">
        <v>0</v>
      </c>
      <c r="H155" s="17324">
        <v>0</v>
      </c>
      <c r="I155" s="17325">
        <v>4</v>
      </c>
      <c r="J155" s="17326">
        <f>HLOOKUP("BPS",A1:CV300,155,FALSE)-((-6*HLOOKUP("OG",A1:CV300,155,FALSE))+(-6*HLOOKUP("PK Miss",A1:CV300,155,FALSE))+(9*HLOOKUP("FPL As",A1:CV300,155,FALSE))+(12*HLOOKUP("CS",A1:CV300,155,FALSE))+(12*HLOOKUP("Gs",A1:CV300,155,FALSE)))</f>
        <v>4</v>
      </c>
      <c r="K155" s="17327">
        <v>0</v>
      </c>
      <c r="L155" s="17328">
        <v>0</v>
      </c>
      <c r="M155" s="17329">
        <v>0</v>
      </c>
      <c r="N155" s="17330">
        <v>0</v>
      </c>
      <c r="O155" s="17331">
        <v>0</v>
      </c>
      <c r="P155" s="17332">
        <f>IF(HLOOKUP("Shots",A1:CV300,155,FALSE)=0,0,HLOOKUP("SIB",A1:CV300,155,FALSE)/HLOOKUP("Shots",A1:CV300,155,FALSE))</f>
        <v>0</v>
      </c>
      <c r="Q155" s="17333">
        <v>0</v>
      </c>
      <c r="R155" s="17334">
        <f>IF(HLOOKUP("Shots",A1:CV300,155,FALSE)=0,0,HLOOKUP("S6YD",A1:CV300,155,FALSE)/HLOOKUP("Shots",A1:CV300,155,FALSE))</f>
        <v>0</v>
      </c>
      <c r="S155" s="17335">
        <v>0</v>
      </c>
      <c r="T155" s="17336">
        <f>IF(HLOOKUP("Shots",A1:CV300,155,FALSE)=0,0,HLOOKUP("Headers",A1:CV300,155,FALSE)/HLOOKUP("Shots",A1:CV300,155,FALSE))</f>
        <v>0</v>
      </c>
      <c r="U155" s="17337">
        <v>0</v>
      </c>
      <c r="V155" s="17338">
        <f>IF(HLOOKUP("Shots",A1:CV300,155,FALSE)=0,0,HLOOKUP("SOT",A1:CV300,155,FALSE)/HLOOKUP("Shots",A1:CV300,155,FALSE))</f>
        <v>0</v>
      </c>
      <c r="W155" s="17339">
        <f>IF(HLOOKUP("Shots",A1:CV300,155,FALSE)=0,0,HLOOKUP("Gs",A1:CV300,155,FALSE)/HLOOKUP("Shots",A1:CV300,155,FALSE))</f>
        <v>0</v>
      </c>
      <c r="X155" s="17340">
        <v>0</v>
      </c>
      <c r="Y155" s="17341">
        <v>0</v>
      </c>
      <c r="Z155" s="17342">
        <v>0</v>
      </c>
      <c r="AA155" s="17343">
        <f>IF(HLOOKUP("KP",A1:CV300,155,FALSE)=0,0,HLOOKUP("As",A1:CV300,155,FALSE)/HLOOKUP("KP",A1:CV300,155,FALSE))</f>
        <v>0</v>
      </c>
      <c r="AB155" s="17344">
        <v>0.8</v>
      </c>
      <c r="AC155" s="17345">
        <v>0</v>
      </c>
      <c r="AD155" s="17346">
        <v>0</v>
      </c>
      <c r="AE155" s="17347">
        <v>0</v>
      </c>
      <c r="AF155" s="17348">
        <v>0</v>
      </c>
      <c r="AG155" s="17349">
        <f>IF(HLOOKUP("BC",A1:CV300,155,FALSE)=0,0,HLOOKUP("Gs - BC",A1:CV300,155,FALSE)/HLOOKUP("BC",A1:CV300,155,FALSE))</f>
        <v>0</v>
      </c>
      <c r="AH155" s="17350">
        <f>HLOOKUP("BC",A1:CV300,155,FALSE) - HLOOKUP("BC Miss",A1:CV300,155,FALSE)</f>
        <v>0</v>
      </c>
      <c r="AI155" s="17351">
        <f>IF(HLOOKUP("Gs",A1:CV300,155,FALSE)=0,0,HLOOKUP("Gs - BC",A1:CV300,155,FALSE)/HLOOKUP("Gs",A1:CV300,155,FALSE))</f>
        <v>0</v>
      </c>
      <c r="AJ155" s="17352">
        <v>0</v>
      </c>
      <c r="AK155" s="17353">
        <v>0</v>
      </c>
      <c r="AL155" s="17354">
        <f>HLOOKUP("BC",A1:CV300,155,FALSE) - (HLOOKUP("PK Gs",A1:CV300,155,FALSE) + HLOOKUP("PK Miss",A1:CV300,155,FALSE))</f>
        <v>0</v>
      </c>
      <c r="AM155" s="17355">
        <f>HLOOKUP("BC Miss",A1:CV300,155,FALSE) - HLOOKUP("PK Miss",A1:CV300,155,FALSE)</f>
        <v>0</v>
      </c>
      <c r="AN155" s="17356">
        <f>IF(HLOOKUP("BC - Open",A1:CV300,155,FALSE)=0,0,HLOOKUP("BC - Open Miss",A1:CV300,155,FALSE)/HLOOKUP("BC - Open",A1:CV300,155,FALSE))</f>
        <v>0</v>
      </c>
      <c r="AO155" s="17357">
        <v>0</v>
      </c>
      <c r="AP155" s="17358">
        <f>IF(HLOOKUP("Gs",A1:CV300,155,FALSE)=0,0,HLOOKUP("GIB",A1:CV300,155,FALSE)/HLOOKUP("Gs",A1:CV300,155,FALSE))</f>
        <v>0</v>
      </c>
      <c r="AQ155" s="17359">
        <v>0</v>
      </c>
      <c r="AR155" s="17360">
        <f>IF(HLOOKUP("Gs",A1:CV300,155,FALSE)=0,0,HLOOKUP("Gs - Open",A1:CV300,155,FALSE)/HLOOKUP("Gs",A1:CV300,155,FALSE))</f>
        <v>0</v>
      </c>
      <c r="AS155" s="17361">
        <v>0</v>
      </c>
      <c r="AT155" s="17362">
        <v>0</v>
      </c>
      <c r="AU155" s="17363">
        <f>IF(HLOOKUP("Mins",A1:CV300,155,FALSE)=0,0,HLOOKUP("Pts",A1:CV300,155,FALSE)/HLOOKUP("Mins",A1:CV300,155,FALSE)* 90)</f>
        <v>2</v>
      </c>
      <c r="AV155" s="17364">
        <f>IF(HLOOKUP("Apps",A1:CV300,155,FALSE)=0,0,HLOOKUP("Pts",A1:CV300,155,FALSE)/HLOOKUP("Apps",A1:CV300,155,FALSE)* 1)</f>
        <v>1</v>
      </c>
      <c r="AW155" s="17365">
        <f>IF(HLOOKUP("Mins",A1:CV300,155,FALSE)=0,0,HLOOKUP("Gs",A1:CV300,155,FALSE)/HLOOKUP("Mins",A1:CV300,155,FALSE)* 90)</f>
        <v>0</v>
      </c>
      <c r="AX155" s="17366">
        <f>IF(HLOOKUP("Mins",A1:CV300,155,FALSE)=0,0,HLOOKUP("Bonus",A1:CV300,155,FALSE)/HLOOKUP("Mins",A1:CV300,155,FALSE)* 90)</f>
        <v>0</v>
      </c>
      <c r="AY155" s="17367">
        <f>IF(HLOOKUP("Mins",A1:CV300,155,FALSE)=0,0,HLOOKUP("BPS",A1:CV300,155,FALSE)/HLOOKUP("Mins",A1:CV300,155,FALSE)* 90)</f>
        <v>8</v>
      </c>
      <c r="AZ155" s="17368">
        <f>IF(HLOOKUP("Mins",A1:CV300,155,FALSE)=0,0,HLOOKUP("Base BPS",A1:CV300,155,FALSE)/HLOOKUP("Mins",A1:CV300,155,FALSE)* 90)</f>
        <v>8</v>
      </c>
      <c r="BA155" s="17369">
        <f>IF(HLOOKUP("Mins",A1:CV300,155,FALSE)=0,0,HLOOKUP("PenTchs",A1:CV300,155,FALSE)/HLOOKUP("Mins",A1:CV300,155,FALSE)* 90)</f>
        <v>0</v>
      </c>
      <c r="BB155" s="17370">
        <f>IF(HLOOKUP("Mins",A1:CV300,155,FALSE)=0,0,HLOOKUP("Shots",A1:CV300,155,FALSE)/HLOOKUP("Mins",A1:CV300,155,FALSE)* 90)</f>
        <v>0</v>
      </c>
      <c r="BC155" s="17371">
        <f>IF(HLOOKUP("Mins",A1:CV300,155,FALSE)=0,0,HLOOKUP("SIB",A1:CV300,155,FALSE)/HLOOKUP("Mins",A1:CV300,155,FALSE)* 90)</f>
        <v>0</v>
      </c>
      <c r="BD155" s="17372">
        <f>IF(HLOOKUP("Mins",A1:CV300,155,FALSE)=0,0,HLOOKUP("S6YD",A1:CV300,155,FALSE)/HLOOKUP("Mins",A1:CV300,155,FALSE)* 90)</f>
        <v>0</v>
      </c>
      <c r="BE155" s="17373">
        <f>IF(HLOOKUP("Mins",A1:CV300,155,FALSE)=0,0,HLOOKUP("Headers",A1:CV300,155,FALSE)/HLOOKUP("Mins",A1:CV300,155,FALSE)* 90)</f>
        <v>0</v>
      </c>
      <c r="BF155" s="17374">
        <f>IF(HLOOKUP("Mins",A1:CV300,155,FALSE)=0,0,HLOOKUP("SOT",A1:CV300,155,FALSE)/HLOOKUP("Mins",A1:CV300,155,FALSE)* 90)</f>
        <v>0</v>
      </c>
      <c r="BG155" s="17375">
        <f>IF(HLOOKUP("Mins",A1:CV300,155,FALSE)=0,0,HLOOKUP("As",A1:CV300,155,FALSE)/HLOOKUP("Mins",A1:CV300,155,FALSE)* 90)</f>
        <v>0</v>
      </c>
      <c r="BH155" s="17376">
        <f>IF(HLOOKUP("Mins",A1:CV300,155,FALSE)=0,0,HLOOKUP("FPL As",A1:CV300,155,FALSE)/HLOOKUP("Mins",A1:CV300,155,FALSE)* 90)</f>
        <v>0</v>
      </c>
      <c r="BI155" s="17377">
        <f>IF(HLOOKUP("Mins",A1:CV300,155,FALSE)=0,0,HLOOKUP("BC Created",A1:CV300,155,FALSE)/HLOOKUP("Mins",A1:CV300,155,FALSE)* 90)</f>
        <v>0</v>
      </c>
      <c r="BJ155" s="17378">
        <f>IF(HLOOKUP("Mins",A1:CV300,155,FALSE)=0,0,HLOOKUP("KP",A1:CV300,155,FALSE)/HLOOKUP("Mins",A1:CV300,155,FALSE)* 90)</f>
        <v>0</v>
      </c>
      <c r="BK155" s="17379">
        <f>IF(HLOOKUP("Mins",A1:CV300,155,FALSE)=0,0,HLOOKUP("BC",A1:CV300,155,FALSE)/HLOOKUP("Mins",A1:CV300,155,FALSE)* 90)</f>
        <v>0</v>
      </c>
      <c r="BL155" s="17380">
        <f>IF(HLOOKUP("Mins",A1:CV300,155,FALSE)=0,0,HLOOKUP("BC Miss",A1:CV300,155,FALSE)/HLOOKUP("Mins",A1:CV300,155,FALSE)* 90)</f>
        <v>0</v>
      </c>
      <c r="BM155" s="17381">
        <f>IF(HLOOKUP("Mins",A1:CV300,155,FALSE)=0,0,HLOOKUP("Gs - BC",A1:CV300,155,FALSE)/HLOOKUP("Mins",A1:CV300,155,FALSE)* 90)</f>
        <v>0</v>
      </c>
      <c r="BN155" s="17382">
        <f>IF(HLOOKUP("Mins",A1:CV300,155,FALSE)=0,0,HLOOKUP("GIB",A1:CV300,155,FALSE)/HLOOKUP("Mins",A1:CV300,155,FALSE)* 90)</f>
        <v>0</v>
      </c>
      <c r="BO155" s="17383">
        <f>IF(HLOOKUP("Mins",A1:CV300,155,FALSE)=0,0,HLOOKUP("Gs - Open",A1:CV300,155,FALSE)/HLOOKUP("Mins",A1:CV300,155,FALSE)* 90)</f>
        <v>0</v>
      </c>
      <c r="BP155" s="17384">
        <f>IF(HLOOKUP("Mins",A1:CV300,155,FALSE)=0,0,HLOOKUP("ICT Index",A1:CV300,155,FALSE)/HLOOKUP("Mins",A1:CV300,155,FALSE)* 90)</f>
        <v>1.6</v>
      </c>
      <c r="BQ155" s="17385">
        <f>IF(HLOOKUP("Mins",A1:CV300,155,FALSE)=0,0,(0.02*(HLOOKUP("Shots",A1:CV300,155,FALSE)-HLOOKUP("SIB",A1:CV300,155,FALSE))+0.093*(HLOOKUP("SIB",A1:CV300,155,FALSE)-(HLOOKUP("PK Gs",A1:CV300,155,FALSE)+HLOOKUP("PK Miss",A1:CV300,155,FALSE)))+0.75*(HLOOKUP("PK Gs",A1:CV300,155,FALSE)+HLOOKUP("PK Miss",A1:CV300,155,FALSE)))/HLOOKUP("Mins",A1:CV300,155,FALSE)*90)</f>
        <v>0</v>
      </c>
      <c r="BR155" s="17386">
        <f>0.0825*HLOOKUP("KP/90",A1:CV300,155,FALSE)</f>
        <v>0</v>
      </c>
      <c r="BS155" s="17387">
        <f>6*HLOOKUP("xG/90",A1:CV300,155,FALSE)+3*HLOOKUP("xA/90",A1:CV300,155,FALSE)</f>
        <v>0</v>
      </c>
      <c r="BT155" s="17388">
        <f>HLOOKUP("xPts/90",A1:CV300,155,FALSE)-(6*0.75*(HLOOKUP("PK Gs",A1:CV300,155,FALSE)+HLOOKUP("PK Miss",A1:CV300,155,FALSE))*90/HLOOKUP("Mins",A1:CV300,155,FALSE))</f>
        <v>0</v>
      </c>
      <c r="BU155" s="17389">
        <f>IF(HLOOKUP("Mins",A1:CV300,155,FALSE)=0,0,HLOOKUP("fsXG",A1:CV300,155,FALSE)/HLOOKUP("Mins",A1:CV300,155,FALSE)* 90)</f>
        <v>0</v>
      </c>
      <c r="BV155" s="17390">
        <f>IF(HLOOKUP("Mins",A1:CV300,155,FALSE)=0,0,HLOOKUP("fsXA",A1:CV300,155,FALSE)/HLOOKUP("Mins",A1:CV300,155,FALSE)* 90)</f>
        <v>0</v>
      </c>
      <c r="BW155" s="17391">
        <f>6*HLOOKUP("fsXG/90",A1:CV300,155,FALSE)+3*HLOOKUP("fsXA/90",A1:CV300,155,FALSE)</f>
        <v>0</v>
      </c>
      <c r="BX155" s="17392">
        <v>0</v>
      </c>
      <c r="BY155" s="17393">
        <v>0</v>
      </c>
      <c r="BZ155" s="17394">
        <f>6*HLOOKUP("uXG/90",A1:CV300,155,FALSE)+3*HLOOKUP("uXA/90",A1:CV300,155,FALSE)</f>
        <v>0</v>
      </c>
    </row>
    <row r="156" spans="1:78" hidden="1" x14ac:dyDescent="0.3">
      <c r="A156" s="17395" t="s">
        <v>319</v>
      </c>
      <c r="B156" s="17396" t="s">
        <v>132</v>
      </c>
      <c r="C156" s="17397">
        <v>6.4000000953674316</v>
      </c>
      <c r="D156" s="17398">
        <v>1890</v>
      </c>
      <c r="E156" s="17399">
        <v>21</v>
      </c>
      <c r="F156" s="17400">
        <v>98</v>
      </c>
      <c r="G156" s="17401">
        <v>3</v>
      </c>
      <c r="H156" s="17402">
        <v>8</v>
      </c>
      <c r="I156" s="17403">
        <v>436</v>
      </c>
      <c r="J156" s="17404">
        <f>HLOOKUP("BPS",A1:CV300,156,FALSE)-((-6*HLOOKUP("OG",A1:CV300,156,FALSE))+(-6*HLOOKUP("PK Miss",A1:CV300,156,FALSE))+(9*HLOOKUP("FPL As",A1:CV300,156,FALSE))+(12*HLOOKUP("CS",A1:CV300,156,FALSE))+(12*HLOOKUP("Gs",A1:CV300,156,FALSE)))</f>
        <v>304</v>
      </c>
      <c r="K156" s="17405">
        <v>0</v>
      </c>
      <c r="L156" s="17406">
        <v>8</v>
      </c>
      <c r="M156" s="17407">
        <v>24</v>
      </c>
      <c r="N156" s="17408">
        <v>14</v>
      </c>
      <c r="O156" s="17409">
        <v>12</v>
      </c>
      <c r="P156" s="17410">
        <f>IF(HLOOKUP("Shots",A1:CV300,156,FALSE)=0,0,HLOOKUP("SIB",A1:CV300,156,FALSE)/HLOOKUP("Shots",A1:CV300,156,FALSE))</f>
        <v>0.8571428571428571</v>
      </c>
      <c r="Q156" s="17411">
        <v>2</v>
      </c>
      <c r="R156" s="17412">
        <f>IF(HLOOKUP("Shots",A1:CV300,156,FALSE)=0,0,HLOOKUP("S6YD",A1:CV300,156,FALSE)/HLOOKUP("Shots",A1:CV300,156,FALSE))</f>
        <v>0.14285714285714285</v>
      </c>
      <c r="S156" s="17413">
        <v>10</v>
      </c>
      <c r="T156" s="17414">
        <f>IF(HLOOKUP("Shots",A1:CV300,156,FALSE)=0,0,HLOOKUP("Headers",A1:CV300,156,FALSE)/HLOOKUP("Shots",A1:CV300,156,FALSE))</f>
        <v>0.7142857142857143</v>
      </c>
      <c r="U156" s="17415">
        <v>5</v>
      </c>
      <c r="V156" s="17416">
        <f>IF(HLOOKUP("Shots",A1:CV300,156,FALSE)=0,0,HLOOKUP("SOT",A1:CV300,156,FALSE)/HLOOKUP("Shots",A1:CV300,156,FALSE))</f>
        <v>0.35714285714285715</v>
      </c>
      <c r="W156" s="17417">
        <f>IF(HLOOKUP("Shots",A1:CV300,156,FALSE)=0,0,HLOOKUP("Gs",A1:CV300,156,FALSE)/HLOOKUP("Shots",A1:CV300,156,FALSE))</f>
        <v>0.21428571428571427</v>
      </c>
      <c r="X156" s="17418">
        <v>0</v>
      </c>
      <c r="Y156" s="17419">
        <v>0</v>
      </c>
      <c r="Z156" s="17420">
        <v>2</v>
      </c>
      <c r="AA156" s="17421">
        <f>IF(HLOOKUP("KP",A1:CV300,156,FALSE)=0,0,HLOOKUP("As",A1:CV300,156,FALSE)/HLOOKUP("KP",A1:CV300,156,FALSE))</f>
        <v>0</v>
      </c>
      <c r="AB156" s="17422">
        <v>81.900000000000006</v>
      </c>
      <c r="AC156" s="17423">
        <v>6</v>
      </c>
      <c r="AD156" s="17424">
        <v>1</v>
      </c>
      <c r="AE156" s="17425">
        <v>1</v>
      </c>
      <c r="AF156" s="17426">
        <v>1</v>
      </c>
      <c r="AG156" s="17427">
        <f>IF(HLOOKUP("BC",A1:CV300,156,FALSE)=0,0,HLOOKUP("Gs - BC",A1:CV300,156,FALSE)/HLOOKUP("BC",A1:CV300,156,FALSE))</f>
        <v>0</v>
      </c>
      <c r="AH156" s="17428">
        <f>HLOOKUP("BC",A1:CV300,156,FALSE) - HLOOKUP("BC Miss",A1:CV300,156,FALSE)</f>
        <v>0</v>
      </c>
      <c r="AI156" s="17429">
        <f>IF(HLOOKUP("Gs",A1:CV300,156,FALSE)=0,0,HLOOKUP("Gs - BC",A1:CV300,156,FALSE)/HLOOKUP("Gs",A1:CV300,156,FALSE))</f>
        <v>0</v>
      </c>
      <c r="AJ156" s="17430">
        <v>0</v>
      </c>
      <c r="AK156" s="17431">
        <v>0</v>
      </c>
      <c r="AL156" s="17432">
        <f>HLOOKUP("BC",A1:CV300,156,FALSE) - (HLOOKUP("PK Gs",A1:CV300,156,FALSE) + HLOOKUP("PK Miss",A1:CV300,156,FALSE))</f>
        <v>1</v>
      </c>
      <c r="AM156" s="17433">
        <f>HLOOKUP("BC Miss",A1:CV300,156,FALSE) - HLOOKUP("PK Miss",A1:CV300,156,FALSE)</f>
        <v>1</v>
      </c>
      <c r="AN156" s="17434">
        <f>IF(HLOOKUP("BC - Open",A1:CV300,156,FALSE)=0,0,HLOOKUP("BC - Open Miss",A1:CV300,156,FALSE)/HLOOKUP("BC - Open",A1:CV300,156,FALSE))</f>
        <v>1</v>
      </c>
      <c r="AO156" s="17435">
        <v>3</v>
      </c>
      <c r="AP156" s="17436">
        <f>IF(HLOOKUP("Gs",A1:CV300,156,FALSE)=0,0,HLOOKUP("GIB",A1:CV300,156,FALSE)/HLOOKUP("Gs",A1:CV300,156,FALSE))</f>
        <v>1</v>
      </c>
      <c r="AQ156" s="17437">
        <v>0</v>
      </c>
      <c r="AR156" s="17438">
        <f>IF(HLOOKUP("Gs",A1:CV300,156,FALSE)=0,0,HLOOKUP("Gs - Open",A1:CV300,156,FALSE)/HLOOKUP("Gs",A1:CV300,156,FALSE))</f>
        <v>0</v>
      </c>
      <c r="AS156" s="17439">
        <v>1.26</v>
      </c>
      <c r="AT156" s="17440">
        <v>0.75</v>
      </c>
      <c r="AU156" s="17441">
        <f>IF(HLOOKUP("Mins",A1:CV300,156,FALSE)=0,0,HLOOKUP("Pts",A1:CV300,156,FALSE)/HLOOKUP("Mins",A1:CV300,156,FALSE)* 90)</f>
        <v>4.666666666666667</v>
      </c>
      <c r="AV156" s="17442">
        <f>IF(HLOOKUP("Apps",A1:CV300,156,FALSE)=0,0,HLOOKUP("Pts",A1:CV300,156,FALSE)/HLOOKUP("Apps",A1:CV300,156,FALSE)* 1)</f>
        <v>4.666666666666667</v>
      </c>
      <c r="AW156" s="17443">
        <f>IF(HLOOKUP("Mins",A1:CV300,156,FALSE)=0,0,HLOOKUP("Gs",A1:CV300,156,FALSE)/HLOOKUP("Mins",A1:CV300,156,FALSE)* 90)</f>
        <v>0.14285714285714285</v>
      </c>
      <c r="AX156" s="17444">
        <f>IF(HLOOKUP("Mins",A1:CV300,156,FALSE)=0,0,HLOOKUP("Bonus",A1:CV300,156,FALSE)/HLOOKUP("Mins",A1:CV300,156,FALSE)* 90)</f>
        <v>0.38095238095238099</v>
      </c>
      <c r="AY156" s="17445">
        <f>IF(HLOOKUP("Mins",A1:CV300,156,FALSE)=0,0,HLOOKUP("BPS",A1:CV300,156,FALSE)/HLOOKUP("Mins",A1:CV300,156,FALSE)* 90)</f>
        <v>20.761904761904763</v>
      </c>
      <c r="AZ156" s="17446">
        <f>IF(HLOOKUP("Mins",A1:CV300,156,FALSE)=0,0,HLOOKUP("Base BPS",A1:CV300,156,FALSE)/HLOOKUP("Mins",A1:CV300,156,FALSE)* 90)</f>
        <v>14.476190476190476</v>
      </c>
      <c r="BA156" s="17447">
        <f>IF(HLOOKUP("Mins",A1:CV300,156,FALSE)=0,0,HLOOKUP("PenTchs",A1:CV300,156,FALSE)/HLOOKUP("Mins",A1:CV300,156,FALSE)* 90)</f>
        <v>1.1428571428571428</v>
      </c>
      <c r="BB156" s="17448">
        <f>IF(HLOOKUP("Mins",A1:CV300,156,FALSE)=0,0,HLOOKUP("Shots",A1:CV300,156,FALSE)/HLOOKUP("Mins",A1:CV300,156,FALSE)* 90)</f>
        <v>0.66666666666666674</v>
      </c>
      <c r="BC156" s="17449">
        <f>IF(HLOOKUP("Mins",A1:CV300,156,FALSE)=0,0,HLOOKUP("SIB",A1:CV300,156,FALSE)/HLOOKUP("Mins",A1:CV300,156,FALSE)* 90)</f>
        <v>0.5714285714285714</v>
      </c>
      <c r="BD156" s="17450">
        <f>IF(HLOOKUP("Mins",A1:CV300,156,FALSE)=0,0,HLOOKUP("S6YD",A1:CV300,156,FALSE)/HLOOKUP("Mins",A1:CV300,156,FALSE)* 90)</f>
        <v>9.5238095238095247E-2</v>
      </c>
      <c r="BE156" s="17451">
        <f>IF(HLOOKUP("Mins",A1:CV300,156,FALSE)=0,0,HLOOKUP("Headers",A1:CV300,156,FALSE)/HLOOKUP("Mins",A1:CV300,156,FALSE)* 90)</f>
        <v>0.47619047619047616</v>
      </c>
      <c r="BF156" s="17452">
        <f>IF(HLOOKUP("Mins",A1:CV300,156,FALSE)=0,0,HLOOKUP("SOT",A1:CV300,156,FALSE)/HLOOKUP("Mins",A1:CV300,156,FALSE)* 90)</f>
        <v>0.23809523809523808</v>
      </c>
      <c r="BG156" s="17453">
        <f>IF(HLOOKUP("Mins",A1:CV300,156,FALSE)=0,0,HLOOKUP("As",A1:CV300,156,FALSE)/HLOOKUP("Mins",A1:CV300,156,FALSE)* 90)</f>
        <v>0</v>
      </c>
      <c r="BH156" s="17454">
        <f>IF(HLOOKUP("Mins",A1:CV300,156,FALSE)=0,0,HLOOKUP("FPL As",A1:CV300,156,FALSE)/HLOOKUP("Mins",A1:CV300,156,FALSE)* 90)</f>
        <v>0</v>
      </c>
      <c r="BI156" s="17455">
        <f>IF(HLOOKUP("Mins",A1:CV300,156,FALSE)=0,0,HLOOKUP("BC Created",A1:CV300,156,FALSE)/HLOOKUP("Mins",A1:CV300,156,FALSE)* 90)</f>
        <v>4.7619047619047623E-2</v>
      </c>
      <c r="BJ156" s="17456">
        <f>IF(HLOOKUP("Mins",A1:CV300,156,FALSE)=0,0,HLOOKUP("KP",A1:CV300,156,FALSE)/HLOOKUP("Mins",A1:CV300,156,FALSE)* 90)</f>
        <v>9.5238095238095247E-2</v>
      </c>
      <c r="BK156" s="17457">
        <f>IF(HLOOKUP("Mins",A1:CV300,156,FALSE)=0,0,HLOOKUP("BC",A1:CV300,156,FALSE)/HLOOKUP("Mins",A1:CV300,156,FALSE)* 90)</f>
        <v>4.7619047619047623E-2</v>
      </c>
      <c r="BL156" s="17458">
        <f>IF(HLOOKUP("Mins",A1:CV300,156,FALSE)=0,0,HLOOKUP("BC Miss",A1:CV300,156,FALSE)/HLOOKUP("Mins",A1:CV300,156,FALSE)* 90)</f>
        <v>4.7619047619047623E-2</v>
      </c>
      <c r="BM156" s="17459">
        <f>IF(HLOOKUP("Mins",A1:CV300,156,FALSE)=0,0,HLOOKUP("Gs - BC",A1:CV300,156,FALSE)/HLOOKUP("Mins",A1:CV300,156,FALSE)* 90)</f>
        <v>0</v>
      </c>
      <c r="BN156" s="17460">
        <f>IF(HLOOKUP("Mins",A1:CV300,156,FALSE)=0,0,HLOOKUP("GIB",A1:CV300,156,FALSE)/HLOOKUP("Mins",A1:CV300,156,FALSE)* 90)</f>
        <v>0.14285714285714285</v>
      </c>
      <c r="BO156" s="17461">
        <f>IF(HLOOKUP("Mins",A1:CV300,156,FALSE)=0,0,HLOOKUP("Gs - Open",A1:CV300,156,FALSE)/HLOOKUP("Mins",A1:CV300,156,FALSE)* 90)</f>
        <v>0</v>
      </c>
      <c r="BP156" s="17462">
        <f>IF(HLOOKUP("Mins",A1:CV300,156,FALSE)=0,0,HLOOKUP("ICT Index",A1:CV300,156,FALSE)/HLOOKUP("Mins",A1:CV300,156,FALSE)* 90)</f>
        <v>3.9000000000000004</v>
      </c>
      <c r="BQ156" s="17463">
        <f>IF(HLOOKUP("Mins",A1:CV300,156,FALSE)=0,0,(0.02*(HLOOKUP("Shots",A1:CV300,156,FALSE)-HLOOKUP("SIB",A1:CV300,156,FALSE))+0.093*(HLOOKUP("SIB",A1:CV300,156,FALSE)-(HLOOKUP("PK Gs",A1:CV300,156,FALSE)+HLOOKUP("PK Miss",A1:CV300,156,FALSE)))+0.75*(HLOOKUP("PK Gs",A1:CV300,156,FALSE)+HLOOKUP("PK Miss",A1:CV300,156,FALSE)))/HLOOKUP("Mins",A1:CV300,156,FALSE)*90)</f>
        <v>5.504761904761906E-2</v>
      </c>
      <c r="BR156" s="17464">
        <f>0.0825*HLOOKUP("KP/90",A1:CV300,156,FALSE)</f>
        <v>7.8571428571428577E-3</v>
      </c>
      <c r="BS156" s="17465">
        <f>6*HLOOKUP("xG/90",A1:CV300,156,FALSE)+3*HLOOKUP("xA/90",A1:CV300,156,FALSE)</f>
        <v>0.35385714285714293</v>
      </c>
      <c r="BT156" s="17466">
        <f>HLOOKUP("xPts/90",A1:CV300,156,FALSE)-(6*0.75*(HLOOKUP("PK Gs",A1:CV300,156,FALSE)+HLOOKUP("PK Miss",A1:CV300,156,FALSE))*90/HLOOKUP("Mins",A1:CV300,156,FALSE))</f>
        <v>0.35385714285714293</v>
      </c>
      <c r="BU156" s="17467">
        <f>IF(HLOOKUP("Mins",A1:CV300,156,FALSE)=0,0,HLOOKUP("fsXG",A1:CV300,156,FALSE)/HLOOKUP("Mins",A1:CV300,156,FALSE)* 90)</f>
        <v>0.06</v>
      </c>
      <c r="BV156" s="17468">
        <f>IF(HLOOKUP("Mins",A1:CV300,156,FALSE)=0,0,HLOOKUP("fsXA",A1:CV300,156,FALSE)/HLOOKUP("Mins",A1:CV300,156,FALSE)* 90)</f>
        <v>3.5714285714285712E-2</v>
      </c>
      <c r="BW156" s="17469">
        <f>6*HLOOKUP("fsXG/90",A1:CV300,156,FALSE)+3*HLOOKUP("fsXA/90",A1:CV300,156,FALSE)</f>
        <v>0.46714285714285714</v>
      </c>
      <c r="BX156" s="17470">
        <v>4.7984976321458817E-2</v>
      </c>
      <c r="BY156" s="17471">
        <v>1.6715573146939278E-2</v>
      </c>
      <c r="BZ156" s="17472">
        <f>6*HLOOKUP("uXG/90",A1:CV300,156,FALSE)+3*HLOOKUP("uXA/90",A1:CV300,156,FALSE)</f>
        <v>0.33805657736957073</v>
      </c>
    </row>
    <row r="157" spans="1:78" hidden="1" x14ac:dyDescent="0.3">
      <c r="A157" s="17473" t="s">
        <v>320</v>
      </c>
      <c r="B157" s="17474" t="s">
        <v>93</v>
      </c>
      <c r="C157" s="17475">
        <v>4.4000000953674316</v>
      </c>
      <c r="D157" s="17476">
        <v>549</v>
      </c>
      <c r="E157" s="17477">
        <v>10</v>
      </c>
      <c r="F157" s="17478">
        <v>11</v>
      </c>
      <c r="G157" s="17479">
        <v>0</v>
      </c>
      <c r="H157" s="17480">
        <v>1</v>
      </c>
      <c r="I157" s="17481">
        <v>98</v>
      </c>
      <c r="J157" s="17482">
        <f>HLOOKUP("BPS",A1:CV300,157,FALSE)-((-6*HLOOKUP("OG",A1:CV300,157,FALSE))+(-6*HLOOKUP("PK Miss",A1:CV300,157,FALSE))+(9*HLOOKUP("FPL As",A1:CV300,157,FALSE))+(12*HLOOKUP("CS",A1:CV300,157,FALSE))+(12*HLOOKUP("Gs",A1:CV300,157,FALSE)))</f>
        <v>86</v>
      </c>
      <c r="K157" s="17483">
        <v>0</v>
      </c>
      <c r="L157" s="17484">
        <v>1</v>
      </c>
      <c r="M157" s="17485">
        <v>4</v>
      </c>
      <c r="N157" s="17486">
        <v>3</v>
      </c>
      <c r="O157" s="17487">
        <v>3</v>
      </c>
      <c r="P157" s="17488">
        <f>IF(HLOOKUP("Shots",A1:CV300,157,FALSE)=0,0,HLOOKUP("SIB",A1:CV300,157,FALSE)/HLOOKUP("Shots",A1:CV300,157,FALSE))</f>
        <v>1</v>
      </c>
      <c r="Q157" s="17489">
        <v>0</v>
      </c>
      <c r="R157" s="17490">
        <f>IF(HLOOKUP("Shots",A1:CV300,157,FALSE)=0,0,HLOOKUP("S6YD",A1:CV300,157,FALSE)/HLOOKUP("Shots",A1:CV300,157,FALSE))</f>
        <v>0</v>
      </c>
      <c r="S157" s="17491">
        <v>1</v>
      </c>
      <c r="T157" s="17492">
        <f>IF(HLOOKUP("Shots",A1:CV300,157,FALSE)=0,0,HLOOKUP("Headers",A1:CV300,157,FALSE)/HLOOKUP("Shots",A1:CV300,157,FALSE))</f>
        <v>0.33333333333333331</v>
      </c>
      <c r="U157" s="17493">
        <v>0</v>
      </c>
      <c r="V157" s="17494">
        <f>IF(HLOOKUP("Shots",A1:CV300,157,FALSE)=0,0,HLOOKUP("SOT",A1:CV300,157,FALSE)/HLOOKUP("Shots",A1:CV300,157,FALSE))</f>
        <v>0</v>
      </c>
      <c r="W157" s="17495">
        <f>IF(HLOOKUP("Shots",A1:CV300,157,FALSE)=0,0,HLOOKUP("Gs",A1:CV300,157,FALSE)/HLOOKUP("Shots",A1:CV300,157,FALSE))</f>
        <v>0</v>
      </c>
      <c r="X157" s="17496">
        <v>0</v>
      </c>
      <c r="Y157" s="17497">
        <v>0</v>
      </c>
      <c r="Z157" s="17498">
        <v>2</v>
      </c>
      <c r="AA157" s="17499">
        <f>IF(HLOOKUP("KP",A1:CV300,157,FALSE)=0,0,HLOOKUP("As",A1:CV300,157,FALSE)/HLOOKUP("KP",A1:CV300,157,FALSE))</f>
        <v>0</v>
      </c>
      <c r="AB157" s="17500">
        <v>22.8</v>
      </c>
      <c r="AC157" s="17501">
        <v>0</v>
      </c>
      <c r="AD157" s="17502">
        <v>0</v>
      </c>
      <c r="AE157" s="17503">
        <v>0</v>
      </c>
      <c r="AF157" s="17504">
        <v>0</v>
      </c>
      <c r="AG157" s="17505">
        <f>IF(HLOOKUP("BC",A1:CV300,157,FALSE)=0,0,HLOOKUP("Gs - BC",A1:CV300,157,FALSE)/HLOOKUP("BC",A1:CV300,157,FALSE))</f>
        <v>0</v>
      </c>
      <c r="AH157" s="17506">
        <f>HLOOKUP("BC",A1:CV300,157,FALSE) - HLOOKUP("BC Miss",A1:CV300,157,FALSE)</f>
        <v>0</v>
      </c>
      <c r="AI157" s="17507">
        <f>IF(HLOOKUP("Gs",A1:CV300,157,FALSE)=0,0,HLOOKUP("Gs - BC",A1:CV300,157,FALSE)/HLOOKUP("Gs",A1:CV300,157,FALSE))</f>
        <v>0</v>
      </c>
      <c r="AJ157" s="17508">
        <v>0</v>
      </c>
      <c r="AK157" s="17509">
        <v>0</v>
      </c>
      <c r="AL157" s="17510">
        <f>HLOOKUP("BC",A1:CV300,157,FALSE) - (HLOOKUP("PK Gs",A1:CV300,157,FALSE) + HLOOKUP("PK Miss",A1:CV300,157,FALSE))</f>
        <v>0</v>
      </c>
      <c r="AM157" s="17511">
        <f>HLOOKUP("BC Miss",A1:CV300,157,FALSE) - HLOOKUP("PK Miss",A1:CV300,157,FALSE)</f>
        <v>0</v>
      </c>
      <c r="AN157" s="17512">
        <f>IF(HLOOKUP("BC - Open",A1:CV300,157,FALSE)=0,0,HLOOKUP("BC - Open Miss",A1:CV300,157,FALSE)/HLOOKUP("BC - Open",A1:CV300,157,FALSE))</f>
        <v>0</v>
      </c>
      <c r="AO157" s="17513">
        <v>0</v>
      </c>
      <c r="AP157" s="17514">
        <f>IF(HLOOKUP("Gs",A1:CV300,157,FALSE)=0,0,HLOOKUP("GIB",A1:CV300,157,FALSE)/HLOOKUP("Gs",A1:CV300,157,FALSE))</f>
        <v>0</v>
      </c>
      <c r="AQ157" s="17515">
        <v>0</v>
      </c>
      <c r="AR157" s="17516">
        <f>IF(HLOOKUP("Gs",A1:CV300,157,FALSE)=0,0,HLOOKUP("Gs - Open",A1:CV300,157,FALSE)/HLOOKUP("Gs",A1:CV300,157,FALSE))</f>
        <v>0</v>
      </c>
      <c r="AS157" s="17517">
        <v>0.14000000000000001</v>
      </c>
      <c r="AT157" s="17518">
        <v>0.09</v>
      </c>
      <c r="AU157" s="17519">
        <f>IF(HLOOKUP("Mins",A1:CV300,157,FALSE)=0,0,HLOOKUP("Pts",A1:CV300,157,FALSE)/HLOOKUP("Mins",A1:CV300,157,FALSE)* 90)</f>
        <v>1.8032786885245902</v>
      </c>
      <c r="AV157" s="17520">
        <f>IF(HLOOKUP("Apps",A1:CV300,157,FALSE)=0,0,HLOOKUP("Pts",A1:CV300,157,FALSE)/HLOOKUP("Apps",A1:CV300,157,FALSE)* 1)</f>
        <v>1.1000000000000001</v>
      </c>
      <c r="AW157" s="17521">
        <f>IF(HLOOKUP("Mins",A1:CV300,157,FALSE)=0,0,HLOOKUP("Gs",A1:CV300,157,FALSE)/HLOOKUP("Mins",A1:CV300,157,FALSE)* 90)</f>
        <v>0</v>
      </c>
      <c r="AX157" s="17522">
        <f>IF(HLOOKUP("Mins",A1:CV300,157,FALSE)=0,0,HLOOKUP("Bonus",A1:CV300,157,FALSE)/HLOOKUP("Mins",A1:CV300,157,FALSE)* 90)</f>
        <v>0.16393442622950818</v>
      </c>
      <c r="AY157" s="17523">
        <f>IF(HLOOKUP("Mins",A1:CV300,157,FALSE)=0,0,HLOOKUP("BPS",A1:CV300,157,FALSE)/HLOOKUP("Mins",A1:CV300,157,FALSE)* 90)</f>
        <v>16.065573770491802</v>
      </c>
      <c r="AZ157" s="17524">
        <f>IF(HLOOKUP("Mins",A1:CV300,157,FALSE)=0,0,HLOOKUP("Base BPS",A1:CV300,157,FALSE)/HLOOKUP("Mins",A1:CV300,157,FALSE)* 90)</f>
        <v>14.098360655737705</v>
      </c>
      <c r="BA157" s="17525">
        <f>IF(HLOOKUP("Mins",A1:CV300,157,FALSE)=0,0,HLOOKUP("PenTchs",A1:CV300,157,FALSE)/HLOOKUP("Mins",A1:CV300,157,FALSE)* 90)</f>
        <v>0.65573770491803274</v>
      </c>
      <c r="BB157" s="17526">
        <f>IF(HLOOKUP("Mins",A1:CV300,157,FALSE)=0,0,HLOOKUP("Shots",A1:CV300,157,FALSE)/HLOOKUP("Mins",A1:CV300,157,FALSE)* 90)</f>
        <v>0.49180327868852458</v>
      </c>
      <c r="BC157" s="17527">
        <f>IF(HLOOKUP("Mins",A1:CV300,157,FALSE)=0,0,HLOOKUP("SIB",A1:CV300,157,FALSE)/HLOOKUP("Mins",A1:CV300,157,FALSE)* 90)</f>
        <v>0.49180327868852458</v>
      </c>
      <c r="BD157" s="17528">
        <f>IF(HLOOKUP("Mins",A1:CV300,157,FALSE)=0,0,HLOOKUP("S6YD",A1:CV300,157,FALSE)/HLOOKUP("Mins",A1:CV300,157,FALSE)* 90)</f>
        <v>0</v>
      </c>
      <c r="BE157" s="17529">
        <f>IF(HLOOKUP("Mins",A1:CV300,157,FALSE)=0,0,HLOOKUP("Headers",A1:CV300,157,FALSE)/HLOOKUP("Mins",A1:CV300,157,FALSE)* 90)</f>
        <v>0.16393442622950818</v>
      </c>
      <c r="BF157" s="17530">
        <f>IF(HLOOKUP("Mins",A1:CV300,157,FALSE)=0,0,HLOOKUP("SOT",A1:CV300,157,FALSE)/HLOOKUP("Mins",A1:CV300,157,FALSE)* 90)</f>
        <v>0</v>
      </c>
      <c r="BG157" s="17531">
        <f>IF(HLOOKUP("Mins",A1:CV300,157,FALSE)=0,0,HLOOKUP("As",A1:CV300,157,FALSE)/HLOOKUP("Mins",A1:CV300,157,FALSE)* 90)</f>
        <v>0</v>
      </c>
      <c r="BH157" s="17532">
        <f>IF(HLOOKUP("Mins",A1:CV300,157,FALSE)=0,0,HLOOKUP("FPL As",A1:CV300,157,FALSE)/HLOOKUP("Mins",A1:CV300,157,FALSE)* 90)</f>
        <v>0</v>
      </c>
      <c r="BI157" s="17533">
        <f>IF(HLOOKUP("Mins",A1:CV300,157,FALSE)=0,0,HLOOKUP("BC Created",A1:CV300,157,FALSE)/HLOOKUP("Mins",A1:CV300,157,FALSE)* 90)</f>
        <v>0</v>
      </c>
      <c r="BJ157" s="17534">
        <f>IF(HLOOKUP("Mins",A1:CV300,157,FALSE)=0,0,HLOOKUP("KP",A1:CV300,157,FALSE)/HLOOKUP("Mins",A1:CV300,157,FALSE)* 90)</f>
        <v>0.32786885245901637</v>
      </c>
      <c r="BK157" s="17535">
        <f>IF(HLOOKUP("Mins",A1:CV300,157,FALSE)=0,0,HLOOKUP("BC",A1:CV300,157,FALSE)/HLOOKUP("Mins",A1:CV300,157,FALSE)* 90)</f>
        <v>0</v>
      </c>
      <c r="BL157" s="17536">
        <f>IF(HLOOKUP("Mins",A1:CV300,157,FALSE)=0,0,HLOOKUP("BC Miss",A1:CV300,157,FALSE)/HLOOKUP("Mins",A1:CV300,157,FALSE)* 90)</f>
        <v>0</v>
      </c>
      <c r="BM157" s="17537">
        <f>IF(HLOOKUP("Mins",A1:CV300,157,FALSE)=0,0,HLOOKUP("Gs - BC",A1:CV300,157,FALSE)/HLOOKUP("Mins",A1:CV300,157,FALSE)* 90)</f>
        <v>0</v>
      </c>
      <c r="BN157" s="17538">
        <f>IF(HLOOKUP("Mins",A1:CV300,157,FALSE)=0,0,HLOOKUP("GIB",A1:CV300,157,FALSE)/HLOOKUP("Mins",A1:CV300,157,FALSE)* 90)</f>
        <v>0</v>
      </c>
      <c r="BO157" s="17539">
        <f>IF(HLOOKUP("Mins",A1:CV300,157,FALSE)=0,0,HLOOKUP("Gs - Open",A1:CV300,157,FALSE)/HLOOKUP("Mins",A1:CV300,157,FALSE)* 90)</f>
        <v>0</v>
      </c>
      <c r="BP157" s="17540">
        <f>IF(HLOOKUP("Mins",A1:CV300,157,FALSE)=0,0,HLOOKUP("ICT Index",A1:CV300,157,FALSE)/HLOOKUP("Mins",A1:CV300,157,FALSE)* 90)</f>
        <v>3.737704918032787</v>
      </c>
      <c r="BQ157" s="17541">
        <f>IF(HLOOKUP("Mins",A1:CV300,157,FALSE)=0,0,(0.02*(HLOOKUP("Shots",A1:CV300,157,FALSE)-HLOOKUP("SIB",A1:CV300,157,FALSE))+0.093*(HLOOKUP("SIB",A1:CV300,157,FALSE)-(HLOOKUP("PK Gs",A1:CV300,157,FALSE)+HLOOKUP("PK Miss",A1:CV300,157,FALSE)))+0.75*(HLOOKUP("PK Gs",A1:CV300,157,FALSE)+HLOOKUP("PK Miss",A1:CV300,157,FALSE)))/HLOOKUP("Mins",A1:CV300,157,FALSE)*90)</f>
        <v>4.5737704918032786E-2</v>
      </c>
      <c r="BR157" s="17542">
        <f>0.0825*HLOOKUP("KP/90",A1:CV300,157,FALSE)</f>
        <v>2.7049180327868853E-2</v>
      </c>
      <c r="BS157" s="17543">
        <f>6*HLOOKUP("xG/90",A1:CV300,157,FALSE)+3*HLOOKUP("xA/90",A1:CV300,157,FALSE)</f>
        <v>0.35557377049180328</v>
      </c>
      <c r="BT157" s="17544">
        <f>HLOOKUP("xPts/90",A1:CV300,157,FALSE)-(6*0.75*(HLOOKUP("PK Gs",A1:CV300,157,FALSE)+HLOOKUP("PK Miss",A1:CV300,157,FALSE))*90/HLOOKUP("Mins",A1:CV300,157,FALSE))</f>
        <v>0.35557377049180328</v>
      </c>
      <c r="BU157" s="17545">
        <f>IF(HLOOKUP("Mins",A1:CV300,157,FALSE)=0,0,HLOOKUP("fsXG",A1:CV300,157,FALSE)/HLOOKUP("Mins",A1:CV300,157,FALSE)* 90)</f>
        <v>2.2950819672131147E-2</v>
      </c>
      <c r="BV157" s="17546">
        <f>IF(HLOOKUP("Mins",A1:CV300,157,FALSE)=0,0,HLOOKUP("fsXA",A1:CV300,157,FALSE)/HLOOKUP("Mins",A1:CV300,157,FALSE)* 90)</f>
        <v>1.4754098360655738E-2</v>
      </c>
      <c r="BW157" s="17547">
        <f>6*HLOOKUP("fsXG/90",A1:CV300,157,FALSE)+3*HLOOKUP("fsXA/90",A1:CV300,157,FALSE)</f>
        <v>0.18196721311475411</v>
      </c>
      <c r="BX157" s="17548">
        <v>2.5801103562116623E-2</v>
      </c>
      <c r="BY157" s="17549">
        <v>7.3760603554546833E-3</v>
      </c>
      <c r="BZ157" s="17550">
        <f>6*HLOOKUP("uXG/90",A1:CV300,157,FALSE)+3*HLOOKUP("uXA/90",A1:CV300,157,FALSE)</f>
        <v>0.17693480243906379</v>
      </c>
    </row>
    <row r="158" spans="1:78" hidden="1" x14ac:dyDescent="0.3">
      <c r="A158" s="17551" t="s">
        <v>321</v>
      </c>
      <c r="B158" s="17552" t="s">
        <v>100</v>
      </c>
      <c r="C158" s="17553">
        <v>4.8000001907348633</v>
      </c>
      <c r="D158" s="17554">
        <v>719</v>
      </c>
      <c r="E158" s="17555">
        <v>8</v>
      </c>
      <c r="F158" s="17556">
        <v>34</v>
      </c>
      <c r="G158" s="17557">
        <v>0</v>
      </c>
      <c r="H158" s="17558">
        <v>7</v>
      </c>
      <c r="I158" s="17559">
        <v>170</v>
      </c>
      <c r="J158" s="17560">
        <f>HLOOKUP("BPS",A1:CV300,158,FALSE)-((-6*HLOOKUP("OG",A1:CV300,158,FALSE))+(-6*HLOOKUP("PK Miss",A1:CV300,158,FALSE))+(9*HLOOKUP("FPL As",A1:CV300,158,FALSE))+(12*HLOOKUP("CS",A1:CV300,158,FALSE))+(12*HLOOKUP("Gs",A1:CV300,158,FALSE)))</f>
        <v>125</v>
      </c>
      <c r="K158" s="17561">
        <v>0</v>
      </c>
      <c r="L158" s="17562">
        <v>3</v>
      </c>
      <c r="M158" s="17563">
        <v>7</v>
      </c>
      <c r="N158" s="17564">
        <v>0</v>
      </c>
      <c r="O158" s="17565">
        <v>0</v>
      </c>
      <c r="P158" s="17566">
        <f>IF(HLOOKUP("Shots",A1:CV300,158,FALSE)=0,0,HLOOKUP("SIB",A1:CV300,158,FALSE)/HLOOKUP("Shots",A1:CV300,158,FALSE))</f>
        <v>0</v>
      </c>
      <c r="Q158" s="17567">
        <v>0</v>
      </c>
      <c r="R158" s="17568">
        <f>IF(HLOOKUP("Shots",A1:CV300,158,FALSE)=0,0,HLOOKUP("S6YD",A1:CV300,158,FALSE)/HLOOKUP("Shots",A1:CV300,158,FALSE))</f>
        <v>0</v>
      </c>
      <c r="S158" s="17569">
        <v>0</v>
      </c>
      <c r="T158" s="17570">
        <f>IF(HLOOKUP("Shots",A1:CV300,158,FALSE)=0,0,HLOOKUP("Headers",A1:CV300,158,FALSE)/HLOOKUP("Shots",A1:CV300,158,FALSE))</f>
        <v>0</v>
      </c>
      <c r="U158" s="17571">
        <v>0</v>
      </c>
      <c r="V158" s="17572">
        <f>IF(HLOOKUP("Shots",A1:CV300,158,FALSE)=0,0,HLOOKUP("SOT",A1:CV300,158,FALSE)/HLOOKUP("Shots",A1:CV300,158,FALSE))</f>
        <v>0</v>
      </c>
      <c r="W158" s="17573">
        <f>IF(HLOOKUP("Shots",A1:CV300,158,FALSE)=0,0,HLOOKUP("Gs",A1:CV300,158,FALSE)/HLOOKUP("Shots",A1:CV300,158,FALSE))</f>
        <v>0</v>
      </c>
      <c r="X158" s="17574">
        <v>1</v>
      </c>
      <c r="Y158" s="17575">
        <v>1</v>
      </c>
      <c r="Z158" s="17576">
        <v>5</v>
      </c>
      <c r="AA158" s="17577">
        <f>IF(HLOOKUP("KP",A1:CV300,158,FALSE)=0,0,HLOOKUP("As",A1:CV300,158,FALSE)/HLOOKUP("KP",A1:CV300,158,FALSE))</f>
        <v>0.2</v>
      </c>
      <c r="AB158" s="17578">
        <v>28.5</v>
      </c>
      <c r="AC158" s="17579">
        <v>10</v>
      </c>
      <c r="AD158" s="17580">
        <v>2</v>
      </c>
      <c r="AE158" s="17581">
        <v>0</v>
      </c>
      <c r="AF158" s="17582">
        <v>0</v>
      </c>
      <c r="AG158" s="17583">
        <f>IF(HLOOKUP("BC",A1:CV300,158,FALSE)=0,0,HLOOKUP("Gs - BC",A1:CV300,158,FALSE)/HLOOKUP("BC",A1:CV300,158,FALSE))</f>
        <v>0</v>
      </c>
      <c r="AH158" s="17584">
        <f>HLOOKUP("BC",A1:CV300,158,FALSE) - HLOOKUP("BC Miss",A1:CV300,158,FALSE)</f>
        <v>0</v>
      </c>
      <c r="AI158" s="17585">
        <f>IF(HLOOKUP("Gs",A1:CV300,158,FALSE)=0,0,HLOOKUP("Gs - BC",A1:CV300,158,FALSE)/HLOOKUP("Gs",A1:CV300,158,FALSE))</f>
        <v>0</v>
      </c>
      <c r="AJ158" s="17586">
        <v>0</v>
      </c>
      <c r="AK158" s="17587">
        <v>0</v>
      </c>
      <c r="AL158" s="17588">
        <f>HLOOKUP("BC",A1:CV300,158,FALSE) - (HLOOKUP("PK Gs",A1:CV300,158,FALSE) + HLOOKUP("PK Miss",A1:CV300,158,FALSE))</f>
        <v>0</v>
      </c>
      <c r="AM158" s="17589">
        <f>HLOOKUP("BC Miss",A1:CV300,158,FALSE) - HLOOKUP("PK Miss",A1:CV300,158,FALSE)</f>
        <v>0</v>
      </c>
      <c r="AN158" s="17590">
        <f>IF(HLOOKUP("BC - Open",A1:CV300,158,FALSE)=0,0,HLOOKUP("BC - Open Miss",A1:CV300,158,FALSE)/HLOOKUP("BC - Open",A1:CV300,158,FALSE))</f>
        <v>0</v>
      </c>
      <c r="AO158" s="17591">
        <v>0</v>
      </c>
      <c r="AP158" s="17592">
        <f>IF(HLOOKUP("Gs",A1:CV300,158,FALSE)=0,0,HLOOKUP("GIB",A1:CV300,158,FALSE)/HLOOKUP("Gs",A1:CV300,158,FALSE))</f>
        <v>0</v>
      </c>
      <c r="AQ158" s="17593">
        <v>0</v>
      </c>
      <c r="AR158" s="17594">
        <f>IF(HLOOKUP("Gs",A1:CV300,158,FALSE)=0,0,HLOOKUP("Gs - Open",A1:CV300,158,FALSE)/HLOOKUP("Gs",A1:CV300,158,FALSE))</f>
        <v>0</v>
      </c>
      <c r="AS158" s="17595">
        <v>0</v>
      </c>
      <c r="AT158" s="17596">
        <v>0.39</v>
      </c>
      <c r="AU158" s="17597">
        <f>IF(HLOOKUP("Mins",A1:CV300,158,FALSE)=0,0,HLOOKUP("Pts",A1:CV300,158,FALSE)/HLOOKUP("Mins",A1:CV300,158,FALSE)* 90)</f>
        <v>4.2559109874826149</v>
      </c>
      <c r="AV158" s="17598">
        <f>IF(HLOOKUP("Apps",A1:CV300,158,FALSE)=0,0,HLOOKUP("Pts",A1:CV300,158,FALSE)/HLOOKUP("Apps",A1:CV300,158,FALSE)* 1)</f>
        <v>4.25</v>
      </c>
      <c r="AW158" s="17599">
        <f>IF(HLOOKUP("Mins",A1:CV300,158,FALSE)=0,0,HLOOKUP("Gs",A1:CV300,158,FALSE)/HLOOKUP("Mins",A1:CV300,158,FALSE)* 90)</f>
        <v>0</v>
      </c>
      <c r="AX158" s="17600">
        <f>IF(HLOOKUP("Mins",A1:CV300,158,FALSE)=0,0,HLOOKUP("Bonus",A1:CV300,158,FALSE)/HLOOKUP("Mins",A1:CV300,158,FALSE)* 90)</f>
        <v>0.87621696801112658</v>
      </c>
      <c r="AY158" s="17601">
        <f>IF(HLOOKUP("Mins",A1:CV300,158,FALSE)=0,0,HLOOKUP("BPS",A1:CV300,158,FALSE)/HLOOKUP("Mins",A1:CV300,158,FALSE)* 90)</f>
        <v>21.279554937413074</v>
      </c>
      <c r="AZ158" s="17602">
        <f>IF(HLOOKUP("Mins",A1:CV300,158,FALSE)=0,0,HLOOKUP("Base BPS",A1:CV300,158,FALSE)/HLOOKUP("Mins",A1:CV300,158,FALSE)* 90)</f>
        <v>15.64673157162726</v>
      </c>
      <c r="BA158" s="17603">
        <f>IF(HLOOKUP("Mins",A1:CV300,158,FALSE)=0,0,HLOOKUP("PenTchs",A1:CV300,158,FALSE)/HLOOKUP("Mins",A1:CV300,158,FALSE)* 90)</f>
        <v>0.87621696801112658</v>
      </c>
      <c r="BB158" s="17604">
        <f>IF(HLOOKUP("Mins",A1:CV300,158,FALSE)=0,0,HLOOKUP("Shots",A1:CV300,158,FALSE)/HLOOKUP("Mins",A1:CV300,158,FALSE)* 90)</f>
        <v>0</v>
      </c>
      <c r="BC158" s="17605">
        <f>IF(HLOOKUP("Mins",A1:CV300,158,FALSE)=0,0,HLOOKUP("SIB",A1:CV300,158,FALSE)/HLOOKUP("Mins",A1:CV300,158,FALSE)* 90)</f>
        <v>0</v>
      </c>
      <c r="BD158" s="17606">
        <f>IF(HLOOKUP("Mins",A1:CV300,158,FALSE)=0,0,HLOOKUP("S6YD",A1:CV300,158,FALSE)/HLOOKUP("Mins",A1:CV300,158,FALSE)* 90)</f>
        <v>0</v>
      </c>
      <c r="BE158" s="17607">
        <f>IF(HLOOKUP("Mins",A1:CV300,158,FALSE)=0,0,HLOOKUP("Headers",A1:CV300,158,FALSE)/HLOOKUP("Mins",A1:CV300,158,FALSE)* 90)</f>
        <v>0</v>
      </c>
      <c r="BF158" s="17608">
        <f>IF(HLOOKUP("Mins",A1:CV300,158,FALSE)=0,0,HLOOKUP("SOT",A1:CV300,158,FALSE)/HLOOKUP("Mins",A1:CV300,158,FALSE)* 90)</f>
        <v>0</v>
      </c>
      <c r="BG158" s="17609">
        <f>IF(HLOOKUP("Mins",A1:CV300,158,FALSE)=0,0,HLOOKUP("As",A1:CV300,158,FALSE)/HLOOKUP("Mins",A1:CV300,158,FALSE)* 90)</f>
        <v>0.12517385257301808</v>
      </c>
      <c r="BH158" s="17610">
        <f>IF(HLOOKUP("Mins",A1:CV300,158,FALSE)=0,0,HLOOKUP("FPL As",A1:CV300,158,FALSE)/HLOOKUP("Mins",A1:CV300,158,FALSE)* 90)</f>
        <v>0.12517385257301808</v>
      </c>
      <c r="BI158" s="17611">
        <f>IF(HLOOKUP("Mins",A1:CV300,158,FALSE)=0,0,HLOOKUP("BC Created",A1:CV300,158,FALSE)/HLOOKUP("Mins",A1:CV300,158,FALSE)* 90)</f>
        <v>0.25034770514603616</v>
      </c>
      <c r="BJ158" s="17612">
        <f>IF(HLOOKUP("Mins",A1:CV300,158,FALSE)=0,0,HLOOKUP("KP",A1:CV300,158,FALSE)/HLOOKUP("Mins",A1:CV300,158,FALSE)* 90)</f>
        <v>0.62586926286509048</v>
      </c>
      <c r="BK158" s="17613">
        <f>IF(HLOOKUP("Mins",A1:CV300,158,FALSE)=0,0,HLOOKUP("BC",A1:CV300,158,FALSE)/HLOOKUP("Mins",A1:CV300,158,FALSE)* 90)</f>
        <v>0</v>
      </c>
      <c r="BL158" s="17614">
        <f>IF(HLOOKUP("Mins",A1:CV300,158,FALSE)=0,0,HLOOKUP("BC Miss",A1:CV300,158,FALSE)/HLOOKUP("Mins",A1:CV300,158,FALSE)* 90)</f>
        <v>0</v>
      </c>
      <c r="BM158" s="17615">
        <f>IF(HLOOKUP("Mins",A1:CV300,158,FALSE)=0,0,HLOOKUP("Gs - BC",A1:CV300,158,FALSE)/HLOOKUP("Mins",A1:CV300,158,FALSE)* 90)</f>
        <v>0</v>
      </c>
      <c r="BN158" s="17616">
        <f>IF(HLOOKUP("Mins",A1:CV300,158,FALSE)=0,0,HLOOKUP("GIB",A1:CV300,158,FALSE)/HLOOKUP("Mins",A1:CV300,158,FALSE)* 90)</f>
        <v>0</v>
      </c>
      <c r="BO158" s="17617">
        <f>IF(HLOOKUP("Mins",A1:CV300,158,FALSE)=0,0,HLOOKUP("Gs - Open",A1:CV300,158,FALSE)/HLOOKUP("Mins",A1:CV300,158,FALSE)* 90)</f>
        <v>0</v>
      </c>
      <c r="BP158" s="17618">
        <f>IF(HLOOKUP("Mins",A1:CV300,158,FALSE)=0,0,HLOOKUP("ICT Index",A1:CV300,158,FALSE)/HLOOKUP("Mins",A1:CV300,158,FALSE)* 90)</f>
        <v>3.5674547983310156</v>
      </c>
      <c r="BQ158" s="17619">
        <f>IF(HLOOKUP("Mins",A1:CV300,158,FALSE)=0,0,(0.02*(HLOOKUP("Shots",A1:CV300,158,FALSE)-HLOOKUP("SIB",A1:CV300,158,FALSE))+0.093*(HLOOKUP("SIB",A1:CV300,158,FALSE)-(HLOOKUP("PK Gs",A1:CV300,158,FALSE)+HLOOKUP("PK Miss",A1:CV300,158,FALSE)))+0.75*(HLOOKUP("PK Gs",A1:CV300,158,FALSE)+HLOOKUP("PK Miss",A1:CV300,158,FALSE)))/HLOOKUP("Mins",A1:CV300,158,FALSE)*90)</f>
        <v>0</v>
      </c>
      <c r="BR158" s="17620">
        <f>0.0825*HLOOKUP("KP/90",A1:CV300,158,FALSE)</f>
        <v>5.1634214186369966E-2</v>
      </c>
      <c r="BS158" s="17621">
        <f>6*HLOOKUP("xG/90",A1:CV300,158,FALSE)+3*HLOOKUP("xA/90",A1:CV300,158,FALSE)</f>
        <v>0.1549026425591099</v>
      </c>
      <c r="BT158" s="17622">
        <f>HLOOKUP("xPts/90",A1:CV300,158,FALSE)-(6*0.75*(HLOOKUP("PK Gs",A1:CV300,158,FALSE)+HLOOKUP("PK Miss",A1:CV300,158,FALSE))*90/HLOOKUP("Mins",A1:CV300,158,FALSE))</f>
        <v>0.1549026425591099</v>
      </c>
      <c r="BU158" s="17623">
        <f>IF(HLOOKUP("Mins",A1:CV300,158,FALSE)=0,0,HLOOKUP("fsXG",A1:CV300,158,FALSE)/HLOOKUP("Mins",A1:CV300,158,FALSE)* 90)</f>
        <v>0</v>
      </c>
      <c r="BV158" s="17624">
        <f>IF(HLOOKUP("Mins",A1:CV300,158,FALSE)=0,0,HLOOKUP("fsXA",A1:CV300,158,FALSE)/HLOOKUP("Mins",A1:CV300,158,FALSE)* 90)</f>
        <v>4.8817802503477052E-2</v>
      </c>
      <c r="BW158" s="17625">
        <f>6*HLOOKUP("fsXG/90",A1:CV300,158,FALSE)+3*HLOOKUP("fsXA/90",A1:CV300,158,FALSE)</f>
        <v>0.14645340751043115</v>
      </c>
      <c r="BX158" s="17626">
        <v>0</v>
      </c>
      <c r="BY158" s="17627">
        <v>0.11396791040897369</v>
      </c>
      <c r="BZ158" s="17628">
        <f>6*HLOOKUP("uXG/90",A1:CV300,158,FALSE)+3*HLOOKUP("uXA/90",A1:CV300,158,FALSE)</f>
        <v>0.34190373122692108</v>
      </c>
    </row>
    <row r="159" spans="1:78" hidden="1" x14ac:dyDescent="0.3">
      <c r="A159" s="17629" t="s">
        <v>322</v>
      </c>
      <c r="B159" s="17630" t="s">
        <v>86</v>
      </c>
      <c r="C159" s="17631">
        <v>4.5</v>
      </c>
      <c r="D159" s="17632">
        <v>1553</v>
      </c>
      <c r="E159" s="17633">
        <v>18</v>
      </c>
      <c r="F159" s="17634">
        <v>44</v>
      </c>
      <c r="G159" s="17635">
        <v>1</v>
      </c>
      <c r="H159" s="17636">
        <v>3</v>
      </c>
      <c r="I159" s="17637">
        <v>298</v>
      </c>
      <c r="J159" s="17638">
        <f>HLOOKUP("BPS",A1:CV300,159,FALSE)-((-6*HLOOKUP("OG",A1:CV300,159,FALSE))+(-6*HLOOKUP("PK Miss",A1:CV300,159,FALSE))+(9*HLOOKUP("FPL As",A1:CV300,159,FALSE))+(12*HLOOKUP("CS",A1:CV300,159,FALSE))+(12*HLOOKUP("Gs",A1:CV300,159,FALSE)))</f>
        <v>241</v>
      </c>
      <c r="K159" s="17639">
        <v>0</v>
      </c>
      <c r="L159" s="17640">
        <v>3</v>
      </c>
      <c r="M159" s="17641">
        <v>9</v>
      </c>
      <c r="N159" s="17642">
        <v>4</v>
      </c>
      <c r="O159" s="17643">
        <v>4</v>
      </c>
      <c r="P159" s="17644">
        <f>IF(HLOOKUP("Shots",A1:CV300,159,FALSE)=0,0,HLOOKUP("SIB",A1:CV300,159,FALSE)/HLOOKUP("Shots",A1:CV300,159,FALSE))</f>
        <v>1</v>
      </c>
      <c r="Q159" s="17645">
        <v>0</v>
      </c>
      <c r="R159" s="17646">
        <f>IF(HLOOKUP("Shots",A1:CV300,159,FALSE)=0,0,HLOOKUP("S6YD",A1:CV300,159,FALSE)/HLOOKUP("Shots",A1:CV300,159,FALSE))</f>
        <v>0</v>
      </c>
      <c r="S159" s="17647">
        <v>3</v>
      </c>
      <c r="T159" s="17648">
        <f>IF(HLOOKUP("Shots",A1:CV300,159,FALSE)=0,0,HLOOKUP("Headers",A1:CV300,159,FALSE)/HLOOKUP("Shots",A1:CV300,159,FALSE))</f>
        <v>0.75</v>
      </c>
      <c r="U159" s="17649">
        <v>2</v>
      </c>
      <c r="V159" s="17650">
        <f>IF(HLOOKUP("Shots",A1:CV300,159,FALSE)=0,0,HLOOKUP("SOT",A1:CV300,159,FALSE)/HLOOKUP("Shots",A1:CV300,159,FALSE))</f>
        <v>0.5</v>
      </c>
      <c r="W159" s="17651">
        <f>IF(HLOOKUP("Shots",A1:CV300,159,FALSE)=0,0,HLOOKUP("Gs",A1:CV300,159,FALSE)/HLOOKUP("Shots",A1:CV300,159,FALSE))</f>
        <v>0.25</v>
      </c>
      <c r="X159" s="17652">
        <v>1</v>
      </c>
      <c r="Y159" s="17653">
        <v>1</v>
      </c>
      <c r="Z159" s="17654">
        <v>5</v>
      </c>
      <c r="AA159" s="17655">
        <f>IF(HLOOKUP("KP",A1:CV300,159,FALSE)=0,0,HLOOKUP("As",A1:CV300,159,FALSE)/HLOOKUP("KP",A1:CV300,159,FALSE))</f>
        <v>0.2</v>
      </c>
      <c r="AB159" s="17656">
        <v>54.8</v>
      </c>
      <c r="AC159" s="17657">
        <v>8</v>
      </c>
      <c r="AD159" s="17658">
        <v>1</v>
      </c>
      <c r="AE159" s="17659">
        <v>2</v>
      </c>
      <c r="AF159" s="17660">
        <v>1</v>
      </c>
      <c r="AG159" s="17661">
        <f>IF(HLOOKUP("BC",A1:CV300,159,FALSE)=0,0,HLOOKUP("Gs - BC",A1:CV300,159,FALSE)/HLOOKUP("BC",A1:CV300,159,FALSE))</f>
        <v>0.5</v>
      </c>
      <c r="AH159" s="17662">
        <f>HLOOKUP("BC",A1:CV300,159,FALSE) - HLOOKUP("BC Miss",A1:CV300,159,FALSE)</f>
        <v>1</v>
      </c>
      <c r="AI159" s="17663">
        <f>IF(HLOOKUP("Gs",A1:CV300,159,FALSE)=0,0,HLOOKUP("Gs - BC",A1:CV300,159,FALSE)/HLOOKUP("Gs",A1:CV300,159,FALSE))</f>
        <v>1</v>
      </c>
      <c r="AJ159" s="17664">
        <v>0</v>
      </c>
      <c r="AK159" s="17665">
        <v>0</v>
      </c>
      <c r="AL159" s="17666">
        <f>HLOOKUP("BC",A1:CV300,159,FALSE) - (HLOOKUP("PK Gs",A1:CV300,159,FALSE) + HLOOKUP("PK Miss",A1:CV300,159,FALSE))</f>
        <v>2</v>
      </c>
      <c r="AM159" s="17667">
        <f>HLOOKUP("BC Miss",A1:CV300,159,FALSE) - HLOOKUP("PK Miss",A1:CV300,159,FALSE)</f>
        <v>1</v>
      </c>
      <c r="AN159" s="17668">
        <f>IF(HLOOKUP("BC - Open",A1:CV300,159,FALSE)=0,0,HLOOKUP("BC - Open Miss",A1:CV300,159,FALSE)/HLOOKUP("BC - Open",A1:CV300,159,FALSE))</f>
        <v>0.5</v>
      </c>
      <c r="AO159" s="17669">
        <v>1</v>
      </c>
      <c r="AP159" s="17670">
        <f>IF(HLOOKUP("Gs",A1:CV300,159,FALSE)=0,0,HLOOKUP("GIB",A1:CV300,159,FALSE)/HLOOKUP("Gs",A1:CV300,159,FALSE))</f>
        <v>1</v>
      </c>
      <c r="AQ159" s="17671">
        <v>0</v>
      </c>
      <c r="AR159" s="17672">
        <f>IF(HLOOKUP("Gs",A1:CV300,159,FALSE)=0,0,HLOOKUP("Gs - Open",A1:CV300,159,FALSE)/HLOOKUP("Gs",A1:CV300,159,FALSE))</f>
        <v>0</v>
      </c>
      <c r="AS159" s="17673">
        <v>0.37</v>
      </c>
      <c r="AT159" s="17674">
        <v>0.33</v>
      </c>
      <c r="AU159" s="17675">
        <f>IF(HLOOKUP("Mins",A1:CV300,159,FALSE)=0,0,HLOOKUP("Pts",A1:CV300,159,FALSE)/HLOOKUP("Mins",A1:CV300,159,FALSE)* 90)</f>
        <v>2.5499034127495173</v>
      </c>
      <c r="AV159" s="17676">
        <f>IF(HLOOKUP("Apps",A1:CV300,159,FALSE)=0,0,HLOOKUP("Pts",A1:CV300,159,FALSE)/HLOOKUP("Apps",A1:CV300,159,FALSE)* 1)</f>
        <v>2.4444444444444446</v>
      </c>
      <c r="AW159" s="17677">
        <f>IF(HLOOKUP("Mins",A1:CV300,159,FALSE)=0,0,HLOOKUP("Gs",A1:CV300,159,FALSE)/HLOOKUP("Mins",A1:CV300,159,FALSE)* 90)</f>
        <v>5.7952350289761749E-2</v>
      </c>
      <c r="AX159" s="17678">
        <f>IF(HLOOKUP("Mins",A1:CV300,159,FALSE)=0,0,HLOOKUP("Bonus",A1:CV300,159,FALSE)/HLOOKUP("Mins",A1:CV300,159,FALSE)* 90)</f>
        <v>0.17385705086928527</v>
      </c>
      <c r="AY159" s="17679">
        <f>IF(HLOOKUP("Mins",A1:CV300,159,FALSE)=0,0,HLOOKUP("BPS",A1:CV300,159,FALSE)/HLOOKUP("Mins",A1:CV300,159,FALSE)* 90)</f>
        <v>17.269800386349001</v>
      </c>
      <c r="AZ159" s="17680">
        <f>IF(HLOOKUP("Mins",A1:CV300,159,FALSE)=0,0,HLOOKUP("Base BPS",A1:CV300,159,FALSE)/HLOOKUP("Mins",A1:CV300,159,FALSE)* 90)</f>
        <v>13.966516419832582</v>
      </c>
      <c r="BA159" s="17681">
        <f>IF(HLOOKUP("Mins",A1:CV300,159,FALSE)=0,0,HLOOKUP("PenTchs",A1:CV300,159,FALSE)/HLOOKUP("Mins",A1:CV300,159,FALSE)* 90)</f>
        <v>0.52157115260785569</v>
      </c>
      <c r="BB159" s="17682">
        <f>IF(HLOOKUP("Mins",A1:CV300,159,FALSE)=0,0,HLOOKUP("Shots",A1:CV300,159,FALSE)/HLOOKUP("Mins",A1:CV300,159,FALSE)* 90)</f>
        <v>0.231809401159047</v>
      </c>
      <c r="BC159" s="17683">
        <f>IF(HLOOKUP("Mins",A1:CV300,159,FALSE)=0,0,HLOOKUP("SIB",A1:CV300,159,FALSE)/HLOOKUP("Mins",A1:CV300,159,FALSE)* 90)</f>
        <v>0.231809401159047</v>
      </c>
      <c r="BD159" s="17684">
        <f>IF(HLOOKUP("Mins",A1:CV300,159,FALSE)=0,0,HLOOKUP("S6YD",A1:CV300,159,FALSE)/HLOOKUP("Mins",A1:CV300,159,FALSE)* 90)</f>
        <v>0</v>
      </c>
      <c r="BE159" s="17685">
        <f>IF(HLOOKUP("Mins",A1:CV300,159,FALSE)=0,0,HLOOKUP("Headers",A1:CV300,159,FALSE)/HLOOKUP("Mins",A1:CV300,159,FALSE)* 90)</f>
        <v>0.17385705086928527</v>
      </c>
      <c r="BF159" s="17686">
        <f>IF(HLOOKUP("Mins",A1:CV300,159,FALSE)=0,0,HLOOKUP("SOT",A1:CV300,159,FALSE)/HLOOKUP("Mins",A1:CV300,159,FALSE)* 90)</f>
        <v>0.1159047005795235</v>
      </c>
      <c r="BG159" s="17687">
        <f>IF(HLOOKUP("Mins",A1:CV300,159,FALSE)=0,0,HLOOKUP("As",A1:CV300,159,FALSE)/HLOOKUP("Mins",A1:CV300,159,FALSE)* 90)</f>
        <v>5.7952350289761749E-2</v>
      </c>
      <c r="BH159" s="17688">
        <f>IF(HLOOKUP("Mins",A1:CV300,159,FALSE)=0,0,HLOOKUP("FPL As",A1:CV300,159,FALSE)/HLOOKUP("Mins",A1:CV300,159,FALSE)* 90)</f>
        <v>5.7952350289761749E-2</v>
      </c>
      <c r="BI159" s="17689">
        <f>IF(HLOOKUP("Mins",A1:CV300,159,FALSE)=0,0,HLOOKUP("BC Created",A1:CV300,159,FALSE)/HLOOKUP("Mins",A1:CV300,159,FALSE)* 90)</f>
        <v>5.7952350289761749E-2</v>
      </c>
      <c r="BJ159" s="17690">
        <f>IF(HLOOKUP("Mins",A1:CV300,159,FALSE)=0,0,HLOOKUP("KP",A1:CV300,159,FALSE)/HLOOKUP("Mins",A1:CV300,159,FALSE)* 90)</f>
        <v>0.28976175144880872</v>
      </c>
      <c r="BK159" s="17691">
        <f>IF(HLOOKUP("Mins",A1:CV300,159,FALSE)=0,0,HLOOKUP("BC",A1:CV300,159,FALSE)/HLOOKUP("Mins",A1:CV300,159,FALSE)* 90)</f>
        <v>0.1159047005795235</v>
      </c>
      <c r="BL159" s="17692">
        <f>IF(HLOOKUP("Mins",A1:CV300,159,FALSE)=0,0,HLOOKUP("BC Miss",A1:CV300,159,FALSE)/HLOOKUP("Mins",A1:CV300,159,FALSE)* 90)</f>
        <v>5.7952350289761749E-2</v>
      </c>
      <c r="BM159" s="17693">
        <f>IF(HLOOKUP("Mins",A1:CV300,159,FALSE)=0,0,HLOOKUP("Gs - BC",A1:CV300,159,FALSE)/HLOOKUP("Mins",A1:CV300,159,FALSE)* 90)</f>
        <v>5.7952350289761749E-2</v>
      </c>
      <c r="BN159" s="17694">
        <f>IF(HLOOKUP("Mins",A1:CV300,159,FALSE)=0,0,HLOOKUP("GIB",A1:CV300,159,FALSE)/HLOOKUP("Mins",A1:CV300,159,FALSE)* 90)</f>
        <v>5.7952350289761749E-2</v>
      </c>
      <c r="BO159" s="17695">
        <f>IF(HLOOKUP("Mins",A1:CV300,159,FALSE)=0,0,HLOOKUP("Gs - Open",A1:CV300,159,FALSE)/HLOOKUP("Mins",A1:CV300,159,FALSE)* 90)</f>
        <v>0</v>
      </c>
      <c r="BP159" s="17696">
        <f>IF(HLOOKUP("Mins",A1:CV300,159,FALSE)=0,0,HLOOKUP("ICT Index",A1:CV300,159,FALSE)/HLOOKUP("Mins",A1:CV300,159,FALSE)* 90)</f>
        <v>3.1757887958789435</v>
      </c>
      <c r="BQ159" s="17697">
        <f>IF(HLOOKUP("Mins",A1:CV300,159,FALSE)=0,0,(0.02*(HLOOKUP("Shots",A1:CV300,159,FALSE)-HLOOKUP("SIB",A1:CV300,159,FALSE))+0.093*(HLOOKUP("SIB",A1:CV300,159,FALSE)-(HLOOKUP("PK Gs",A1:CV300,159,FALSE)+HLOOKUP("PK Miss",A1:CV300,159,FALSE)))+0.75*(HLOOKUP("PK Gs",A1:CV300,159,FALSE)+HLOOKUP("PK Miss",A1:CV300,159,FALSE)))/HLOOKUP("Mins",A1:CV300,159,FALSE)*90)</f>
        <v>2.1558274307791371E-2</v>
      </c>
      <c r="BR159" s="17698">
        <f>0.0825*HLOOKUP("KP/90",A1:CV300,159,FALSE)</f>
        <v>2.390534449452672E-2</v>
      </c>
      <c r="BS159" s="17699">
        <f>6*HLOOKUP("xG/90",A1:CV300,159,FALSE)+3*HLOOKUP("xA/90",A1:CV300,159,FALSE)</f>
        <v>0.2010656793303284</v>
      </c>
      <c r="BT159" s="17700">
        <f>HLOOKUP("xPts/90",A1:CV300,159,FALSE)-(6*0.75*(HLOOKUP("PK Gs",A1:CV300,159,FALSE)+HLOOKUP("PK Miss",A1:CV300,159,FALSE))*90/HLOOKUP("Mins",A1:CV300,159,FALSE))</f>
        <v>0.2010656793303284</v>
      </c>
      <c r="BU159" s="17701">
        <f>IF(HLOOKUP("Mins",A1:CV300,159,FALSE)=0,0,HLOOKUP("fsXG",A1:CV300,159,FALSE)/HLOOKUP("Mins",A1:CV300,159,FALSE)* 90)</f>
        <v>2.1442369607211846E-2</v>
      </c>
      <c r="BV159" s="17702">
        <f>IF(HLOOKUP("Mins",A1:CV300,159,FALSE)=0,0,HLOOKUP("fsXA",A1:CV300,159,FALSE)/HLOOKUP("Mins",A1:CV300,159,FALSE)* 90)</f>
        <v>1.9124275595621378E-2</v>
      </c>
      <c r="BW159" s="17703">
        <f>6*HLOOKUP("fsXG/90",A1:CV300,159,FALSE)+3*HLOOKUP("fsXA/90",A1:CV300,159,FALSE)</f>
        <v>0.18602704443013518</v>
      </c>
      <c r="BX159" s="17704">
        <v>3.7926405668258667E-2</v>
      </c>
      <c r="BY159" s="17705">
        <v>2.6756629347801208E-2</v>
      </c>
      <c r="BZ159" s="17706">
        <f>6*HLOOKUP("uXG/90",A1:CV300,159,FALSE)+3*HLOOKUP("uXA/90",A1:CV300,159,FALSE)</f>
        <v>0.30782832205295563</v>
      </c>
    </row>
    <row r="160" spans="1:78" hidden="1" x14ac:dyDescent="0.3">
      <c r="A160" s="17707" t="s">
        <v>323</v>
      </c>
      <c r="B160" s="17708" t="s">
        <v>105</v>
      </c>
      <c r="C160" s="17709">
        <v>5.5</v>
      </c>
      <c r="D160" s="17710">
        <v>833</v>
      </c>
      <c r="E160" s="17711">
        <v>10</v>
      </c>
      <c r="F160" s="17712">
        <v>31</v>
      </c>
      <c r="G160" s="17713">
        <v>0</v>
      </c>
      <c r="H160" s="17714">
        <v>0</v>
      </c>
      <c r="I160" s="17715">
        <v>182</v>
      </c>
      <c r="J160" s="17716">
        <f>HLOOKUP("BPS",A1:CV300,160,FALSE)-((-6*HLOOKUP("OG",A1:CV300,160,FALSE))+(-6*HLOOKUP("PK Miss",A1:CV300,160,FALSE))+(9*HLOOKUP("FPL As",A1:CV300,160,FALSE))+(12*HLOOKUP("CS",A1:CV300,160,FALSE))+(12*HLOOKUP("Gs",A1:CV300,160,FALSE)))</f>
        <v>137</v>
      </c>
      <c r="K160" s="17717">
        <v>0</v>
      </c>
      <c r="L160" s="17718">
        <v>3</v>
      </c>
      <c r="M160" s="17719">
        <v>6</v>
      </c>
      <c r="N160" s="17720">
        <v>3</v>
      </c>
      <c r="O160" s="17721">
        <v>2</v>
      </c>
      <c r="P160" s="17722">
        <f>IF(HLOOKUP("Shots",A1:CV300,160,FALSE)=0,0,HLOOKUP("SIB",A1:CV300,160,FALSE)/HLOOKUP("Shots",A1:CV300,160,FALSE))</f>
        <v>0.66666666666666663</v>
      </c>
      <c r="Q160" s="17723">
        <v>0</v>
      </c>
      <c r="R160" s="17724">
        <f>IF(HLOOKUP("Shots",A1:CV300,160,FALSE)=0,0,HLOOKUP("S6YD",A1:CV300,160,FALSE)/HLOOKUP("Shots",A1:CV300,160,FALSE))</f>
        <v>0</v>
      </c>
      <c r="S160" s="17725">
        <v>0</v>
      </c>
      <c r="T160" s="17726">
        <f>IF(HLOOKUP("Shots",A1:CV300,160,FALSE)=0,0,HLOOKUP("Headers",A1:CV300,160,FALSE)/HLOOKUP("Shots",A1:CV300,160,FALSE))</f>
        <v>0</v>
      </c>
      <c r="U160" s="17727">
        <v>0</v>
      </c>
      <c r="V160" s="17728">
        <f>IF(HLOOKUP("Shots",A1:CV300,160,FALSE)=0,0,HLOOKUP("SOT",A1:CV300,160,FALSE)/HLOOKUP("Shots",A1:CV300,160,FALSE))</f>
        <v>0</v>
      </c>
      <c r="W160" s="17729">
        <f>IF(HLOOKUP("Shots",A1:CV300,160,FALSE)=0,0,HLOOKUP("Gs",A1:CV300,160,FALSE)/HLOOKUP("Shots",A1:CV300,160,FALSE))</f>
        <v>0</v>
      </c>
      <c r="X160" s="17730">
        <v>1</v>
      </c>
      <c r="Y160" s="17731">
        <v>1</v>
      </c>
      <c r="Z160" s="17732">
        <v>12</v>
      </c>
      <c r="AA160" s="17733">
        <f>IF(HLOOKUP("KP",A1:CV300,160,FALSE)=0,0,HLOOKUP("As",A1:CV300,160,FALSE)/HLOOKUP("KP",A1:CV300,160,FALSE))</f>
        <v>8.3333333333333329E-2</v>
      </c>
      <c r="AB160" s="17734">
        <v>41</v>
      </c>
      <c r="AC160" s="17735">
        <v>3</v>
      </c>
      <c r="AD160" s="17736">
        <v>1</v>
      </c>
      <c r="AE160" s="17737">
        <v>0</v>
      </c>
      <c r="AF160" s="17738">
        <v>0</v>
      </c>
      <c r="AG160" s="17739">
        <f>IF(HLOOKUP("BC",A1:CV300,160,FALSE)=0,0,HLOOKUP("Gs - BC",A1:CV300,160,FALSE)/HLOOKUP("BC",A1:CV300,160,FALSE))</f>
        <v>0</v>
      </c>
      <c r="AH160" s="17740">
        <f>HLOOKUP("BC",A1:CV300,160,FALSE) - HLOOKUP("BC Miss",A1:CV300,160,FALSE)</f>
        <v>0</v>
      </c>
      <c r="AI160" s="17741">
        <f>IF(HLOOKUP("Gs",A1:CV300,160,FALSE)=0,0,HLOOKUP("Gs - BC",A1:CV300,160,FALSE)/HLOOKUP("Gs",A1:CV300,160,FALSE))</f>
        <v>0</v>
      </c>
      <c r="AJ160" s="17742">
        <v>0</v>
      </c>
      <c r="AK160" s="17743">
        <v>0</v>
      </c>
      <c r="AL160" s="17744">
        <f>HLOOKUP("BC",A1:CV300,160,FALSE) - (HLOOKUP("PK Gs",A1:CV300,160,FALSE) + HLOOKUP("PK Miss",A1:CV300,160,FALSE))</f>
        <v>0</v>
      </c>
      <c r="AM160" s="17745">
        <f>HLOOKUP("BC Miss",A1:CV300,160,FALSE) - HLOOKUP("PK Miss",A1:CV300,160,FALSE)</f>
        <v>0</v>
      </c>
      <c r="AN160" s="17746">
        <f>IF(HLOOKUP("BC - Open",A1:CV300,160,FALSE)=0,0,HLOOKUP("BC - Open Miss",A1:CV300,160,FALSE)/HLOOKUP("BC - Open",A1:CV300,160,FALSE))</f>
        <v>0</v>
      </c>
      <c r="AO160" s="17747">
        <v>0</v>
      </c>
      <c r="AP160" s="17748">
        <f>IF(HLOOKUP("Gs",A1:CV300,160,FALSE)=0,0,HLOOKUP("GIB",A1:CV300,160,FALSE)/HLOOKUP("Gs",A1:CV300,160,FALSE))</f>
        <v>0</v>
      </c>
      <c r="AQ160" s="17749">
        <v>0</v>
      </c>
      <c r="AR160" s="17750">
        <f>IF(HLOOKUP("Gs",A1:CV300,160,FALSE)=0,0,HLOOKUP("Gs - Open",A1:CV300,160,FALSE)/HLOOKUP("Gs",A1:CV300,160,FALSE))</f>
        <v>0</v>
      </c>
      <c r="AS160" s="17751">
        <v>0.12</v>
      </c>
      <c r="AT160" s="17752">
        <v>0.81</v>
      </c>
      <c r="AU160" s="17753">
        <f>IF(HLOOKUP("Mins",A1:CV300,160,FALSE)=0,0,HLOOKUP("Pts",A1:CV300,160,FALSE)/HLOOKUP("Mins",A1:CV300,160,FALSE)* 90)</f>
        <v>3.3493397358943575</v>
      </c>
      <c r="AV160" s="17754">
        <f>IF(HLOOKUP("Apps",A1:CV300,160,FALSE)=0,0,HLOOKUP("Pts",A1:CV300,160,FALSE)/HLOOKUP("Apps",A1:CV300,160,FALSE)* 1)</f>
        <v>3.1</v>
      </c>
      <c r="AW160" s="17755">
        <f>IF(HLOOKUP("Mins",A1:CV300,160,FALSE)=0,0,HLOOKUP("Gs",A1:CV300,160,FALSE)/HLOOKUP("Mins",A1:CV300,160,FALSE)* 90)</f>
        <v>0</v>
      </c>
      <c r="AX160" s="17756">
        <f>IF(HLOOKUP("Mins",A1:CV300,160,FALSE)=0,0,HLOOKUP("Bonus",A1:CV300,160,FALSE)/HLOOKUP("Mins",A1:CV300,160,FALSE)* 90)</f>
        <v>0</v>
      </c>
      <c r="AY160" s="17757">
        <f>IF(HLOOKUP("Mins",A1:CV300,160,FALSE)=0,0,HLOOKUP("BPS",A1:CV300,160,FALSE)/HLOOKUP("Mins",A1:CV300,160,FALSE)* 90)</f>
        <v>19.663865546218489</v>
      </c>
      <c r="AZ160" s="17758">
        <f>IF(HLOOKUP("Mins",A1:CV300,160,FALSE)=0,0,HLOOKUP("Base BPS",A1:CV300,160,FALSE)/HLOOKUP("Mins",A1:CV300,160,FALSE)* 90)</f>
        <v>14.801920768307323</v>
      </c>
      <c r="BA160" s="17759">
        <f>IF(HLOOKUP("Mins",A1:CV300,160,FALSE)=0,0,HLOOKUP("PenTchs",A1:CV300,160,FALSE)/HLOOKUP("Mins",A1:CV300,160,FALSE)* 90)</f>
        <v>0.64825930372148854</v>
      </c>
      <c r="BB160" s="17760">
        <f>IF(HLOOKUP("Mins",A1:CV300,160,FALSE)=0,0,HLOOKUP("Shots",A1:CV300,160,FALSE)/HLOOKUP("Mins",A1:CV300,160,FALSE)* 90)</f>
        <v>0.32412965186074427</v>
      </c>
      <c r="BC160" s="17761">
        <f>IF(HLOOKUP("Mins",A1:CV300,160,FALSE)=0,0,HLOOKUP("SIB",A1:CV300,160,FALSE)/HLOOKUP("Mins",A1:CV300,160,FALSE)* 90)</f>
        <v>0.21608643457382951</v>
      </c>
      <c r="BD160" s="17762">
        <f>IF(HLOOKUP("Mins",A1:CV300,160,FALSE)=0,0,HLOOKUP("S6YD",A1:CV300,160,FALSE)/HLOOKUP("Mins",A1:CV300,160,FALSE)* 90)</f>
        <v>0</v>
      </c>
      <c r="BE160" s="17763">
        <f>IF(HLOOKUP("Mins",A1:CV300,160,FALSE)=0,0,HLOOKUP("Headers",A1:CV300,160,FALSE)/HLOOKUP("Mins",A1:CV300,160,FALSE)* 90)</f>
        <v>0</v>
      </c>
      <c r="BF160" s="17764">
        <f>IF(HLOOKUP("Mins",A1:CV300,160,FALSE)=0,0,HLOOKUP("SOT",A1:CV300,160,FALSE)/HLOOKUP("Mins",A1:CV300,160,FALSE)* 90)</f>
        <v>0</v>
      </c>
      <c r="BG160" s="17765">
        <f>IF(HLOOKUP("Mins",A1:CV300,160,FALSE)=0,0,HLOOKUP("As",A1:CV300,160,FALSE)/HLOOKUP("Mins",A1:CV300,160,FALSE)* 90)</f>
        <v>0.10804321728691475</v>
      </c>
      <c r="BH160" s="17766">
        <f>IF(HLOOKUP("Mins",A1:CV300,160,FALSE)=0,0,HLOOKUP("FPL As",A1:CV300,160,FALSE)/HLOOKUP("Mins",A1:CV300,160,FALSE)* 90)</f>
        <v>0.10804321728691475</v>
      </c>
      <c r="BI160" s="17767">
        <f>IF(HLOOKUP("Mins",A1:CV300,160,FALSE)=0,0,HLOOKUP("BC Created",A1:CV300,160,FALSE)/HLOOKUP("Mins",A1:CV300,160,FALSE)* 90)</f>
        <v>0.10804321728691475</v>
      </c>
      <c r="BJ160" s="17768">
        <f>IF(HLOOKUP("Mins",A1:CV300,160,FALSE)=0,0,HLOOKUP("KP",A1:CV300,160,FALSE)/HLOOKUP("Mins",A1:CV300,160,FALSE)* 90)</f>
        <v>1.2965186074429771</v>
      </c>
      <c r="BK160" s="17769">
        <f>IF(HLOOKUP("Mins",A1:CV300,160,FALSE)=0,0,HLOOKUP("BC",A1:CV300,160,FALSE)/HLOOKUP("Mins",A1:CV300,160,FALSE)* 90)</f>
        <v>0</v>
      </c>
      <c r="BL160" s="17770">
        <f>IF(HLOOKUP("Mins",A1:CV300,160,FALSE)=0,0,HLOOKUP("BC Miss",A1:CV300,160,FALSE)/HLOOKUP("Mins",A1:CV300,160,FALSE)* 90)</f>
        <v>0</v>
      </c>
      <c r="BM160" s="17771">
        <f>IF(HLOOKUP("Mins",A1:CV300,160,FALSE)=0,0,HLOOKUP("Gs - BC",A1:CV300,160,FALSE)/HLOOKUP("Mins",A1:CV300,160,FALSE)* 90)</f>
        <v>0</v>
      </c>
      <c r="BN160" s="17772">
        <f>IF(HLOOKUP("Mins",A1:CV300,160,FALSE)=0,0,HLOOKUP("GIB",A1:CV300,160,FALSE)/HLOOKUP("Mins",A1:CV300,160,FALSE)* 90)</f>
        <v>0</v>
      </c>
      <c r="BO160" s="17773">
        <f>IF(HLOOKUP("Mins",A1:CV300,160,FALSE)=0,0,HLOOKUP("Gs - Open",A1:CV300,160,FALSE)/HLOOKUP("Mins",A1:CV300,160,FALSE)* 90)</f>
        <v>0</v>
      </c>
      <c r="BP160" s="17774">
        <f>IF(HLOOKUP("Mins",A1:CV300,160,FALSE)=0,0,HLOOKUP("ICT Index",A1:CV300,160,FALSE)/HLOOKUP("Mins",A1:CV300,160,FALSE)* 90)</f>
        <v>4.4297719087635059</v>
      </c>
      <c r="BQ160" s="17775">
        <f>IF(HLOOKUP("Mins",A1:CV300,160,FALSE)=0,0,(0.02*(HLOOKUP("Shots",A1:CV300,160,FALSE)-HLOOKUP("SIB",A1:CV300,160,FALSE))+0.093*(HLOOKUP("SIB",A1:CV300,160,FALSE)-(HLOOKUP("PK Gs",A1:CV300,160,FALSE)+HLOOKUP("PK Miss",A1:CV300,160,FALSE)))+0.75*(HLOOKUP("PK Gs",A1:CV300,160,FALSE)+HLOOKUP("PK Miss",A1:CV300,160,FALSE)))/HLOOKUP("Mins",A1:CV300,160,FALSE)*90)</f>
        <v>2.2256902761104442E-2</v>
      </c>
      <c r="BR160" s="17776">
        <f>0.0825*HLOOKUP("KP/90",A1:CV300,160,FALSE)</f>
        <v>0.10696278511404561</v>
      </c>
      <c r="BS160" s="17777">
        <f>6*HLOOKUP("xG/90",A1:CV300,160,FALSE)+3*HLOOKUP("xA/90",A1:CV300,160,FALSE)</f>
        <v>0.45442977190876349</v>
      </c>
      <c r="BT160" s="17778">
        <f>HLOOKUP("xPts/90",A1:CV300,160,FALSE)-(6*0.75*(HLOOKUP("PK Gs",A1:CV300,160,FALSE)+HLOOKUP("PK Miss",A1:CV300,160,FALSE))*90/HLOOKUP("Mins",A1:CV300,160,FALSE))</f>
        <v>0.45442977190876349</v>
      </c>
      <c r="BU160" s="17779">
        <f>IF(HLOOKUP("Mins",A1:CV300,160,FALSE)=0,0,HLOOKUP("fsXG",A1:CV300,160,FALSE)/HLOOKUP("Mins",A1:CV300,160,FALSE)* 90)</f>
        <v>1.296518607442977E-2</v>
      </c>
      <c r="BV160" s="17780">
        <f>IF(HLOOKUP("Mins",A1:CV300,160,FALSE)=0,0,HLOOKUP("fsXA",A1:CV300,160,FALSE)/HLOOKUP("Mins",A1:CV300,160,FALSE)* 90)</f>
        <v>8.7515006002400961E-2</v>
      </c>
      <c r="BW160" s="17781">
        <f>6*HLOOKUP("fsXG/90",A1:CV300,160,FALSE)+3*HLOOKUP("fsXA/90",A1:CV300,160,FALSE)</f>
        <v>0.34033613445378147</v>
      </c>
      <c r="BX160" s="17782">
        <v>1.4367803931236267E-2</v>
      </c>
      <c r="BY160" s="17783">
        <v>9.8109394311904907E-2</v>
      </c>
      <c r="BZ160" s="17784">
        <f>6*HLOOKUP("uXG/90",A1:CV300,160,FALSE)+3*HLOOKUP("uXA/90",A1:CV300,160,FALSE)</f>
        <v>0.38053500652313232</v>
      </c>
    </row>
    <row r="161" spans="1:78" hidden="1" x14ac:dyDescent="0.3">
      <c r="A161" s="17785" t="s">
        <v>324</v>
      </c>
      <c r="B161" s="17786" t="s">
        <v>132</v>
      </c>
      <c r="C161" s="17787">
        <v>5.1999998092651367</v>
      </c>
      <c r="D161" s="17788">
        <v>630</v>
      </c>
      <c r="E161" s="17789">
        <v>7</v>
      </c>
      <c r="F161" s="17790">
        <v>32</v>
      </c>
      <c r="G161" s="17791">
        <v>1</v>
      </c>
      <c r="H161" s="17792">
        <v>4</v>
      </c>
      <c r="I161" s="17793">
        <v>141</v>
      </c>
      <c r="J161" s="17794">
        <f>HLOOKUP("BPS",A1:CV300,161,FALSE)-((-6*HLOOKUP("OG",A1:CV300,161,FALSE))+(-6*HLOOKUP("PK Miss",A1:CV300,161,FALSE))+(9*HLOOKUP("FPL As",A1:CV300,161,FALSE))+(12*HLOOKUP("CS",A1:CV300,161,FALSE))+(12*HLOOKUP("Gs",A1:CV300,161,FALSE)))</f>
        <v>105</v>
      </c>
      <c r="K161" s="17795">
        <v>0</v>
      </c>
      <c r="L161" s="17796">
        <v>2</v>
      </c>
      <c r="M161" s="17797">
        <v>8</v>
      </c>
      <c r="N161" s="17798">
        <v>3</v>
      </c>
      <c r="O161" s="17799">
        <v>3</v>
      </c>
      <c r="P161" s="17800">
        <f>IF(HLOOKUP("Shots",A1:CV300,161,FALSE)=0,0,HLOOKUP("SIB",A1:CV300,161,FALSE)/HLOOKUP("Shots",A1:CV300,161,FALSE))</f>
        <v>1</v>
      </c>
      <c r="Q161" s="17801">
        <v>0</v>
      </c>
      <c r="R161" s="17802">
        <f>IF(HLOOKUP("Shots",A1:CV300,161,FALSE)=0,0,HLOOKUP("S6YD",A1:CV300,161,FALSE)/HLOOKUP("Shots",A1:CV300,161,FALSE))</f>
        <v>0</v>
      </c>
      <c r="S161" s="17803">
        <v>2</v>
      </c>
      <c r="T161" s="17804">
        <f>IF(HLOOKUP("Shots",A1:CV300,161,FALSE)=0,0,HLOOKUP("Headers",A1:CV300,161,FALSE)/HLOOKUP("Shots",A1:CV300,161,FALSE))</f>
        <v>0.66666666666666663</v>
      </c>
      <c r="U161" s="17805">
        <v>1</v>
      </c>
      <c r="V161" s="17806">
        <f>IF(HLOOKUP("Shots",A1:CV300,161,FALSE)=0,0,HLOOKUP("SOT",A1:CV300,161,FALSE)/HLOOKUP("Shots",A1:CV300,161,FALSE))</f>
        <v>0.33333333333333331</v>
      </c>
      <c r="W161" s="17807">
        <f>IF(HLOOKUP("Shots",A1:CV300,161,FALSE)=0,0,HLOOKUP("Gs",A1:CV300,161,FALSE)/HLOOKUP("Shots",A1:CV300,161,FALSE))</f>
        <v>0.33333333333333331</v>
      </c>
      <c r="X161" s="17808">
        <v>0</v>
      </c>
      <c r="Y161" s="17809">
        <v>0</v>
      </c>
      <c r="Z161" s="17810">
        <v>1</v>
      </c>
      <c r="AA161" s="17811">
        <f>IF(HLOOKUP("KP",A1:CV300,161,FALSE)=0,0,HLOOKUP("As",A1:CV300,161,FALSE)/HLOOKUP("KP",A1:CV300,161,FALSE))</f>
        <v>0</v>
      </c>
      <c r="AB161" s="17812">
        <v>25.2</v>
      </c>
      <c r="AC161" s="17813">
        <v>7</v>
      </c>
      <c r="AD161" s="17814">
        <v>0</v>
      </c>
      <c r="AE161" s="17815">
        <v>0</v>
      </c>
      <c r="AF161" s="17816">
        <v>0</v>
      </c>
      <c r="AG161" s="17817">
        <f>IF(HLOOKUP("BC",A1:CV300,161,FALSE)=0,0,HLOOKUP("Gs - BC",A1:CV300,161,FALSE)/HLOOKUP("BC",A1:CV300,161,FALSE))</f>
        <v>0</v>
      </c>
      <c r="AH161" s="17818">
        <f>HLOOKUP("BC",A1:CV300,161,FALSE) - HLOOKUP("BC Miss",A1:CV300,161,FALSE)</f>
        <v>0</v>
      </c>
      <c r="AI161" s="17819">
        <f>IF(HLOOKUP("Gs",A1:CV300,161,FALSE)=0,0,HLOOKUP("Gs - BC",A1:CV300,161,FALSE)/HLOOKUP("Gs",A1:CV300,161,FALSE))</f>
        <v>0</v>
      </c>
      <c r="AJ161" s="17820">
        <v>0</v>
      </c>
      <c r="AK161" s="17821">
        <v>0</v>
      </c>
      <c r="AL161" s="17822">
        <f>HLOOKUP("BC",A1:CV300,161,FALSE) - (HLOOKUP("PK Gs",A1:CV300,161,FALSE) + HLOOKUP("PK Miss",A1:CV300,161,FALSE))</f>
        <v>0</v>
      </c>
      <c r="AM161" s="17823">
        <f>HLOOKUP("BC Miss",A1:CV300,161,FALSE) - HLOOKUP("PK Miss",A1:CV300,161,FALSE)</f>
        <v>0</v>
      </c>
      <c r="AN161" s="17824">
        <f>IF(HLOOKUP("BC - Open",A1:CV300,161,FALSE)=0,0,HLOOKUP("BC - Open Miss",A1:CV300,161,FALSE)/HLOOKUP("BC - Open",A1:CV300,161,FALSE))</f>
        <v>0</v>
      </c>
      <c r="AO161" s="17825">
        <v>1</v>
      </c>
      <c r="AP161" s="17826">
        <f>IF(HLOOKUP("Gs",A1:CV300,161,FALSE)=0,0,HLOOKUP("GIB",A1:CV300,161,FALSE)/HLOOKUP("Gs",A1:CV300,161,FALSE))</f>
        <v>1</v>
      </c>
      <c r="AQ161" s="17827">
        <v>0</v>
      </c>
      <c r="AR161" s="17828">
        <f>IF(HLOOKUP("Gs",A1:CV300,161,FALSE)=0,0,HLOOKUP("Gs - Open",A1:CV300,161,FALSE)/HLOOKUP("Gs",A1:CV300,161,FALSE))</f>
        <v>0</v>
      </c>
      <c r="AS161" s="17829">
        <v>0.21</v>
      </c>
      <c r="AT161" s="17830">
        <v>0.19</v>
      </c>
      <c r="AU161" s="17831">
        <f>IF(HLOOKUP("Mins",A1:CV300,161,FALSE)=0,0,HLOOKUP("Pts",A1:CV300,161,FALSE)/HLOOKUP("Mins",A1:CV300,161,FALSE)* 90)</f>
        <v>4.5714285714285712</v>
      </c>
      <c r="AV161" s="17832">
        <f>IF(HLOOKUP("Apps",A1:CV300,161,FALSE)=0,0,HLOOKUP("Pts",A1:CV300,161,FALSE)/HLOOKUP("Apps",A1:CV300,161,FALSE)* 1)</f>
        <v>4.5714285714285712</v>
      </c>
      <c r="AW161" s="17833">
        <f>IF(HLOOKUP("Mins",A1:CV300,161,FALSE)=0,0,HLOOKUP("Gs",A1:CV300,161,FALSE)/HLOOKUP("Mins",A1:CV300,161,FALSE)* 90)</f>
        <v>0.14285714285714285</v>
      </c>
      <c r="AX161" s="17834">
        <f>IF(HLOOKUP("Mins",A1:CV300,161,FALSE)=0,0,HLOOKUP("Bonus",A1:CV300,161,FALSE)/HLOOKUP("Mins",A1:CV300,161,FALSE)* 90)</f>
        <v>0.5714285714285714</v>
      </c>
      <c r="AY161" s="17835">
        <f>IF(HLOOKUP("Mins",A1:CV300,161,FALSE)=0,0,HLOOKUP("BPS",A1:CV300,161,FALSE)/HLOOKUP("Mins",A1:CV300,161,FALSE)* 90)</f>
        <v>20.142857142857142</v>
      </c>
      <c r="AZ161" s="17836">
        <f>IF(HLOOKUP("Mins",A1:CV300,161,FALSE)=0,0,HLOOKUP("Base BPS",A1:CV300,161,FALSE)/HLOOKUP("Mins",A1:CV300,161,FALSE)* 90)</f>
        <v>15</v>
      </c>
      <c r="BA161" s="17837">
        <f>IF(HLOOKUP("Mins",A1:CV300,161,FALSE)=0,0,HLOOKUP("PenTchs",A1:CV300,161,FALSE)/HLOOKUP("Mins",A1:CV300,161,FALSE)* 90)</f>
        <v>1.1428571428571428</v>
      </c>
      <c r="BB161" s="17838">
        <f>IF(HLOOKUP("Mins",A1:CV300,161,FALSE)=0,0,HLOOKUP("Shots",A1:CV300,161,FALSE)/HLOOKUP("Mins",A1:CV300,161,FALSE)* 90)</f>
        <v>0.4285714285714286</v>
      </c>
      <c r="BC161" s="17839">
        <f>IF(HLOOKUP("Mins",A1:CV300,161,FALSE)=0,0,HLOOKUP("SIB",A1:CV300,161,FALSE)/HLOOKUP("Mins",A1:CV300,161,FALSE)* 90)</f>
        <v>0.4285714285714286</v>
      </c>
      <c r="BD161" s="17840">
        <f>IF(HLOOKUP("Mins",A1:CV300,161,FALSE)=0,0,HLOOKUP("S6YD",A1:CV300,161,FALSE)/HLOOKUP("Mins",A1:CV300,161,FALSE)* 90)</f>
        <v>0</v>
      </c>
      <c r="BE161" s="17841">
        <f>IF(HLOOKUP("Mins",A1:CV300,161,FALSE)=0,0,HLOOKUP("Headers",A1:CV300,161,FALSE)/HLOOKUP("Mins",A1:CV300,161,FALSE)* 90)</f>
        <v>0.2857142857142857</v>
      </c>
      <c r="BF161" s="17842">
        <f>IF(HLOOKUP("Mins",A1:CV300,161,FALSE)=0,0,HLOOKUP("SOT",A1:CV300,161,FALSE)/HLOOKUP("Mins",A1:CV300,161,FALSE)* 90)</f>
        <v>0.14285714285714285</v>
      </c>
      <c r="BG161" s="17843">
        <f>IF(HLOOKUP("Mins",A1:CV300,161,FALSE)=0,0,HLOOKUP("As",A1:CV300,161,FALSE)/HLOOKUP("Mins",A1:CV300,161,FALSE)* 90)</f>
        <v>0</v>
      </c>
      <c r="BH161" s="17844">
        <f>IF(HLOOKUP("Mins",A1:CV300,161,FALSE)=0,0,HLOOKUP("FPL As",A1:CV300,161,FALSE)/HLOOKUP("Mins",A1:CV300,161,FALSE)* 90)</f>
        <v>0</v>
      </c>
      <c r="BI161" s="17845">
        <f>IF(HLOOKUP("Mins",A1:CV300,161,FALSE)=0,0,HLOOKUP("BC Created",A1:CV300,161,FALSE)/HLOOKUP("Mins",A1:CV300,161,FALSE)* 90)</f>
        <v>0</v>
      </c>
      <c r="BJ161" s="17846">
        <f>IF(HLOOKUP("Mins",A1:CV300,161,FALSE)=0,0,HLOOKUP("KP",A1:CV300,161,FALSE)/HLOOKUP("Mins",A1:CV300,161,FALSE)* 90)</f>
        <v>0.14285714285714285</v>
      </c>
      <c r="BK161" s="17847">
        <f>IF(HLOOKUP("Mins",A1:CV300,161,FALSE)=0,0,HLOOKUP("BC",A1:CV300,161,FALSE)/HLOOKUP("Mins",A1:CV300,161,FALSE)* 90)</f>
        <v>0</v>
      </c>
      <c r="BL161" s="17848">
        <f>IF(HLOOKUP("Mins",A1:CV300,161,FALSE)=0,0,HLOOKUP("BC Miss",A1:CV300,161,FALSE)/HLOOKUP("Mins",A1:CV300,161,FALSE)* 90)</f>
        <v>0</v>
      </c>
      <c r="BM161" s="17849">
        <f>IF(HLOOKUP("Mins",A1:CV300,161,FALSE)=0,0,HLOOKUP("Gs - BC",A1:CV300,161,FALSE)/HLOOKUP("Mins",A1:CV300,161,FALSE)* 90)</f>
        <v>0</v>
      </c>
      <c r="BN161" s="17850">
        <f>IF(HLOOKUP("Mins",A1:CV300,161,FALSE)=0,0,HLOOKUP("GIB",A1:CV300,161,FALSE)/HLOOKUP("Mins",A1:CV300,161,FALSE)* 90)</f>
        <v>0.14285714285714285</v>
      </c>
      <c r="BO161" s="17851">
        <f>IF(HLOOKUP("Mins",A1:CV300,161,FALSE)=0,0,HLOOKUP("Gs - Open",A1:CV300,161,FALSE)/HLOOKUP("Mins",A1:CV300,161,FALSE)* 90)</f>
        <v>0</v>
      </c>
      <c r="BP161" s="17852">
        <f>IF(HLOOKUP("Mins",A1:CV300,161,FALSE)=0,0,HLOOKUP("ICT Index",A1:CV300,161,FALSE)/HLOOKUP("Mins",A1:CV300,161,FALSE)* 90)</f>
        <v>3.6</v>
      </c>
      <c r="BQ161" s="17853">
        <f>IF(HLOOKUP("Mins",A1:CV300,161,FALSE)=0,0,(0.02*(HLOOKUP("Shots",A1:CV300,161,FALSE)-HLOOKUP("SIB",A1:CV300,161,FALSE))+0.093*(HLOOKUP("SIB",A1:CV300,161,FALSE)-(HLOOKUP("PK Gs",A1:CV300,161,FALSE)+HLOOKUP("PK Miss",A1:CV300,161,FALSE)))+0.75*(HLOOKUP("PK Gs",A1:CV300,161,FALSE)+HLOOKUP("PK Miss",A1:CV300,161,FALSE)))/HLOOKUP("Mins",A1:CV300,161,FALSE)*90)</f>
        <v>3.9857142857142862E-2</v>
      </c>
      <c r="BR161" s="17854">
        <f>0.0825*HLOOKUP("KP/90",A1:CV300,161,FALSE)</f>
        <v>1.1785714285714285E-2</v>
      </c>
      <c r="BS161" s="17855">
        <f>6*HLOOKUP("xG/90",A1:CV300,161,FALSE)+3*HLOOKUP("xA/90",A1:CV300,161,FALSE)</f>
        <v>0.27450000000000002</v>
      </c>
      <c r="BT161" s="17856">
        <f>HLOOKUP("xPts/90",A1:CV300,161,FALSE)-(6*0.75*(HLOOKUP("PK Gs",A1:CV300,161,FALSE)+HLOOKUP("PK Miss",A1:CV300,161,FALSE))*90/HLOOKUP("Mins",A1:CV300,161,FALSE))</f>
        <v>0.27450000000000002</v>
      </c>
      <c r="BU161" s="17857">
        <f>IF(HLOOKUP("Mins",A1:CV300,161,FALSE)=0,0,HLOOKUP("fsXG",A1:CV300,161,FALSE)/HLOOKUP("Mins",A1:CV300,161,FALSE)* 90)</f>
        <v>0.03</v>
      </c>
      <c r="BV161" s="17858">
        <f>IF(HLOOKUP("Mins",A1:CV300,161,FALSE)=0,0,HLOOKUP("fsXA",A1:CV300,161,FALSE)/HLOOKUP("Mins",A1:CV300,161,FALSE)* 90)</f>
        <v>2.7142857142857142E-2</v>
      </c>
      <c r="BW161" s="17859">
        <f>6*HLOOKUP("fsXG/90",A1:CV300,161,FALSE)+3*HLOOKUP("fsXA/90",A1:CV300,161,FALSE)</f>
        <v>0.26142857142857145</v>
      </c>
      <c r="BX161" s="17860">
        <v>2.4747898802161217E-2</v>
      </c>
      <c r="BY161" s="17861">
        <v>2.2377369459718466E-3</v>
      </c>
      <c r="BZ161" s="17862">
        <f>6*HLOOKUP("uXG/90",A1:CV300,161,FALSE)+3*HLOOKUP("uXA/90",A1:CV300,161,FALSE)</f>
        <v>0.15520060365088284</v>
      </c>
    </row>
    <row r="162" spans="1:78" hidden="1" x14ac:dyDescent="0.3">
      <c r="A162" s="17863" t="s">
        <v>325</v>
      </c>
      <c r="B162" s="17864" t="s">
        <v>102</v>
      </c>
      <c r="C162" s="17865">
        <v>4.3000001907348633</v>
      </c>
      <c r="D162" s="17866">
        <v>803</v>
      </c>
      <c r="E162" s="17867">
        <v>11</v>
      </c>
      <c r="F162" s="17868">
        <v>32</v>
      </c>
      <c r="G162" s="17869">
        <v>0</v>
      </c>
      <c r="H162" s="17870">
        <v>4</v>
      </c>
      <c r="I162" s="17871">
        <v>137</v>
      </c>
      <c r="J162" s="17872">
        <f>HLOOKUP("BPS",A1:CV300,162,FALSE)-((-6*HLOOKUP("OG",A1:CV300,162,FALSE))+(-6*HLOOKUP("PK Miss",A1:CV300,162,FALSE))+(9*HLOOKUP("FPL As",A1:CV300,162,FALSE))+(12*HLOOKUP("CS",A1:CV300,162,FALSE))+(12*HLOOKUP("Gs",A1:CV300,162,FALSE)))</f>
        <v>92</v>
      </c>
      <c r="K162" s="17873">
        <v>0</v>
      </c>
      <c r="L162" s="17874">
        <v>3</v>
      </c>
      <c r="M162" s="17875">
        <v>5</v>
      </c>
      <c r="N162" s="17876">
        <v>1</v>
      </c>
      <c r="O162" s="17877">
        <v>1</v>
      </c>
      <c r="P162" s="17878">
        <f>IF(HLOOKUP("Shots",A1:CV300,162,FALSE)=0,0,HLOOKUP("SIB",A1:CV300,162,FALSE)/HLOOKUP("Shots",A1:CV300,162,FALSE))</f>
        <v>1</v>
      </c>
      <c r="Q162" s="17879">
        <v>0</v>
      </c>
      <c r="R162" s="17880">
        <f>IF(HLOOKUP("Shots",A1:CV300,162,FALSE)=0,0,HLOOKUP("S6YD",A1:CV300,162,FALSE)/HLOOKUP("Shots",A1:CV300,162,FALSE))</f>
        <v>0</v>
      </c>
      <c r="S162" s="17881">
        <v>0</v>
      </c>
      <c r="T162" s="17882">
        <f>IF(HLOOKUP("Shots",A1:CV300,162,FALSE)=0,0,HLOOKUP("Headers",A1:CV300,162,FALSE)/HLOOKUP("Shots",A1:CV300,162,FALSE))</f>
        <v>0</v>
      </c>
      <c r="U162" s="17883">
        <v>0</v>
      </c>
      <c r="V162" s="17884">
        <f>IF(HLOOKUP("Shots",A1:CV300,162,FALSE)=0,0,HLOOKUP("SOT",A1:CV300,162,FALSE)/HLOOKUP("Shots",A1:CV300,162,FALSE))</f>
        <v>0</v>
      </c>
      <c r="W162" s="17885">
        <f>IF(HLOOKUP("Shots",A1:CV300,162,FALSE)=0,0,HLOOKUP("Gs",A1:CV300,162,FALSE)/HLOOKUP("Shots",A1:CV300,162,FALSE))</f>
        <v>0</v>
      </c>
      <c r="X162" s="17886">
        <v>1</v>
      </c>
      <c r="Y162" s="17887">
        <v>1</v>
      </c>
      <c r="Z162" s="17888">
        <v>2</v>
      </c>
      <c r="AA162" s="17889">
        <f>IF(HLOOKUP("KP",A1:CV300,162,FALSE)=0,0,HLOOKUP("As",A1:CV300,162,FALSE)/HLOOKUP("KP",A1:CV300,162,FALSE))</f>
        <v>0.5</v>
      </c>
      <c r="AB162" s="17890">
        <v>19.100000000000001</v>
      </c>
      <c r="AC162" s="17891">
        <v>12</v>
      </c>
      <c r="AD162" s="17892">
        <v>0</v>
      </c>
      <c r="AE162" s="17893">
        <v>0</v>
      </c>
      <c r="AF162" s="17894">
        <v>0</v>
      </c>
      <c r="AG162" s="17895">
        <f>IF(HLOOKUP("BC",A1:CV300,162,FALSE)=0,0,HLOOKUP("Gs - BC",A1:CV300,162,FALSE)/HLOOKUP("BC",A1:CV300,162,FALSE))</f>
        <v>0</v>
      </c>
      <c r="AH162" s="17896">
        <f>HLOOKUP("BC",A1:CV300,162,FALSE) - HLOOKUP("BC Miss",A1:CV300,162,FALSE)</f>
        <v>0</v>
      </c>
      <c r="AI162" s="17897">
        <f>IF(HLOOKUP("Gs",A1:CV300,162,FALSE)=0,0,HLOOKUP("Gs - BC",A1:CV300,162,FALSE)/HLOOKUP("Gs",A1:CV300,162,FALSE))</f>
        <v>0</v>
      </c>
      <c r="AJ162" s="17898">
        <v>0</v>
      </c>
      <c r="AK162" s="17899">
        <v>0</v>
      </c>
      <c r="AL162" s="17900">
        <f>HLOOKUP("BC",A1:CV300,162,FALSE) - (HLOOKUP("PK Gs",A1:CV300,162,FALSE) + HLOOKUP("PK Miss",A1:CV300,162,FALSE))</f>
        <v>0</v>
      </c>
      <c r="AM162" s="17901">
        <f>HLOOKUP("BC Miss",A1:CV300,162,FALSE) - HLOOKUP("PK Miss",A1:CV300,162,FALSE)</f>
        <v>0</v>
      </c>
      <c r="AN162" s="17902">
        <f>IF(HLOOKUP("BC - Open",A1:CV300,162,FALSE)=0,0,HLOOKUP("BC - Open Miss",A1:CV300,162,FALSE)/HLOOKUP("BC - Open",A1:CV300,162,FALSE))</f>
        <v>0</v>
      </c>
      <c r="AO162" s="17903">
        <v>0</v>
      </c>
      <c r="AP162" s="17904">
        <f>IF(HLOOKUP("Gs",A1:CV300,162,FALSE)=0,0,HLOOKUP("GIB",A1:CV300,162,FALSE)/HLOOKUP("Gs",A1:CV300,162,FALSE))</f>
        <v>0</v>
      </c>
      <c r="AQ162" s="17905">
        <v>0</v>
      </c>
      <c r="AR162" s="17906">
        <f>IF(HLOOKUP("Gs",A1:CV300,162,FALSE)=0,0,HLOOKUP("Gs - Open",A1:CV300,162,FALSE)/HLOOKUP("Gs",A1:CV300,162,FALSE))</f>
        <v>0</v>
      </c>
      <c r="AS162" s="17907">
        <v>0.04</v>
      </c>
      <c r="AT162" s="17908">
        <v>0.16</v>
      </c>
      <c r="AU162" s="17909">
        <f>IF(HLOOKUP("Mins",A1:CV300,162,FALSE)=0,0,HLOOKUP("Pts",A1:CV300,162,FALSE)/HLOOKUP("Mins",A1:CV300,162,FALSE)* 90)</f>
        <v>3.5865504358655045</v>
      </c>
      <c r="AV162" s="17910">
        <f>IF(HLOOKUP("Apps",A1:CV300,162,FALSE)=0,0,HLOOKUP("Pts",A1:CV300,162,FALSE)/HLOOKUP("Apps",A1:CV300,162,FALSE)* 1)</f>
        <v>2.9090909090909092</v>
      </c>
      <c r="AW162" s="17911">
        <f>IF(HLOOKUP("Mins",A1:CV300,162,FALSE)=0,0,HLOOKUP("Gs",A1:CV300,162,FALSE)/HLOOKUP("Mins",A1:CV300,162,FALSE)* 90)</f>
        <v>0</v>
      </c>
      <c r="AX162" s="17912">
        <f>IF(HLOOKUP("Mins",A1:CV300,162,FALSE)=0,0,HLOOKUP("Bonus",A1:CV300,162,FALSE)/HLOOKUP("Mins",A1:CV300,162,FALSE)* 90)</f>
        <v>0.44831880448318806</v>
      </c>
      <c r="AY162" s="17913">
        <f>IF(HLOOKUP("Mins",A1:CV300,162,FALSE)=0,0,HLOOKUP("BPS",A1:CV300,162,FALSE)/HLOOKUP("Mins",A1:CV300,162,FALSE)* 90)</f>
        <v>15.354919053549189</v>
      </c>
      <c r="AZ162" s="17914">
        <f>IF(HLOOKUP("Mins",A1:CV300,162,FALSE)=0,0,HLOOKUP("Base BPS",A1:CV300,162,FALSE)/HLOOKUP("Mins",A1:CV300,162,FALSE)* 90)</f>
        <v>10.311332503113325</v>
      </c>
      <c r="BA162" s="17915">
        <f>IF(HLOOKUP("Mins",A1:CV300,162,FALSE)=0,0,HLOOKUP("PenTchs",A1:CV300,162,FALSE)/HLOOKUP("Mins",A1:CV300,162,FALSE)* 90)</f>
        <v>0.56039850560398508</v>
      </c>
      <c r="BB162" s="17916">
        <f>IF(HLOOKUP("Mins",A1:CV300,162,FALSE)=0,0,HLOOKUP("Shots",A1:CV300,162,FALSE)/HLOOKUP("Mins",A1:CV300,162,FALSE)* 90)</f>
        <v>0.11207970112079702</v>
      </c>
      <c r="BC162" s="17917">
        <f>IF(HLOOKUP("Mins",A1:CV300,162,FALSE)=0,0,HLOOKUP("SIB",A1:CV300,162,FALSE)/HLOOKUP("Mins",A1:CV300,162,FALSE)* 90)</f>
        <v>0.11207970112079702</v>
      </c>
      <c r="BD162" s="17918">
        <f>IF(HLOOKUP("Mins",A1:CV300,162,FALSE)=0,0,HLOOKUP("S6YD",A1:CV300,162,FALSE)/HLOOKUP("Mins",A1:CV300,162,FALSE)* 90)</f>
        <v>0</v>
      </c>
      <c r="BE162" s="17919">
        <f>IF(HLOOKUP("Mins",A1:CV300,162,FALSE)=0,0,HLOOKUP("Headers",A1:CV300,162,FALSE)/HLOOKUP("Mins",A1:CV300,162,FALSE)* 90)</f>
        <v>0</v>
      </c>
      <c r="BF162" s="17920">
        <f>IF(HLOOKUP("Mins",A1:CV300,162,FALSE)=0,0,HLOOKUP("SOT",A1:CV300,162,FALSE)/HLOOKUP("Mins",A1:CV300,162,FALSE)* 90)</f>
        <v>0</v>
      </c>
      <c r="BG162" s="17921">
        <f>IF(HLOOKUP("Mins",A1:CV300,162,FALSE)=0,0,HLOOKUP("As",A1:CV300,162,FALSE)/HLOOKUP("Mins",A1:CV300,162,FALSE)* 90)</f>
        <v>0.11207970112079702</v>
      </c>
      <c r="BH162" s="17922">
        <f>IF(HLOOKUP("Mins",A1:CV300,162,FALSE)=0,0,HLOOKUP("FPL As",A1:CV300,162,FALSE)/HLOOKUP("Mins",A1:CV300,162,FALSE)* 90)</f>
        <v>0.11207970112079702</v>
      </c>
      <c r="BI162" s="17923">
        <f>IF(HLOOKUP("Mins",A1:CV300,162,FALSE)=0,0,HLOOKUP("BC Created",A1:CV300,162,FALSE)/HLOOKUP("Mins",A1:CV300,162,FALSE)* 90)</f>
        <v>0</v>
      </c>
      <c r="BJ162" s="17924">
        <f>IF(HLOOKUP("Mins",A1:CV300,162,FALSE)=0,0,HLOOKUP("KP",A1:CV300,162,FALSE)/HLOOKUP("Mins",A1:CV300,162,FALSE)* 90)</f>
        <v>0.22415940224159403</v>
      </c>
      <c r="BK162" s="17925">
        <f>IF(HLOOKUP("Mins",A1:CV300,162,FALSE)=0,0,HLOOKUP("BC",A1:CV300,162,FALSE)/HLOOKUP("Mins",A1:CV300,162,FALSE)* 90)</f>
        <v>0</v>
      </c>
      <c r="BL162" s="17926">
        <f>IF(HLOOKUP("Mins",A1:CV300,162,FALSE)=0,0,HLOOKUP("BC Miss",A1:CV300,162,FALSE)/HLOOKUP("Mins",A1:CV300,162,FALSE)* 90)</f>
        <v>0</v>
      </c>
      <c r="BM162" s="17927">
        <f>IF(HLOOKUP("Mins",A1:CV300,162,FALSE)=0,0,HLOOKUP("Gs - BC",A1:CV300,162,FALSE)/HLOOKUP("Mins",A1:CV300,162,FALSE)* 90)</f>
        <v>0</v>
      </c>
      <c r="BN162" s="17928">
        <f>IF(HLOOKUP("Mins",A1:CV300,162,FALSE)=0,0,HLOOKUP("GIB",A1:CV300,162,FALSE)/HLOOKUP("Mins",A1:CV300,162,FALSE)* 90)</f>
        <v>0</v>
      </c>
      <c r="BO162" s="17929">
        <f>IF(HLOOKUP("Mins",A1:CV300,162,FALSE)=0,0,HLOOKUP("Gs - Open",A1:CV300,162,FALSE)/HLOOKUP("Mins",A1:CV300,162,FALSE)* 90)</f>
        <v>0</v>
      </c>
      <c r="BP162" s="17930">
        <f>IF(HLOOKUP("Mins",A1:CV300,162,FALSE)=0,0,HLOOKUP("ICT Index",A1:CV300,162,FALSE)/HLOOKUP("Mins",A1:CV300,162,FALSE)* 90)</f>
        <v>2.140722291407223</v>
      </c>
      <c r="BQ162" s="17931">
        <f>IF(HLOOKUP("Mins",A1:CV300,162,FALSE)=0,0,(0.02*(HLOOKUP("Shots",A1:CV300,162,FALSE)-HLOOKUP("SIB",A1:CV300,162,FALSE))+0.093*(HLOOKUP("SIB",A1:CV300,162,FALSE)-(HLOOKUP("PK Gs",A1:CV300,162,FALSE)+HLOOKUP("PK Miss",A1:CV300,162,FALSE)))+0.75*(HLOOKUP("PK Gs",A1:CV300,162,FALSE)+HLOOKUP("PK Miss",A1:CV300,162,FALSE)))/HLOOKUP("Mins",A1:CV300,162,FALSE)*90)</f>
        <v>1.0423412204234123E-2</v>
      </c>
      <c r="BR162" s="17932">
        <f>0.0825*HLOOKUP("KP/90",A1:CV300,162,FALSE)</f>
        <v>1.8493150684931507E-2</v>
      </c>
      <c r="BS162" s="17933">
        <f>6*HLOOKUP("xG/90",A1:CV300,162,FALSE)+3*HLOOKUP("xA/90",A1:CV300,162,FALSE)</f>
        <v>0.11801992528019925</v>
      </c>
      <c r="BT162" s="17934">
        <f>HLOOKUP("xPts/90",A1:CV300,162,FALSE)-(6*0.75*(HLOOKUP("PK Gs",A1:CV300,162,FALSE)+HLOOKUP("PK Miss",A1:CV300,162,FALSE))*90/HLOOKUP("Mins",A1:CV300,162,FALSE))</f>
        <v>0.11801992528019925</v>
      </c>
      <c r="BU162" s="17935">
        <f>IF(HLOOKUP("Mins",A1:CV300,162,FALSE)=0,0,HLOOKUP("fsXG",A1:CV300,162,FALSE)/HLOOKUP("Mins",A1:CV300,162,FALSE)* 90)</f>
        <v>4.4831880448318803E-3</v>
      </c>
      <c r="BV162" s="17936">
        <f>IF(HLOOKUP("Mins",A1:CV300,162,FALSE)=0,0,HLOOKUP("fsXA",A1:CV300,162,FALSE)/HLOOKUP("Mins",A1:CV300,162,FALSE)* 90)</f>
        <v>1.7932752179327521E-2</v>
      </c>
      <c r="BW162" s="17937">
        <f>6*HLOOKUP("fsXG/90",A1:CV300,162,FALSE)+3*HLOOKUP("fsXA/90",A1:CV300,162,FALSE)</f>
        <v>8.0697384806973846E-2</v>
      </c>
      <c r="BX162" s="17938">
        <v>4.0644276887178421E-3</v>
      </c>
      <c r="BY162" s="17939">
        <v>8.6702862754464149E-3</v>
      </c>
      <c r="BZ162" s="17940">
        <f>6*HLOOKUP("uXG/90",A1:CV300,162,FALSE)+3*HLOOKUP("uXA/90",A1:CV300,162,FALSE)</f>
        <v>5.0397424958646297E-2</v>
      </c>
    </row>
    <row r="163" spans="1:78" hidden="1" x14ac:dyDescent="0.3">
      <c r="A163" s="17941" t="s">
        <v>326</v>
      </c>
      <c r="B163" s="17942" t="s">
        <v>86</v>
      </c>
      <c r="C163" s="17943">
        <v>4.4000000953674316</v>
      </c>
      <c r="D163" s="17944">
        <v>1154</v>
      </c>
      <c r="E163" s="17945">
        <v>14</v>
      </c>
      <c r="F163" s="17946">
        <v>49</v>
      </c>
      <c r="G163" s="17947">
        <v>1</v>
      </c>
      <c r="H163" s="17948">
        <v>9</v>
      </c>
      <c r="I163" s="17949">
        <v>265</v>
      </c>
      <c r="J163" s="17950">
        <f>HLOOKUP("BPS",A1:CV300,163,FALSE)-((-6*HLOOKUP("OG",A1:CV300,163,FALSE))+(-6*HLOOKUP("PK Miss",A1:CV300,163,FALSE))+(9*HLOOKUP("FPL As",A1:CV300,163,FALSE))+(12*HLOOKUP("CS",A1:CV300,163,FALSE))+(12*HLOOKUP("Gs",A1:CV300,163,FALSE)))</f>
        <v>199</v>
      </c>
      <c r="K163" s="17951">
        <v>0</v>
      </c>
      <c r="L163" s="17952">
        <v>3</v>
      </c>
      <c r="M163" s="17953">
        <v>7</v>
      </c>
      <c r="N163" s="17954">
        <v>2</v>
      </c>
      <c r="O163" s="17955">
        <v>1</v>
      </c>
      <c r="P163" s="17956">
        <f>IF(HLOOKUP("Shots",A1:CV300,163,FALSE)=0,0,HLOOKUP("SIB",A1:CV300,163,FALSE)/HLOOKUP("Shots",A1:CV300,163,FALSE))</f>
        <v>0.5</v>
      </c>
      <c r="Q163" s="17957">
        <v>0</v>
      </c>
      <c r="R163" s="17958">
        <f>IF(HLOOKUP("Shots",A1:CV300,163,FALSE)=0,0,HLOOKUP("S6YD",A1:CV300,163,FALSE)/HLOOKUP("Shots",A1:CV300,163,FALSE))</f>
        <v>0</v>
      </c>
      <c r="S163" s="17959">
        <v>0</v>
      </c>
      <c r="T163" s="17960">
        <f>IF(HLOOKUP("Shots",A1:CV300,163,FALSE)=0,0,HLOOKUP("Headers",A1:CV300,163,FALSE)/HLOOKUP("Shots",A1:CV300,163,FALSE))</f>
        <v>0</v>
      </c>
      <c r="U163" s="17961">
        <v>1</v>
      </c>
      <c r="V163" s="17962">
        <f>IF(HLOOKUP("Shots",A1:CV300,163,FALSE)=0,0,HLOOKUP("SOT",A1:CV300,163,FALSE)/HLOOKUP("Shots",A1:CV300,163,FALSE))</f>
        <v>0.5</v>
      </c>
      <c r="W163" s="17963">
        <f>IF(HLOOKUP("Shots",A1:CV300,163,FALSE)=0,0,HLOOKUP("Gs",A1:CV300,163,FALSE)/HLOOKUP("Shots",A1:CV300,163,FALSE))</f>
        <v>0.5</v>
      </c>
      <c r="X163" s="17964">
        <v>2</v>
      </c>
      <c r="Y163" s="17965">
        <v>2</v>
      </c>
      <c r="Z163" s="17966">
        <v>17</v>
      </c>
      <c r="AA163" s="17967">
        <f>IF(HLOOKUP("KP",A1:CV300,163,FALSE)=0,0,HLOOKUP("As",A1:CV300,163,FALSE)/HLOOKUP("KP",A1:CV300,163,FALSE))</f>
        <v>0.11764705882352941</v>
      </c>
      <c r="AB163" s="17968">
        <v>61.6</v>
      </c>
      <c r="AC163" s="17969">
        <v>18</v>
      </c>
      <c r="AD163" s="17970">
        <v>6</v>
      </c>
      <c r="AE163" s="17971">
        <v>0</v>
      </c>
      <c r="AF163" s="17972">
        <v>0</v>
      </c>
      <c r="AG163" s="17973">
        <f>IF(HLOOKUP("BC",A1:CV300,163,FALSE)=0,0,HLOOKUP("Gs - BC",A1:CV300,163,FALSE)/HLOOKUP("BC",A1:CV300,163,FALSE))</f>
        <v>0</v>
      </c>
      <c r="AH163" s="17974">
        <f>HLOOKUP("BC",A1:CV300,163,FALSE) - HLOOKUP("BC Miss",A1:CV300,163,FALSE)</f>
        <v>0</v>
      </c>
      <c r="AI163" s="17975">
        <f>IF(HLOOKUP("Gs",A1:CV300,163,FALSE)=0,0,HLOOKUP("Gs - BC",A1:CV300,163,FALSE)/HLOOKUP("Gs",A1:CV300,163,FALSE))</f>
        <v>0</v>
      </c>
      <c r="AJ163" s="17976">
        <v>0</v>
      </c>
      <c r="AK163" s="17977">
        <v>0</v>
      </c>
      <c r="AL163" s="17978">
        <f>HLOOKUP("BC",A1:CV300,163,FALSE) - (HLOOKUP("PK Gs",A1:CV300,163,FALSE) + HLOOKUP("PK Miss",A1:CV300,163,FALSE))</f>
        <v>0</v>
      </c>
      <c r="AM163" s="17979">
        <f>HLOOKUP("BC Miss",A1:CV300,163,FALSE) - HLOOKUP("PK Miss",A1:CV300,163,FALSE)</f>
        <v>0</v>
      </c>
      <c r="AN163" s="17980">
        <f>IF(HLOOKUP("BC - Open",A1:CV300,163,FALSE)=0,0,HLOOKUP("BC - Open Miss",A1:CV300,163,FALSE)/HLOOKUP("BC - Open",A1:CV300,163,FALSE))</f>
        <v>0</v>
      </c>
      <c r="AO163" s="17981">
        <v>1</v>
      </c>
      <c r="AP163" s="17982">
        <f>IF(HLOOKUP("Gs",A1:CV300,163,FALSE)=0,0,HLOOKUP("GIB",A1:CV300,163,FALSE)/HLOOKUP("Gs",A1:CV300,163,FALSE))</f>
        <v>1</v>
      </c>
      <c r="AQ163" s="17983">
        <v>1</v>
      </c>
      <c r="AR163" s="17984">
        <f>IF(HLOOKUP("Gs",A1:CV300,163,FALSE)=0,0,HLOOKUP("Gs - Open",A1:CV300,163,FALSE)/HLOOKUP("Gs",A1:CV300,163,FALSE))</f>
        <v>1</v>
      </c>
      <c r="AS163" s="17985">
        <v>0.16</v>
      </c>
      <c r="AT163" s="17986">
        <v>1.75</v>
      </c>
      <c r="AU163" s="17987">
        <f>IF(HLOOKUP("Mins",A1:CV300,163,FALSE)=0,0,HLOOKUP("Pts",A1:CV300,163,FALSE)/HLOOKUP("Mins",A1:CV300,163,FALSE)* 90)</f>
        <v>3.8214904679376085</v>
      </c>
      <c r="AV163" s="17988">
        <f>IF(HLOOKUP("Apps",A1:CV300,163,FALSE)=0,0,HLOOKUP("Pts",A1:CV300,163,FALSE)/HLOOKUP("Apps",A1:CV300,163,FALSE)* 1)</f>
        <v>3.5</v>
      </c>
      <c r="AW163" s="17989">
        <f>IF(HLOOKUP("Mins",A1:CV300,163,FALSE)=0,0,HLOOKUP("Gs",A1:CV300,163,FALSE)/HLOOKUP("Mins",A1:CV300,163,FALSE)* 90)</f>
        <v>7.7989601386481797E-2</v>
      </c>
      <c r="AX163" s="17990">
        <f>IF(HLOOKUP("Mins",A1:CV300,163,FALSE)=0,0,HLOOKUP("Bonus",A1:CV300,163,FALSE)/HLOOKUP("Mins",A1:CV300,163,FALSE)* 90)</f>
        <v>0.70190641247833618</v>
      </c>
      <c r="AY163" s="17991">
        <f>IF(HLOOKUP("Mins",A1:CV300,163,FALSE)=0,0,HLOOKUP("BPS",A1:CV300,163,FALSE)/HLOOKUP("Mins",A1:CV300,163,FALSE)* 90)</f>
        <v>20.667244367417677</v>
      </c>
      <c r="AZ163" s="17992">
        <f>IF(HLOOKUP("Mins",A1:CV300,163,FALSE)=0,0,HLOOKUP("Base BPS",A1:CV300,163,FALSE)/HLOOKUP("Mins",A1:CV300,163,FALSE)* 90)</f>
        <v>15.519930675909878</v>
      </c>
      <c r="BA163" s="17993">
        <f>IF(HLOOKUP("Mins",A1:CV300,163,FALSE)=0,0,HLOOKUP("PenTchs",A1:CV300,163,FALSE)/HLOOKUP("Mins",A1:CV300,163,FALSE)* 90)</f>
        <v>0.54592720970537256</v>
      </c>
      <c r="BB163" s="17994">
        <f>IF(HLOOKUP("Mins",A1:CV300,163,FALSE)=0,0,HLOOKUP("Shots",A1:CV300,163,FALSE)/HLOOKUP("Mins",A1:CV300,163,FALSE)* 90)</f>
        <v>0.15597920277296359</v>
      </c>
      <c r="BC163" s="17995">
        <f>IF(HLOOKUP("Mins",A1:CV300,163,FALSE)=0,0,HLOOKUP("SIB",A1:CV300,163,FALSE)/HLOOKUP("Mins",A1:CV300,163,FALSE)* 90)</f>
        <v>7.7989601386481797E-2</v>
      </c>
      <c r="BD163" s="17996">
        <f>IF(HLOOKUP("Mins",A1:CV300,163,FALSE)=0,0,HLOOKUP("S6YD",A1:CV300,163,FALSE)/HLOOKUP("Mins",A1:CV300,163,FALSE)* 90)</f>
        <v>0</v>
      </c>
      <c r="BE163" s="17997">
        <f>IF(HLOOKUP("Mins",A1:CV300,163,FALSE)=0,0,HLOOKUP("Headers",A1:CV300,163,FALSE)/HLOOKUP("Mins",A1:CV300,163,FALSE)* 90)</f>
        <v>0</v>
      </c>
      <c r="BF163" s="17998">
        <f>IF(HLOOKUP("Mins",A1:CV300,163,FALSE)=0,0,HLOOKUP("SOT",A1:CV300,163,FALSE)/HLOOKUP("Mins",A1:CV300,163,FALSE)* 90)</f>
        <v>7.7989601386481797E-2</v>
      </c>
      <c r="BG163" s="17999">
        <f>IF(HLOOKUP("Mins",A1:CV300,163,FALSE)=0,0,HLOOKUP("As",A1:CV300,163,FALSE)/HLOOKUP("Mins",A1:CV300,163,FALSE)* 90)</f>
        <v>0.15597920277296359</v>
      </c>
      <c r="BH163" s="18000">
        <f>IF(HLOOKUP("Mins",A1:CV300,163,FALSE)=0,0,HLOOKUP("FPL As",A1:CV300,163,FALSE)/HLOOKUP("Mins",A1:CV300,163,FALSE)* 90)</f>
        <v>0.15597920277296359</v>
      </c>
      <c r="BI163" s="18001">
        <f>IF(HLOOKUP("Mins",A1:CV300,163,FALSE)=0,0,HLOOKUP("BC Created",A1:CV300,163,FALSE)/HLOOKUP("Mins",A1:CV300,163,FALSE)* 90)</f>
        <v>0.46793760831889086</v>
      </c>
      <c r="BJ163" s="18002">
        <f>IF(HLOOKUP("Mins",A1:CV300,163,FALSE)=0,0,HLOOKUP("KP",A1:CV300,163,FALSE)/HLOOKUP("Mins",A1:CV300,163,FALSE)* 90)</f>
        <v>1.3258232235701908</v>
      </c>
      <c r="BK163" s="18003">
        <f>IF(HLOOKUP("Mins",A1:CV300,163,FALSE)=0,0,HLOOKUP("BC",A1:CV300,163,FALSE)/HLOOKUP("Mins",A1:CV300,163,FALSE)* 90)</f>
        <v>0</v>
      </c>
      <c r="BL163" s="18004">
        <f>IF(HLOOKUP("Mins",A1:CV300,163,FALSE)=0,0,HLOOKUP("BC Miss",A1:CV300,163,FALSE)/HLOOKUP("Mins",A1:CV300,163,FALSE)* 90)</f>
        <v>0</v>
      </c>
      <c r="BM163" s="18005">
        <f>IF(HLOOKUP("Mins",A1:CV300,163,FALSE)=0,0,HLOOKUP("Gs - BC",A1:CV300,163,FALSE)/HLOOKUP("Mins",A1:CV300,163,FALSE)* 90)</f>
        <v>0</v>
      </c>
      <c r="BN163" s="18006">
        <f>IF(HLOOKUP("Mins",A1:CV300,163,FALSE)=0,0,HLOOKUP("GIB",A1:CV300,163,FALSE)/HLOOKUP("Mins",A1:CV300,163,FALSE)* 90)</f>
        <v>7.7989601386481797E-2</v>
      </c>
      <c r="BO163" s="18007">
        <f>IF(HLOOKUP("Mins",A1:CV300,163,FALSE)=0,0,HLOOKUP("Gs - Open",A1:CV300,163,FALSE)/HLOOKUP("Mins",A1:CV300,163,FALSE)* 90)</f>
        <v>7.7989601386481797E-2</v>
      </c>
      <c r="BP163" s="18008">
        <f>IF(HLOOKUP("Mins",A1:CV300,163,FALSE)=0,0,HLOOKUP("ICT Index",A1:CV300,163,FALSE)/HLOOKUP("Mins",A1:CV300,163,FALSE)* 90)</f>
        <v>4.8041594454072785</v>
      </c>
      <c r="BQ163" s="18009">
        <f>IF(HLOOKUP("Mins",A1:CV300,163,FALSE)=0,0,(0.02*(HLOOKUP("Shots",A1:CV300,163,FALSE)-HLOOKUP("SIB",A1:CV300,163,FALSE))+0.093*(HLOOKUP("SIB",A1:CV300,163,FALSE)-(HLOOKUP("PK Gs",A1:CV300,163,FALSE)+HLOOKUP("PK Miss",A1:CV300,163,FALSE)))+0.75*(HLOOKUP("PK Gs",A1:CV300,163,FALSE)+HLOOKUP("PK Miss",A1:CV300,163,FALSE)))/HLOOKUP("Mins",A1:CV300,163,FALSE)*90)</f>
        <v>8.812824956672443E-3</v>
      </c>
      <c r="BR163" s="18010">
        <f>0.0825*HLOOKUP("KP/90",A1:CV300,163,FALSE)</f>
        <v>0.10938041594454075</v>
      </c>
      <c r="BS163" s="18011">
        <f>6*HLOOKUP("xG/90",A1:CV300,163,FALSE)+3*HLOOKUP("xA/90",A1:CV300,163,FALSE)</f>
        <v>0.3810181975736569</v>
      </c>
      <c r="BT163" s="18012">
        <f>HLOOKUP("xPts/90",A1:CV300,163,FALSE)-(6*0.75*(HLOOKUP("PK Gs",A1:CV300,163,FALSE)+HLOOKUP("PK Miss",A1:CV300,163,FALSE))*90/HLOOKUP("Mins",A1:CV300,163,FALSE))</f>
        <v>0.3810181975736569</v>
      </c>
      <c r="BU163" s="18013">
        <f>IF(HLOOKUP("Mins",A1:CV300,163,FALSE)=0,0,HLOOKUP("fsXG",A1:CV300,163,FALSE)/HLOOKUP("Mins",A1:CV300,163,FALSE)* 90)</f>
        <v>1.247833622183709E-2</v>
      </c>
      <c r="BV163" s="18014">
        <f>IF(HLOOKUP("Mins",A1:CV300,163,FALSE)=0,0,HLOOKUP("fsXA",A1:CV300,163,FALSE)/HLOOKUP("Mins",A1:CV300,163,FALSE)* 90)</f>
        <v>0.13648180242634314</v>
      </c>
      <c r="BW163" s="18015">
        <f>6*HLOOKUP("fsXG/90",A1:CV300,163,FALSE)+3*HLOOKUP("fsXA/90",A1:CV300,163,FALSE)</f>
        <v>0.484315424610052</v>
      </c>
      <c r="BX163" s="18016">
        <v>1.324775256216526E-2</v>
      </c>
      <c r="BY163" s="18017">
        <v>0.20178917050361633</v>
      </c>
      <c r="BZ163" s="18018">
        <f>6*HLOOKUP("uXG/90",A1:CV300,163,FALSE)+3*HLOOKUP("uXA/90",A1:CV300,163,FALSE)</f>
        <v>0.68485402688384056</v>
      </c>
    </row>
    <row r="164" spans="1:78" hidden="1" x14ac:dyDescent="0.3">
      <c r="A164" s="18019" t="s">
        <v>327</v>
      </c>
      <c r="B164" s="18020" t="s">
        <v>84</v>
      </c>
      <c r="C164" s="18021">
        <v>4.1999998092651367</v>
      </c>
      <c r="D164" s="18022">
        <v>128</v>
      </c>
      <c r="E164" s="18023">
        <v>4</v>
      </c>
      <c r="F164" s="18024">
        <v>4</v>
      </c>
      <c r="G164" s="18025">
        <v>0</v>
      </c>
      <c r="H164" s="18026">
        <v>0</v>
      </c>
      <c r="I164" s="18027">
        <v>31</v>
      </c>
      <c r="J164" s="18028">
        <f>HLOOKUP("BPS",A1:CV300,164,FALSE)-((-6*HLOOKUP("OG",A1:CV300,164,FALSE))+(-6*HLOOKUP("PK Miss",A1:CV300,164,FALSE))+(9*HLOOKUP("FPL As",A1:CV300,164,FALSE))+(12*HLOOKUP("CS",A1:CV300,164,FALSE))+(12*HLOOKUP("Gs",A1:CV300,164,FALSE)))</f>
        <v>31</v>
      </c>
      <c r="K164" s="18029">
        <v>0</v>
      </c>
      <c r="L164" s="18030">
        <v>0</v>
      </c>
      <c r="M164" s="18031">
        <v>1</v>
      </c>
      <c r="N164" s="18032">
        <v>0</v>
      </c>
      <c r="O164" s="18033">
        <v>0</v>
      </c>
      <c r="P164" s="18034">
        <f>IF(HLOOKUP("Shots",A1:CV300,164,FALSE)=0,0,HLOOKUP("SIB",A1:CV300,164,FALSE)/HLOOKUP("Shots",A1:CV300,164,FALSE))</f>
        <v>0</v>
      </c>
      <c r="Q164" s="18035">
        <v>0</v>
      </c>
      <c r="R164" s="18036">
        <f>IF(HLOOKUP("Shots",A1:CV300,164,FALSE)=0,0,HLOOKUP("S6YD",A1:CV300,164,FALSE)/HLOOKUP("Shots",A1:CV300,164,FALSE))</f>
        <v>0</v>
      </c>
      <c r="S164" s="18037">
        <v>0</v>
      </c>
      <c r="T164" s="18038">
        <f>IF(HLOOKUP("Shots",A1:CV300,164,FALSE)=0,0,HLOOKUP("Headers",A1:CV300,164,FALSE)/HLOOKUP("Shots",A1:CV300,164,FALSE))</f>
        <v>0</v>
      </c>
      <c r="U164" s="18039">
        <v>0</v>
      </c>
      <c r="V164" s="18040">
        <f>IF(HLOOKUP("Shots",A1:CV300,164,FALSE)=0,0,HLOOKUP("SOT",A1:CV300,164,FALSE)/HLOOKUP("Shots",A1:CV300,164,FALSE))</f>
        <v>0</v>
      </c>
      <c r="W164" s="18041">
        <f>IF(HLOOKUP("Shots",A1:CV300,164,FALSE)=0,0,HLOOKUP("Gs",A1:CV300,164,FALSE)/HLOOKUP("Shots",A1:CV300,164,FALSE))</f>
        <v>0</v>
      </c>
      <c r="X164" s="18042">
        <v>0</v>
      </c>
      <c r="Y164" s="18043">
        <v>0</v>
      </c>
      <c r="Z164" s="18044">
        <v>0</v>
      </c>
      <c r="AA164" s="18045">
        <f>IF(HLOOKUP("KP",A1:CV300,164,FALSE)=0,0,HLOOKUP("As",A1:CV300,164,FALSE)/HLOOKUP("KP",A1:CV300,164,FALSE))</f>
        <v>0</v>
      </c>
      <c r="AB164" s="18046">
        <v>4.5999999999999996</v>
      </c>
      <c r="AC164" s="18047">
        <v>0</v>
      </c>
      <c r="AD164" s="18048">
        <v>0</v>
      </c>
      <c r="AE164" s="18049">
        <v>0</v>
      </c>
      <c r="AF164" s="18050">
        <v>0</v>
      </c>
      <c r="AG164" s="18051">
        <f>IF(HLOOKUP("BC",A1:CV300,164,FALSE)=0,0,HLOOKUP("Gs - BC",A1:CV300,164,FALSE)/HLOOKUP("BC",A1:CV300,164,FALSE))</f>
        <v>0</v>
      </c>
      <c r="AH164" s="18052">
        <f>HLOOKUP("BC",A1:CV300,164,FALSE) - HLOOKUP("BC Miss",A1:CV300,164,FALSE)</f>
        <v>0</v>
      </c>
      <c r="AI164" s="18053">
        <f>IF(HLOOKUP("Gs",A1:CV300,164,FALSE)=0,0,HLOOKUP("Gs - BC",A1:CV300,164,FALSE)/HLOOKUP("Gs",A1:CV300,164,FALSE))</f>
        <v>0</v>
      </c>
      <c r="AJ164" s="18054">
        <v>0</v>
      </c>
      <c r="AK164" s="18055">
        <v>0</v>
      </c>
      <c r="AL164" s="18056">
        <f>HLOOKUP("BC",A1:CV300,164,FALSE) - (HLOOKUP("PK Gs",A1:CV300,164,FALSE) + HLOOKUP("PK Miss",A1:CV300,164,FALSE))</f>
        <v>0</v>
      </c>
      <c r="AM164" s="18057">
        <f>HLOOKUP("BC Miss",A1:CV300,164,FALSE) - HLOOKUP("PK Miss",A1:CV300,164,FALSE)</f>
        <v>0</v>
      </c>
      <c r="AN164" s="18058">
        <f>IF(HLOOKUP("BC - Open",A1:CV300,164,FALSE)=0,0,HLOOKUP("BC - Open Miss",A1:CV300,164,FALSE)/HLOOKUP("BC - Open",A1:CV300,164,FALSE))</f>
        <v>0</v>
      </c>
      <c r="AO164" s="18059">
        <v>0</v>
      </c>
      <c r="AP164" s="18060">
        <f>IF(HLOOKUP("Gs",A1:CV300,164,FALSE)=0,0,HLOOKUP("GIB",A1:CV300,164,FALSE)/HLOOKUP("Gs",A1:CV300,164,FALSE))</f>
        <v>0</v>
      </c>
      <c r="AQ164" s="18061">
        <v>0</v>
      </c>
      <c r="AR164" s="18062">
        <f>IF(HLOOKUP("Gs",A1:CV300,164,FALSE)=0,0,HLOOKUP("Gs - Open",A1:CV300,164,FALSE)/HLOOKUP("Gs",A1:CV300,164,FALSE))</f>
        <v>0</v>
      </c>
      <c r="AS164" s="18063">
        <v>0</v>
      </c>
      <c r="AT164" s="18064">
        <v>0.01</v>
      </c>
      <c r="AU164" s="18065">
        <f>IF(HLOOKUP("Mins",A1:CV300,164,FALSE)=0,0,HLOOKUP("Pts",A1:CV300,164,FALSE)/HLOOKUP("Mins",A1:CV300,164,FALSE)* 90)</f>
        <v>2.8125</v>
      </c>
      <c r="AV164" s="18066">
        <f>IF(HLOOKUP("Apps",A1:CV300,164,FALSE)=0,0,HLOOKUP("Pts",A1:CV300,164,FALSE)/HLOOKUP("Apps",A1:CV300,164,FALSE)* 1)</f>
        <v>1</v>
      </c>
      <c r="AW164" s="18067">
        <f>IF(HLOOKUP("Mins",A1:CV300,164,FALSE)=0,0,HLOOKUP("Gs",A1:CV300,164,FALSE)/HLOOKUP("Mins",A1:CV300,164,FALSE)* 90)</f>
        <v>0</v>
      </c>
      <c r="AX164" s="18068">
        <f>IF(HLOOKUP("Mins",A1:CV300,164,FALSE)=0,0,HLOOKUP("Bonus",A1:CV300,164,FALSE)/HLOOKUP("Mins",A1:CV300,164,FALSE)* 90)</f>
        <v>0</v>
      </c>
      <c r="AY164" s="18069">
        <f>IF(HLOOKUP("Mins",A1:CV300,164,FALSE)=0,0,HLOOKUP("BPS",A1:CV300,164,FALSE)/HLOOKUP("Mins",A1:CV300,164,FALSE)* 90)</f>
        <v>21.796875</v>
      </c>
      <c r="AZ164" s="18070">
        <f>IF(HLOOKUP("Mins",A1:CV300,164,FALSE)=0,0,HLOOKUP("Base BPS",A1:CV300,164,FALSE)/HLOOKUP("Mins",A1:CV300,164,FALSE)* 90)</f>
        <v>21.796875</v>
      </c>
      <c r="BA164" s="18071">
        <f>IF(HLOOKUP("Mins",A1:CV300,164,FALSE)=0,0,HLOOKUP("PenTchs",A1:CV300,164,FALSE)/HLOOKUP("Mins",A1:CV300,164,FALSE)* 90)</f>
        <v>0.703125</v>
      </c>
      <c r="BB164" s="18072">
        <f>IF(HLOOKUP("Mins",A1:CV300,164,FALSE)=0,0,HLOOKUP("Shots",A1:CV300,164,FALSE)/HLOOKUP("Mins",A1:CV300,164,FALSE)* 90)</f>
        <v>0</v>
      </c>
      <c r="BC164" s="18073">
        <f>IF(HLOOKUP("Mins",A1:CV300,164,FALSE)=0,0,HLOOKUP("SIB",A1:CV300,164,FALSE)/HLOOKUP("Mins",A1:CV300,164,FALSE)* 90)</f>
        <v>0</v>
      </c>
      <c r="BD164" s="18074">
        <f>IF(HLOOKUP("Mins",A1:CV300,164,FALSE)=0,0,HLOOKUP("S6YD",A1:CV300,164,FALSE)/HLOOKUP("Mins",A1:CV300,164,FALSE)* 90)</f>
        <v>0</v>
      </c>
      <c r="BE164" s="18075">
        <f>IF(HLOOKUP("Mins",A1:CV300,164,FALSE)=0,0,HLOOKUP("Headers",A1:CV300,164,FALSE)/HLOOKUP("Mins",A1:CV300,164,FALSE)* 90)</f>
        <v>0</v>
      </c>
      <c r="BF164" s="18076">
        <f>IF(HLOOKUP("Mins",A1:CV300,164,FALSE)=0,0,HLOOKUP("SOT",A1:CV300,164,FALSE)/HLOOKUP("Mins",A1:CV300,164,FALSE)* 90)</f>
        <v>0</v>
      </c>
      <c r="BG164" s="18077">
        <f>IF(HLOOKUP("Mins",A1:CV300,164,FALSE)=0,0,HLOOKUP("As",A1:CV300,164,FALSE)/HLOOKUP("Mins",A1:CV300,164,FALSE)* 90)</f>
        <v>0</v>
      </c>
      <c r="BH164" s="18078">
        <f>IF(HLOOKUP("Mins",A1:CV300,164,FALSE)=0,0,HLOOKUP("FPL As",A1:CV300,164,FALSE)/HLOOKUP("Mins",A1:CV300,164,FALSE)* 90)</f>
        <v>0</v>
      </c>
      <c r="BI164" s="18079">
        <f>IF(HLOOKUP("Mins",A1:CV300,164,FALSE)=0,0,HLOOKUP("BC Created",A1:CV300,164,FALSE)/HLOOKUP("Mins",A1:CV300,164,FALSE)* 90)</f>
        <v>0</v>
      </c>
      <c r="BJ164" s="18080">
        <f>IF(HLOOKUP("Mins",A1:CV300,164,FALSE)=0,0,HLOOKUP("KP",A1:CV300,164,FALSE)/HLOOKUP("Mins",A1:CV300,164,FALSE)* 90)</f>
        <v>0</v>
      </c>
      <c r="BK164" s="18081">
        <f>IF(HLOOKUP("Mins",A1:CV300,164,FALSE)=0,0,HLOOKUP("BC",A1:CV300,164,FALSE)/HLOOKUP("Mins",A1:CV300,164,FALSE)* 90)</f>
        <v>0</v>
      </c>
      <c r="BL164" s="18082">
        <f>IF(HLOOKUP("Mins",A1:CV300,164,FALSE)=0,0,HLOOKUP("BC Miss",A1:CV300,164,FALSE)/HLOOKUP("Mins",A1:CV300,164,FALSE)* 90)</f>
        <v>0</v>
      </c>
      <c r="BM164" s="18083">
        <f>IF(HLOOKUP("Mins",A1:CV300,164,FALSE)=0,0,HLOOKUP("Gs - BC",A1:CV300,164,FALSE)/HLOOKUP("Mins",A1:CV300,164,FALSE)* 90)</f>
        <v>0</v>
      </c>
      <c r="BN164" s="18084">
        <f>IF(HLOOKUP("Mins",A1:CV300,164,FALSE)=0,0,HLOOKUP("GIB",A1:CV300,164,FALSE)/HLOOKUP("Mins",A1:CV300,164,FALSE)* 90)</f>
        <v>0</v>
      </c>
      <c r="BO164" s="18085">
        <f>IF(HLOOKUP("Mins",A1:CV300,164,FALSE)=0,0,HLOOKUP("Gs - Open",A1:CV300,164,FALSE)/HLOOKUP("Mins",A1:CV300,164,FALSE)* 90)</f>
        <v>0</v>
      </c>
      <c r="BP164" s="18086">
        <f>IF(HLOOKUP("Mins",A1:CV300,164,FALSE)=0,0,HLOOKUP("ICT Index",A1:CV300,164,FALSE)/HLOOKUP("Mins",A1:CV300,164,FALSE)* 90)</f>
        <v>3.2343749999999996</v>
      </c>
      <c r="BQ164" s="18087">
        <f>IF(HLOOKUP("Mins",A1:CV300,164,FALSE)=0,0,(0.02*(HLOOKUP("Shots",A1:CV300,164,FALSE)-HLOOKUP("SIB",A1:CV300,164,FALSE))+0.093*(HLOOKUP("SIB",A1:CV300,164,FALSE)-(HLOOKUP("PK Gs",A1:CV300,164,FALSE)+HLOOKUP("PK Miss",A1:CV300,164,FALSE)))+0.75*(HLOOKUP("PK Gs",A1:CV300,164,FALSE)+HLOOKUP("PK Miss",A1:CV300,164,FALSE)))/HLOOKUP("Mins",A1:CV300,164,FALSE)*90)</f>
        <v>0</v>
      </c>
      <c r="BR164" s="18088">
        <f>0.0825*HLOOKUP("KP/90",A1:CV300,164,FALSE)</f>
        <v>0</v>
      </c>
      <c r="BS164" s="18089">
        <f>6*HLOOKUP("xG/90",A1:CV300,164,FALSE)+3*HLOOKUP("xA/90",A1:CV300,164,FALSE)</f>
        <v>0</v>
      </c>
      <c r="BT164" s="18090">
        <f>HLOOKUP("xPts/90",A1:CV300,164,FALSE)-(6*0.75*(HLOOKUP("PK Gs",A1:CV300,164,FALSE)+HLOOKUP("PK Miss",A1:CV300,164,FALSE))*90/HLOOKUP("Mins",A1:CV300,164,FALSE))</f>
        <v>0</v>
      </c>
      <c r="BU164" s="18091">
        <f>IF(HLOOKUP("Mins",A1:CV300,164,FALSE)=0,0,HLOOKUP("fsXG",A1:CV300,164,FALSE)/HLOOKUP("Mins",A1:CV300,164,FALSE)* 90)</f>
        <v>0</v>
      </c>
      <c r="BV164" s="18092">
        <f>IF(HLOOKUP("Mins",A1:CV300,164,FALSE)=0,0,HLOOKUP("fsXA",A1:CV300,164,FALSE)/HLOOKUP("Mins",A1:CV300,164,FALSE)* 90)</f>
        <v>7.0312500000000002E-3</v>
      </c>
      <c r="BW164" s="18093">
        <f>6*HLOOKUP("fsXG/90",A1:CV300,164,FALSE)+3*HLOOKUP("fsXA/90",A1:CV300,164,FALSE)</f>
        <v>2.1093750000000001E-2</v>
      </c>
      <c r="BX164" s="18094">
        <v>0</v>
      </c>
      <c r="BY164" s="18095">
        <v>0</v>
      </c>
      <c r="BZ164" s="18096">
        <f>6*HLOOKUP("uXG/90",A1:CV300,164,FALSE)+3*HLOOKUP("uXA/90",A1:CV300,164,FALSE)</f>
        <v>0</v>
      </c>
    </row>
    <row r="165" spans="1:78" hidden="1" x14ac:dyDescent="0.3">
      <c r="A165" s="18097" t="s">
        <v>328</v>
      </c>
      <c r="B165" s="18098" t="s">
        <v>102</v>
      </c>
      <c r="C165" s="18099">
        <v>4.4000000953674316</v>
      </c>
      <c r="D165" s="18100">
        <v>1228</v>
      </c>
      <c r="E165" s="18101">
        <v>16</v>
      </c>
      <c r="F165" s="18102">
        <v>44</v>
      </c>
      <c r="G165" s="18103">
        <v>0</v>
      </c>
      <c r="H165" s="18104">
        <v>4</v>
      </c>
      <c r="I165" s="18105">
        <v>230</v>
      </c>
      <c r="J165" s="18106">
        <f>HLOOKUP("BPS",A1:CV300,165,FALSE)-((-6*HLOOKUP("OG",A1:CV300,165,FALSE))+(-6*HLOOKUP("PK Miss",A1:CV300,165,FALSE))+(9*HLOOKUP("FPL As",A1:CV300,165,FALSE))+(12*HLOOKUP("CS",A1:CV300,165,FALSE))+(12*HLOOKUP("Gs",A1:CV300,165,FALSE)))</f>
        <v>176</v>
      </c>
      <c r="K165" s="18107">
        <v>1</v>
      </c>
      <c r="L165" s="18108">
        <v>5</v>
      </c>
      <c r="M165" s="18109">
        <v>6</v>
      </c>
      <c r="N165" s="18110">
        <v>2</v>
      </c>
      <c r="O165" s="18111">
        <v>1</v>
      </c>
      <c r="P165" s="18112">
        <f>IF(HLOOKUP("Shots",A1:CV300,165,FALSE)=0,0,HLOOKUP("SIB",A1:CV300,165,FALSE)/HLOOKUP("Shots",A1:CV300,165,FALSE))</f>
        <v>0.5</v>
      </c>
      <c r="Q165" s="18113">
        <v>1</v>
      </c>
      <c r="R165" s="18114">
        <f>IF(HLOOKUP("Shots",A1:CV300,165,FALSE)=0,0,HLOOKUP("S6YD",A1:CV300,165,FALSE)/HLOOKUP("Shots",A1:CV300,165,FALSE))</f>
        <v>0.5</v>
      </c>
      <c r="S165" s="18115">
        <v>1</v>
      </c>
      <c r="T165" s="18116">
        <f>IF(HLOOKUP("Shots",A1:CV300,165,FALSE)=0,0,HLOOKUP("Headers",A1:CV300,165,FALSE)/HLOOKUP("Shots",A1:CV300,165,FALSE))</f>
        <v>0.5</v>
      </c>
      <c r="U165" s="18117">
        <v>2</v>
      </c>
      <c r="V165" s="18118">
        <f>IF(HLOOKUP("Shots",A1:CV300,165,FALSE)=0,0,HLOOKUP("SOT",A1:CV300,165,FALSE)/HLOOKUP("Shots",A1:CV300,165,FALSE))</f>
        <v>1</v>
      </c>
      <c r="W165" s="18119">
        <f>IF(HLOOKUP("Shots",A1:CV300,165,FALSE)=0,0,HLOOKUP("Gs",A1:CV300,165,FALSE)/HLOOKUP("Shots",A1:CV300,165,FALSE))</f>
        <v>0</v>
      </c>
      <c r="X165" s="18120">
        <v>0</v>
      </c>
      <c r="Y165" s="18121">
        <v>0</v>
      </c>
      <c r="Z165" s="18122">
        <v>4</v>
      </c>
      <c r="AA165" s="18123">
        <f>IF(HLOOKUP("KP",A1:CV300,165,FALSE)=0,0,HLOOKUP("As",A1:CV300,165,FALSE)/HLOOKUP("KP",A1:CV300,165,FALSE))</f>
        <v>0</v>
      </c>
      <c r="AB165" s="18124">
        <v>37.799999999999997</v>
      </c>
      <c r="AC165" s="18125">
        <v>0</v>
      </c>
      <c r="AD165" s="18126">
        <v>0</v>
      </c>
      <c r="AE165" s="18127">
        <v>0</v>
      </c>
      <c r="AF165" s="18128">
        <v>0</v>
      </c>
      <c r="AG165" s="18129">
        <f>IF(HLOOKUP("BC",A1:CV300,165,FALSE)=0,0,HLOOKUP("Gs - BC",A1:CV300,165,FALSE)/HLOOKUP("BC",A1:CV300,165,FALSE))</f>
        <v>0</v>
      </c>
      <c r="AH165" s="18130">
        <f>HLOOKUP("BC",A1:CV300,165,FALSE) - HLOOKUP("BC Miss",A1:CV300,165,FALSE)</f>
        <v>0</v>
      </c>
      <c r="AI165" s="18131">
        <f>IF(HLOOKUP("Gs",A1:CV300,165,FALSE)=0,0,HLOOKUP("Gs - BC",A1:CV300,165,FALSE)/HLOOKUP("Gs",A1:CV300,165,FALSE))</f>
        <v>0</v>
      </c>
      <c r="AJ165" s="18132">
        <v>0</v>
      </c>
      <c r="AK165" s="18133">
        <v>0</v>
      </c>
      <c r="AL165" s="18134">
        <f>HLOOKUP("BC",A1:CV300,165,FALSE) - (HLOOKUP("PK Gs",A1:CV300,165,FALSE) + HLOOKUP("PK Miss",A1:CV300,165,FALSE))</f>
        <v>0</v>
      </c>
      <c r="AM165" s="18135">
        <f>HLOOKUP("BC Miss",A1:CV300,165,FALSE) - HLOOKUP("PK Miss",A1:CV300,165,FALSE)</f>
        <v>0</v>
      </c>
      <c r="AN165" s="18136">
        <f>IF(HLOOKUP("BC - Open",A1:CV300,165,FALSE)=0,0,HLOOKUP("BC - Open Miss",A1:CV300,165,FALSE)/HLOOKUP("BC - Open",A1:CV300,165,FALSE))</f>
        <v>0</v>
      </c>
      <c r="AO165" s="18137">
        <v>0</v>
      </c>
      <c r="AP165" s="18138">
        <f>IF(HLOOKUP("Gs",A1:CV300,165,FALSE)=0,0,HLOOKUP("GIB",A1:CV300,165,FALSE)/HLOOKUP("Gs",A1:CV300,165,FALSE))</f>
        <v>0</v>
      </c>
      <c r="AQ165" s="18139">
        <v>0</v>
      </c>
      <c r="AR165" s="18140">
        <f>IF(HLOOKUP("Gs",A1:CV300,165,FALSE)=0,0,HLOOKUP("Gs - Open",A1:CV300,165,FALSE)/HLOOKUP("Gs",A1:CV300,165,FALSE))</f>
        <v>0</v>
      </c>
      <c r="AS165" s="18141">
        <v>7.0000000000000007E-2</v>
      </c>
      <c r="AT165" s="18142">
        <v>0.18</v>
      </c>
      <c r="AU165" s="18143">
        <f>IF(HLOOKUP("Mins",A1:CV300,165,FALSE)=0,0,HLOOKUP("Pts",A1:CV300,165,FALSE)/HLOOKUP("Mins",A1:CV300,165,FALSE)* 90)</f>
        <v>3.224755700325733</v>
      </c>
      <c r="AV165" s="18144">
        <f>IF(HLOOKUP("Apps",A1:CV300,165,FALSE)=0,0,HLOOKUP("Pts",A1:CV300,165,FALSE)/HLOOKUP("Apps",A1:CV300,165,FALSE)* 1)</f>
        <v>2.75</v>
      </c>
      <c r="AW165" s="18145">
        <f>IF(HLOOKUP("Mins",A1:CV300,165,FALSE)=0,0,HLOOKUP("Gs",A1:CV300,165,FALSE)/HLOOKUP("Mins",A1:CV300,165,FALSE)* 90)</f>
        <v>0</v>
      </c>
      <c r="AX165" s="18146">
        <f>IF(HLOOKUP("Mins",A1:CV300,165,FALSE)=0,0,HLOOKUP("Bonus",A1:CV300,165,FALSE)/HLOOKUP("Mins",A1:CV300,165,FALSE)* 90)</f>
        <v>0.29315960912052119</v>
      </c>
      <c r="AY165" s="18147">
        <f>IF(HLOOKUP("Mins",A1:CV300,165,FALSE)=0,0,HLOOKUP("BPS",A1:CV300,165,FALSE)/HLOOKUP("Mins",A1:CV300,165,FALSE)* 90)</f>
        <v>16.856677524429969</v>
      </c>
      <c r="AZ165" s="18148">
        <f>IF(HLOOKUP("Mins",A1:CV300,165,FALSE)=0,0,HLOOKUP("Base BPS",A1:CV300,165,FALSE)/HLOOKUP("Mins",A1:CV300,165,FALSE)* 90)</f>
        <v>12.899022801302932</v>
      </c>
      <c r="BA165" s="18149">
        <f>IF(HLOOKUP("Mins",A1:CV300,165,FALSE)=0,0,HLOOKUP("PenTchs",A1:CV300,165,FALSE)/HLOOKUP("Mins",A1:CV300,165,FALSE)* 90)</f>
        <v>0.43973941368078173</v>
      </c>
      <c r="BB165" s="18150">
        <f>IF(HLOOKUP("Mins",A1:CV300,165,FALSE)=0,0,HLOOKUP("Shots",A1:CV300,165,FALSE)/HLOOKUP("Mins",A1:CV300,165,FALSE)* 90)</f>
        <v>0.1465798045602606</v>
      </c>
      <c r="BC165" s="18151">
        <f>IF(HLOOKUP("Mins",A1:CV300,165,FALSE)=0,0,HLOOKUP("SIB",A1:CV300,165,FALSE)/HLOOKUP("Mins",A1:CV300,165,FALSE)* 90)</f>
        <v>7.3289902280130298E-2</v>
      </c>
      <c r="BD165" s="18152">
        <f>IF(HLOOKUP("Mins",A1:CV300,165,FALSE)=0,0,HLOOKUP("S6YD",A1:CV300,165,FALSE)/HLOOKUP("Mins",A1:CV300,165,FALSE)* 90)</f>
        <v>7.3289902280130298E-2</v>
      </c>
      <c r="BE165" s="18153">
        <f>IF(HLOOKUP("Mins",A1:CV300,165,FALSE)=0,0,HLOOKUP("Headers",A1:CV300,165,FALSE)/HLOOKUP("Mins",A1:CV300,165,FALSE)* 90)</f>
        <v>7.3289902280130298E-2</v>
      </c>
      <c r="BF165" s="18154">
        <f>IF(HLOOKUP("Mins",A1:CV300,165,FALSE)=0,0,HLOOKUP("SOT",A1:CV300,165,FALSE)/HLOOKUP("Mins",A1:CV300,165,FALSE)* 90)</f>
        <v>0.1465798045602606</v>
      </c>
      <c r="BG165" s="18155">
        <f>IF(HLOOKUP("Mins",A1:CV300,165,FALSE)=0,0,HLOOKUP("As",A1:CV300,165,FALSE)/HLOOKUP("Mins",A1:CV300,165,FALSE)* 90)</f>
        <v>0</v>
      </c>
      <c r="BH165" s="18156">
        <f>IF(HLOOKUP("Mins",A1:CV300,165,FALSE)=0,0,HLOOKUP("FPL As",A1:CV300,165,FALSE)/HLOOKUP("Mins",A1:CV300,165,FALSE)* 90)</f>
        <v>0</v>
      </c>
      <c r="BI165" s="18157">
        <f>IF(HLOOKUP("Mins",A1:CV300,165,FALSE)=0,0,HLOOKUP("BC Created",A1:CV300,165,FALSE)/HLOOKUP("Mins",A1:CV300,165,FALSE)* 90)</f>
        <v>0</v>
      </c>
      <c r="BJ165" s="18158">
        <f>IF(HLOOKUP("Mins",A1:CV300,165,FALSE)=0,0,HLOOKUP("KP",A1:CV300,165,FALSE)/HLOOKUP("Mins",A1:CV300,165,FALSE)* 90)</f>
        <v>0.29315960912052119</v>
      </c>
      <c r="BK165" s="18159">
        <f>IF(HLOOKUP("Mins",A1:CV300,165,FALSE)=0,0,HLOOKUP("BC",A1:CV300,165,FALSE)/HLOOKUP("Mins",A1:CV300,165,FALSE)* 90)</f>
        <v>0</v>
      </c>
      <c r="BL165" s="18160">
        <f>IF(HLOOKUP("Mins",A1:CV300,165,FALSE)=0,0,HLOOKUP("BC Miss",A1:CV300,165,FALSE)/HLOOKUP("Mins",A1:CV300,165,FALSE)* 90)</f>
        <v>0</v>
      </c>
      <c r="BM165" s="18161">
        <f>IF(HLOOKUP("Mins",A1:CV300,165,FALSE)=0,0,HLOOKUP("Gs - BC",A1:CV300,165,FALSE)/HLOOKUP("Mins",A1:CV300,165,FALSE)* 90)</f>
        <v>0</v>
      </c>
      <c r="BN165" s="18162">
        <f>IF(HLOOKUP("Mins",A1:CV300,165,FALSE)=0,0,HLOOKUP("GIB",A1:CV300,165,FALSE)/HLOOKUP("Mins",A1:CV300,165,FALSE)* 90)</f>
        <v>0</v>
      </c>
      <c r="BO165" s="18163">
        <f>IF(HLOOKUP("Mins",A1:CV300,165,FALSE)=0,0,HLOOKUP("Gs - Open",A1:CV300,165,FALSE)/HLOOKUP("Mins",A1:CV300,165,FALSE)* 90)</f>
        <v>0</v>
      </c>
      <c r="BP165" s="18164">
        <f>IF(HLOOKUP("Mins",A1:CV300,165,FALSE)=0,0,HLOOKUP("ICT Index",A1:CV300,165,FALSE)/HLOOKUP("Mins",A1:CV300,165,FALSE)* 90)</f>
        <v>2.7703583061889252</v>
      </c>
      <c r="BQ165" s="18165">
        <f>IF(HLOOKUP("Mins",A1:CV300,165,FALSE)=0,0,(0.02*(HLOOKUP("Shots",A1:CV300,165,FALSE)-HLOOKUP("SIB",A1:CV300,165,FALSE))+0.093*(HLOOKUP("SIB",A1:CV300,165,FALSE)-(HLOOKUP("PK Gs",A1:CV300,165,FALSE)+HLOOKUP("PK Miss",A1:CV300,165,FALSE)))+0.75*(HLOOKUP("PK Gs",A1:CV300,165,FALSE)+HLOOKUP("PK Miss",A1:CV300,165,FALSE)))/HLOOKUP("Mins",A1:CV300,165,FALSE)*90)</f>
        <v>8.2817589576547231E-3</v>
      </c>
      <c r="BR165" s="18166">
        <f>0.0825*HLOOKUP("KP/90",A1:CV300,165,FALSE)</f>
        <v>2.4185667752442998E-2</v>
      </c>
      <c r="BS165" s="18167">
        <f>6*HLOOKUP("xG/90",A1:CV300,165,FALSE)+3*HLOOKUP("xA/90",A1:CV300,165,FALSE)</f>
        <v>0.12224755700325735</v>
      </c>
      <c r="BT165" s="18168">
        <f>HLOOKUP("xPts/90",A1:CV300,165,FALSE)-(6*0.75*(HLOOKUP("PK Gs",A1:CV300,165,FALSE)+HLOOKUP("PK Miss",A1:CV300,165,FALSE))*90/HLOOKUP("Mins",A1:CV300,165,FALSE))</f>
        <v>0.12224755700325735</v>
      </c>
      <c r="BU165" s="18169">
        <f>IF(HLOOKUP("Mins",A1:CV300,165,FALSE)=0,0,HLOOKUP("fsXG",A1:CV300,165,FALSE)/HLOOKUP("Mins",A1:CV300,165,FALSE)* 90)</f>
        <v>5.1302931596091212E-3</v>
      </c>
      <c r="BV165" s="18170">
        <f>IF(HLOOKUP("Mins",A1:CV300,165,FALSE)=0,0,HLOOKUP("fsXA",A1:CV300,165,FALSE)/HLOOKUP("Mins",A1:CV300,165,FALSE)* 90)</f>
        <v>1.3192182410423451E-2</v>
      </c>
      <c r="BW165" s="18171">
        <f>6*HLOOKUP("fsXG/90",A1:CV300,165,FALSE)+3*HLOOKUP("fsXA/90",A1:CV300,165,FALSE)</f>
        <v>7.0358306188925079E-2</v>
      </c>
      <c r="BX165" s="18172">
        <v>1.7695296555757523E-3</v>
      </c>
      <c r="BY165" s="18173">
        <v>1.4505918137729168E-2</v>
      </c>
      <c r="BZ165" s="18174">
        <f>6*HLOOKUP("uXG/90",A1:CV300,165,FALSE)+3*HLOOKUP("uXA/90",A1:CV300,165,FALSE)</f>
        <v>5.4134932346642017E-2</v>
      </c>
    </row>
  </sheetData>
  <autoFilter ref="A1:BZ165" xr:uid="{00000000-0009-0000-0000-000001000000}">
    <filterColumn colId="1">
      <filters>
        <filter val="BH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194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4.4" outlineLevelCol="1" x14ac:dyDescent="0.3"/>
  <cols>
    <col min="4" max="46" width="8" outlineLevel="1" collapsed="1"/>
  </cols>
  <sheetData>
    <row r="1" spans="1:78" x14ac:dyDescent="0.3">
      <c r="A1" s="18175" t="s">
        <v>0</v>
      </c>
      <c r="B1" s="18176" t="s">
        <v>1</v>
      </c>
      <c r="C1" s="18177" t="s">
        <v>2</v>
      </c>
      <c r="D1" s="18178" t="s">
        <v>3</v>
      </c>
      <c r="E1" s="18179" t="s">
        <v>4</v>
      </c>
      <c r="F1" s="18180" t="s">
        <v>5</v>
      </c>
      <c r="G1" s="18181" t="s">
        <v>6</v>
      </c>
      <c r="H1" s="18182" t="s">
        <v>7</v>
      </c>
      <c r="I1" s="18183" t="s">
        <v>8</v>
      </c>
      <c r="J1" s="18184" t="s">
        <v>9</v>
      </c>
      <c r="K1" s="18185" t="s">
        <v>10</v>
      </c>
      <c r="L1" s="18186" t="s">
        <v>11</v>
      </c>
      <c r="M1" s="18187" t="s">
        <v>12</v>
      </c>
      <c r="N1" s="18188" t="s">
        <v>13</v>
      </c>
      <c r="O1" s="18189" t="s">
        <v>14</v>
      </c>
      <c r="P1" s="18190" t="s">
        <v>15</v>
      </c>
      <c r="Q1" s="18191" t="s">
        <v>16</v>
      </c>
      <c r="R1" s="18192" t="s">
        <v>17</v>
      </c>
      <c r="S1" s="18193" t="s">
        <v>18</v>
      </c>
      <c r="T1" s="18194" t="s">
        <v>19</v>
      </c>
      <c r="U1" s="18195" t="s">
        <v>20</v>
      </c>
      <c r="V1" s="18196" t="s">
        <v>21</v>
      </c>
      <c r="W1" s="18197" t="s">
        <v>22</v>
      </c>
      <c r="X1" s="18198" t="s">
        <v>23</v>
      </c>
      <c r="Y1" s="18199" t="s">
        <v>24</v>
      </c>
      <c r="Z1" s="18200" t="s">
        <v>25</v>
      </c>
      <c r="AA1" s="18201" t="s">
        <v>26</v>
      </c>
      <c r="AB1" s="18202" t="s">
        <v>27</v>
      </c>
      <c r="AC1" s="18203" t="s">
        <v>28</v>
      </c>
      <c r="AD1" s="18204" t="s">
        <v>29</v>
      </c>
      <c r="AE1" s="18205" t="s">
        <v>30</v>
      </c>
      <c r="AF1" s="18206" t="s">
        <v>31</v>
      </c>
      <c r="AG1" s="18207" t="s">
        <v>32</v>
      </c>
      <c r="AH1" s="18208" t="s">
        <v>33</v>
      </c>
      <c r="AI1" s="18209" t="s">
        <v>34</v>
      </c>
      <c r="AJ1" s="18210" t="s">
        <v>35</v>
      </c>
      <c r="AK1" s="18211" t="s">
        <v>36</v>
      </c>
      <c r="AL1" s="18212" t="s">
        <v>37</v>
      </c>
      <c r="AM1" s="18213" t="s">
        <v>38</v>
      </c>
      <c r="AN1" s="18214" t="s">
        <v>39</v>
      </c>
      <c r="AO1" s="18215" t="s">
        <v>40</v>
      </c>
      <c r="AP1" s="18216" t="s">
        <v>41</v>
      </c>
      <c r="AQ1" s="18217" t="s">
        <v>42</v>
      </c>
      <c r="AR1" s="18218" t="s">
        <v>43</v>
      </c>
      <c r="AS1" s="18219" t="s">
        <v>44</v>
      </c>
      <c r="AT1" s="18220" t="s">
        <v>45</v>
      </c>
      <c r="AU1" s="18221" t="s">
        <v>46</v>
      </c>
      <c r="AV1" s="18222" t="s">
        <v>47</v>
      </c>
      <c r="AW1" s="18223" t="s">
        <v>48</v>
      </c>
      <c r="AX1" s="18224" t="s">
        <v>49</v>
      </c>
      <c r="AY1" s="18225" t="s">
        <v>50</v>
      </c>
      <c r="AZ1" s="18226" t="s">
        <v>51</v>
      </c>
      <c r="BA1" s="18227" t="s">
        <v>52</v>
      </c>
      <c r="BB1" s="18228" t="s">
        <v>53</v>
      </c>
      <c r="BC1" s="18229" t="s">
        <v>54</v>
      </c>
      <c r="BD1" s="18230" t="s">
        <v>55</v>
      </c>
      <c r="BE1" s="18231" t="s">
        <v>56</v>
      </c>
      <c r="BF1" s="18232" t="s">
        <v>57</v>
      </c>
      <c r="BG1" s="18233" t="s">
        <v>58</v>
      </c>
      <c r="BH1" s="18234" t="s">
        <v>59</v>
      </c>
      <c r="BI1" s="18235" t="s">
        <v>60</v>
      </c>
      <c r="BJ1" s="18236" t="s">
        <v>61</v>
      </c>
      <c r="BK1" s="18237" t="s">
        <v>62</v>
      </c>
      <c r="BL1" s="18238" t="s">
        <v>63</v>
      </c>
      <c r="BM1" s="18239" t="s">
        <v>64</v>
      </c>
      <c r="BN1" s="18240" t="s">
        <v>65</v>
      </c>
      <c r="BO1" s="18241" t="s">
        <v>66</v>
      </c>
      <c r="BP1" s="18242" t="s">
        <v>67</v>
      </c>
      <c r="BQ1" s="18243" t="s">
        <v>68</v>
      </c>
      <c r="BR1" s="18244" t="s">
        <v>69</v>
      </c>
      <c r="BS1" s="18245" t="s">
        <v>70</v>
      </c>
      <c r="BT1" s="18246" t="s">
        <v>71</v>
      </c>
      <c r="BU1" s="18247" t="s">
        <v>72</v>
      </c>
      <c r="BV1" s="18248" t="s">
        <v>73</v>
      </c>
      <c r="BW1" s="18249" t="s">
        <v>74</v>
      </c>
      <c r="BX1" s="18250" t="s">
        <v>75</v>
      </c>
      <c r="BY1" s="18251" t="s">
        <v>76</v>
      </c>
      <c r="BZ1" s="18252" t="s">
        <v>77</v>
      </c>
    </row>
    <row r="2" spans="1:78" x14ac:dyDescent="0.3">
      <c r="A2" s="18253" t="s">
        <v>329</v>
      </c>
      <c r="B2" s="18254" t="s">
        <v>102</v>
      </c>
      <c r="C2" s="18255">
        <v>5.3000001907348633</v>
      </c>
      <c r="D2" s="18256">
        <v>673</v>
      </c>
      <c r="E2" s="18257">
        <v>17</v>
      </c>
      <c r="F2" s="18258">
        <v>34</v>
      </c>
      <c r="G2" s="18259">
        <v>0</v>
      </c>
      <c r="H2" s="18260">
        <v>0</v>
      </c>
      <c r="I2" s="18261">
        <v>95</v>
      </c>
      <c r="J2" s="18262">
        <f>HLOOKUP("BPS",A1:CV300,2,FALSE)-((-6*HLOOKUP("OG",A1:CV300,2,FALSE))+(-6*HLOOKUP("PK Miss",A1:CV300,2,FALSE))+(9*HLOOKUP("FPL As",A1:CV300,2,FALSE))+(0*HLOOKUP("CS",A1:CV300,2,FALSE))+(18*HLOOKUP("Gs",A1:CV300,2,FALSE)))</f>
        <v>68</v>
      </c>
      <c r="K2" s="18263">
        <v>0</v>
      </c>
      <c r="L2" s="18264">
        <v>3</v>
      </c>
      <c r="M2" s="18265">
        <v>12</v>
      </c>
      <c r="N2" s="18266">
        <v>5</v>
      </c>
      <c r="O2" s="18267">
        <v>4</v>
      </c>
      <c r="P2" s="18268">
        <f>IF(HLOOKUP("Shots",A1:CV300,2,FALSE)=0,0,HLOOKUP("SIB",A1:CV300,2,FALSE)/HLOOKUP("Shots",A1:CV300,2,FALSE))</f>
        <v>0.8</v>
      </c>
      <c r="Q2" s="18269">
        <v>0</v>
      </c>
      <c r="R2" s="18270">
        <f>IF(HLOOKUP("Shots",A1:CV300,2,FALSE)=0,0,HLOOKUP("S6YD",A1:CV300,2,FALSE)/HLOOKUP("Shots",A1:CV300,2,FALSE))</f>
        <v>0</v>
      </c>
      <c r="S2" s="18271">
        <v>0</v>
      </c>
      <c r="T2" s="18272">
        <f>IF(HLOOKUP("Shots",A1:CV300,2,FALSE)=0,0,HLOOKUP("Headers",A1:CV300,2,FALSE)/HLOOKUP("Shots",A1:CV300,2,FALSE))</f>
        <v>0</v>
      </c>
      <c r="U2" s="18273">
        <v>1</v>
      </c>
      <c r="V2" s="18274">
        <f>IF(HLOOKUP("Shots",A1:CV300,2,FALSE)=0,0,HLOOKUP("SOT",A1:CV300,2,FALSE)/HLOOKUP("Shots",A1:CV300,2,FALSE))</f>
        <v>0.2</v>
      </c>
      <c r="W2" s="18275">
        <f>IF(HLOOKUP("Shots",A1:CV300,2,FALSE)=0,0,HLOOKUP("Gs",A1:CV300,2,FALSE)/HLOOKUP("Shots",A1:CV300,2,FALSE))</f>
        <v>0</v>
      </c>
      <c r="X2" s="18276">
        <v>3</v>
      </c>
      <c r="Y2" s="18277">
        <v>3</v>
      </c>
      <c r="Z2" s="18278">
        <v>13</v>
      </c>
      <c r="AA2" s="18279">
        <f>IF(HLOOKUP("KP",A1:CV300,2,FALSE)=0,0,HLOOKUP("As",A1:CV300,2,FALSE)/HLOOKUP("KP",A1:CV300,2,FALSE))</f>
        <v>0.23076923076923078</v>
      </c>
      <c r="AB2" s="18280">
        <v>35.9</v>
      </c>
      <c r="AC2" s="18281">
        <v>75</v>
      </c>
      <c r="AD2" s="18282">
        <v>2</v>
      </c>
      <c r="AE2" s="18283">
        <v>0</v>
      </c>
      <c r="AF2" s="18284">
        <v>0</v>
      </c>
      <c r="AG2" s="18285">
        <f>IF(HLOOKUP("BC",A1:CV300,2,FALSE)=0,0,HLOOKUP("Gs - BC",A1:CV300,2,FALSE)/HLOOKUP("BC",A1:CV300,2,FALSE))</f>
        <v>0</v>
      </c>
      <c r="AH2" s="18286">
        <f>HLOOKUP("BC",A1:CV300,2,FALSE) - HLOOKUP("BC Miss",A1:CV300,2,FALSE)</f>
        <v>0</v>
      </c>
      <c r="AI2" s="18287">
        <f>IF(HLOOKUP("Gs",A1:CV300,2,FALSE)=0,0,HLOOKUP("Gs - BC",A1:CV300,2,FALSE)/HLOOKUP("Gs",A1:CV300,2,FALSE))</f>
        <v>0</v>
      </c>
      <c r="AJ2" s="18288">
        <v>0</v>
      </c>
      <c r="AK2" s="18289">
        <v>0</v>
      </c>
      <c r="AL2" s="18290">
        <f>HLOOKUP("BC",A1:CV300,2,FALSE) - (HLOOKUP("PK Gs",A1:CV300,2,FALSE) + HLOOKUP("PK Miss",A1:CV300,2,FALSE))</f>
        <v>0</v>
      </c>
      <c r="AM2" s="18291">
        <f>HLOOKUP("BC Miss",A1:CV300,2,FALSE) - HLOOKUP("PK Miss",A1:CV300,2,FALSE)</f>
        <v>0</v>
      </c>
      <c r="AN2" s="18292">
        <f>IF(HLOOKUP("BC - Open",A1:CV300,2,FALSE)=0,0,HLOOKUP("BC - Open Miss",A1:CV300,2,FALSE)/HLOOKUP("BC - Open",A1:CV300,2,FALSE))</f>
        <v>0</v>
      </c>
      <c r="AO2" s="18293">
        <v>0</v>
      </c>
      <c r="AP2" s="18294">
        <f>IF(HLOOKUP("Gs",A1:CV300,2,FALSE)=0,0,HLOOKUP("GIB",A1:CV300,2,FALSE)/HLOOKUP("Gs",A1:CV300,2,FALSE))</f>
        <v>0</v>
      </c>
      <c r="AQ2" s="18295">
        <v>0</v>
      </c>
      <c r="AR2" s="18296">
        <f>IF(HLOOKUP("Gs",A1:CV300,2,FALSE)=0,0,HLOOKUP("Gs - Open",A1:CV300,2,FALSE)/HLOOKUP("Gs",A1:CV300,2,FALSE))</f>
        <v>0</v>
      </c>
      <c r="AS2" s="18297">
        <v>0.21</v>
      </c>
      <c r="AT2" s="18298">
        <v>0.92</v>
      </c>
      <c r="AU2" s="18299">
        <f>IF(HLOOKUP("Mins",A1:CV300,2,FALSE)=0,0,HLOOKUP("Pts",A1:CV300,2,FALSE)/HLOOKUP("Mins",A1:CV300,2,FALSE)* 90)</f>
        <v>4.5468053491827636</v>
      </c>
      <c r="AV2" s="18300">
        <f>IF(HLOOKUP("Apps",A1:CV300,2,FALSE)=0,0,HLOOKUP("Pts",A1:CV300,2,FALSE)/HLOOKUP("Apps",A1:CV300,2,FALSE)* 1)</f>
        <v>2</v>
      </c>
      <c r="AW2" s="18301">
        <f>IF(HLOOKUP("Mins",A1:CV300,2,FALSE)=0,0,HLOOKUP("Gs",A1:CV300,2,FALSE)/HLOOKUP("Mins",A1:CV300,2,FALSE)* 90)</f>
        <v>0</v>
      </c>
      <c r="AX2" s="18302">
        <f>IF(HLOOKUP("Mins",A1:CV300,2,FALSE)=0,0,HLOOKUP("Bonus",A1:CV300,2,FALSE)/HLOOKUP("Mins",A1:CV300,2,FALSE)* 90)</f>
        <v>0</v>
      </c>
      <c r="AY2" s="18303">
        <f>IF(HLOOKUP("Mins",A1:CV300,2,FALSE)=0,0,HLOOKUP("BPS",A1:CV300,2,FALSE)/HLOOKUP("Mins",A1:CV300,2,FALSE)* 90)</f>
        <v>12.704309063893016</v>
      </c>
      <c r="AZ2" s="18304">
        <f>IF(HLOOKUP("Mins",A1:CV300,2,FALSE)=0,0,HLOOKUP("Base BPS",A1:CV300,2,FALSE)/HLOOKUP("Mins",A1:CV300,2,FALSE)* 90)</f>
        <v>9.0936106983655272</v>
      </c>
      <c r="BA2" s="18305">
        <f>IF(HLOOKUP("Mins",A1:CV300,2,FALSE)=0,0,HLOOKUP("PenTchs",A1:CV300,2,FALSE)/HLOOKUP("Mins",A1:CV300,2,FALSE)* 90)</f>
        <v>1.6047548291233282</v>
      </c>
      <c r="BB2" s="18306">
        <f>IF(HLOOKUP("Mins",A1:CV300,2,FALSE)=0,0,HLOOKUP("Shots",A1:CV300,2,FALSE)/HLOOKUP("Mins",A1:CV300,2,FALSE)* 90)</f>
        <v>0.66864784546805345</v>
      </c>
      <c r="BC2" s="18307">
        <f>IF(HLOOKUP("Mins",A1:CV300,2,FALSE)=0,0,HLOOKUP("SIB",A1:CV300,2,FALSE)/HLOOKUP("Mins",A1:CV300,2,FALSE)* 90)</f>
        <v>0.53491827637444278</v>
      </c>
      <c r="BD2" s="18308">
        <f>IF(HLOOKUP("Mins",A1:CV300,2,FALSE)=0,0,HLOOKUP("S6YD",A1:CV300,2,FALSE)/HLOOKUP("Mins",A1:CV300,2,FALSE)* 90)</f>
        <v>0</v>
      </c>
      <c r="BE2" s="18309">
        <f>IF(HLOOKUP("Mins",A1:CV300,2,FALSE)=0,0,HLOOKUP("Headers",A1:CV300,2,FALSE)/HLOOKUP("Mins",A1:CV300,2,FALSE)* 90)</f>
        <v>0</v>
      </c>
      <c r="BF2" s="18310">
        <f>IF(HLOOKUP("Mins",A1:CV300,2,FALSE)=0,0,HLOOKUP("SOT",A1:CV300,2,FALSE)/HLOOKUP("Mins",A1:CV300,2,FALSE)* 90)</f>
        <v>0.1337295690936107</v>
      </c>
      <c r="BG2" s="18311">
        <f>IF(HLOOKUP("Mins",A1:CV300,2,FALSE)=0,0,HLOOKUP("As",A1:CV300,2,FALSE)/HLOOKUP("Mins",A1:CV300,2,FALSE)* 90)</f>
        <v>0.40118870728083206</v>
      </c>
      <c r="BH2" s="18312">
        <f>IF(HLOOKUP("Mins",A1:CV300,2,FALSE)=0,0,HLOOKUP("FPL As",A1:CV300,2,FALSE)/HLOOKUP("Mins",A1:CV300,2,FALSE)* 90)</f>
        <v>0.40118870728083206</v>
      </c>
      <c r="BI2" s="18313">
        <f>IF(HLOOKUP("Mins",A1:CV300,2,FALSE)=0,0,HLOOKUP("BC Created",A1:CV300,2,FALSE)/HLOOKUP("Mins",A1:CV300,2,FALSE)* 90)</f>
        <v>0.26745913818722139</v>
      </c>
      <c r="BJ2" s="18314">
        <f>IF(HLOOKUP("Mins",A1:CV300,2,FALSE)=0,0,HLOOKUP("KP",A1:CV300,2,FALSE)/HLOOKUP("Mins",A1:CV300,2,FALSE)* 90)</f>
        <v>1.7384843982169391</v>
      </c>
      <c r="BK2" s="18315">
        <f>IF(HLOOKUP("Mins",A1:CV300,2,FALSE)=0,0,HLOOKUP("BC",A1:CV300,2,FALSE)/HLOOKUP("Mins",A1:CV300,2,FALSE)* 90)</f>
        <v>0</v>
      </c>
      <c r="BL2" s="18316">
        <f>IF(HLOOKUP("Mins",A1:CV300,2,FALSE)=0,0,HLOOKUP("BC Miss",A1:CV300,2,FALSE)/HLOOKUP("Mins",A1:CV300,2,FALSE)* 90)</f>
        <v>0</v>
      </c>
      <c r="BM2" s="18317">
        <f>IF(HLOOKUP("Mins",A1:CV300,2,FALSE)=0,0,HLOOKUP("Gs - BC",A1:CV300,2,FALSE)/HLOOKUP("Mins",A1:CV300,2,FALSE)* 90)</f>
        <v>0</v>
      </c>
      <c r="BN2" s="18318">
        <f>IF(HLOOKUP("Mins",A1:CV300,2,FALSE)=0,0,HLOOKUP("GIB",A1:CV300,2,FALSE)/HLOOKUP("Mins",A1:CV300,2,FALSE)* 90)</f>
        <v>0</v>
      </c>
      <c r="BO2" s="18319">
        <f>IF(HLOOKUP("Mins",A1:CV300,2,FALSE)=0,0,HLOOKUP("Gs - Open",A1:CV300,2,FALSE)/HLOOKUP("Mins",A1:CV300,2,FALSE)* 90)</f>
        <v>0</v>
      </c>
      <c r="BP2" s="18320">
        <f>IF(HLOOKUP("Mins",A1:CV300,2,FALSE)=0,0,HLOOKUP("ICT Index",A1:CV300,2,FALSE)/HLOOKUP("Mins",A1:CV300,2,FALSE)* 90)</f>
        <v>4.8008915304606239</v>
      </c>
      <c r="BQ2" s="18321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  <v>8.0772659732540858E-2</v>
      </c>
      <c r="BR2" s="18322">
        <f>0.0885*HLOOKUP("KP/90",A1:CV300,2,FALSE)</f>
        <v>0.1538558692421991</v>
      </c>
      <c r="BS2" s="18323">
        <f>5*HLOOKUP("xG/90",A1:CV300,2,FALSE)+3*HLOOKUP("xA/90",A1:CV300,2,FALSE)</f>
        <v>0.86543090638930165</v>
      </c>
      <c r="BT2" s="18324">
        <f>HLOOKUP("xPts/90",A1:CV300,2,FALSE)-(5*0.75*(HLOOKUP("PK Gs",A1:CV300,2,FALSE)+HLOOKUP("PK Miss",A1:CV300,2,FALSE))*90/HLOOKUP("Mins",A1:CV300,2,FALSE))</f>
        <v>0.86543090638930165</v>
      </c>
      <c r="BU2" s="18325">
        <f>IF(HLOOKUP("Mins",A1:CV300,2,FALSE)=0,0,HLOOKUP("fsXG",A1:CV300,2,FALSE)/HLOOKUP("Mins",A1:CV300,2,FALSE)* 90)</f>
        <v>2.8083209509658247E-2</v>
      </c>
      <c r="BV2" s="18326">
        <f>IF(HLOOKUP("Mins",A1:CV300,2,FALSE)=0,0,HLOOKUP("fsXA",A1:CV300,2,FALSE)/HLOOKUP("Mins",A1:CV300,2,FALSE)* 90)</f>
        <v>0.12303120356612184</v>
      </c>
      <c r="BW2" s="18327">
        <f>5*HLOOKUP("fsXG/90",A1:CV300,2,FALSE)+3*HLOOKUP("fsXA/90",A1:CV300,2,FALSE)</f>
        <v>0.50950965824665673</v>
      </c>
      <c r="BX2" s="18328">
        <v>3.3291451632976532E-2</v>
      </c>
      <c r="BY2" s="18329">
        <v>9.6257023513317108E-2</v>
      </c>
      <c r="BZ2" s="18330">
        <f>5*HLOOKUP("uXG/90",A1:CV300,2,FALSE)+3*HLOOKUP("uXA/90",A1:CV300,2,FALSE)</f>
        <v>0.45522832870483398</v>
      </c>
    </row>
    <row r="3" spans="1:78" x14ac:dyDescent="0.3">
      <c r="A3" s="18331" t="s">
        <v>330</v>
      </c>
      <c r="B3" s="18332" t="s">
        <v>151</v>
      </c>
      <c r="C3" s="18333">
        <v>4.9000000953674316</v>
      </c>
      <c r="D3" s="18334">
        <v>1251</v>
      </c>
      <c r="E3" s="18335">
        <v>19</v>
      </c>
      <c r="F3" s="18336">
        <v>51</v>
      </c>
      <c r="G3" s="18337">
        <v>1</v>
      </c>
      <c r="H3" s="18338">
        <v>1</v>
      </c>
      <c r="I3" s="18339">
        <v>174</v>
      </c>
      <c r="J3" s="18340">
        <f>HLOOKUP("BPS",A1:CV300,3,FALSE)-((-6*HLOOKUP("OG",A1:CV300,3,FALSE))+(-6*HLOOKUP("PK Miss",A1:CV300,3,FALSE))+(9*HLOOKUP("FPL As",A1:CV300,3,FALSE))+(0*HLOOKUP("CS",A1:CV300,3,FALSE))+(18*HLOOKUP("Gs",A1:CV300,3,FALSE)))</f>
        <v>129</v>
      </c>
      <c r="K3" s="18341">
        <v>0</v>
      </c>
      <c r="L3" s="18342">
        <v>5</v>
      </c>
      <c r="M3" s="18343">
        <v>40</v>
      </c>
      <c r="N3" s="18344">
        <v>29</v>
      </c>
      <c r="O3" s="18345">
        <v>7</v>
      </c>
      <c r="P3" s="18346">
        <f>IF(HLOOKUP("Shots",A1:CV300,3,FALSE)=0,0,HLOOKUP("SIB",A1:CV300,3,FALSE)/HLOOKUP("Shots",A1:CV300,3,FALSE))</f>
        <v>0.2413793103448276</v>
      </c>
      <c r="Q3" s="18347">
        <v>0</v>
      </c>
      <c r="R3" s="18348">
        <f>IF(HLOOKUP("Shots",A1:CV300,3,FALSE)=0,0,HLOOKUP("S6YD",A1:CV300,3,FALSE)/HLOOKUP("Shots",A1:CV300,3,FALSE))</f>
        <v>0</v>
      </c>
      <c r="S3" s="18349">
        <v>0</v>
      </c>
      <c r="T3" s="18350">
        <f>IF(HLOOKUP("Shots",A1:CV300,3,FALSE)=0,0,HLOOKUP("Headers",A1:CV300,3,FALSE)/HLOOKUP("Shots",A1:CV300,3,FALSE))</f>
        <v>0</v>
      </c>
      <c r="U3" s="18351">
        <v>11</v>
      </c>
      <c r="V3" s="18352">
        <f>IF(HLOOKUP("Shots",A1:CV300,3,FALSE)=0,0,HLOOKUP("SOT",A1:CV300,3,FALSE)/HLOOKUP("Shots",A1:CV300,3,FALSE))</f>
        <v>0.37931034482758619</v>
      </c>
      <c r="W3" s="18353">
        <f>IF(HLOOKUP("Shots",A1:CV300,3,FALSE)=0,0,HLOOKUP("Gs",A1:CV300,3,FALSE)/HLOOKUP("Shots",A1:CV300,3,FALSE))</f>
        <v>3.4482758620689655E-2</v>
      </c>
      <c r="X3" s="18354">
        <v>3</v>
      </c>
      <c r="Y3" s="18355">
        <v>3</v>
      </c>
      <c r="Z3" s="18356">
        <v>28</v>
      </c>
      <c r="AA3" s="18357">
        <f>IF(HLOOKUP("KP",A1:CV300,3,FALSE)=0,0,HLOOKUP("As",A1:CV300,3,FALSE)/HLOOKUP("KP",A1:CV300,3,FALSE))</f>
        <v>0.10714285714285714</v>
      </c>
      <c r="AB3" s="18358">
        <v>88.3</v>
      </c>
      <c r="AC3" s="18359">
        <v>17</v>
      </c>
      <c r="AD3" s="18360">
        <v>4</v>
      </c>
      <c r="AE3" s="18361">
        <v>0</v>
      </c>
      <c r="AF3" s="18362">
        <v>0</v>
      </c>
      <c r="AG3" s="18363">
        <f>IF(HLOOKUP("BC",A1:CV300,3,FALSE)=0,0,HLOOKUP("Gs - BC",A1:CV300,3,FALSE)/HLOOKUP("BC",A1:CV300,3,FALSE))</f>
        <v>0</v>
      </c>
      <c r="AH3" s="18364">
        <f>HLOOKUP("BC",A1:CV300,3,FALSE) - HLOOKUP("BC Miss",A1:CV300,3,FALSE)</f>
        <v>0</v>
      </c>
      <c r="AI3" s="18365">
        <f>IF(HLOOKUP("Gs",A1:CV300,3,FALSE)=0,0,HLOOKUP("Gs - BC",A1:CV300,3,FALSE)/HLOOKUP("Gs",A1:CV300,3,FALSE))</f>
        <v>0</v>
      </c>
      <c r="AJ3" s="18366">
        <v>0</v>
      </c>
      <c r="AK3" s="18367">
        <v>0</v>
      </c>
      <c r="AL3" s="18368">
        <f>HLOOKUP("BC",A1:CV300,3,FALSE) - (HLOOKUP("PK Gs",A1:CV300,3,FALSE) + HLOOKUP("PK Miss",A1:CV300,3,FALSE))</f>
        <v>0</v>
      </c>
      <c r="AM3" s="18369">
        <f>HLOOKUP("BC Miss",A1:CV300,3,FALSE) - HLOOKUP("PK Miss",A1:CV300,3,FALSE)</f>
        <v>0</v>
      </c>
      <c r="AN3" s="18370">
        <f>IF(HLOOKUP("BC - Open",A1:CV300,3,FALSE)=0,0,HLOOKUP("BC - Open Miss",A1:CV300,3,FALSE)/HLOOKUP("BC - Open",A1:CV300,3,FALSE))</f>
        <v>0</v>
      </c>
      <c r="AO3" s="18371">
        <v>1</v>
      </c>
      <c r="AP3" s="18372">
        <f>IF(HLOOKUP("Gs",A1:CV300,3,FALSE)=0,0,HLOOKUP("GIB",A1:CV300,3,FALSE)/HLOOKUP("Gs",A1:CV300,3,FALSE))</f>
        <v>1</v>
      </c>
      <c r="AQ3" s="18373">
        <v>1</v>
      </c>
      <c r="AR3" s="18374">
        <f>IF(HLOOKUP("Gs",A1:CV300,3,FALSE)=0,0,HLOOKUP("Gs - Open",A1:CV300,3,FALSE)/HLOOKUP("Gs",A1:CV300,3,FALSE))</f>
        <v>1</v>
      </c>
      <c r="AS3" s="18375">
        <v>1.22</v>
      </c>
      <c r="AT3" s="18376">
        <v>2.74</v>
      </c>
      <c r="AU3" s="18377">
        <f>IF(HLOOKUP("Mins",A1:CV300,3,FALSE)=0,0,HLOOKUP("Pts",A1:CV300,3,FALSE)/HLOOKUP("Mins",A1:CV300,3,FALSE)* 90)</f>
        <v>3.6690647482014391</v>
      </c>
      <c r="AV3" s="18378">
        <f>IF(HLOOKUP("Apps",A1:CV300,3,FALSE)=0,0,HLOOKUP("Pts",A1:CV300,3,FALSE)/HLOOKUP("Apps",A1:CV300,3,FALSE)* 1)</f>
        <v>2.6842105263157894</v>
      </c>
      <c r="AW3" s="18379">
        <f>IF(HLOOKUP("Mins",A1:CV300,3,FALSE)=0,0,HLOOKUP("Gs",A1:CV300,3,FALSE)/HLOOKUP("Mins",A1:CV300,3,FALSE)* 90)</f>
        <v>7.1942446043165464E-2</v>
      </c>
      <c r="AX3" s="18380">
        <f>IF(HLOOKUP("Mins",A1:CV300,3,FALSE)=0,0,HLOOKUP("Bonus",A1:CV300,3,FALSE)/HLOOKUP("Mins",A1:CV300,3,FALSE)* 90)</f>
        <v>7.1942446043165464E-2</v>
      </c>
      <c r="AY3" s="18381">
        <f>IF(HLOOKUP("Mins",A1:CV300,3,FALSE)=0,0,HLOOKUP("BPS",A1:CV300,3,FALSE)/HLOOKUP("Mins",A1:CV300,3,FALSE)* 90)</f>
        <v>12.517985611510792</v>
      </c>
      <c r="AZ3" s="18382">
        <f>IF(HLOOKUP("Mins",A1:CV300,3,FALSE)=0,0,HLOOKUP("Base BPS",A1:CV300,3,FALSE)/HLOOKUP("Mins",A1:CV300,3,FALSE)* 90)</f>
        <v>9.2805755395683445</v>
      </c>
      <c r="BA3" s="18383">
        <f>IF(HLOOKUP("Mins",A1:CV300,3,FALSE)=0,0,HLOOKUP("PenTchs",A1:CV300,3,FALSE)/HLOOKUP("Mins",A1:CV300,3,FALSE)* 90)</f>
        <v>2.8776978417266186</v>
      </c>
      <c r="BB3" s="18384">
        <f>IF(HLOOKUP("Mins",A1:CV300,3,FALSE)=0,0,HLOOKUP("Shots",A1:CV300,3,FALSE)/HLOOKUP("Mins",A1:CV300,3,FALSE)* 90)</f>
        <v>2.0863309352517985</v>
      </c>
      <c r="BC3" s="18385">
        <f>IF(HLOOKUP("Mins",A1:CV300,3,FALSE)=0,0,HLOOKUP("SIB",A1:CV300,3,FALSE)/HLOOKUP("Mins",A1:CV300,3,FALSE)* 90)</f>
        <v>0.50359712230215825</v>
      </c>
      <c r="BD3" s="18386">
        <f>IF(HLOOKUP("Mins",A1:CV300,3,FALSE)=0,0,HLOOKUP("S6YD",A1:CV300,3,FALSE)/HLOOKUP("Mins",A1:CV300,3,FALSE)* 90)</f>
        <v>0</v>
      </c>
      <c r="BE3" s="18387">
        <f>IF(HLOOKUP("Mins",A1:CV300,3,FALSE)=0,0,HLOOKUP("Headers",A1:CV300,3,FALSE)/HLOOKUP("Mins",A1:CV300,3,FALSE)* 90)</f>
        <v>0</v>
      </c>
      <c r="BF3" s="18388">
        <f>IF(HLOOKUP("Mins",A1:CV300,3,FALSE)=0,0,HLOOKUP("SOT",A1:CV300,3,FALSE)/HLOOKUP("Mins",A1:CV300,3,FALSE)* 90)</f>
        <v>0.79136690647482011</v>
      </c>
      <c r="BG3" s="18389">
        <f>IF(HLOOKUP("Mins",A1:CV300,3,FALSE)=0,0,HLOOKUP("As",A1:CV300,3,FALSE)/HLOOKUP("Mins",A1:CV300,3,FALSE)* 90)</f>
        <v>0.21582733812949639</v>
      </c>
      <c r="BH3" s="18390">
        <f>IF(HLOOKUP("Mins",A1:CV300,3,FALSE)=0,0,HLOOKUP("FPL As",A1:CV300,3,FALSE)/HLOOKUP("Mins",A1:CV300,3,FALSE)* 90)</f>
        <v>0.21582733812949639</v>
      </c>
      <c r="BI3" s="18391">
        <f>IF(HLOOKUP("Mins",A1:CV300,3,FALSE)=0,0,HLOOKUP("BC Created",A1:CV300,3,FALSE)/HLOOKUP("Mins",A1:CV300,3,FALSE)* 90)</f>
        <v>0.28776978417266186</v>
      </c>
      <c r="BJ3" s="18392">
        <f>IF(HLOOKUP("Mins",A1:CV300,3,FALSE)=0,0,HLOOKUP("KP",A1:CV300,3,FALSE)/HLOOKUP("Mins",A1:CV300,3,FALSE)* 90)</f>
        <v>2.014388489208633</v>
      </c>
      <c r="BK3" s="18393">
        <f>IF(HLOOKUP("Mins",A1:CV300,3,FALSE)=0,0,HLOOKUP("BC",A1:CV300,3,FALSE)/HLOOKUP("Mins",A1:CV300,3,FALSE)* 90)</f>
        <v>0</v>
      </c>
      <c r="BL3" s="18394">
        <f>IF(HLOOKUP("Mins",A1:CV300,3,FALSE)=0,0,HLOOKUP("BC Miss",A1:CV300,3,FALSE)/HLOOKUP("Mins",A1:CV300,3,FALSE)* 90)</f>
        <v>0</v>
      </c>
      <c r="BM3" s="18395">
        <f>IF(HLOOKUP("Mins",A1:CV300,3,FALSE)=0,0,HLOOKUP("Gs - BC",A1:CV300,3,FALSE)/HLOOKUP("Mins",A1:CV300,3,FALSE)* 90)</f>
        <v>0</v>
      </c>
      <c r="BN3" s="18396">
        <f>IF(HLOOKUP("Mins",A1:CV300,3,FALSE)=0,0,HLOOKUP("GIB",A1:CV300,3,FALSE)/HLOOKUP("Mins",A1:CV300,3,FALSE)* 90)</f>
        <v>7.1942446043165464E-2</v>
      </c>
      <c r="BO3" s="18397">
        <f>IF(HLOOKUP("Mins",A1:CV300,3,FALSE)=0,0,HLOOKUP("Gs - Open",A1:CV300,3,FALSE)/HLOOKUP("Mins",A1:CV300,3,FALSE)* 90)</f>
        <v>7.1942446043165464E-2</v>
      </c>
      <c r="BP3" s="18398">
        <f>IF(HLOOKUP("Mins",A1:CV300,3,FALSE)=0,0,HLOOKUP("ICT Index",A1:CV300,3,FALSE)/HLOOKUP("Mins",A1:CV300,3,FALSE)* 90)</f>
        <v>6.3525179856115113</v>
      </c>
      <c r="BQ3" s="18399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  <v>0.12848920863309352</v>
      </c>
      <c r="BR3" s="18400">
        <f>0.0885*HLOOKUP("KP/90",A1:CV300,3,FALSE)</f>
        <v>0.17827338129496401</v>
      </c>
      <c r="BS3" s="18401">
        <f>5*HLOOKUP("xG/90",A1:CV300,3,FALSE)+3*HLOOKUP("xA/90",A1:CV300,3,FALSE)</f>
        <v>1.1772661870503596</v>
      </c>
      <c r="BT3" s="18402">
        <f>HLOOKUP("xPts/90",A1:CV300,3,FALSE)-(5*0.75*(HLOOKUP("PK Gs",A1:CV300,3,FALSE)+HLOOKUP("PK Miss",A1:CV300,3,FALSE))*90/HLOOKUP("Mins",A1:CV300,3,FALSE))</f>
        <v>1.1772661870503596</v>
      </c>
      <c r="BU3" s="18403">
        <f>IF(HLOOKUP("Mins",A1:CV300,3,FALSE)=0,0,HLOOKUP("fsXG",A1:CV300,3,FALSE)/HLOOKUP("Mins",A1:CV300,3,FALSE)* 90)</f>
        <v>8.776978417266186E-2</v>
      </c>
      <c r="BV3" s="18404">
        <f>IF(HLOOKUP("Mins",A1:CV300,3,FALSE)=0,0,HLOOKUP("fsXA",A1:CV300,3,FALSE)/HLOOKUP("Mins",A1:CV300,3,FALSE)* 90)</f>
        <v>0.19712230215827339</v>
      </c>
      <c r="BW3" s="18405">
        <f>5*HLOOKUP("fsXG/90",A1:CV300,3,FALSE)+3*HLOOKUP("fsXA/90",A1:CV300,3,FALSE)</f>
        <v>1.0302158273381294</v>
      </c>
      <c r="BX3" s="18406">
        <v>8.2441486418247223E-2</v>
      </c>
      <c r="BY3" s="18407">
        <v>0.234209343791008</v>
      </c>
      <c r="BZ3" s="18408">
        <f>5*HLOOKUP("uXG/90",A1:CV300,3,FALSE)+3*HLOOKUP("uXA/90",A1:CV300,3,FALSE)</f>
        <v>1.1148354634642601</v>
      </c>
    </row>
    <row r="4" spans="1:78" x14ac:dyDescent="0.3">
      <c r="A4" s="18409" t="s">
        <v>331</v>
      </c>
      <c r="B4" s="18410" t="s">
        <v>151</v>
      </c>
      <c r="C4" s="18411">
        <v>4.8000001907348633</v>
      </c>
      <c r="D4" s="18412">
        <v>19</v>
      </c>
      <c r="E4" s="18413">
        <v>2</v>
      </c>
      <c r="F4" s="18414">
        <v>2</v>
      </c>
      <c r="G4" s="18415">
        <v>0</v>
      </c>
      <c r="H4" s="18416">
        <v>0</v>
      </c>
      <c r="I4" s="18417">
        <v>7</v>
      </c>
      <c r="J4" s="18418">
        <f>HLOOKUP("BPS",A1:CV300,4,FALSE)-((-6*HLOOKUP("OG",A1:CV300,4,FALSE))+(-6*HLOOKUP("PK Miss",A1:CV300,4,FALSE))+(9*HLOOKUP("FPL As",A1:CV300,4,FALSE))+(0*HLOOKUP("CS",A1:CV300,4,FALSE))+(18*HLOOKUP("Gs",A1:CV300,4,FALSE)))</f>
        <v>7</v>
      </c>
      <c r="K4" s="18419">
        <v>0</v>
      </c>
      <c r="L4" s="18420">
        <v>0</v>
      </c>
      <c r="M4" s="18421">
        <v>1</v>
      </c>
      <c r="N4" s="18422">
        <v>0</v>
      </c>
      <c r="O4" s="18423">
        <v>0</v>
      </c>
      <c r="P4" s="18424">
        <f>IF(HLOOKUP("Shots",A1:CV300,4,FALSE)=0,0,HLOOKUP("SIB",A1:CV300,4,FALSE)/HLOOKUP("Shots",A1:CV300,4,FALSE))</f>
        <v>0</v>
      </c>
      <c r="Q4" s="18425">
        <v>0</v>
      </c>
      <c r="R4" s="18426">
        <f>IF(HLOOKUP("Shots",A1:CV300,4,FALSE)=0,0,HLOOKUP("S6YD",A1:CV300,4,FALSE)/HLOOKUP("Shots",A1:CV300,4,FALSE))</f>
        <v>0</v>
      </c>
      <c r="S4" s="18427">
        <v>0</v>
      </c>
      <c r="T4" s="18428">
        <f>IF(HLOOKUP("Shots",A1:CV300,4,FALSE)=0,0,HLOOKUP("Headers",A1:CV300,4,FALSE)/HLOOKUP("Shots",A1:CV300,4,FALSE))</f>
        <v>0</v>
      </c>
      <c r="U4" s="18429">
        <v>0</v>
      </c>
      <c r="V4" s="18430">
        <f>IF(HLOOKUP("Shots",A1:CV300,4,FALSE)=0,0,HLOOKUP("SOT",A1:CV300,4,FALSE)/HLOOKUP("Shots",A1:CV300,4,FALSE))</f>
        <v>0</v>
      </c>
      <c r="W4" s="18431">
        <f>IF(HLOOKUP("Shots",A1:CV300,4,FALSE)=0,0,HLOOKUP("Gs",A1:CV300,4,FALSE)/HLOOKUP("Shots",A1:CV300,4,FALSE))</f>
        <v>0</v>
      </c>
      <c r="X4" s="18432">
        <v>0</v>
      </c>
      <c r="Y4" s="18433">
        <v>0</v>
      </c>
      <c r="Z4" s="18434">
        <v>2</v>
      </c>
      <c r="AA4" s="18435">
        <f>IF(HLOOKUP("KP",A1:CV300,4,FALSE)=0,0,HLOOKUP("As",A1:CV300,4,FALSE)/HLOOKUP("KP",A1:CV300,4,FALSE))</f>
        <v>0</v>
      </c>
      <c r="AB4" s="18436">
        <v>3.1</v>
      </c>
      <c r="AC4" s="18437">
        <v>0</v>
      </c>
      <c r="AD4" s="18438">
        <v>0</v>
      </c>
      <c r="AE4" s="18439">
        <v>0</v>
      </c>
      <c r="AF4" s="18440">
        <v>0</v>
      </c>
      <c r="AG4" s="18441">
        <f>IF(HLOOKUP("BC",A1:CV300,4,FALSE)=0,0,HLOOKUP("Gs - BC",A1:CV300,4,FALSE)/HLOOKUP("BC",A1:CV300,4,FALSE))</f>
        <v>0</v>
      </c>
      <c r="AH4" s="18442">
        <f>HLOOKUP("BC",A1:CV300,4,FALSE) - HLOOKUP("BC Miss",A1:CV300,4,FALSE)</f>
        <v>0</v>
      </c>
      <c r="AI4" s="18443">
        <f>IF(HLOOKUP("Gs",A1:CV300,4,FALSE)=0,0,HLOOKUP("Gs - BC",A1:CV300,4,FALSE)/HLOOKUP("Gs",A1:CV300,4,FALSE))</f>
        <v>0</v>
      </c>
      <c r="AJ4" s="18444">
        <v>0</v>
      </c>
      <c r="AK4" s="18445">
        <v>0</v>
      </c>
      <c r="AL4" s="18446">
        <f>HLOOKUP("BC",A1:CV300,4,FALSE) - (HLOOKUP("PK Gs",A1:CV300,4,FALSE) + HLOOKUP("PK Miss",A1:CV300,4,FALSE))</f>
        <v>0</v>
      </c>
      <c r="AM4" s="18447">
        <f>HLOOKUP("BC Miss",A1:CV300,4,FALSE) - HLOOKUP("PK Miss",A1:CV300,4,FALSE)</f>
        <v>0</v>
      </c>
      <c r="AN4" s="18448">
        <f>IF(HLOOKUP("BC - Open",A1:CV300,4,FALSE)=0,0,HLOOKUP("BC - Open Miss",A1:CV300,4,FALSE)/HLOOKUP("BC - Open",A1:CV300,4,FALSE))</f>
        <v>0</v>
      </c>
      <c r="AO4" s="18449">
        <v>0</v>
      </c>
      <c r="AP4" s="18450">
        <f>IF(HLOOKUP("Gs",A1:CV300,4,FALSE)=0,0,HLOOKUP("GIB",A1:CV300,4,FALSE)/HLOOKUP("Gs",A1:CV300,4,FALSE))</f>
        <v>0</v>
      </c>
      <c r="AQ4" s="18451">
        <v>0</v>
      </c>
      <c r="AR4" s="18452">
        <f>IF(HLOOKUP("Gs",A1:CV300,4,FALSE)=0,0,HLOOKUP("Gs - Open",A1:CV300,4,FALSE)/HLOOKUP("Gs",A1:CV300,4,FALSE))</f>
        <v>0</v>
      </c>
      <c r="AS4" s="18453">
        <v>0</v>
      </c>
      <c r="AT4" s="18454">
        <v>0.19</v>
      </c>
      <c r="AU4" s="18455">
        <f>IF(HLOOKUP("Mins",A1:CV300,4,FALSE)=0,0,HLOOKUP("Pts",A1:CV300,4,FALSE)/HLOOKUP("Mins",A1:CV300,4,FALSE)* 90)</f>
        <v>9.473684210526315</v>
      </c>
      <c r="AV4" s="18456">
        <f>IF(HLOOKUP("Apps",A1:CV300,4,FALSE)=0,0,HLOOKUP("Pts",A1:CV300,4,FALSE)/HLOOKUP("Apps",A1:CV300,4,FALSE)* 1)</f>
        <v>1</v>
      </c>
      <c r="AW4" s="18457">
        <f>IF(HLOOKUP("Mins",A1:CV300,4,FALSE)=0,0,HLOOKUP("Gs",A1:CV300,4,FALSE)/HLOOKUP("Mins",A1:CV300,4,FALSE)* 90)</f>
        <v>0</v>
      </c>
      <c r="AX4" s="18458">
        <f>IF(HLOOKUP("Mins",A1:CV300,4,FALSE)=0,0,HLOOKUP("Bonus",A1:CV300,4,FALSE)/HLOOKUP("Mins",A1:CV300,4,FALSE)* 90)</f>
        <v>0</v>
      </c>
      <c r="AY4" s="18459">
        <f>IF(HLOOKUP("Mins",A1:CV300,4,FALSE)=0,0,HLOOKUP("BPS",A1:CV300,4,FALSE)/HLOOKUP("Mins",A1:CV300,4,FALSE)* 90)</f>
        <v>33.157894736842103</v>
      </c>
      <c r="AZ4" s="18460">
        <f>IF(HLOOKUP("Mins",A1:CV300,4,FALSE)=0,0,HLOOKUP("Base BPS",A1:CV300,4,FALSE)/HLOOKUP("Mins",A1:CV300,4,FALSE)* 90)</f>
        <v>33.157894736842103</v>
      </c>
      <c r="BA4" s="18461">
        <f>IF(HLOOKUP("Mins",A1:CV300,4,FALSE)=0,0,HLOOKUP("PenTchs",A1:CV300,4,FALSE)/HLOOKUP("Mins",A1:CV300,4,FALSE)* 90)</f>
        <v>4.7368421052631575</v>
      </c>
      <c r="BB4" s="18462">
        <f>IF(HLOOKUP("Mins",A1:CV300,4,FALSE)=0,0,HLOOKUP("Shots",A1:CV300,4,FALSE)/HLOOKUP("Mins",A1:CV300,4,FALSE)* 90)</f>
        <v>0</v>
      </c>
      <c r="BC4" s="18463">
        <f>IF(HLOOKUP("Mins",A1:CV300,4,FALSE)=0,0,HLOOKUP("SIB",A1:CV300,4,FALSE)/HLOOKUP("Mins",A1:CV300,4,FALSE)* 90)</f>
        <v>0</v>
      </c>
      <c r="BD4" s="18464">
        <f>IF(HLOOKUP("Mins",A1:CV300,4,FALSE)=0,0,HLOOKUP("S6YD",A1:CV300,4,FALSE)/HLOOKUP("Mins",A1:CV300,4,FALSE)* 90)</f>
        <v>0</v>
      </c>
      <c r="BE4" s="18465">
        <f>IF(HLOOKUP("Mins",A1:CV300,4,FALSE)=0,0,HLOOKUP("Headers",A1:CV300,4,FALSE)/HLOOKUP("Mins",A1:CV300,4,FALSE)* 90)</f>
        <v>0</v>
      </c>
      <c r="BF4" s="18466">
        <f>IF(HLOOKUP("Mins",A1:CV300,4,FALSE)=0,0,HLOOKUP("SOT",A1:CV300,4,FALSE)/HLOOKUP("Mins",A1:CV300,4,FALSE)* 90)</f>
        <v>0</v>
      </c>
      <c r="BG4" s="18467">
        <f>IF(HLOOKUP("Mins",A1:CV300,4,FALSE)=0,0,HLOOKUP("As",A1:CV300,4,FALSE)/HLOOKUP("Mins",A1:CV300,4,FALSE)* 90)</f>
        <v>0</v>
      </c>
      <c r="BH4" s="18468">
        <f>IF(HLOOKUP("Mins",A1:CV300,4,FALSE)=0,0,HLOOKUP("FPL As",A1:CV300,4,FALSE)/HLOOKUP("Mins",A1:CV300,4,FALSE)* 90)</f>
        <v>0</v>
      </c>
      <c r="BI4" s="18469">
        <f>IF(HLOOKUP("Mins",A1:CV300,4,FALSE)=0,0,HLOOKUP("BC Created",A1:CV300,4,FALSE)/HLOOKUP("Mins",A1:CV300,4,FALSE)* 90)</f>
        <v>0</v>
      </c>
      <c r="BJ4" s="18470">
        <f>IF(HLOOKUP("Mins",A1:CV300,4,FALSE)=0,0,HLOOKUP("KP",A1:CV300,4,FALSE)/HLOOKUP("Mins",A1:CV300,4,FALSE)* 90)</f>
        <v>9.473684210526315</v>
      </c>
      <c r="BK4" s="18471">
        <f>IF(HLOOKUP("Mins",A1:CV300,4,FALSE)=0,0,HLOOKUP("BC",A1:CV300,4,FALSE)/HLOOKUP("Mins",A1:CV300,4,FALSE)* 90)</f>
        <v>0</v>
      </c>
      <c r="BL4" s="18472">
        <f>IF(HLOOKUP("Mins",A1:CV300,4,FALSE)=0,0,HLOOKUP("BC Miss",A1:CV300,4,FALSE)/HLOOKUP("Mins",A1:CV300,4,FALSE)* 90)</f>
        <v>0</v>
      </c>
      <c r="BM4" s="18473">
        <f>IF(HLOOKUP("Mins",A1:CV300,4,FALSE)=0,0,HLOOKUP("Gs - BC",A1:CV300,4,FALSE)/HLOOKUP("Mins",A1:CV300,4,FALSE)* 90)</f>
        <v>0</v>
      </c>
      <c r="BN4" s="18474">
        <f>IF(HLOOKUP("Mins",A1:CV300,4,FALSE)=0,0,HLOOKUP("GIB",A1:CV300,4,FALSE)/HLOOKUP("Mins",A1:CV300,4,FALSE)* 90)</f>
        <v>0</v>
      </c>
      <c r="BO4" s="18475">
        <f>IF(HLOOKUP("Mins",A1:CV300,4,FALSE)=0,0,HLOOKUP("Gs - Open",A1:CV300,4,FALSE)/HLOOKUP("Mins",A1:CV300,4,FALSE)* 90)</f>
        <v>0</v>
      </c>
      <c r="BP4" s="18476">
        <f>IF(HLOOKUP("Mins",A1:CV300,4,FALSE)=0,0,HLOOKUP("ICT Index",A1:CV300,4,FALSE)/HLOOKUP("Mins",A1:CV300,4,FALSE)* 90)</f>
        <v>14.684210526315789</v>
      </c>
      <c r="BQ4" s="18477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  <v>0</v>
      </c>
      <c r="BR4" s="18478">
        <f>0.0885*HLOOKUP("KP/90",A1:CV300,4,FALSE)</f>
        <v>0.83842105263157884</v>
      </c>
      <c r="BS4" s="18479">
        <f>5*HLOOKUP("xG/90",A1:CV300,4,FALSE)+3*HLOOKUP("xA/90",A1:CV300,4,FALSE)</f>
        <v>2.5152631578947364</v>
      </c>
      <c r="BT4" s="18480">
        <f>HLOOKUP("xPts/90",A1:CV300,4,FALSE)-(5*0.75*(HLOOKUP("PK Gs",A1:CV300,4,FALSE)+HLOOKUP("PK Miss",A1:CV300,4,FALSE))*90/HLOOKUP("Mins",A1:CV300,4,FALSE))</f>
        <v>2.5152631578947364</v>
      </c>
      <c r="BU4" s="18481">
        <f>IF(HLOOKUP("Mins",A1:CV300,4,FALSE)=0,0,HLOOKUP("fsXG",A1:CV300,4,FALSE)/HLOOKUP("Mins",A1:CV300,4,FALSE)* 90)</f>
        <v>0</v>
      </c>
      <c r="BV4" s="18482">
        <f>IF(HLOOKUP("Mins",A1:CV300,4,FALSE)=0,0,HLOOKUP("fsXA",A1:CV300,4,FALSE)/HLOOKUP("Mins",A1:CV300,4,FALSE)* 90)</f>
        <v>0.9</v>
      </c>
      <c r="BW4" s="18483">
        <f>5*HLOOKUP("fsXG/90",A1:CV300,4,FALSE)+3*HLOOKUP("fsXA/90",A1:CV300,4,FALSE)</f>
        <v>2.7</v>
      </c>
      <c r="BX4" s="18484">
        <v>0</v>
      </c>
      <c r="BY4" s="18485">
        <v>1.2134292125701904</v>
      </c>
      <c r="BZ4" s="18486">
        <f>5*HLOOKUP("uXG/90",A1:CV300,4,FALSE)+3*HLOOKUP("uXA/90",A1:CV300,4,FALSE)</f>
        <v>3.6402876377105713</v>
      </c>
    </row>
    <row r="5" spans="1:78" x14ac:dyDescent="0.3">
      <c r="A5" s="18487" t="s">
        <v>332</v>
      </c>
      <c r="B5" s="18488" t="s">
        <v>109</v>
      </c>
      <c r="C5" s="18489">
        <v>4.8000001907348633</v>
      </c>
      <c r="D5" s="18490">
        <v>1057</v>
      </c>
      <c r="E5" s="18491">
        <v>15</v>
      </c>
      <c r="F5" s="18492">
        <v>41</v>
      </c>
      <c r="G5" s="18493">
        <v>1</v>
      </c>
      <c r="H5" s="18494">
        <v>6</v>
      </c>
      <c r="I5" s="18495">
        <v>184</v>
      </c>
      <c r="J5" s="18496">
        <f>HLOOKUP("BPS",A1:CV300,5,FALSE)-((-6*HLOOKUP("OG",A1:CV300,5,FALSE))+(-6*HLOOKUP("PK Miss",A1:CV300,5,FALSE))+(9*HLOOKUP("FPL As",A1:CV300,5,FALSE))+(0*HLOOKUP("CS",A1:CV300,5,FALSE))+(18*HLOOKUP("Gs",A1:CV300,5,FALSE)))</f>
        <v>157</v>
      </c>
      <c r="K5" s="18497">
        <v>0</v>
      </c>
      <c r="L5" s="18498">
        <v>3</v>
      </c>
      <c r="M5" s="18499">
        <v>28</v>
      </c>
      <c r="N5" s="18500">
        <v>16</v>
      </c>
      <c r="O5" s="18501">
        <v>7</v>
      </c>
      <c r="P5" s="18502">
        <f>IF(HLOOKUP("Shots",A1:CV300,5,FALSE)=0,0,HLOOKUP("SIB",A1:CV300,5,FALSE)/HLOOKUP("Shots",A1:CV300,5,FALSE))</f>
        <v>0.4375</v>
      </c>
      <c r="Q5" s="18503">
        <v>1</v>
      </c>
      <c r="R5" s="18504">
        <f>IF(HLOOKUP("Shots",A1:CV300,5,FALSE)=0,0,HLOOKUP("S6YD",A1:CV300,5,FALSE)/HLOOKUP("Shots",A1:CV300,5,FALSE))</f>
        <v>6.25E-2</v>
      </c>
      <c r="S5" s="18505">
        <v>1</v>
      </c>
      <c r="T5" s="18506">
        <f>IF(HLOOKUP("Shots",A1:CV300,5,FALSE)=0,0,HLOOKUP("Headers",A1:CV300,5,FALSE)/HLOOKUP("Shots",A1:CV300,5,FALSE))</f>
        <v>6.25E-2</v>
      </c>
      <c r="U5" s="18507">
        <v>3</v>
      </c>
      <c r="V5" s="18508">
        <f>IF(HLOOKUP("Shots",A1:CV300,5,FALSE)=0,0,HLOOKUP("SOT",A1:CV300,5,FALSE)/HLOOKUP("Shots",A1:CV300,5,FALSE))</f>
        <v>0.1875</v>
      </c>
      <c r="W5" s="18509">
        <f>IF(HLOOKUP("Shots",A1:CV300,5,FALSE)=0,0,HLOOKUP("Gs",A1:CV300,5,FALSE)/HLOOKUP("Shots",A1:CV300,5,FALSE))</f>
        <v>6.25E-2</v>
      </c>
      <c r="X5" s="18510">
        <v>1</v>
      </c>
      <c r="Y5" s="18511">
        <v>1</v>
      </c>
      <c r="Z5" s="18512">
        <v>20</v>
      </c>
      <c r="AA5" s="18513">
        <f>IF(HLOOKUP("KP",A1:CV300,5,FALSE)=0,0,HLOOKUP("As",A1:CV300,5,FALSE)/HLOOKUP("KP",A1:CV300,5,FALSE))</f>
        <v>0.05</v>
      </c>
      <c r="AB5" s="18514">
        <v>67.5</v>
      </c>
      <c r="AC5" s="18515">
        <v>15</v>
      </c>
      <c r="AD5" s="18516">
        <v>1</v>
      </c>
      <c r="AE5" s="18517">
        <v>0</v>
      </c>
      <c r="AF5" s="18518">
        <v>0</v>
      </c>
      <c r="AG5" s="18519">
        <f>IF(HLOOKUP("BC",A1:CV300,5,FALSE)=0,0,HLOOKUP("Gs - BC",A1:CV300,5,FALSE)/HLOOKUP("BC",A1:CV300,5,FALSE))</f>
        <v>0</v>
      </c>
      <c r="AH5" s="18520">
        <f>HLOOKUP("BC",A1:CV300,5,FALSE) - HLOOKUP("BC Miss",A1:CV300,5,FALSE)</f>
        <v>0</v>
      </c>
      <c r="AI5" s="18521">
        <f>IF(HLOOKUP("Gs",A1:CV300,5,FALSE)=0,0,HLOOKUP("Gs - BC",A1:CV300,5,FALSE)/HLOOKUP("Gs",A1:CV300,5,FALSE))</f>
        <v>0</v>
      </c>
      <c r="AJ5" s="18522">
        <v>0</v>
      </c>
      <c r="AK5" s="18523">
        <v>0</v>
      </c>
      <c r="AL5" s="18524">
        <f>HLOOKUP("BC",A1:CV300,5,FALSE) - (HLOOKUP("PK Gs",A1:CV300,5,FALSE) + HLOOKUP("PK Miss",A1:CV300,5,FALSE))</f>
        <v>0</v>
      </c>
      <c r="AM5" s="18525">
        <f>HLOOKUP("BC Miss",A1:CV300,5,FALSE) - HLOOKUP("PK Miss",A1:CV300,5,FALSE)</f>
        <v>0</v>
      </c>
      <c r="AN5" s="18526">
        <f>IF(HLOOKUP("BC - Open",A1:CV300,5,FALSE)=0,0,HLOOKUP("BC - Open Miss",A1:CV300,5,FALSE)/HLOOKUP("BC - Open",A1:CV300,5,FALSE))</f>
        <v>0</v>
      </c>
      <c r="AO5" s="18527">
        <v>1</v>
      </c>
      <c r="AP5" s="18528">
        <f>IF(HLOOKUP("Gs",A1:CV300,5,FALSE)=0,0,HLOOKUP("GIB",A1:CV300,5,FALSE)/HLOOKUP("Gs",A1:CV300,5,FALSE))</f>
        <v>1</v>
      </c>
      <c r="AQ5" s="18529">
        <v>1</v>
      </c>
      <c r="AR5" s="18530">
        <f>IF(HLOOKUP("Gs",A1:CV300,5,FALSE)=0,0,HLOOKUP("Gs - Open",A1:CV300,5,FALSE)/HLOOKUP("Gs",A1:CV300,5,FALSE))</f>
        <v>1</v>
      </c>
      <c r="AS5" s="18531">
        <v>0.91</v>
      </c>
      <c r="AT5" s="18532">
        <v>1.03</v>
      </c>
      <c r="AU5" s="18533">
        <f>IF(HLOOKUP("Mins",A1:CV300,5,FALSE)=0,0,HLOOKUP("Pts",A1:CV300,5,FALSE)/HLOOKUP("Mins",A1:CV300,5,FALSE)* 90)</f>
        <v>3.4910122989593191</v>
      </c>
      <c r="AV5" s="18534">
        <f>IF(HLOOKUP("Apps",A1:CV300,5,FALSE)=0,0,HLOOKUP("Pts",A1:CV300,5,FALSE)/HLOOKUP("Apps",A1:CV300,5,FALSE)* 1)</f>
        <v>2.7333333333333334</v>
      </c>
      <c r="AW5" s="18535">
        <f>IF(HLOOKUP("Mins",A1:CV300,5,FALSE)=0,0,HLOOKUP("Gs",A1:CV300,5,FALSE)/HLOOKUP("Mins",A1:CV300,5,FALSE)* 90)</f>
        <v>8.5146641438032161E-2</v>
      </c>
      <c r="AX5" s="18536">
        <f>IF(HLOOKUP("Mins",A1:CV300,5,FALSE)=0,0,HLOOKUP("Bonus",A1:CV300,5,FALSE)/HLOOKUP("Mins",A1:CV300,5,FALSE)* 90)</f>
        <v>0.51087984862819302</v>
      </c>
      <c r="AY5" s="18537">
        <f>IF(HLOOKUP("Mins",A1:CV300,5,FALSE)=0,0,HLOOKUP("BPS",A1:CV300,5,FALSE)/HLOOKUP("Mins",A1:CV300,5,FALSE)* 90)</f>
        <v>15.666982024597917</v>
      </c>
      <c r="AZ5" s="18538">
        <f>IF(HLOOKUP("Mins",A1:CV300,5,FALSE)=0,0,HLOOKUP("Base BPS",A1:CV300,5,FALSE)/HLOOKUP("Mins",A1:CV300,5,FALSE)* 90)</f>
        <v>13.36802270577105</v>
      </c>
      <c r="BA5" s="18539">
        <f>IF(HLOOKUP("Mins",A1:CV300,5,FALSE)=0,0,HLOOKUP("PenTchs",A1:CV300,5,FALSE)/HLOOKUP("Mins",A1:CV300,5,FALSE)* 90)</f>
        <v>2.3841059602649008</v>
      </c>
      <c r="BB5" s="18540">
        <f>IF(HLOOKUP("Mins",A1:CV300,5,FALSE)=0,0,HLOOKUP("Shots",A1:CV300,5,FALSE)/HLOOKUP("Mins",A1:CV300,5,FALSE)* 90)</f>
        <v>1.3623462630085146</v>
      </c>
      <c r="BC5" s="18541">
        <f>IF(HLOOKUP("Mins",A1:CV300,5,FALSE)=0,0,HLOOKUP("SIB",A1:CV300,5,FALSE)/HLOOKUP("Mins",A1:CV300,5,FALSE)* 90)</f>
        <v>0.59602649006622521</v>
      </c>
      <c r="BD5" s="18542">
        <f>IF(HLOOKUP("Mins",A1:CV300,5,FALSE)=0,0,HLOOKUP("S6YD",A1:CV300,5,FALSE)/HLOOKUP("Mins",A1:CV300,5,FALSE)* 90)</f>
        <v>8.5146641438032161E-2</v>
      </c>
      <c r="BE5" s="18543">
        <f>IF(HLOOKUP("Mins",A1:CV300,5,FALSE)=0,0,HLOOKUP("Headers",A1:CV300,5,FALSE)/HLOOKUP("Mins",A1:CV300,5,FALSE)* 90)</f>
        <v>8.5146641438032161E-2</v>
      </c>
      <c r="BF5" s="18544">
        <f>IF(HLOOKUP("Mins",A1:CV300,5,FALSE)=0,0,HLOOKUP("SOT",A1:CV300,5,FALSE)/HLOOKUP("Mins",A1:CV300,5,FALSE)* 90)</f>
        <v>0.25543992431409651</v>
      </c>
      <c r="BG5" s="18545">
        <f>IF(HLOOKUP("Mins",A1:CV300,5,FALSE)=0,0,HLOOKUP("As",A1:CV300,5,FALSE)/HLOOKUP("Mins",A1:CV300,5,FALSE)* 90)</f>
        <v>8.5146641438032161E-2</v>
      </c>
      <c r="BH5" s="18546">
        <f>IF(HLOOKUP("Mins",A1:CV300,5,FALSE)=0,0,HLOOKUP("FPL As",A1:CV300,5,FALSE)/HLOOKUP("Mins",A1:CV300,5,FALSE)* 90)</f>
        <v>8.5146641438032161E-2</v>
      </c>
      <c r="BI5" s="18547">
        <f>IF(HLOOKUP("Mins",A1:CV300,5,FALSE)=0,0,HLOOKUP("BC Created",A1:CV300,5,FALSE)/HLOOKUP("Mins",A1:CV300,5,FALSE)* 90)</f>
        <v>8.5146641438032161E-2</v>
      </c>
      <c r="BJ5" s="18548">
        <f>IF(HLOOKUP("Mins",A1:CV300,5,FALSE)=0,0,HLOOKUP("KP",A1:CV300,5,FALSE)/HLOOKUP("Mins",A1:CV300,5,FALSE)* 90)</f>
        <v>1.7029328287606433</v>
      </c>
      <c r="BK5" s="18549">
        <f>IF(HLOOKUP("Mins",A1:CV300,5,FALSE)=0,0,HLOOKUP("BC",A1:CV300,5,FALSE)/HLOOKUP("Mins",A1:CV300,5,FALSE)* 90)</f>
        <v>0</v>
      </c>
      <c r="BL5" s="18550">
        <f>IF(HLOOKUP("Mins",A1:CV300,5,FALSE)=0,0,HLOOKUP("BC Miss",A1:CV300,5,FALSE)/HLOOKUP("Mins",A1:CV300,5,FALSE)* 90)</f>
        <v>0</v>
      </c>
      <c r="BM5" s="18551">
        <f>IF(HLOOKUP("Mins",A1:CV300,5,FALSE)=0,0,HLOOKUP("Gs - BC",A1:CV300,5,FALSE)/HLOOKUP("Mins",A1:CV300,5,FALSE)* 90)</f>
        <v>0</v>
      </c>
      <c r="BN5" s="18552">
        <f>IF(HLOOKUP("Mins",A1:CV300,5,FALSE)=0,0,HLOOKUP("GIB",A1:CV300,5,FALSE)/HLOOKUP("Mins",A1:CV300,5,FALSE)* 90)</f>
        <v>8.5146641438032161E-2</v>
      </c>
      <c r="BO5" s="18553">
        <f>IF(HLOOKUP("Mins",A1:CV300,5,FALSE)=0,0,HLOOKUP("Gs - Open",A1:CV300,5,FALSE)/HLOOKUP("Mins",A1:CV300,5,FALSE)* 90)</f>
        <v>8.5146641438032161E-2</v>
      </c>
      <c r="BP5" s="18554">
        <f>IF(HLOOKUP("Mins",A1:CV300,5,FALSE)=0,0,HLOOKUP("ICT Index",A1:CV300,5,FALSE)/HLOOKUP("Mins",A1:CV300,5,FALSE)* 90)</f>
        <v>5.7473982970671713</v>
      </c>
      <c r="BQ5" s="18555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  <v>0.11222327341532638</v>
      </c>
      <c r="BR5" s="18556">
        <f>0.0885*HLOOKUP("KP/90",A1:CV300,5,FALSE)</f>
        <v>0.15070955534531694</v>
      </c>
      <c r="BS5" s="18557">
        <f>5*HLOOKUP("xG/90",A1:CV300,5,FALSE)+3*HLOOKUP("xA/90",A1:CV300,5,FALSE)</f>
        <v>1.0132450331125828</v>
      </c>
      <c r="BT5" s="18558">
        <f>HLOOKUP("xPts/90",A1:CV300,5,FALSE)-(5*0.75*(HLOOKUP("PK Gs",A1:CV300,5,FALSE)+HLOOKUP("PK Miss",A1:CV300,5,FALSE))*90/HLOOKUP("Mins",A1:CV300,5,FALSE))</f>
        <v>1.0132450331125828</v>
      </c>
      <c r="BU5" s="18559">
        <f>IF(HLOOKUP("Mins",A1:CV300,5,FALSE)=0,0,HLOOKUP("fsXG",A1:CV300,5,FALSE)/HLOOKUP("Mins",A1:CV300,5,FALSE)* 90)</f>
        <v>7.7483443708609268E-2</v>
      </c>
      <c r="BV5" s="18560">
        <f>IF(HLOOKUP("Mins",A1:CV300,5,FALSE)=0,0,HLOOKUP("fsXA",A1:CV300,5,FALSE)/HLOOKUP("Mins",A1:CV300,5,FALSE)* 90)</f>
        <v>8.7701040681173126E-2</v>
      </c>
      <c r="BW5" s="18561">
        <f>5*HLOOKUP("fsXG/90",A1:CV300,5,FALSE)+3*HLOOKUP("fsXA/90",A1:CV300,5,FALSE)</f>
        <v>0.65052034058656572</v>
      </c>
      <c r="BX5" s="18562">
        <v>8.8378012180328369E-2</v>
      </c>
      <c r="BY5" s="18563">
        <v>0.12762121856212616</v>
      </c>
      <c r="BZ5" s="18564">
        <f>5*HLOOKUP("uXG/90",A1:CV300,5,FALSE)+3*HLOOKUP("uXA/90",A1:CV300,5,FALSE)</f>
        <v>0.82475371658802032</v>
      </c>
    </row>
    <row r="6" spans="1:78" x14ac:dyDescent="0.3">
      <c r="A6" s="18565" t="s">
        <v>333</v>
      </c>
      <c r="B6" s="18566" t="s">
        <v>115</v>
      </c>
      <c r="C6" s="18567">
        <v>5.3000001907348633</v>
      </c>
      <c r="D6" s="18568">
        <v>1162</v>
      </c>
      <c r="E6" s="18569">
        <v>17</v>
      </c>
      <c r="F6" s="18570">
        <v>42</v>
      </c>
      <c r="G6" s="18571">
        <v>1</v>
      </c>
      <c r="H6" s="18572">
        <v>3</v>
      </c>
      <c r="I6" s="18573">
        <v>149</v>
      </c>
      <c r="J6" s="18574">
        <f>HLOOKUP("BPS",A1:CV300,6,FALSE)-((-6*HLOOKUP("OG",A1:CV300,6,FALSE))+(-6*HLOOKUP("PK Miss",A1:CV300,6,FALSE))+(9*HLOOKUP("FPL As",A1:CV300,6,FALSE))+(0*HLOOKUP("CS",A1:CV300,6,FALSE))+(18*HLOOKUP("Gs",A1:CV300,6,FALSE)))</f>
        <v>122</v>
      </c>
      <c r="K6" s="18575">
        <v>0</v>
      </c>
      <c r="L6" s="18576">
        <v>4</v>
      </c>
      <c r="M6" s="18577">
        <v>28</v>
      </c>
      <c r="N6" s="18578">
        <v>15</v>
      </c>
      <c r="O6" s="18579">
        <v>9</v>
      </c>
      <c r="P6" s="18580">
        <f>IF(HLOOKUP("Shots",A1:CV300,6,FALSE)=0,0,HLOOKUP("SIB",A1:CV300,6,FALSE)/HLOOKUP("Shots",A1:CV300,6,FALSE))</f>
        <v>0.6</v>
      </c>
      <c r="Q6" s="18581">
        <v>1</v>
      </c>
      <c r="R6" s="18582">
        <f>IF(HLOOKUP("Shots",A1:CV300,6,FALSE)=0,0,HLOOKUP("S6YD",A1:CV300,6,FALSE)/HLOOKUP("Shots",A1:CV300,6,FALSE))</f>
        <v>6.6666666666666666E-2</v>
      </c>
      <c r="S6" s="18583">
        <v>1</v>
      </c>
      <c r="T6" s="18584">
        <f>IF(HLOOKUP("Shots",A1:CV300,6,FALSE)=0,0,HLOOKUP("Headers",A1:CV300,6,FALSE)/HLOOKUP("Shots",A1:CV300,6,FALSE))</f>
        <v>6.6666666666666666E-2</v>
      </c>
      <c r="U6" s="18585">
        <v>2</v>
      </c>
      <c r="V6" s="18586">
        <f>IF(HLOOKUP("Shots",A1:CV300,6,FALSE)=0,0,HLOOKUP("SOT",A1:CV300,6,FALSE)/HLOOKUP("Shots",A1:CV300,6,FALSE))</f>
        <v>0.13333333333333333</v>
      </c>
      <c r="W6" s="18587">
        <f>IF(HLOOKUP("Shots",A1:CV300,6,FALSE)=0,0,HLOOKUP("Gs",A1:CV300,6,FALSE)/HLOOKUP("Shots",A1:CV300,6,FALSE))</f>
        <v>6.6666666666666666E-2</v>
      </c>
      <c r="X6" s="18588">
        <v>1</v>
      </c>
      <c r="Y6" s="18589">
        <v>1</v>
      </c>
      <c r="Z6" s="18590">
        <v>10</v>
      </c>
      <c r="AA6" s="18591">
        <f>IF(HLOOKUP("KP",A1:CV300,6,FALSE)=0,0,HLOOKUP("As",A1:CV300,6,FALSE)/HLOOKUP("KP",A1:CV300,6,FALSE))</f>
        <v>0.1</v>
      </c>
      <c r="AB6" s="18592">
        <v>48.5</v>
      </c>
      <c r="AC6" s="18593">
        <v>18</v>
      </c>
      <c r="AD6" s="18594">
        <v>1</v>
      </c>
      <c r="AE6" s="18595">
        <v>2</v>
      </c>
      <c r="AF6" s="18596">
        <v>1</v>
      </c>
      <c r="AG6" s="18597">
        <f>IF(HLOOKUP("BC",A1:CV300,6,FALSE)=0,0,HLOOKUP("Gs - BC",A1:CV300,6,FALSE)/HLOOKUP("BC",A1:CV300,6,FALSE))</f>
        <v>0.5</v>
      </c>
      <c r="AH6" s="18598">
        <f>HLOOKUP("BC",A1:CV300,6,FALSE) - HLOOKUP("BC Miss",A1:CV300,6,FALSE)</f>
        <v>1</v>
      </c>
      <c r="AI6" s="18599">
        <f>IF(HLOOKUP("Gs",A1:CV300,6,FALSE)=0,0,HLOOKUP("Gs - BC",A1:CV300,6,FALSE)/HLOOKUP("Gs",A1:CV300,6,FALSE))</f>
        <v>1</v>
      </c>
      <c r="AJ6" s="18600">
        <v>0</v>
      </c>
      <c r="AK6" s="18601">
        <v>0</v>
      </c>
      <c r="AL6" s="18602">
        <f>HLOOKUP("BC",A1:CV300,6,FALSE) - (HLOOKUP("PK Gs",A1:CV300,6,FALSE) + HLOOKUP("PK Miss",A1:CV300,6,FALSE))</f>
        <v>2</v>
      </c>
      <c r="AM6" s="18603">
        <f>HLOOKUP("BC Miss",A1:CV300,6,FALSE) - HLOOKUP("PK Miss",A1:CV300,6,FALSE)</f>
        <v>1</v>
      </c>
      <c r="AN6" s="18604">
        <f>IF(HLOOKUP("BC - Open",A1:CV300,6,FALSE)=0,0,HLOOKUP("BC - Open Miss",A1:CV300,6,FALSE)/HLOOKUP("BC - Open",A1:CV300,6,FALSE))</f>
        <v>0.5</v>
      </c>
      <c r="AO6" s="18605">
        <v>1</v>
      </c>
      <c r="AP6" s="18606">
        <f>IF(HLOOKUP("Gs",A1:CV300,6,FALSE)=0,0,HLOOKUP("GIB",A1:CV300,6,FALSE)/HLOOKUP("Gs",A1:CV300,6,FALSE))</f>
        <v>1</v>
      </c>
      <c r="AQ6" s="18607">
        <v>1</v>
      </c>
      <c r="AR6" s="18608">
        <f>IF(HLOOKUP("Gs",A1:CV300,6,FALSE)=0,0,HLOOKUP("Gs - Open",A1:CV300,6,FALSE)/HLOOKUP("Gs",A1:CV300,6,FALSE))</f>
        <v>1</v>
      </c>
      <c r="AS6" s="18609">
        <v>1.8</v>
      </c>
      <c r="AT6" s="18610">
        <v>0.93</v>
      </c>
      <c r="AU6" s="18611">
        <f>IF(HLOOKUP("Mins",A1:CV300,6,FALSE)=0,0,HLOOKUP("Pts",A1:CV300,6,FALSE)/HLOOKUP("Mins",A1:CV300,6,FALSE)* 90)</f>
        <v>3.2530120481927711</v>
      </c>
      <c r="AV6" s="18612">
        <f>IF(HLOOKUP("Apps",A1:CV300,6,FALSE)=0,0,HLOOKUP("Pts",A1:CV300,6,FALSE)/HLOOKUP("Apps",A1:CV300,6,FALSE)* 1)</f>
        <v>2.4705882352941178</v>
      </c>
      <c r="AW6" s="18613">
        <f>IF(HLOOKUP("Mins",A1:CV300,6,FALSE)=0,0,HLOOKUP("Gs",A1:CV300,6,FALSE)/HLOOKUP("Mins",A1:CV300,6,FALSE)* 90)</f>
        <v>7.7452667814113599E-2</v>
      </c>
      <c r="AX6" s="18614">
        <f>IF(HLOOKUP("Mins",A1:CV300,6,FALSE)=0,0,HLOOKUP("Bonus",A1:CV300,6,FALSE)/HLOOKUP("Mins",A1:CV300,6,FALSE)* 90)</f>
        <v>0.23235800344234081</v>
      </c>
      <c r="AY6" s="18615">
        <f>IF(HLOOKUP("Mins",A1:CV300,6,FALSE)=0,0,HLOOKUP("BPS",A1:CV300,6,FALSE)/HLOOKUP("Mins",A1:CV300,6,FALSE)* 90)</f>
        <v>11.540447504302925</v>
      </c>
      <c r="AZ6" s="18616">
        <f>IF(HLOOKUP("Mins",A1:CV300,6,FALSE)=0,0,HLOOKUP("Base BPS",A1:CV300,6,FALSE)/HLOOKUP("Mins",A1:CV300,6,FALSE)* 90)</f>
        <v>9.4492254733218584</v>
      </c>
      <c r="BA6" s="18617">
        <f>IF(HLOOKUP("Mins",A1:CV300,6,FALSE)=0,0,HLOOKUP("PenTchs",A1:CV300,6,FALSE)/HLOOKUP("Mins",A1:CV300,6,FALSE)* 90)</f>
        <v>2.168674698795181</v>
      </c>
      <c r="BB6" s="18618">
        <f>IF(HLOOKUP("Mins",A1:CV300,6,FALSE)=0,0,HLOOKUP("Shots",A1:CV300,6,FALSE)/HLOOKUP("Mins",A1:CV300,6,FALSE)* 90)</f>
        <v>1.1617900172117039</v>
      </c>
      <c r="BC6" s="18619">
        <f>IF(HLOOKUP("Mins",A1:CV300,6,FALSE)=0,0,HLOOKUP("SIB",A1:CV300,6,FALSE)/HLOOKUP("Mins",A1:CV300,6,FALSE)* 90)</f>
        <v>0.69707401032702243</v>
      </c>
      <c r="BD6" s="18620">
        <f>IF(HLOOKUP("Mins",A1:CV300,6,FALSE)=0,0,HLOOKUP("S6YD",A1:CV300,6,FALSE)/HLOOKUP("Mins",A1:CV300,6,FALSE)* 90)</f>
        <v>7.7452667814113599E-2</v>
      </c>
      <c r="BE6" s="18621">
        <f>IF(HLOOKUP("Mins",A1:CV300,6,FALSE)=0,0,HLOOKUP("Headers",A1:CV300,6,FALSE)/HLOOKUP("Mins",A1:CV300,6,FALSE)* 90)</f>
        <v>7.7452667814113599E-2</v>
      </c>
      <c r="BF6" s="18622">
        <f>IF(HLOOKUP("Mins",A1:CV300,6,FALSE)=0,0,HLOOKUP("SOT",A1:CV300,6,FALSE)/HLOOKUP("Mins",A1:CV300,6,FALSE)* 90)</f>
        <v>0.1549053356282272</v>
      </c>
      <c r="BG6" s="18623">
        <f>IF(HLOOKUP("Mins",A1:CV300,6,FALSE)=0,0,HLOOKUP("As",A1:CV300,6,FALSE)/HLOOKUP("Mins",A1:CV300,6,FALSE)* 90)</f>
        <v>7.7452667814113599E-2</v>
      </c>
      <c r="BH6" s="18624">
        <f>IF(HLOOKUP("Mins",A1:CV300,6,FALSE)=0,0,HLOOKUP("FPL As",A1:CV300,6,FALSE)/HLOOKUP("Mins",A1:CV300,6,FALSE)* 90)</f>
        <v>7.7452667814113599E-2</v>
      </c>
      <c r="BI6" s="18625">
        <f>IF(HLOOKUP("Mins",A1:CV300,6,FALSE)=0,0,HLOOKUP("BC Created",A1:CV300,6,FALSE)/HLOOKUP("Mins",A1:CV300,6,FALSE)* 90)</f>
        <v>7.7452667814113599E-2</v>
      </c>
      <c r="BJ6" s="18626">
        <f>IF(HLOOKUP("Mins",A1:CV300,6,FALSE)=0,0,HLOOKUP("KP",A1:CV300,6,FALSE)/HLOOKUP("Mins",A1:CV300,6,FALSE)* 90)</f>
        <v>0.77452667814113585</v>
      </c>
      <c r="BK6" s="18627">
        <f>IF(HLOOKUP("Mins",A1:CV300,6,FALSE)=0,0,HLOOKUP("BC",A1:CV300,6,FALSE)/HLOOKUP("Mins",A1:CV300,6,FALSE)* 90)</f>
        <v>0.1549053356282272</v>
      </c>
      <c r="BL6" s="18628">
        <f>IF(HLOOKUP("Mins",A1:CV300,6,FALSE)=0,0,HLOOKUP("BC Miss",A1:CV300,6,FALSE)/HLOOKUP("Mins",A1:CV300,6,FALSE)* 90)</f>
        <v>7.7452667814113599E-2</v>
      </c>
      <c r="BM6" s="18629">
        <f>IF(HLOOKUP("Mins",A1:CV300,6,FALSE)=0,0,HLOOKUP("Gs - BC",A1:CV300,6,FALSE)/HLOOKUP("Mins",A1:CV300,6,FALSE)* 90)</f>
        <v>7.7452667814113599E-2</v>
      </c>
      <c r="BN6" s="18630">
        <f>IF(HLOOKUP("Mins",A1:CV300,6,FALSE)=0,0,HLOOKUP("GIB",A1:CV300,6,FALSE)/HLOOKUP("Mins",A1:CV300,6,FALSE)* 90)</f>
        <v>7.7452667814113599E-2</v>
      </c>
      <c r="BO6" s="18631">
        <f>IF(HLOOKUP("Mins",A1:CV300,6,FALSE)=0,0,HLOOKUP("Gs - Open",A1:CV300,6,FALSE)/HLOOKUP("Mins",A1:CV300,6,FALSE)* 90)</f>
        <v>7.7452667814113599E-2</v>
      </c>
      <c r="BP6" s="18632">
        <f>IF(HLOOKUP("Mins",A1:CV300,6,FALSE)=0,0,HLOOKUP("ICT Index",A1:CV300,6,FALSE)/HLOOKUP("Mins",A1:CV300,6,FALSE)* 90)</f>
        <v>3.7564543889845092</v>
      </c>
      <c r="BQ6" s="18633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  <v>0.11571428571428569</v>
      </c>
      <c r="BR6" s="18634">
        <f>0.0885*HLOOKUP("KP/90",A1:CV300,6,FALSE)</f>
        <v>6.8545611015490518E-2</v>
      </c>
      <c r="BS6" s="18635">
        <f>5*HLOOKUP("xG/90",A1:CV300,6,FALSE)+3*HLOOKUP("xA/90",A1:CV300,6,FALSE)</f>
        <v>0.78420826161790003</v>
      </c>
      <c r="BT6" s="18636">
        <f>HLOOKUP("xPts/90",A1:CV300,6,FALSE)-(5*0.75*(HLOOKUP("PK Gs",A1:CV300,6,FALSE)+HLOOKUP("PK Miss",A1:CV300,6,FALSE))*90/HLOOKUP("Mins",A1:CV300,6,FALSE))</f>
        <v>0.78420826161790003</v>
      </c>
      <c r="BU6" s="18637">
        <f>IF(HLOOKUP("Mins",A1:CV300,6,FALSE)=0,0,HLOOKUP("fsXG",A1:CV300,6,FALSE)/HLOOKUP("Mins",A1:CV300,6,FALSE)* 90)</f>
        <v>0.13941480206540449</v>
      </c>
      <c r="BV6" s="18638">
        <f>IF(HLOOKUP("Mins",A1:CV300,6,FALSE)=0,0,HLOOKUP("fsXA",A1:CV300,6,FALSE)/HLOOKUP("Mins",A1:CV300,6,FALSE)* 90)</f>
        <v>7.2030981067125646E-2</v>
      </c>
      <c r="BW6" s="18639">
        <f>5*HLOOKUP("fsXG/90",A1:CV300,6,FALSE)+3*HLOOKUP("fsXA/90",A1:CV300,6,FALSE)</f>
        <v>0.91316695352839938</v>
      </c>
      <c r="BX6" s="18640">
        <v>0.14402011036872864</v>
      </c>
      <c r="BY6" s="18641">
        <v>7.3188617825508118E-2</v>
      </c>
      <c r="BZ6" s="18642">
        <f>5*HLOOKUP("uXG/90",A1:CV300,6,FALSE)+3*HLOOKUP("uXA/90",A1:CV300,6,FALSE)</f>
        <v>0.93966640532016754</v>
      </c>
    </row>
    <row r="7" spans="1:78" x14ac:dyDescent="0.3">
      <c r="A7" s="18643" t="s">
        <v>334</v>
      </c>
      <c r="B7" s="18644" t="s">
        <v>89</v>
      </c>
      <c r="C7" s="18645">
        <v>4.9000000953674316</v>
      </c>
      <c r="D7" s="18646">
        <v>611</v>
      </c>
      <c r="E7" s="18647">
        <v>9</v>
      </c>
      <c r="F7" s="18648">
        <v>15</v>
      </c>
      <c r="G7" s="18649">
        <v>0</v>
      </c>
      <c r="H7" s="18650">
        <v>0</v>
      </c>
      <c r="I7" s="18651">
        <v>69</v>
      </c>
      <c r="J7" s="18652">
        <f>HLOOKUP("BPS",A1:CV300,7,FALSE)-((-6*HLOOKUP("OG",A1:CV300,7,FALSE))+(-6*HLOOKUP("PK Miss",A1:CV300,7,FALSE))+(9*HLOOKUP("FPL As",A1:CV300,7,FALSE))+(0*HLOOKUP("CS",A1:CV300,7,FALSE))+(18*HLOOKUP("Gs",A1:CV300,7,FALSE)))</f>
        <v>60</v>
      </c>
      <c r="K7" s="18653">
        <v>0</v>
      </c>
      <c r="L7" s="18654">
        <v>1</v>
      </c>
      <c r="M7" s="18655">
        <v>7</v>
      </c>
      <c r="N7" s="18656">
        <v>4</v>
      </c>
      <c r="O7" s="18657">
        <v>4</v>
      </c>
      <c r="P7" s="18658">
        <f>IF(HLOOKUP("Shots",A1:CV300,7,FALSE)=0,0,HLOOKUP("SIB",A1:CV300,7,FALSE)/HLOOKUP("Shots",A1:CV300,7,FALSE))</f>
        <v>1</v>
      </c>
      <c r="Q7" s="18659">
        <v>0</v>
      </c>
      <c r="R7" s="18660">
        <f>IF(HLOOKUP("Shots",A1:CV300,7,FALSE)=0,0,HLOOKUP("S6YD",A1:CV300,7,FALSE)/HLOOKUP("Shots",A1:CV300,7,FALSE))</f>
        <v>0</v>
      </c>
      <c r="S7" s="18661">
        <v>2</v>
      </c>
      <c r="T7" s="18662">
        <f>IF(HLOOKUP("Shots",A1:CV300,7,FALSE)=0,0,HLOOKUP("Headers",A1:CV300,7,FALSE)/HLOOKUP("Shots",A1:CV300,7,FALSE))</f>
        <v>0.5</v>
      </c>
      <c r="U7" s="18663">
        <v>1</v>
      </c>
      <c r="V7" s="18664">
        <f>IF(HLOOKUP("Shots",A1:CV300,7,FALSE)=0,0,HLOOKUP("SOT",A1:CV300,7,FALSE)/HLOOKUP("Shots",A1:CV300,7,FALSE))</f>
        <v>0.25</v>
      </c>
      <c r="W7" s="18665">
        <f>IF(HLOOKUP("Shots",A1:CV300,7,FALSE)=0,0,HLOOKUP("Gs",A1:CV300,7,FALSE)/HLOOKUP("Shots",A1:CV300,7,FALSE))</f>
        <v>0</v>
      </c>
      <c r="X7" s="18666">
        <v>1</v>
      </c>
      <c r="Y7" s="18667">
        <v>1</v>
      </c>
      <c r="Z7" s="18668">
        <v>5</v>
      </c>
      <c r="AA7" s="18669">
        <f>IF(HLOOKUP("KP",A1:CV300,7,FALSE)=0,0,HLOOKUP("As",A1:CV300,7,FALSE)/HLOOKUP("KP",A1:CV300,7,FALSE))</f>
        <v>0.2</v>
      </c>
      <c r="AB7" s="18670">
        <v>22.7</v>
      </c>
      <c r="AC7" s="18671">
        <v>7</v>
      </c>
      <c r="AD7" s="18672">
        <v>0</v>
      </c>
      <c r="AE7" s="18673">
        <v>2</v>
      </c>
      <c r="AF7" s="18674">
        <v>2</v>
      </c>
      <c r="AG7" s="18675">
        <f>IF(HLOOKUP("BC",A1:CV300,7,FALSE)=0,0,HLOOKUP("Gs - BC",A1:CV300,7,FALSE)/HLOOKUP("BC",A1:CV300,7,FALSE))</f>
        <v>0</v>
      </c>
      <c r="AH7" s="18676">
        <f>HLOOKUP("BC",A1:CV300,7,FALSE) - HLOOKUP("BC Miss",A1:CV300,7,FALSE)</f>
        <v>0</v>
      </c>
      <c r="AI7" s="18677">
        <f>IF(HLOOKUP("Gs",A1:CV300,7,FALSE)=0,0,HLOOKUP("Gs - BC",A1:CV300,7,FALSE)/HLOOKUP("Gs",A1:CV300,7,FALSE))</f>
        <v>0</v>
      </c>
      <c r="AJ7" s="18678">
        <v>0</v>
      </c>
      <c r="AK7" s="18679">
        <v>0</v>
      </c>
      <c r="AL7" s="18680">
        <f>HLOOKUP("BC",A1:CV300,7,FALSE) - (HLOOKUP("PK Gs",A1:CV300,7,FALSE) + HLOOKUP("PK Miss",A1:CV300,7,FALSE))</f>
        <v>2</v>
      </c>
      <c r="AM7" s="18681">
        <f>HLOOKUP("BC Miss",A1:CV300,7,FALSE) - HLOOKUP("PK Miss",A1:CV300,7,FALSE)</f>
        <v>2</v>
      </c>
      <c r="AN7" s="18682">
        <f>IF(HLOOKUP("BC - Open",A1:CV300,7,FALSE)=0,0,HLOOKUP("BC - Open Miss",A1:CV300,7,FALSE)/HLOOKUP("BC - Open",A1:CV300,7,FALSE))</f>
        <v>1</v>
      </c>
      <c r="AO7" s="18683">
        <v>0</v>
      </c>
      <c r="AP7" s="18684">
        <f>IF(HLOOKUP("Gs",A1:CV300,7,FALSE)=0,0,HLOOKUP("GIB",A1:CV300,7,FALSE)/HLOOKUP("Gs",A1:CV300,7,FALSE))</f>
        <v>0</v>
      </c>
      <c r="AQ7" s="18685">
        <v>0</v>
      </c>
      <c r="AR7" s="18686">
        <f>IF(HLOOKUP("Gs",A1:CV300,7,FALSE)=0,0,HLOOKUP("Gs - Open",A1:CV300,7,FALSE)/HLOOKUP("Gs",A1:CV300,7,FALSE))</f>
        <v>0</v>
      </c>
      <c r="AS7" s="18687">
        <v>0.68</v>
      </c>
      <c r="AT7" s="18688">
        <v>0.13</v>
      </c>
      <c r="AU7" s="18689">
        <f>IF(HLOOKUP("Mins",A1:CV300,7,FALSE)=0,0,HLOOKUP("Pts",A1:CV300,7,FALSE)/HLOOKUP("Mins",A1:CV300,7,FALSE)* 90)</f>
        <v>2.2094926350245498</v>
      </c>
      <c r="AV7" s="18690">
        <f>IF(HLOOKUP("Apps",A1:CV300,7,FALSE)=0,0,HLOOKUP("Pts",A1:CV300,7,FALSE)/HLOOKUP("Apps",A1:CV300,7,FALSE)* 1)</f>
        <v>1.6666666666666667</v>
      </c>
      <c r="AW7" s="18691">
        <f>IF(HLOOKUP("Mins",A1:CV300,7,FALSE)=0,0,HLOOKUP("Gs",A1:CV300,7,FALSE)/HLOOKUP("Mins",A1:CV300,7,FALSE)* 90)</f>
        <v>0</v>
      </c>
      <c r="AX7" s="18692">
        <f>IF(HLOOKUP("Mins",A1:CV300,7,FALSE)=0,0,HLOOKUP("Bonus",A1:CV300,7,FALSE)/HLOOKUP("Mins",A1:CV300,7,FALSE)* 90)</f>
        <v>0</v>
      </c>
      <c r="AY7" s="18693">
        <f>IF(HLOOKUP("Mins",A1:CV300,7,FALSE)=0,0,HLOOKUP("BPS",A1:CV300,7,FALSE)/HLOOKUP("Mins",A1:CV300,7,FALSE)* 90)</f>
        <v>10.163666121112929</v>
      </c>
      <c r="AZ7" s="18694">
        <f>IF(HLOOKUP("Mins",A1:CV300,7,FALSE)=0,0,HLOOKUP("Base BPS",A1:CV300,7,FALSE)/HLOOKUP("Mins",A1:CV300,7,FALSE)* 90)</f>
        <v>8.8379705400981994</v>
      </c>
      <c r="BA7" s="18695">
        <f>IF(HLOOKUP("Mins",A1:CV300,7,FALSE)=0,0,HLOOKUP("PenTchs",A1:CV300,7,FALSE)/HLOOKUP("Mins",A1:CV300,7,FALSE)* 90)</f>
        <v>1.0310965630114566</v>
      </c>
      <c r="BB7" s="18696">
        <f>IF(HLOOKUP("Mins",A1:CV300,7,FALSE)=0,0,HLOOKUP("Shots",A1:CV300,7,FALSE)/HLOOKUP("Mins",A1:CV300,7,FALSE)* 90)</f>
        <v>0.58919803600654663</v>
      </c>
      <c r="BC7" s="18697">
        <f>IF(HLOOKUP("Mins",A1:CV300,7,FALSE)=0,0,HLOOKUP("SIB",A1:CV300,7,FALSE)/HLOOKUP("Mins",A1:CV300,7,FALSE)* 90)</f>
        <v>0.58919803600654663</v>
      </c>
      <c r="BD7" s="18698">
        <f>IF(HLOOKUP("Mins",A1:CV300,7,FALSE)=0,0,HLOOKUP("S6YD",A1:CV300,7,FALSE)/HLOOKUP("Mins",A1:CV300,7,FALSE)* 90)</f>
        <v>0</v>
      </c>
      <c r="BE7" s="18699">
        <f>IF(HLOOKUP("Mins",A1:CV300,7,FALSE)=0,0,HLOOKUP("Headers",A1:CV300,7,FALSE)/HLOOKUP("Mins",A1:CV300,7,FALSE)* 90)</f>
        <v>0.29459901800327332</v>
      </c>
      <c r="BF7" s="18700">
        <f>IF(HLOOKUP("Mins",A1:CV300,7,FALSE)=0,0,HLOOKUP("SOT",A1:CV300,7,FALSE)/HLOOKUP("Mins",A1:CV300,7,FALSE)* 90)</f>
        <v>0.14729950900163666</v>
      </c>
      <c r="BG7" s="18701">
        <f>IF(HLOOKUP("Mins",A1:CV300,7,FALSE)=0,0,HLOOKUP("As",A1:CV300,7,FALSE)/HLOOKUP("Mins",A1:CV300,7,FALSE)* 90)</f>
        <v>0.14729950900163666</v>
      </c>
      <c r="BH7" s="18702">
        <f>IF(HLOOKUP("Mins",A1:CV300,7,FALSE)=0,0,HLOOKUP("FPL As",A1:CV300,7,FALSE)/HLOOKUP("Mins",A1:CV300,7,FALSE)* 90)</f>
        <v>0.14729950900163666</v>
      </c>
      <c r="BI7" s="18703">
        <f>IF(HLOOKUP("Mins",A1:CV300,7,FALSE)=0,0,HLOOKUP("BC Created",A1:CV300,7,FALSE)/HLOOKUP("Mins",A1:CV300,7,FALSE)* 90)</f>
        <v>0</v>
      </c>
      <c r="BJ7" s="18704">
        <f>IF(HLOOKUP("Mins",A1:CV300,7,FALSE)=0,0,HLOOKUP("KP",A1:CV300,7,FALSE)/HLOOKUP("Mins",A1:CV300,7,FALSE)* 90)</f>
        <v>0.73649754500818332</v>
      </c>
      <c r="BK7" s="18705">
        <f>IF(HLOOKUP("Mins",A1:CV300,7,FALSE)=0,0,HLOOKUP("BC",A1:CV300,7,FALSE)/HLOOKUP("Mins",A1:CV300,7,FALSE)* 90)</f>
        <v>0.29459901800327332</v>
      </c>
      <c r="BL7" s="18706">
        <f>IF(HLOOKUP("Mins",A1:CV300,7,FALSE)=0,0,HLOOKUP("BC Miss",A1:CV300,7,FALSE)/HLOOKUP("Mins",A1:CV300,7,FALSE)* 90)</f>
        <v>0.29459901800327332</v>
      </c>
      <c r="BM7" s="18707">
        <f>IF(HLOOKUP("Mins",A1:CV300,7,FALSE)=0,0,HLOOKUP("Gs - BC",A1:CV300,7,FALSE)/HLOOKUP("Mins",A1:CV300,7,FALSE)* 90)</f>
        <v>0</v>
      </c>
      <c r="BN7" s="18708">
        <f>IF(HLOOKUP("Mins",A1:CV300,7,FALSE)=0,0,HLOOKUP("GIB",A1:CV300,7,FALSE)/HLOOKUP("Mins",A1:CV300,7,FALSE)* 90)</f>
        <v>0</v>
      </c>
      <c r="BO7" s="18709">
        <f>IF(HLOOKUP("Mins",A1:CV300,7,FALSE)=0,0,HLOOKUP("Gs - Open",A1:CV300,7,FALSE)/HLOOKUP("Mins",A1:CV300,7,FALSE)* 90)</f>
        <v>0</v>
      </c>
      <c r="BP7" s="18710">
        <f>IF(HLOOKUP("Mins",A1:CV300,7,FALSE)=0,0,HLOOKUP("ICT Index",A1:CV300,7,FALSE)/HLOOKUP("Mins",A1:CV300,7,FALSE)* 90)</f>
        <v>3.343698854337152</v>
      </c>
      <c r="BQ7" s="18711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  <v>8.366612111292962E-2</v>
      </c>
      <c r="BR7" s="18712">
        <f>0.0885*HLOOKUP("KP/90",A1:CV300,7,FALSE)</f>
        <v>6.5180032733224216E-2</v>
      </c>
      <c r="BS7" s="18713">
        <f>5*HLOOKUP("xG/90",A1:CV300,7,FALSE)+3*HLOOKUP("xA/90",A1:CV300,7,FALSE)</f>
        <v>0.61387070376432074</v>
      </c>
      <c r="BT7" s="18714">
        <f>HLOOKUP("xPts/90",A1:CV300,7,FALSE)-(5*0.75*(HLOOKUP("PK Gs",A1:CV300,7,FALSE)+HLOOKUP("PK Miss",A1:CV300,7,FALSE))*90/HLOOKUP("Mins",A1:CV300,7,FALSE))</f>
        <v>0.61387070376432074</v>
      </c>
      <c r="BU7" s="18715">
        <f>IF(HLOOKUP("Mins",A1:CV300,7,FALSE)=0,0,HLOOKUP("fsXG",A1:CV300,7,FALSE)/HLOOKUP("Mins",A1:CV300,7,FALSE)* 90)</f>
        <v>0.10016366612111294</v>
      </c>
      <c r="BV7" s="18716">
        <f>IF(HLOOKUP("Mins",A1:CV300,7,FALSE)=0,0,HLOOKUP("fsXA",A1:CV300,7,FALSE)/HLOOKUP("Mins",A1:CV300,7,FALSE)* 90)</f>
        <v>1.9148936170212766E-2</v>
      </c>
      <c r="BW7" s="18717">
        <f>5*HLOOKUP("fsXG/90",A1:CV300,7,FALSE)+3*HLOOKUP("fsXA/90",A1:CV300,7,FALSE)</f>
        <v>0.55826513911620301</v>
      </c>
      <c r="BX7" s="18718">
        <v>0.12461236119270325</v>
      </c>
      <c r="BY7" s="18719">
        <v>2.2344671189785004E-2</v>
      </c>
      <c r="BZ7" s="18720">
        <f>5*HLOOKUP("uXG/90",A1:CV300,7,FALSE)+3*HLOOKUP("uXA/90",A1:CV300,7,FALSE)</f>
        <v>0.69009581953287125</v>
      </c>
    </row>
    <row r="8" spans="1:78" x14ac:dyDescent="0.3">
      <c r="A8" s="18721" t="s">
        <v>335</v>
      </c>
      <c r="B8" s="18722" t="s">
        <v>79</v>
      </c>
      <c r="C8" s="18723">
        <v>4.4000000953674316</v>
      </c>
      <c r="D8" s="18724">
        <v>1458</v>
      </c>
      <c r="E8" s="18725">
        <v>19</v>
      </c>
      <c r="F8" s="18726">
        <v>40</v>
      </c>
      <c r="G8" s="18727">
        <v>0</v>
      </c>
      <c r="H8" s="18728">
        <v>2</v>
      </c>
      <c r="I8" s="18729">
        <v>240</v>
      </c>
      <c r="J8" s="18730">
        <f>HLOOKUP("BPS",A1:CV300,8,FALSE)-((-6*HLOOKUP("OG",A1:CV300,8,FALSE))+(-6*HLOOKUP("PK Miss",A1:CV300,8,FALSE))+(9*HLOOKUP("FPL As",A1:CV300,8,FALSE))+(0*HLOOKUP("CS",A1:CV300,8,FALSE))+(18*HLOOKUP("Gs",A1:CV300,8,FALSE)))</f>
        <v>222</v>
      </c>
      <c r="K8" s="18731">
        <v>0</v>
      </c>
      <c r="L8" s="18732">
        <v>2</v>
      </c>
      <c r="M8" s="18733">
        <v>22</v>
      </c>
      <c r="N8" s="18734">
        <v>10</v>
      </c>
      <c r="O8" s="18735">
        <v>3</v>
      </c>
      <c r="P8" s="18736">
        <f>IF(HLOOKUP("Shots",A1:CV300,8,FALSE)=0,0,HLOOKUP("SIB",A1:CV300,8,FALSE)/HLOOKUP("Shots",A1:CV300,8,FALSE))</f>
        <v>0.3</v>
      </c>
      <c r="Q8" s="18737">
        <v>0</v>
      </c>
      <c r="R8" s="18738">
        <f>IF(HLOOKUP("Shots",A1:CV300,8,FALSE)=0,0,HLOOKUP("S6YD",A1:CV300,8,FALSE)/HLOOKUP("Shots",A1:CV300,8,FALSE))</f>
        <v>0</v>
      </c>
      <c r="S8" s="18739">
        <v>0</v>
      </c>
      <c r="T8" s="18740">
        <f>IF(HLOOKUP("Shots",A1:CV300,8,FALSE)=0,0,HLOOKUP("Headers",A1:CV300,8,FALSE)/HLOOKUP("Shots",A1:CV300,8,FALSE))</f>
        <v>0</v>
      </c>
      <c r="U8" s="18741">
        <v>5</v>
      </c>
      <c r="V8" s="18742">
        <f>IF(HLOOKUP("Shots",A1:CV300,8,FALSE)=0,0,HLOOKUP("SOT",A1:CV300,8,FALSE)/HLOOKUP("Shots",A1:CV300,8,FALSE))</f>
        <v>0.5</v>
      </c>
      <c r="W8" s="18743">
        <f>IF(HLOOKUP("Shots",A1:CV300,8,FALSE)=0,0,HLOOKUP("Gs",A1:CV300,8,FALSE)/HLOOKUP("Shots",A1:CV300,8,FALSE))</f>
        <v>0</v>
      </c>
      <c r="X8" s="18744">
        <v>1</v>
      </c>
      <c r="Y8" s="18745">
        <v>2</v>
      </c>
      <c r="Z8" s="18746">
        <v>12</v>
      </c>
      <c r="AA8" s="18747">
        <f>IF(HLOOKUP("KP",A1:CV300,8,FALSE)=0,0,HLOOKUP("As",A1:CV300,8,FALSE)/HLOOKUP("KP",A1:CV300,8,FALSE))</f>
        <v>8.3333333333333329E-2</v>
      </c>
      <c r="AB8" s="18748">
        <v>67.099999999999994</v>
      </c>
      <c r="AC8" s="18749">
        <v>10</v>
      </c>
      <c r="AD8" s="18750">
        <v>1</v>
      </c>
      <c r="AE8" s="18751">
        <v>1</v>
      </c>
      <c r="AF8" s="18752">
        <v>1</v>
      </c>
      <c r="AG8" s="18753">
        <f>IF(HLOOKUP("BC",A1:CV300,8,FALSE)=0,0,HLOOKUP("Gs - BC",A1:CV300,8,FALSE)/HLOOKUP("BC",A1:CV300,8,FALSE))</f>
        <v>0</v>
      </c>
      <c r="AH8" s="18754">
        <f>HLOOKUP("BC",A1:CV300,8,FALSE) - HLOOKUP("BC Miss",A1:CV300,8,FALSE)</f>
        <v>0</v>
      </c>
      <c r="AI8" s="18755">
        <f>IF(HLOOKUP("Gs",A1:CV300,8,FALSE)=0,0,HLOOKUP("Gs - BC",A1:CV300,8,FALSE)/HLOOKUP("Gs",A1:CV300,8,FALSE))</f>
        <v>0</v>
      </c>
      <c r="AJ8" s="18756">
        <v>0</v>
      </c>
      <c r="AK8" s="18757">
        <v>0</v>
      </c>
      <c r="AL8" s="18758">
        <f>HLOOKUP("BC",A1:CV300,8,FALSE) - (HLOOKUP("PK Gs",A1:CV300,8,FALSE) + HLOOKUP("PK Miss",A1:CV300,8,FALSE))</f>
        <v>1</v>
      </c>
      <c r="AM8" s="18759">
        <f>HLOOKUP("BC Miss",A1:CV300,8,FALSE) - HLOOKUP("PK Miss",A1:CV300,8,FALSE)</f>
        <v>1</v>
      </c>
      <c r="AN8" s="18760">
        <f>IF(HLOOKUP("BC - Open",A1:CV300,8,FALSE)=0,0,HLOOKUP("BC - Open Miss",A1:CV300,8,FALSE)/HLOOKUP("BC - Open",A1:CV300,8,FALSE))</f>
        <v>1</v>
      </c>
      <c r="AO8" s="18761">
        <v>0</v>
      </c>
      <c r="AP8" s="18762">
        <f>IF(HLOOKUP("Gs",A1:CV300,8,FALSE)=0,0,HLOOKUP("GIB",A1:CV300,8,FALSE)/HLOOKUP("Gs",A1:CV300,8,FALSE))</f>
        <v>0</v>
      </c>
      <c r="AQ8" s="18763">
        <v>0</v>
      </c>
      <c r="AR8" s="18764">
        <f>IF(HLOOKUP("Gs",A1:CV300,8,FALSE)=0,0,HLOOKUP("Gs - Open",A1:CV300,8,FALSE)/HLOOKUP("Gs",A1:CV300,8,FALSE))</f>
        <v>0</v>
      </c>
      <c r="AS8" s="18765">
        <v>0.78</v>
      </c>
      <c r="AT8" s="18766">
        <v>1.59</v>
      </c>
      <c r="AU8" s="18767">
        <f>IF(HLOOKUP("Mins",A1:CV300,8,FALSE)=0,0,HLOOKUP("Pts",A1:CV300,8,FALSE)/HLOOKUP("Mins",A1:CV300,8,FALSE)* 90)</f>
        <v>2.4691358024691357</v>
      </c>
      <c r="AV8" s="18768">
        <f>IF(HLOOKUP("Apps",A1:CV300,8,FALSE)=0,0,HLOOKUP("Pts",A1:CV300,8,FALSE)/HLOOKUP("Apps",A1:CV300,8,FALSE)* 1)</f>
        <v>2.1052631578947367</v>
      </c>
      <c r="AW8" s="18769">
        <f>IF(HLOOKUP("Mins",A1:CV300,8,FALSE)=0,0,HLOOKUP("Gs",A1:CV300,8,FALSE)/HLOOKUP("Mins",A1:CV300,8,FALSE)* 90)</f>
        <v>0</v>
      </c>
      <c r="AX8" s="18770">
        <f>IF(HLOOKUP("Mins",A1:CV300,8,FALSE)=0,0,HLOOKUP("Bonus",A1:CV300,8,FALSE)/HLOOKUP("Mins",A1:CV300,8,FALSE)* 90)</f>
        <v>0.12345679012345678</v>
      </c>
      <c r="AY8" s="18771">
        <f>IF(HLOOKUP("Mins",A1:CV300,8,FALSE)=0,0,HLOOKUP("BPS",A1:CV300,8,FALSE)/HLOOKUP("Mins",A1:CV300,8,FALSE)* 90)</f>
        <v>14.814814814814815</v>
      </c>
      <c r="AZ8" s="18772">
        <f>IF(HLOOKUP("Mins",A1:CV300,8,FALSE)=0,0,HLOOKUP("Base BPS",A1:CV300,8,FALSE)/HLOOKUP("Mins",A1:CV300,8,FALSE)* 90)</f>
        <v>13.703703703703704</v>
      </c>
      <c r="BA8" s="18773">
        <f>IF(HLOOKUP("Mins",A1:CV300,8,FALSE)=0,0,HLOOKUP("PenTchs",A1:CV300,8,FALSE)/HLOOKUP("Mins",A1:CV300,8,FALSE)* 90)</f>
        <v>1.3580246913580247</v>
      </c>
      <c r="BB8" s="18774">
        <f>IF(HLOOKUP("Mins",A1:CV300,8,FALSE)=0,0,HLOOKUP("Shots",A1:CV300,8,FALSE)/HLOOKUP("Mins",A1:CV300,8,FALSE)* 90)</f>
        <v>0.61728395061728392</v>
      </c>
      <c r="BC8" s="18775">
        <f>IF(HLOOKUP("Mins",A1:CV300,8,FALSE)=0,0,HLOOKUP("SIB",A1:CV300,8,FALSE)/HLOOKUP("Mins",A1:CV300,8,FALSE)* 90)</f>
        <v>0.1851851851851852</v>
      </c>
      <c r="BD8" s="18776">
        <f>IF(HLOOKUP("Mins",A1:CV300,8,FALSE)=0,0,HLOOKUP("S6YD",A1:CV300,8,FALSE)/HLOOKUP("Mins",A1:CV300,8,FALSE)* 90)</f>
        <v>0</v>
      </c>
      <c r="BE8" s="18777">
        <f>IF(HLOOKUP("Mins",A1:CV300,8,FALSE)=0,0,HLOOKUP("Headers",A1:CV300,8,FALSE)/HLOOKUP("Mins",A1:CV300,8,FALSE)* 90)</f>
        <v>0</v>
      </c>
      <c r="BF8" s="18778">
        <f>IF(HLOOKUP("Mins",A1:CV300,8,FALSE)=0,0,HLOOKUP("SOT",A1:CV300,8,FALSE)/HLOOKUP("Mins",A1:CV300,8,FALSE)* 90)</f>
        <v>0.30864197530864196</v>
      </c>
      <c r="BG8" s="18779">
        <f>IF(HLOOKUP("Mins",A1:CV300,8,FALSE)=0,0,HLOOKUP("As",A1:CV300,8,FALSE)/HLOOKUP("Mins",A1:CV300,8,FALSE)* 90)</f>
        <v>6.1728395061728392E-2</v>
      </c>
      <c r="BH8" s="18780">
        <f>IF(HLOOKUP("Mins",A1:CV300,8,FALSE)=0,0,HLOOKUP("FPL As",A1:CV300,8,FALSE)/HLOOKUP("Mins",A1:CV300,8,FALSE)* 90)</f>
        <v>0.12345679012345678</v>
      </c>
      <c r="BI8" s="18781">
        <f>IF(HLOOKUP("Mins",A1:CV300,8,FALSE)=0,0,HLOOKUP("BC Created",A1:CV300,8,FALSE)/HLOOKUP("Mins",A1:CV300,8,FALSE)* 90)</f>
        <v>6.1728395061728392E-2</v>
      </c>
      <c r="BJ8" s="18782">
        <f>IF(HLOOKUP("Mins",A1:CV300,8,FALSE)=0,0,HLOOKUP("KP",A1:CV300,8,FALSE)/HLOOKUP("Mins",A1:CV300,8,FALSE)* 90)</f>
        <v>0.74074074074074081</v>
      </c>
      <c r="BK8" s="18783">
        <f>IF(HLOOKUP("Mins",A1:CV300,8,FALSE)=0,0,HLOOKUP("BC",A1:CV300,8,FALSE)/HLOOKUP("Mins",A1:CV300,8,FALSE)* 90)</f>
        <v>6.1728395061728392E-2</v>
      </c>
      <c r="BL8" s="18784">
        <f>IF(HLOOKUP("Mins",A1:CV300,8,FALSE)=0,0,HLOOKUP("BC Miss",A1:CV300,8,FALSE)/HLOOKUP("Mins",A1:CV300,8,FALSE)* 90)</f>
        <v>6.1728395061728392E-2</v>
      </c>
      <c r="BM8" s="18785">
        <f>IF(HLOOKUP("Mins",A1:CV300,8,FALSE)=0,0,HLOOKUP("Gs - BC",A1:CV300,8,FALSE)/HLOOKUP("Mins",A1:CV300,8,FALSE)* 90)</f>
        <v>0</v>
      </c>
      <c r="BN8" s="18786">
        <f>IF(HLOOKUP("Mins",A1:CV300,8,FALSE)=0,0,HLOOKUP("GIB",A1:CV300,8,FALSE)/HLOOKUP("Mins",A1:CV300,8,FALSE)* 90)</f>
        <v>0</v>
      </c>
      <c r="BO8" s="18787">
        <f>IF(HLOOKUP("Mins",A1:CV300,8,FALSE)=0,0,HLOOKUP("Gs - Open",A1:CV300,8,FALSE)/HLOOKUP("Mins",A1:CV300,8,FALSE)* 90)</f>
        <v>0</v>
      </c>
      <c r="BP8" s="18788">
        <f>IF(HLOOKUP("Mins",A1:CV300,8,FALSE)=0,0,HLOOKUP("ICT Index",A1:CV300,8,FALSE)/HLOOKUP("Mins",A1:CV300,8,FALSE)* 90)</f>
        <v>4.1419753086419746</v>
      </c>
      <c r="BQ8" s="18789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  <v>4.1851851851851848E-2</v>
      </c>
      <c r="BR8" s="18790">
        <f>0.0885*HLOOKUP("KP/90",A1:CV300,8,FALSE)</f>
        <v>6.5555555555555561E-2</v>
      </c>
      <c r="BS8" s="18791">
        <f>5*HLOOKUP("xG/90",A1:CV300,8,FALSE)+3*HLOOKUP("xA/90",A1:CV300,8,FALSE)</f>
        <v>0.40592592592592591</v>
      </c>
      <c r="BT8" s="18792">
        <f>HLOOKUP("xPts/90",A1:CV300,8,FALSE)-(5*0.75*(HLOOKUP("PK Gs",A1:CV300,8,FALSE)+HLOOKUP("PK Miss",A1:CV300,8,FALSE))*90/HLOOKUP("Mins",A1:CV300,8,FALSE))</f>
        <v>0.40592592592592591</v>
      </c>
      <c r="BU8" s="18793">
        <f>IF(HLOOKUP("Mins",A1:CV300,8,FALSE)=0,0,HLOOKUP("fsXG",A1:CV300,8,FALSE)/HLOOKUP("Mins",A1:CV300,8,FALSE)* 90)</f>
        <v>4.8148148148148148E-2</v>
      </c>
      <c r="BV8" s="18794">
        <f>IF(HLOOKUP("Mins",A1:CV300,8,FALSE)=0,0,HLOOKUP("fsXA",A1:CV300,8,FALSE)/HLOOKUP("Mins",A1:CV300,8,FALSE)* 90)</f>
        <v>9.8148148148148151E-2</v>
      </c>
      <c r="BW8" s="18795">
        <f>5*HLOOKUP("fsXG/90",A1:CV300,8,FALSE)+3*HLOOKUP("fsXA/90",A1:CV300,8,FALSE)</f>
        <v>0.53518518518518521</v>
      </c>
      <c r="BX8" s="18796">
        <v>3.1664520502090454E-2</v>
      </c>
      <c r="BY8" s="18797">
        <v>6.5636001527309418E-2</v>
      </c>
      <c r="BZ8" s="18798">
        <f>5*HLOOKUP("uXG/90",A1:CV300,8,FALSE)+3*HLOOKUP("uXA/90",A1:CV300,8,FALSE)</f>
        <v>0.35523060709238052</v>
      </c>
    </row>
    <row r="9" spans="1:78" x14ac:dyDescent="0.3">
      <c r="A9" s="18799" t="s">
        <v>336</v>
      </c>
      <c r="B9" s="18800" t="s">
        <v>86</v>
      </c>
      <c r="C9" s="18801">
        <v>4.4000000953674316</v>
      </c>
      <c r="D9" s="18802">
        <v>190</v>
      </c>
      <c r="E9" s="18803">
        <v>9</v>
      </c>
      <c r="F9" s="18804">
        <v>11</v>
      </c>
      <c r="G9" s="18805">
        <v>0</v>
      </c>
      <c r="H9" s="18806">
        <v>0</v>
      </c>
      <c r="I9" s="18807">
        <v>34</v>
      </c>
      <c r="J9" s="18808">
        <f>HLOOKUP("BPS",A1:CV300,9,FALSE)-((-6*HLOOKUP("OG",A1:CV300,9,FALSE))+(-6*HLOOKUP("PK Miss",A1:CV300,9,FALSE))+(9*HLOOKUP("FPL As",A1:CV300,9,FALSE))+(0*HLOOKUP("CS",A1:CV300,9,FALSE))+(18*HLOOKUP("Gs",A1:CV300,9,FALSE)))</f>
        <v>34</v>
      </c>
      <c r="K9" s="18809">
        <v>0</v>
      </c>
      <c r="L9" s="18810">
        <v>0</v>
      </c>
      <c r="M9" s="18811">
        <v>4</v>
      </c>
      <c r="N9" s="18812">
        <v>2</v>
      </c>
      <c r="O9" s="18813">
        <v>1</v>
      </c>
      <c r="P9" s="18814">
        <f>IF(HLOOKUP("Shots",A1:CV300,9,FALSE)=0,0,HLOOKUP("SIB",A1:CV300,9,FALSE)/HLOOKUP("Shots",A1:CV300,9,FALSE))</f>
        <v>0.5</v>
      </c>
      <c r="Q9" s="18815">
        <v>0</v>
      </c>
      <c r="R9" s="18816">
        <f>IF(HLOOKUP("Shots",A1:CV300,9,FALSE)=0,0,HLOOKUP("S6YD",A1:CV300,9,FALSE)/HLOOKUP("Shots",A1:CV300,9,FALSE))</f>
        <v>0</v>
      </c>
      <c r="S9" s="18817">
        <v>1</v>
      </c>
      <c r="T9" s="18818">
        <f>IF(HLOOKUP("Shots",A1:CV300,9,FALSE)=0,0,HLOOKUP("Headers",A1:CV300,9,FALSE)/HLOOKUP("Shots",A1:CV300,9,FALSE))</f>
        <v>0.5</v>
      </c>
      <c r="U9" s="18819">
        <v>0</v>
      </c>
      <c r="V9" s="18820">
        <f>IF(HLOOKUP("Shots",A1:CV300,9,FALSE)=0,0,HLOOKUP("SOT",A1:CV300,9,FALSE)/HLOOKUP("Shots",A1:CV300,9,FALSE))</f>
        <v>0</v>
      </c>
      <c r="W9" s="18821">
        <f>IF(HLOOKUP("Shots",A1:CV300,9,FALSE)=0,0,HLOOKUP("Gs",A1:CV300,9,FALSE)/HLOOKUP("Shots",A1:CV300,9,FALSE))</f>
        <v>0</v>
      </c>
      <c r="X9" s="18822">
        <v>0</v>
      </c>
      <c r="Y9" s="18823">
        <v>0</v>
      </c>
      <c r="Z9" s="18824">
        <v>2</v>
      </c>
      <c r="AA9" s="18825">
        <f>IF(HLOOKUP("KP",A1:CV300,9,FALSE)=0,0,HLOOKUP("As",A1:CV300,9,FALSE)/HLOOKUP("KP",A1:CV300,9,FALSE))</f>
        <v>0</v>
      </c>
      <c r="AB9" s="18826">
        <v>5.2</v>
      </c>
      <c r="AC9" s="18827">
        <v>0</v>
      </c>
      <c r="AD9" s="18828">
        <v>0</v>
      </c>
      <c r="AE9" s="18829">
        <v>0</v>
      </c>
      <c r="AF9" s="18830">
        <v>0</v>
      </c>
      <c r="AG9" s="18831">
        <f>IF(HLOOKUP("BC",A1:CV300,9,FALSE)=0,0,HLOOKUP("Gs - BC",A1:CV300,9,FALSE)/HLOOKUP("BC",A1:CV300,9,FALSE))</f>
        <v>0</v>
      </c>
      <c r="AH9" s="18832">
        <f>HLOOKUP("BC",A1:CV300,9,FALSE) - HLOOKUP("BC Miss",A1:CV300,9,FALSE)</f>
        <v>0</v>
      </c>
      <c r="AI9" s="18833">
        <f>IF(HLOOKUP("Gs",A1:CV300,9,FALSE)=0,0,HLOOKUP("Gs - BC",A1:CV300,9,FALSE)/HLOOKUP("Gs",A1:CV300,9,FALSE))</f>
        <v>0</v>
      </c>
      <c r="AJ9" s="18834">
        <v>0</v>
      </c>
      <c r="AK9" s="18835">
        <v>0</v>
      </c>
      <c r="AL9" s="18836">
        <f>HLOOKUP("BC",A1:CV300,9,FALSE) - (HLOOKUP("PK Gs",A1:CV300,9,FALSE) + HLOOKUP("PK Miss",A1:CV300,9,FALSE))</f>
        <v>0</v>
      </c>
      <c r="AM9" s="18837">
        <f>HLOOKUP("BC Miss",A1:CV300,9,FALSE) - HLOOKUP("PK Miss",A1:CV300,9,FALSE)</f>
        <v>0</v>
      </c>
      <c r="AN9" s="18838">
        <f>IF(HLOOKUP("BC - Open",A1:CV300,9,FALSE)=0,0,HLOOKUP("BC - Open Miss",A1:CV300,9,FALSE)/HLOOKUP("BC - Open",A1:CV300,9,FALSE))</f>
        <v>0</v>
      </c>
      <c r="AO9" s="18839">
        <v>0</v>
      </c>
      <c r="AP9" s="18840">
        <f>IF(HLOOKUP("Gs",A1:CV300,9,FALSE)=0,0,HLOOKUP("GIB",A1:CV300,9,FALSE)/HLOOKUP("Gs",A1:CV300,9,FALSE))</f>
        <v>0</v>
      </c>
      <c r="AQ9" s="18841">
        <v>0</v>
      </c>
      <c r="AR9" s="18842">
        <f>IF(HLOOKUP("Gs",A1:CV300,9,FALSE)=0,0,HLOOKUP("Gs - Open",A1:CV300,9,FALSE)/HLOOKUP("Gs",A1:CV300,9,FALSE))</f>
        <v>0</v>
      </c>
      <c r="AS9" s="18843">
        <v>0.08</v>
      </c>
      <c r="AT9" s="18844">
        <v>0.16</v>
      </c>
      <c r="AU9" s="18845">
        <f>IF(HLOOKUP("Mins",A1:CV300,9,FALSE)=0,0,HLOOKUP("Pts",A1:CV300,9,FALSE)/HLOOKUP("Mins",A1:CV300,9,FALSE)* 90)</f>
        <v>5.2105263157894735</v>
      </c>
      <c r="AV9" s="18846">
        <f>IF(HLOOKUP("Apps",A1:CV300,9,FALSE)=0,0,HLOOKUP("Pts",A1:CV300,9,FALSE)/HLOOKUP("Apps",A1:CV300,9,FALSE)* 1)</f>
        <v>1.2222222222222223</v>
      </c>
      <c r="AW9" s="18847">
        <f>IF(HLOOKUP("Mins",A1:CV300,9,FALSE)=0,0,HLOOKUP("Gs",A1:CV300,9,FALSE)/HLOOKUP("Mins",A1:CV300,9,FALSE)* 90)</f>
        <v>0</v>
      </c>
      <c r="AX9" s="18848">
        <f>IF(HLOOKUP("Mins",A1:CV300,9,FALSE)=0,0,HLOOKUP("Bonus",A1:CV300,9,FALSE)/HLOOKUP("Mins",A1:CV300,9,FALSE)* 90)</f>
        <v>0</v>
      </c>
      <c r="AY9" s="18849">
        <f>IF(HLOOKUP("Mins",A1:CV300,9,FALSE)=0,0,HLOOKUP("BPS",A1:CV300,9,FALSE)/HLOOKUP("Mins",A1:CV300,9,FALSE)* 90)</f>
        <v>16.105263157894736</v>
      </c>
      <c r="AZ9" s="18850">
        <f>IF(HLOOKUP("Mins",A1:CV300,9,FALSE)=0,0,HLOOKUP("Base BPS",A1:CV300,9,FALSE)/HLOOKUP("Mins",A1:CV300,9,FALSE)* 90)</f>
        <v>16.105263157894736</v>
      </c>
      <c r="BA9" s="18851">
        <f>IF(HLOOKUP("Mins",A1:CV300,9,FALSE)=0,0,HLOOKUP("PenTchs",A1:CV300,9,FALSE)/HLOOKUP("Mins",A1:CV300,9,FALSE)* 90)</f>
        <v>1.8947368421052631</v>
      </c>
      <c r="BB9" s="18852">
        <f>IF(HLOOKUP("Mins",A1:CV300,9,FALSE)=0,0,HLOOKUP("Shots",A1:CV300,9,FALSE)/HLOOKUP("Mins",A1:CV300,9,FALSE)* 90)</f>
        <v>0.94736842105263153</v>
      </c>
      <c r="BC9" s="18853">
        <f>IF(HLOOKUP("Mins",A1:CV300,9,FALSE)=0,0,HLOOKUP("SIB",A1:CV300,9,FALSE)/HLOOKUP("Mins",A1:CV300,9,FALSE)* 90)</f>
        <v>0.47368421052631576</v>
      </c>
      <c r="BD9" s="18854">
        <f>IF(HLOOKUP("Mins",A1:CV300,9,FALSE)=0,0,HLOOKUP("S6YD",A1:CV300,9,FALSE)/HLOOKUP("Mins",A1:CV300,9,FALSE)* 90)</f>
        <v>0</v>
      </c>
      <c r="BE9" s="18855">
        <f>IF(HLOOKUP("Mins",A1:CV300,9,FALSE)=0,0,HLOOKUP("Headers",A1:CV300,9,FALSE)/HLOOKUP("Mins",A1:CV300,9,FALSE)* 90)</f>
        <v>0.47368421052631576</v>
      </c>
      <c r="BF9" s="18856">
        <f>IF(HLOOKUP("Mins",A1:CV300,9,FALSE)=0,0,HLOOKUP("SOT",A1:CV300,9,FALSE)/HLOOKUP("Mins",A1:CV300,9,FALSE)* 90)</f>
        <v>0</v>
      </c>
      <c r="BG9" s="18857">
        <f>IF(HLOOKUP("Mins",A1:CV300,9,FALSE)=0,0,HLOOKUP("As",A1:CV300,9,FALSE)/HLOOKUP("Mins",A1:CV300,9,FALSE)* 90)</f>
        <v>0</v>
      </c>
      <c r="BH9" s="18858">
        <f>IF(HLOOKUP("Mins",A1:CV300,9,FALSE)=0,0,HLOOKUP("FPL As",A1:CV300,9,FALSE)/HLOOKUP("Mins",A1:CV300,9,FALSE)* 90)</f>
        <v>0</v>
      </c>
      <c r="BI9" s="18859">
        <f>IF(HLOOKUP("Mins",A1:CV300,9,FALSE)=0,0,HLOOKUP("BC Created",A1:CV300,9,FALSE)/HLOOKUP("Mins",A1:CV300,9,FALSE)* 90)</f>
        <v>0</v>
      </c>
      <c r="BJ9" s="18860">
        <f>IF(HLOOKUP("Mins",A1:CV300,9,FALSE)=0,0,HLOOKUP("KP",A1:CV300,9,FALSE)/HLOOKUP("Mins",A1:CV300,9,FALSE)* 90)</f>
        <v>0.94736842105263153</v>
      </c>
      <c r="BK9" s="18861">
        <f>IF(HLOOKUP("Mins",A1:CV300,9,FALSE)=0,0,HLOOKUP("BC",A1:CV300,9,FALSE)/HLOOKUP("Mins",A1:CV300,9,FALSE)* 90)</f>
        <v>0</v>
      </c>
      <c r="BL9" s="18862">
        <f>IF(HLOOKUP("Mins",A1:CV300,9,FALSE)=0,0,HLOOKUP("BC Miss",A1:CV300,9,FALSE)/HLOOKUP("Mins",A1:CV300,9,FALSE)* 90)</f>
        <v>0</v>
      </c>
      <c r="BM9" s="18863">
        <f>IF(HLOOKUP("Mins",A1:CV300,9,FALSE)=0,0,HLOOKUP("Gs - BC",A1:CV300,9,FALSE)/HLOOKUP("Mins",A1:CV300,9,FALSE)* 90)</f>
        <v>0</v>
      </c>
      <c r="BN9" s="18864">
        <f>IF(HLOOKUP("Mins",A1:CV300,9,FALSE)=0,0,HLOOKUP("GIB",A1:CV300,9,FALSE)/HLOOKUP("Mins",A1:CV300,9,FALSE)* 90)</f>
        <v>0</v>
      </c>
      <c r="BO9" s="18865">
        <f>IF(HLOOKUP("Mins",A1:CV300,9,FALSE)=0,0,HLOOKUP("Gs - Open",A1:CV300,9,FALSE)/HLOOKUP("Mins",A1:CV300,9,FALSE)* 90)</f>
        <v>0</v>
      </c>
      <c r="BP9" s="18866">
        <f>IF(HLOOKUP("Mins",A1:CV300,9,FALSE)=0,0,HLOOKUP("ICT Index",A1:CV300,9,FALSE)/HLOOKUP("Mins",A1:CV300,9,FALSE)* 90)</f>
        <v>2.4631578947368422</v>
      </c>
      <c r="BQ9" s="18867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  <v>8.4315789473684205E-2</v>
      </c>
      <c r="BR9" s="18868">
        <f>0.0885*HLOOKUP("KP/90",A1:CV300,9,FALSE)</f>
        <v>8.3842105263157884E-2</v>
      </c>
      <c r="BS9" s="18869">
        <f>5*HLOOKUP("xG/90",A1:CV300,9,FALSE)+3*HLOOKUP("xA/90",A1:CV300,9,FALSE)</f>
        <v>0.67310526315789465</v>
      </c>
      <c r="BT9" s="18870">
        <f>HLOOKUP("xPts/90",A1:CV300,9,FALSE)-(5*0.75*(HLOOKUP("PK Gs",A1:CV300,9,FALSE)+HLOOKUP("PK Miss",A1:CV300,9,FALSE))*90/HLOOKUP("Mins",A1:CV300,9,FALSE))</f>
        <v>0.67310526315789465</v>
      </c>
      <c r="BU9" s="18871">
        <f>IF(HLOOKUP("Mins",A1:CV300,9,FALSE)=0,0,HLOOKUP("fsXG",A1:CV300,9,FALSE)/HLOOKUP("Mins",A1:CV300,9,FALSE)* 90)</f>
        <v>3.7894736842105266E-2</v>
      </c>
      <c r="BV9" s="18872">
        <f>IF(HLOOKUP("Mins",A1:CV300,9,FALSE)=0,0,HLOOKUP("fsXA",A1:CV300,9,FALSE)/HLOOKUP("Mins",A1:CV300,9,FALSE)* 90)</f>
        <v>7.5789473684210532E-2</v>
      </c>
      <c r="BW9" s="18873">
        <f>5*HLOOKUP("fsXG/90",A1:CV300,9,FALSE)+3*HLOOKUP("fsXA/90",A1:CV300,9,FALSE)</f>
        <v>0.4168421052631579</v>
      </c>
      <c r="BX9" s="18874">
        <v>2.5895167142152786E-2</v>
      </c>
      <c r="BY9" s="18875">
        <v>3.2007776200771332E-2</v>
      </c>
      <c r="BZ9" s="18876">
        <f>5*HLOOKUP("uXG/90",A1:CV300,9,FALSE)+3*HLOOKUP("uXA/90",A1:CV300,9,FALSE)</f>
        <v>0.22549916431307793</v>
      </c>
    </row>
    <row r="10" spans="1:78" x14ac:dyDescent="0.3">
      <c r="A10" s="18877" t="s">
        <v>337</v>
      </c>
      <c r="B10" s="18878" t="s">
        <v>84</v>
      </c>
      <c r="C10" s="18879">
        <v>4.5999999046325684</v>
      </c>
      <c r="D10" s="18880">
        <v>12</v>
      </c>
      <c r="E10" s="18881">
        <v>1</v>
      </c>
      <c r="F10" s="18882">
        <v>1</v>
      </c>
      <c r="G10" s="18883">
        <v>0</v>
      </c>
      <c r="H10" s="18884">
        <v>0</v>
      </c>
      <c r="I10" s="18885">
        <v>0</v>
      </c>
      <c r="J10" s="18886">
        <f>HLOOKUP("BPS",A1:CV300,10,FALSE)-((-6*HLOOKUP("OG",A1:CV300,10,FALSE))+(-6*HLOOKUP("PK Miss",A1:CV300,10,FALSE))+(9*HLOOKUP("FPL As",A1:CV300,10,FALSE))+(0*HLOOKUP("CS",A1:CV300,10,FALSE))+(18*HLOOKUP("Gs",A1:CV300,10,FALSE)))</f>
        <v>0</v>
      </c>
      <c r="K10" s="18887">
        <v>0</v>
      </c>
      <c r="L10" s="18888">
        <v>0</v>
      </c>
      <c r="M10" s="18889">
        <v>1</v>
      </c>
      <c r="N10" s="18890">
        <v>1</v>
      </c>
      <c r="O10" s="18891">
        <v>1</v>
      </c>
      <c r="P10" s="18892">
        <f>IF(HLOOKUP("Shots",A1:CV300,10,FALSE)=0,0,HLOOKUP("SIB",A1:CV300,10,FALSE)/HLOOKUP("Shots",A1:CV300,10,FALSE))</f>
        <v>1</v>
      </c>
      <c r="Q10" s="18893">
        <v>0</v>
      </c>
      <c r="R10" s="18894">
        <f>IF(HLOOKUP("Shots",A1:CV300,10,FALSE)=0,0,HLOOKUP("S6YD",A1:CV300,10,FALSE)/HLOOKUP("Shots",A1:CV300,10,FALSE))</f>
        <v>0</v>
      </c>
      <c r="S10" s="18895">
        <v>0</v>
      </c>
      <c r="T10" s="18896">
        <f>IF(HLOOKUP("Shots",A1:CV300,10,FALSE)=0,0,HLOOKUP("Headers",A1:CV300,10,FALSE)/HLOOKUP("Shots",A1:CV300,10,FALSE))</f>
        <v>0</v>
      </c>
      <c r="U10" s="18897">
        <v>0</v>
      </c>
      <c r="V10" s="18898">
        <f>IF(HLOOKUP("Shots",A1:CV300,10,FALSE)=0,0,HLOOKUP("SOT",A1:CV300,10,FALSE)/HLOOKUP("Shots",A1:CV300,10,FALSE))</f>
        <v>0</v>
      </c>
      <c r="W10" s="18899">
        <f>IF(HLOOKUP("Shots",A1:CV300,10,FALSE)=0,0,HLOOKUP("Gs",A1:CV300,10,FALSE)/HLOOKUP("Shots",A1:CV300,10,FALSE))</f>
        <v>0</v>
      </c>
      <c r="X10" s="18900">
        <v>0</v>
      </c>
      <c r="Y10" s="18901">
        <v>0</v>
      </c>
      <c r="Z10" s="18902">
        <v>0</v>
      </c>
      <c r="AA10" s="18903">
        <f>IF(HLOOKUP("KP",A1:CV300,10,FALSE)=0,0,HLOOKUP("As",A1:CV300,10,FALSE)/HLOOKUP("KP",A1:CV300,10,FALSE))</f>
        <v>0</v>
      </c>
      <c r="AB10" s="18904">
        <v>0.2</v>
      </c>
      <c r="AC10" s="18905">
        <v>0</v>
      </c>
      <c r="AD10" s="18906">
        <v>0</v>
      </c>
      <c r="AE10" s="18907">
        <v>0</v>
      </c>
      <c r="AF10" s="18908">
        <v>0</v>
      </c>
      <c r="AG10" s="18909">
        <f>IF(HLOOKUP("BC",A1:CV300,10,FALSE)=0,0,HLOOKUP("Gs - BC",A1:CV300,10,FALSE)/HLOOKUP("BC",A1:CV300,10,FALSE))</f>
        <v>0</v>
      </c>
      <c r="AH10" s="18910">
        <f>HLOOKUP("BC",A1:CV300,10,FALSE) - HLOOKUP("BC Miss",A1:CV300,10,FALSE)</f>
        <v>0</v>
      </c>
      <c r="AI10" s="18911">
        <f>IF(HLOOKUP("Gs",A1:CV300,10,FALSE)=0,0,HLOOKUP("Gs - BC",A1:CV300,10,FALSE)/HLOOKUP("Gs",A1:CV300,10,FALSE))</f>
        <v>0</v>
      </c>
      <c r="AJ10" s="18912">
        <v>0</v>
      </c>
      <c r="AK10" s="18913">
        <v>0</v>
      </c>
      <c r="AL10" s="18914">
        <f>HLOOKUP("BC",A1:CV300,10,FALSE) - (HLOOKUP("PK Gs",A1:CV300,10,FALSE) + HLOOKUP("PK Miss",A1:CV300,10,FALSE))</f>
        <v>0</v>
      </c>
      <c r="AM10" s="18915">
        <f>HLOOKUP("BC Miss",A1:CV300,10,FALSE) - HLOOKUP("PK Miss",A1:CV300,10,FALSE)</f>
        <v>0</v>
      </c>
      <c r="AN10" s="18916">
        <f>IF(HLOOKUP("BC - Open",A1:CV300,10,FALSE)=0,0,HLOOKUP("BC - Open Miss",A1:CV300,10,FALSE)/HLOOKUP("BC - Open",A1:CV300,10,FALSE))</f>
        <v>0</v>
      </c>
      <c r="AO10" s="18917">
        <v>0</v>
      </c>
      <c r="AP10" s="18918">
        <f>IF(HLOOKUP("Gs",A1:CV300,10,FALSE)=0,0,HLOOKUP("GIB",A1:CV300,10,FALSE)/HLOOKUP("Gs",A1:CV300,10,FALSE))</f>
        <v>0</v>
      </c>
      <c r="AQ10" s="18919">
        <v>0</v>
      </c>
      <c r="AR10" s="18920">
        <f>IF(HLOOKUP("Gs",A1:CV300,10,FALSE)=0,0,HLOOKUP("Gs - Open",A1:CV300,10,FALSE)/HLOOKUP("Gs",A1:CV300,10,FALSE))</f>
        <v>0</v>
      </c>
      <c r="AS10" s="18921">
        <v>0.05</v>
      </c>
      <c r="AT10" s="18922">
        <v>0.01</v>
      </c>
      <c r="AU10" s="18923">
        <f>IF(HLOOKUP("Mins",A1:CV300,10,FALSE)=0,0,HLOOKUP("Pts",A1:CV300,10,FALSE)/HLOOKUP("Mins",A1:CV300,10,FALSE)* 90)</f>
        <v>7.5</v>
      </c>
      <c r="AV10" s="18924">
        <f>IF(HLOOKUP("Apps",A1:CV300,10,FALSE)=0,0,HLOOKUP("Pts",A1:CV300,10,FALSE)/HLOOKUP("Apps",A1:CV300,10,FALSE)* 1)</f>
        <v>1</v>
      </c>
      <c r="AW10" s="18925">
        <f>IF(HLOOKUP("Mins",A1:CV300,10,FALSE)=0,0,HLOOKUP("Gs",A1:CV300,10,FALSE)/HLOOKUP("Mins",A1:CV300,10,FALSE)* 90)</f>
        <v>0</v>
      </c>
      <c r="AX10" s="18926">
        <f>IF(HLOOKUP("Mins",A1:CV300,10,FALSE)=0,0,HLOOKUP("Bonus",A1:CV300,10,FALSE)/HLOOKUP("Mins",A1:CV300,10,FALSE)* 90)</f>
        <v>0</v>
      </c>
      <c r="AY10" s="18927">
        <f>IF(HLOOKUP("Mins",A1:CV300,10,FALSE)=0,0,HLOOKUP("BPS",A1:CV300,10,FALSE)/HLOOKUP("Mins",A1:CV300,10,FALSE)* 90)</f>
        <v>0</v>
      </c>
      <c r="AZ10" s="18928">
        <f>IF(HLOOKUP("Mins",A1:CV300,10,FALSE)=0,0,HLOOKUP("Base BPS",A1:CV300,10,FALSE)/HLOOKUP("Mins",A1:CV300,10,FALSE)* 90)</f>
        <v>0</v>
      </c>
      <c r="BA10" s="18929">
        <f>IF(HLOOKUP("Mins",A1:CV300,10,FALSE)=0,0,HLOOKUP("PenTchs",A1:CV300,10,FALSE)/HLOOKUP("Mins",A1:CV300,10,FALSE)* 90)</f>
        <v>7.5</v>
      </c>
      <c r="BB10" s="18930">
        <f>IF(HLOOKUP("Mins",A1:CV300,10,FALSE)=0,0,HLOOKUP("Shots",A1:CV300,10,FALSE)/HLOOKUP("Mins",A1:CV300,10,FALSE)* 90)</f>
        <v>7.5</v>
      </c>
      <c r="BC10" s="18931">
        <f>IF(HLOOKUP("Mins",A1:CV300,10,FALSE)=0,0,HLOOKUP("SIB",A1:CV300,10,FALSE)/HLOOKUP("Mins",A1:CV300,10,FALSE)* 90)</f>
        <v>7.5</v>
      </c>
      <c r="BD10" s="18932">
        <f>IF(HLOOKUP("Mins",A1:CV300,10,FALSE)=0,0,HLOOKUP("S6YD",A1:CV300,10,FALSE)/HLOOKUP("Mins",A1:CV300,10,FALSE)* 90)</f>
        <v>0</v>
      </c>
      <c r="BE10" s="18933">
        <f>IF(HLOOKUP("Mins",A1:CV300,10,FALSE)=0,0,HLOOKUP("Headers",A1:CV300,10,FALSE)/HLOOKUP("Mins",A1:CV300,10,FALSE)* 90)</f>
        <v>0</v>
      </c>
      <c r="BF10" s="18934">
        <f>IF(HLOOKUP("Mins",A1:CV300,10,FALSE)=0,0,HLOOKUP("SOT",A1:CV300,10,FALSE)/HLOOKUP("Mins",A1:CV300,10,FALSE)* 90)</f>
        <v>0</v>
      </c>
      <c r="BG10" s="18935">
        <f>IF(HLOOKUP("Mins",A1:CV300,10,FALSE)=0,0,HLOOKUP("As",A1:CV300,10,FALSE)/HLOOKUP("Mins",A1:CV300,10,FALSE)* 90)</f>
        <v>0</v>
      </c>
      <c r="BH10" s="18936">
        <f>IF(HLOOKUP("Mins",A1:CV300,10,FALSE)=0,0,HLOOKUP("FPL As",A1:CV300,10,FALSE)/HLOOKUP("Mins",A1:CV300,10,FALSE)* 90)</f>
        <v>0</v>
      </c>
      <c r="BI10" s="18937">
        <f>IF(HLOOKUP("Mins",A1:CV300,10,FALSE)=0,0,HLOOKUP("BC Created",A1:CV300,10,FALSE)/HLOOKUP("Mins",A1:CV300,10,FALSE)* 90)</f>
        <v>0</v>
      </c>
      <c r="BJ10" s="18938">
        <f>IF(HLOOKUP("Mins",A1:CV300,10,FALSE)=0,0,HLOOKUP("KP",A1:CV300,10,FALSE)/HLOOKUP("Mins",A1:CV300,10,FALSE)* 90)</f>
        <v>0</v>
      </c>
      <c r="BK10" s="18939">
        <f>IF(HLOOKUP("Mins",A1:CV300,10,FALSE)=0,0,HLOOKUP("BC",A1:CV300,10,FALSE)/HLOOKUP("Mins",A1:CV300,10,FALSE)* 90)</f>
        <v>0</v>
      </c>
      <c r="BL10" s="18940">
        <f>IF(HLOOKUP("Mins",A1:CV300,10,FALSE)=0,0,HLOOKUP("BC Miss",A1:CV300,10,FALSE)/HLOOKUP("Mins",A1:CV300,10,FALSE)* 90)</f>
        <v>0</v>
      </c>
      <c r="BM10" s="18941">
        <f>IF(HLOOKUP("Mins",A1:CV300,10,FALSE)=0,0,HLOOKUP("Gs - BC",A1:CV300,10,FALSE)/HLOOKUP("Mins",A1:CV300,10,FALSE)* 90)</f>
        <v>0</v>
      </c>
      <c r="BN10" s="18942">
        <f>IF(HLOOKUP("Mins",A1:CV300,10,FALSE)=0,0,HLOOKUP("GIB",A1:CV300,10,FALSE)/HLOOKUP("Mins",A1:CV300,10,FALSE)* 90)</f>
        <v>0</v>
      </c>
      <c r="BO10" s="18943">
        <f>IF(HLOOKUP("Mins",A1:CV300,10,FALSE)=0,0,HLOOKUP("Gs - Open",A1:CV300,10,FALSE)/HLOOKUP("Mins",A1:CV300,10,FALSE)* 90)</f>
        <v>0</v>
      </c>
      <c r="BP10" s="18944">
        <f>IF(HLOOKUP("Mins",A1:CV300,10,FALSE)=0,0,HLOOKUP("ICT Index",A1:CV300,10,FALSE)/HLOOKUP("Mins",A1:CV300,10,FALSE)* 90)</f>
        <v>1.5</v>
      </c>
      <c r="BQ10" s="18945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  <v>1.0649999999999999</v>
      </c>
      <c r="BR10" s="18946">
        <f>0.0885*HLOOKUP("KP/90",A1:CV300,10,FALSE)</f>
        <v>0</v>
      </c>
      <c r="BS10" s="18947">
        <f>5*HLOOKUP("xG/90",A1:CV300,10,FALSE)+3*HLOOKUP("xA/90",A1:CV300,10,FALSE)</f>
        <v>5.3249999999999993</v>
      </c>
      <c r="BT10" s="18948">
        <f>HLOOKUP("xPts/90",A1:CV300,10,FALSE)-(5*0.75*(HLOOKUP("PK Gs",A1:CV300,10,FALSE)+HLOOKUP("PK Miss",A1:CV300,10,FALSE))*90/HLOOKUP("Mins",A1:CV300,10,FALSE))</f>
        <v>5.3249999999999993</v>
      </c>
      <c r="BU10" s="18949">
        <f>IF(HLOOKUP("Mins",A1:CV300,10,FALSE)=0,0,HLOOKUP("fsXG",A1:CV300,10,FALSE)/HLOOKUP("Mins",A1:CV300,10,FALSE)* 90)</f>
        <v>0.375</v>
      </c>
      <c r="BV10" s="18950">
        <f>IF(HLOOKUP("Mins",A1:CV300,10,FALSE)=0,0,HLOOKUP("fsXA",A1:CV300,10,FALSE)/HLOOKUP("Mins",A1:CV300,10,FALSE)* 90)</f>
        <v>7.5000000000000011E-2</v>
      </c>
      <c r="BW10" s="18951">
        <f>5*HLOOKUP("fsXG/90",A1:CV300,10,FALSE)+3*HLOOKUP("fsXA/90",A1:CV300,10,FALSE)</f>
        <v>2.1</v>
      </c>
      <c r="BX10" s="18952">
        <v>0.21840360760688782</v>
      </c>
      <c r="BY10" s="18953">
        <v>0</v>
      </c>
      <c r="BZ10" s="18954">
        <f>5*HLOOKUP("uXG/90",A1:CV300,10,FALSE)+3*HLOOKUP("uXA/90",A1:CV300,10,FALSE)</f>
        <v>1.0920180380344391</v>
      </c>
    </row>
    <row r="11" spans="1:78" x14ac:dyDescent="0.3">
      <c r="A11" s="18955" t="s">
        <v>338</v>
      </c>
      <c r="B11" s="18956" t="s">
        <v>93</v>
      </c>
      <c r="C11" s="18957">
        <v>5</v>
      </c>
      <c r="D11" s="18958">
        <v>1536</v>
      </c>
      <c r="E11" s="18959">
        <v>20</v>
      </c>
      <c r="F11" s="18960">
        <v>38</v>
      </c>
      <c r="G11" s="18961">
        <v>0</v>
      </c>
      <c r="H11" s="18962">
        <v>2</v>
      </c>
      <c r="I11" s="18963">
        <v>220</v>
      </c>
      <c r="J11" s="18964">
        <f>HLOOKUP("BPS",A1:CV300,11,FALSE)-((-6*HLOOKUP("OG",A1:CV300,11,FALSE))+(-6*HLOOKUP("PK Miss",A1:CV300,11,FALSE))+(9*HLOOKUP("FPL As",A1:CV300,11,FALSE))+(0*HLOOKUP("CS",A1:CV300,11,FALSE))+(18*HLOOKUP("Gs",A1:CV300,11,FALSE)))</f>
        <v>211</v>
      </c>
      <c r="K11" s="18965">
        <v>0</v>
      </c>
      <c r="L11" s="18966">
        <v>5</v>
      </c>
      <c r="M11" s="18967">
        <v>23</v>
      </c>
      <c r="N11" s="18968">
        <v>19</v>
      </c>
      <c r="O11" s="18969">
        <v>6</v>
      </c>
      <c r="P11" s="18970">
        <f>IF(HLOOKUP("Shots",A1:CV300,11,FALSE)=0,0,HLOOKUP("SIB",A1:CV300,11,FALSE)/HLOOKUP("Shots",A1:CV300,11,FALSE))</f>
        <v>0.31578947368421051</v>
      </c>
      <c r="Q11" s="18971">
        <v>0</v>
      </c>
      <c r="R11" s="18972">
        <f>IF(HLOOKUP("Shots",A1:CV300,11,FALSE)=0,0,HLOOKUP("S6YD",A1:CV300,11,FALSE)/HLOOKUP("Shots",A1:CV300,11,FALSE))</f>
        <v>0</v>
      </c>
      <c r="S11" s="18973">
        <v>1</v>
      </c>
      <c r="T11" s="18974">
        <f>IF(HLOOKUP("Shots",A1:CV300,11,FALSE)=0,0,HLOOKUP("Headers",A1:CV300,11,FALSE)/HLOOKUP("Shots",A1:CV300,11,FALSE))</f>
        <v>5.2631578947368418E-2</v>
      </c>
      <c r="U11" s="18975">
        <v>4</v>
      </c>
      <c r="V11" s="18976">
        <f>IF(HLOOKUP("Shots",A1:CV300,11,FALSE)=0,0,HLOOKUP("SOT",A1:CV300,11,FALSE)/HLOOKUP("Shots",A1:CV300,11,FALSE))</f>
        <v>0.21052631578947367</v>
      </c>
      <c r="W11" s="18977">
        <f>IF(HLOOKUP("Shots",A1:CV300,11,FALSE)=0,0,HLOOKUP("Gs",A1:CV300,11,FALSE)/HLOOKUP("Shots",A1:CV300,11,FALSE))</f>
        <v>0</v>
      </c>
      <c r="X11" s="18978">
        <v>1</v>
      </c>
      <c r="Y11" s="18979">
        <v>1</v>
      </c>
      <c r="Z11" s="18980">
        <v>6</v>
      </c>
      <c r="AA11" s="18981">
        <f>IF(HLOOKUP("KP",A1:CV300,11,FALSE)=0,0,HLOOKUP("As",A1:CV300,11,FALSE)/HLOOKUP("KP",A1:CV300,11,FALSE))</f>
        <v>0.16666666666666666</v>
      </c>
      <c r="AB11" s="18982">
        <v>60.2</v>
      </c>
      <c r="AC11" s="18983">
        <v>6</v>
      </c>
      <c r="AD11" s="18984">
        <v>1</v>
      </c>
      <c r="AE11" s="18985">
        <v>0</v>
      </c>
      <c r="AF11" s="18986">
        <v>0</v>
      </c>
      <c r="AG11" s="18987">
        <f>IF(HLOOKUP("BC",A1:CV300,11,FALSE)=0,0,HLOOKUP("Gs - BC",A1:CV300,11,FALSE)/HLOOKUP("BC",A1:CV300,11,FALSE))</f>
        <v>0</v>
      </c>
      <c r="AH11" s="18988">
        <f>HLOOKUP("BC",A1:CV300,11,FALSE) - HLOOKUP("BC Miss",A1:CV300,11,FALSE)</f>
        <v>0</v>
      </c>
      <c r="AI11" s="18989">
        <f>IF(HLOOKUP("Gs",A1:CV300,11,FALSE)=0,0,HLOOKUP("Gs - BC",A1:CV300,11,FALSE)/HLOOKUP("Gs",A1:CV300,11,FALSE))</f>
        <v>0</v>
      </c>
      <c r="AJ11" s="18990">
        <v>0</v>
      </c>
      <c r="AK11" s="18991">
        <v>0</v>
      </c>
      <c r="AL11" s="18992">
        <f>HLOOKUP("BC",A1:CV300,11,FALSE) - (HLOOKUP("PK Gs",A1:CV300,11,FALSE) + HLOOKUP("PK Miss",A1:CV300,11,FALSE))</f>
        <v>0</v>
      </c>
      <c r="AM11" s="18993">
        <f>HLOOKUP("BC Miss",A1:CV300,11,FALSE) - HLOOKUP("PK Miss",A1:CV300,11,FALSE)</f>
        <v>0</v>
      </c>
      <c r="AN11" s="18994">
        <f>IF(HLOOKUP("BC - Open",A1:CV300,11,FALSE)=0,0,HLOOKUP("BC - Open Miss",A1:CV300,11,FALSE)/HLOOKUP("BC - Open",A1:CV300,11,FALSE))</f>
        <v>0</v>
      </c>
      <c r="AO11" s="18995">
        <v>0</v>
      </c>
      <c r="AP11" s="18996">
        <f>IF(HLOOKUP("Gs",A1:CV300,11,FALSE)=0,0,HLOOKUP("GIB",A1:CV300,11,FALSE)/HLOOKUP("Gs",A1:CV300,11,FALSE))</f>
        <v>0</v>
      </c>
      <c r="AQ11" s="18997">
        <v>0</v>
      </c>
      <c r="AR11" s="18998">
        <f>IF(HLOOKUP("Gs",A1:CV300,11,FALSE)=0,0,HLOOKUP("Gs - Open",A1:CV300,11,FALSE)/HLOOKUP("Gs",A1:CV300,11,FALSE))</f>
        <v>0</v>
      </c>
      <c r="AS11" s="18999">
        <v>0.83</v>
      </c>
      <c r="AT11" s="19000">
        <v>0.65</v>
      </c>
      <c r="AU11" s="19001">
        <f>IF(HLOOKUP("Mins",A1:CV300,11,FALSE)=0,0,HLOOKUP("Pts",A1:CV300,11,FALSE)/HLOOKUP("Mins",A1:CV300,11,FALSE)* 90)</f>
        <v>2.2265625</v>
      </c>
      <c r="AV11" s="19002">
        <f>IF(HLOOKUP("Apps",A1:CV300,11,FALSE)=0,0,HLOOKUP("Pts",A1:CV300,11,FALSE)/HLOOKUP("Apps",A1:CV300,11,FALSE)* 1)</f>
        <v>1.9</v>
      </c>
      <c r="AW11" s="19003">
        <f>IF(HLOOKUP("Mins",A1:CV300,11,FALSE)=0,0,HLOOKUP("Gs",A1:CV300,11,FALSE)/HLOOKUP("Mins",A1:CV300,11,FALSE)* 90)</f>
        <v>0</v>
      </c>
      <c r="AX11" s="19004">
        <f>IF(HLOOKUP("Mins",A1:CV300,11,FALSE)=0,0,HLOOKUP("Bonus",A1:CV300,11,FALSE)/HLOOKUP("Mins",A1:CV300,11,FALSE)* 90)</f>
        <v>0.1171875</v>
      </c>
      <c r="AY11" s="19005">
        <f>IF(HLOOKUP("Mins",A1:CV300,11,FALSE)=0,0,HLOOKUP("BPS",A1:CV300,11,FALSE)/HLOOKUP("Mins",A1:CV300,11,FALSE)* 90)</f>
        <v>12.890625</v>
      </c>
      <c r="AZ11" s="19006">
        <f>IF(HLOOKUP("Mins",A1:CV300,11,FALSE)=0,0,HLOOKUP("Base BPS",A1:CV300,11,FALSE)/HLOOKUP("Mins",A1:CV300,11,FALSE)* 90)</f>
        <v>12.36328125</v>
      </c>
      <c r="BA11" s="19007">
        <f>IF(HLOOKUP("Mins",A1:CV300,11,FALSE)=0,0,HLOOKUP("PenTchs",A1:CV300,11,FALSE)/HLOOKUP("Mins",A1:CV300,11,FALSE)* 90)</f>
        <v>1.34765625</v>
      </c>
      <c r="BB11" s="19008">
        <f>IF(HLOOKUP("Mins",A1:CV300,11,FALSE)=0,0,HLOOKUP("Shots",A1:CV300,11,FALSE)/HLOOKUP("Mins",A1:CV300,11,FALSE)* 90)</f>
        <v>1.11328125</v>
      </c>
      <c r="BC11" s="19009">
        <f>IF(HLOOKUP("Mins",A1:CV300,11,FALSE)=0,0,HLOOKUP("SIB",A1:CV300,11,FALSE)/HLOOKUP("Mins",A1:CV300,11,FALSE)* 90)</f>
        <v>0.3515625</v>
      </c>
      <c r="BD11" s="19010">
        <f>IF(HLOOKUP("Mins",A1:CV300,11,FALSE)=0,0,HLOOKUP("S6YD",A1:CV300,11,FALSE)/HLOOKUP("Mins",A1:CV300,11,FALSE)* 90)</f>
        <v>0</v>
      </c>
      <c r="BE11" s="19011">
        <f>IF(HLOOKUP("Mins",A1:CV300,11,FALSE)=0,0,HLOOKUP("Headers",A1:CV300,11,FALSE)/HLOOKUP("Mins",A1:CV300,11,FALSE)* 90)</f>
        <v>5.859375E-2</v>
      </c>
      <c r="BF11" s="19012">
        <f>IF(HLOOKUP("Mins",A1:CV300,11,FALSE)=0,0,HLOOKUP("SOT",A1:CV300,11,FALSE)/HLOOKUP("Mins",A1:CV300,11,FALSE)* 90)</f>
        <v>0.234375</v>
      </c>
      <c r="BG11" s="19013">
        <f>IF(HLOOKUP("Mins",A1:CV300,11,FALSE)=0,0,HLOOKUP("As",A1:CV300,11,FALSE)/HLOOKUP("Mins",A1:CV300,11,FALSE)* 90)</f>
        <v>5.859375E-2</v>
      </c>
      <c r="BH11" s="19014">
        <f>IF(HLOOKUP("Mins",A1:CV300,11,FALSE)=0,0,HLOOKUP("FPL As",A1:CV300,11,FALSE)/HLOOKUP("Mins",A1:CV300,11,FALSE)* 90)</f>
        <v>5.859375E-2</v>
      </c>
      <c r="BI11" s="19015">
        <f>IF(HLOOKUP("Mins",A1:CV300,11,FALSE)=0,0,HLOOKUP("BC Created",A1:CV300,11,FALSE)/HLOOKUP("Mins",A1:CV300,11,FALSE)* 90)</f>
        <v>5.859375E-2</v>
      </c>
      <c r="BJ11" s="19016">
        <f>IF(HLOOKUP("Mins",A1:CV300,11,FALSE)=0,0,HLOOKUP("KP",A1:CV300,11,FALSE)/HLOOKUP("Mins",A1:CV300,11,FALSE)* 90)</f>
        <v>0.3515625</v>
      </c>
      <c r="BK11" s="19017">
        <f>IF(HLOOKUP("Mins",A1:CV300,11,FALSE)=0,0,HLOOKUP("BC",A1:CV300,11,FALSE)/HLOOKUP("Mins",A1:CV300,11,FALSE)* 90)</f>
        <v>0</v>
      </c>
      <c r="BL11" s="19018">
        <f>IF(HLOOKUP("Mins",A1:CV300,11,FALSE)=0,0,HLOOKUP("BC Miss",A1:CV300,11,FALSE)/HLOOKUP("Mins",A1:CV300,11,FALSE)* 90)</f>
        <v>0</v>
      </c>
      <c r="BM11" s="19019">
        <f>IF(HLOOKUP("Mins",A1:CV300,11,FALSE)=0,0,HLOOKUP("Gs - BC",A1:CV300,11,FALSE)/HLOOKUP("Mins",A1:CV300,11,FALSE)* 90)</f>
        <v>0</v>
      </c>
      <c r="BN11" s="19020">
        <f>IF(HLOOKUP("Mins",A1:CV300,11,FALSE)=0,0,HLOOKUP("GIB",A1:CV300,11,FALSE)/HLOOKUP("Mins",A1:CV300,11,FALSE)* 90)</f>
        <v>0</v>
      </c>
      <c r="BO11" s="19021">
        <f>IF(HLOOKUP("Mins",A1:CV300,11,FALSE)=0,0,HLOOKUP("Gs - Open",A1:CV300,11,FALSE)/HLOOKUP("Mins",A1:CV300,11,FALSE)* 90)</f>
        <v>0</v>
      </c>
      <c r="BP11" s="19022">
        <f>IF(HLOOKUP("Mins",A1:CV300,11,FALSE)=0,0,HLOOKUP("ICT Index",A1:CV300,11,FALSE)/HLOOKUP("Mins",A1:CV300,11,FALSE)* 90)</f>
        <v>3.52734375</v>
      </c>
      <c r="BQ11" s="19023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  <v>7.7343749999999989E-2</v>
      </c>
      <c r="BR11" s="19024">
        <f>0.0885*HLOOKUP("KP/90",A1:CV300,11,FALSE)</f>
        <v>3.1113281249999999E-2</v>
      </c>
      <c r="BS11" s="19025">
        <f>5*HLOOKUP("xG/90",A1:CV300,11,FALSE)+3*HLOOKUP("xA/90",A1:CV300,11,FALSE)</f>
        <v>0.48005859374999993</v>
      </c>
      <c r="BT11" s="19026">
        <f>HLOOKUP("xPts/90",A1:CV300,11,FALSE)-(5*0.75*(HLOOKUP("PK Gs",A1:CV300,11,FALSE)+HLOOKUP("PK Miss",A1:CV300,11,FALSE))*90/HLOOKUP("Mins",A1:CV300,11,FALSE))</f>
        <v>0.48005859374999993</v>
      </c>
      <c r="BU11" s="19027">
        <f>IF(HLOOKUP("Mins",A1:CV300,11,FALSE)=0,0,HLOOKUP("fsXG",A1:CV300,11,FALSE)/HLOOKUP("Mins",A1:CV300,11,FALSE)* 90)</f>
        <v>4.8632812500000004E-2</v>
      </c>
      <c r="BV11" s="19028">
        <f>IF(HLOOKUP("Mins",A1:CV300,11,FALSE)=0,0,HLOOKUP("fsXA",A1:CV300,11,FALSE)/HLOOKUP("Mins",A1:CV300,11,FALSE)* 90)</f>
        <v>3.80859375E-2</v>
      </c>
      <c r="BW11" s="19029">
        <f>5*HLOOKUP("fsXG/90",A1:CV300,11,FALSE)+3*HLOOKUP("fsXA/90",A1:CV300,11,FALSE)</f>
        <v>0.357421875</v>
      </c>
      <c r="BX11" s="19030">
        <v>3.9094120264053345E-2</v>
      </c>
      <c r="BY11" s="19031">
        <v>3.9018720388412476E-2</v>
      </c>
      <c r="BZ11" s="19032">
        <f>5*HLOOKUP("uXG/90",A1:CV300,11,FALSE)+3*HLOOKUP("uXA/90",A1:CV300,11,FALSE)</f>
        <v>0.31252676248550415</v>
      </c>
    </row>
    <row r="12" spans="1:78" x14ac:dyDescent="0.3">
      <c r="A12" s="19033" t="s">
        <v>339</v>
      </c>
      <c r="B12" s="19034" t="s">
        <v>93</v>
      </c>
      <c r="C12" s="19035">
        <v>5.8000001907348633</v>
      </c>
      <c r="D12" s="19036">
        <v>407</v>
      </c>
      <c r="E12" s="19037">
        <v>9</v>
      </c>
      <c r="F12" s="19038">
        <v>18</v>
      </c>
      <c r="G12" s="19039">
        <v>0</v>
      </c>
      <c r="H12" s="19040">
        <v>0</v>
      </c>
      <c r="I12" s="19041">
        <v>55</v>
      </c>
      <c r="J12" s="19042">
        <f>HLOOKUP("BPS",A1:CV300,12,FALSE)-((-6*HLOOKUP("OG",A1:CV300,12,FALSE))+(-6*HLOOKUP("PK Miss",A1:CV300,12,FALSE))+(9*HLOOKUP("FPL As",A1:CV300,12,FALSE))+(0*HLOOKUP("CS",A1:CV300,12,FALSE))+(18*HLOOKUP("Gs",A1:CV300,12,FALSE)))</f>
        <v>46</v>
      </c>
      <c r="K12" s="19043">
        <v>0</v>
      </c>
      <c r="L12" s="19044">
        <v>2</v>
      </c>
      <c r="M12" s="19045">
        <v>18</v>
      </c>
      <c r="N12" s="19046">
        <v>10</v>
      </c>
      <c r="O12" s="19047">
        <v>5</v>
      </c>
      <c r="P12" s="19048">
        <f>IF(HLOOKUP("Shots",A1:CV300,12,FALSE)=0,0,HLOOKUP("SIB",A1:CV300,12,FALSE)/HLOOKUP("Shots",A1:CV300,12,FALSE))</f>
        <v>0.5</v>
      </c>
      <c r="Q12" s="19049">
        <v>0</v>
      </c>
      <c r="R12" s="19050">
        <f>IF(HLOOKUP("Shots",A1:CV300,12,FALSE)=0,0,HLOOKUP("S6YD",A1:CV300,12,FALSE)/HLOOKUP("Shots",A1:CV300,12,FALSE))</f>
        <v>0</v>
      </c>
      <c r="S12" s="19051">
        <v>0</v>
      </c>
      <c r="T12" s="19052">
        <f>IF(HLOOKUP("Shots",A1:CV300,12,FALSE)=0,0,HLOOKUP("Headers",A1:CV300,12,FALSE)/HLOOKUP("Shots",A1:CV300,12,FALSE))</f>
        <v>0</v>
      </c>
      <c r="U12" s="19053">
        <v>4</v>
      </c>
      <c r="V12" s="19054">
        <f>IF(HLOOKUP("Shots",A1:CV300,12,FALSE)=0,0,HLOOKUP("SOT",A1:CV300,12,FALSE)/HLOOKUP("Shots",A1:CV300,12,FALSE))</f>
        <v>0.4</v>
      </c>
      <c r="W12" s="19055">
        <f>IF(HLOOKUP("Shots",A1:CV300,12,FALSE)=0,0,HLOOKUP("Gs",A1:CV300,12,FALSE)/HLOOKUP("Shots",A1:CV300,12,FALSE))</f>
        <v>0</v>
      </c>
      <c r="X12" s="19056">
        <v>0</v>
      </c>
      <c r="Y12" s="19057">
        <v>1</v>
      </c>
      <c r="Z12" s="19058">
        <v>2</v>
      </c>
      <c r="AA12" s="19059">
        <f>IF(HLOOKUP("KP",A1:CV300,12,FALSE)=0,0,HLOOKUP("As",A1:CV300,12,FALSE)/HLOOKUP("KP",A1:CV300,12,FALSE))</f>
        <v>0</v>
      </c>
      <c r="AB12" s="19060">
        <v>19.3</v>
      </c>
      <c r="AC12" s="19061">
        <v>33</v>
      </c>
      <c r="AD12" s="19062">
        <v>0</v>
      </c>
      <c r="AE12" s="19063">
        <v>1</v>
      </c>
      <c r="AF12" s="19064">
        <v>1</v>
      </c>
      <c r="AG12" s="19065">
        <f>IF(HLOOKUP("BC",A1:CV300,12,FALSE)=0,0,HLOOKUP("Gs - BC",A1:CV300,12,FALSE)/HLOOKUP("BC",A1:CV300,12,FALSE))</f>
        <v>0</v>
      </c>
      <c r="AH12" s="19066">
        <f>HLOOKUP("BC",A1:CV300,12,FALSE) - HLOOKUP("BC Miss",A1:CV300,12,FALSE)</f>
        <v>0</v>
      </c>
      <c r="AI12" s="19067">
        <f>IF(HLOOKUP("Gs",A1:CV300,12,FALSE)=0,0,HLOOKUP("Gs - BC",A1:CV300,12,FALSE)/HLOOKUP("Gs",A1:CV300,12,FALSE))</f>
        <v>0</v>
      </c>
      <c r="AJ12" s="19068">
        <v>0</v>
      </c>
      <c r="AK12" s="19069">
        <v>0</v>
      </c>
      <c r="AL12" s="19070">
        <f>HLOOKUP("BC",A1:CV300,12,FALSE) - (HLOOKUP("PK Gs",A1:CV300,12,FALSE) + HLOOKUP("PK Miss",A1:CV300,12,FALSE))</f>
        <v>1</v>
      </c>
      <c r="AM12" s="19071">
        <f>HLOOKUP("BC Miss",A1:CV300,12,FALSE) - HLOOKUP("PK Miss",A1:CV300,12,FALSE)</f>
        <v>1</v>
      </c>
      <c r="AN12" s="19072">
        <f>IF(HLOOKUP("BC - Open",A1:CV300,12,FALSE)=0,0,HLOOKUP("BC - Open Miss",A1:CV300,12,FALSE)/HLOOKUP("BC - Open",A1:CV300,12,FALSE))</f>
        <v>1</v>
      </c>
      <c r="AO12" s="19073">
        <v>0</v>
      </c>
      <c r="AP12" s="19074">
        <f>IF(HLOOKUP("Gs",A1:CV300,12,FALSE)=0,0,HLOOKUP("GIB",A1:CV300,12,FALSE)/HLOOKUP("Gs",A1:CV300,12,FALSE))</f>
        <v>0</v>
      </c>
      <c r="AQ12" s="19075">
        <v>0</v>
      </c>
      <c r="AR12" s="19076">
        <f>IF(HLOOKUP("Gs",A1:CV300,12,FALSE)=0,0,HLOOKUP("Gs - Open",A1:CV300,12,FALSE)/HLOOKUP("Gs",A1:CV300,12,FALSE))</f>
        <v>0</v>
      </c>
      <c r="AS12" s="19077">
        <v>0.66</v>
      </c>
      <c r="AT12" s="19078">
        <v>0.13</v>
      </c>
      <c r="AU12" s="19079">
        <f>IF(HLOOKUP("Mins",A1:CV300,12,FALSE)=0,0,HLOOKUP("Pts",A1:CV300,12,FALSE)/HLOOKUP("Mins",A1:CV300,12,FALSE)* 90)</f>
        <v>3.9803439803439802</v>
      </c>
      <c r="AV12" s="19080">
        <f>IF(HLOOKUP("Apps",A1:CV300,12,FALSE)=0,0,HLOOKUP("Pts",A1:CV300,12,FALSE)/HLOOKUP("Apps",A1:CV300,12,FALSE)* 1)</f>
        <v>2</v>
      </c>
      <c r="AW12" s="19081">
        <f>IF(HLOOKUP("Mins",A1:CV300,12,FALSE)=0,0,HLOOKUP("Gs",A1:CV300,12,FALSE)/HLOOKUP("Mins",A1:CV300,12,FALSE)* 90)</f>
        <v>0</v>
      </c>
      <c r="AX12" s="19082">
        <f>IF(HLOOKUP("Mins",A1:CV300,12,FALSE)=0,0,HLOOKUP("Bonus",A1:CV300,12,FALSE)/HLOOKUP("Mins",A1:CV300,12,FALSE)* 90)</f>
        <v>0</v>
      </c>
      <c r="AY12" s="19083">
        <f>IF(HLOOKUP("Mins",A1:CV300,12,FALSE)=0,0,HLOOKUP("BPS",A1:CV300,12,FALSE)/HLOOKUP("Mins",A1:CV300,12,FALSE)* 90)</f>
        <v>12.162162162162163</v>
      </c>
      <c r="AZ12" s="19084">
        <f>IF(HLOOKUP("Mins",A1:CV300,12,FALSE)=0,0,HLOOKUP("Base BPS",A1:CV300,12,FALSE)/HLOOKUP("Mins",A1:CV300,12,FALSE)* 90)</f>
        <v>10.171990171990172</v>
      </c>
      <c r="BA12" s="19085">
        <f>IF(HLOOKUP("Mins",A1:CV300,12,FALSE)=0,0,HLOOKUP("PenTchs",A1:CV300,12,FALSE)/HLOOKUP("Mins",A1:CV300,12,FALSE)* 90)</f>
        <v>3.9803439803439802</v>
      </c>
      <c r="BB12" s="19086">
        <f>IF(HLOOKUP("Mins",A1:CV300,12,FALSE)=0,0,HLOOKUP("Shots",A1:CV300,12,FALSE)/HLOOKUP("Mins",A1:CV300,12,FALSE)* 90)</f>
        <v>2.2113022113022112</v>
      </c>
      <c r="BC12" s="19087">
        <f>IF(HLOOKUP("Mins",A1:CV300,12,FALSE)=0,0,HLOOKUP("SIB",A1:CV300,12,FALSE)/HLOOKUP("Mins",A1:CV300,12,FALSE)* 90)</f>
        <v>1.1056511056511056</v>
      </c>
      <c r="BD12" s="19088">
        <f>IF(HLOOKUP("Mins",A1:CV300,12,FALSE)=0,0,HLOOKUP("S6YD",A1:CV300,12,FALSE)/HLOOKUP("Mins",A1:CV300,12,FALSE)* 90)</f>
        <v>0</v>
      </c>
      <c r="BE12" s="19089">
        <f>IF(HLOOKUP("Mins",A1:CV300,12,FALSE)=0,0,HLOOKUP("Headers",A1:CV300,12,FALSE)/HLOOKUP("Mins",A1:CV300,12,FALSE)* 90)</f>
        <v>0</v>
      </c>
      <c r="BF12" s="19090">
        <f>IF(HLOOKUP("Mins",A1:CV300,12,FALSE)=0,0,HLOOKUP("SOT",A1:CV300,12,FALSE)/HLOOKUP("Mins",A1:CV300,12,FALSE)* 90)</f>
        <v>0.88452088452088451</v>
      </c>
      <c r="BG12" s="19091">
        <f>IF(HLOOKUP("Mins",A1:CV300,12,FALSE)=0,0,HLOOKUP("As",A1:CV300,12,FALSE)/HLOOKUP("Mins",A1:CV300,12,FALSE)* 90)</f>
        <v>0</v>
      </c>
      <c r="BH12" s="19092">
        <f>IF(HLOOKUP("Mins",A1:CV300,12,FALSE)=0,0,HLOOKUP("FPL As",A1:CV300,12,FALSE)/HLOOKUP("Mins",A1:CV300,12,FALSE)* 90)</f>
        <v>0.22113022113022113</v>
      </c>
      <c r="BI12" s="19093">
        <f>IF(HLOOKUP("Mins",A1:CV300,12,FALSE)=0,0,HLOOKUP("BC Created",A1:CV300,12,FALSE)/HLOOKUP("Mins",A1:CV300,12,FALSE)* 90)</f>
        <v>0</v>
      </c>
      <c r="BJ12" s="19094">
        <f>IF(HLOOKUP("Mins",A1:CV300,12,FALSE)=0,0,HLOOKUP("KP",A1:CV300,12,FALSE)/HLOOKUP("Mins",A1:CV300,12,FALSE)* 90)</f>
        <v>0.44226044226044225</v>
      </c>
      <c r="BK12" s="19095">
        <f>IF(HLOOKUP("Mins",A1:CV300,12,FALSE)=0,0,HLOOKUP("BC",A1:CV300,12,FALSE)/HLOOKUP("Mins",A1:CV300,12,FALSE)* 90)</f>
        <v>0.22113022113022113</v>
      </c>
      <c r="BL12" s="19096">
        <f>IF(HLOOKUP("Mins",A1:CV300,12,FALSE)=0,0,HLOOKUP("BC Miss",A1:CV300,12,FALSE)/HLOOKUP("Mins",A1:CV300,12,FALSE)* 90)</f>
        <v>0.22113022113022113</v>
      </c>
      <c r="BM12" s="19097">
        <f>IF(HLOOKUP("Mins",A1:CV300,12,FALSE)=0,0,HLOOKUP("Gs - BC",A1:CV300,12,FALSE)/HLOOKUP("Mins",A1:CV300,12,FALSE)* 90)</f>
        <v>0</v>
      </c>
      <c r="BN12" s="19098">
        <f>IF(HLOOKUP("Mins",A1:CV300,12,FALSE)=0,0,HLOOKUP("GIB",A1:CV300,12,FALSE)/HLOOKUP("Mins",A1:CV300,12,FALSE)* 90)</f>
        <v>0</v>
      </c>
      <c r="BO12" s="19099">
        <f>IF(HLOOKUP("Mins",A1:CV300,12,FALSE)=0,0,HLOOKUP("Gs - Open",A1:CV300,12,FALSE)/HLOOKUP("Mins",A1:CV300,12,FALSE)* 90)</f>
        <v>0</v>
      </c>
      <c r="BP12" s="19100">
        <f>IF(HLOOKUP("Mins",A1:CV300,12,FALSE)=0,0,HLOOKUP("ICT Index",A1:CV300,12,FALSE)/HLOOKUP("Mins",A1:CV300,12,FALSE)* 90)</f>
        <v>4.2678132678132679</v>
      </c>
      <c r="BQ12" s="19101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  <v>0.19680589680589677</v>
      </c>
      <c r="BR12" s="19102">
        <f>0.0885*HLOOKUP("KP/90",A1:CV300,12,FALSE)</f>
        <v>3.9140049140049135E-2</v>
      </c>
      <c r="BS12" s="19103">
        <f>5*HLOOKUP("xG/90",A1:CV300,12,FALSE)+3*HLOOKUP("xA/90",A1:CV300,12,FALSE)</f>
        <v>1.1014496314496314</v>
      </c>
      <c r="BT12" s="19104">
        <f>HLOOKUP("xPts/90",A1:CV300,12,FALSE)-(5*0.75*(HLOOKUP("PK Gs",A1:CV300,12,FALSE)+HLOOKUP("PK Miss",A1:CV300,12,FALSE))*90/HLOOKUP("Mins",A1:CV300,12,FALSE))</f>
        <v>1.1014496314496314</v>
      </c>
      <c r="BU12" s="19105">
        <f>IF(HLOOKUP("Mins",A1:CV300,12,FALSE)=0,0,HLOOKUP("fsXG",A1:CV300,12,FALSE)/HLOOKUP("Mins",A1:CV300,12,FALSE)* 90)</f>
        <v>0.14594594594594595</v>
      </c>
      <c r="BV12" s="19106">
        <f>IF(HLOOKUP("Mins",A1:CV300,12,FALSE)=0,0,HLOOKUP("fsXA",A1:CV300,12,FALSE)/HLOOKUP("Mins",A1:CV300,12,FALSE)* 90)</f>
        <v>2.8746928746928749E-2</v>
      </c>
      <c r="BW12" s="19107">
        <f>5*HLOOKUP("fsXG/90",A1:CV300,12,FALSE)+3*HLOOKUP("fsXA/90",A1:CV300,12,FALSE)</f>
        <v>0.81597051597051606</v>
      </c>
      <c r="BX12" s="19108">
        <v>0.13834190368652344</v>
      </c>
      <c r="BY12" s="19109">
        <v>1.9660258665680885E-2</v>
      </c>
      <c r="BZ12" s="19110">
        <f>5*HLOOKUP("uXG/90",A1:CV300,12,FALSE)+3*HLOOKUP("uXA/90",A1:CV300,12,FALSE)</f>
        <v>0.75069029442965984</v>
      </c>
    </row>
    <row r="13" spans="1:78" x14ac:dyDescent="0.3">
      <c r="A13" s="19111" t="s">
        <v>340</v>
      </c>
      <c r="B13" s="19112" t="s">
        <v>86</v>
      </c>
      <c r="C13" s="19113">
        <v>5.8000001907348633</v>
      </c>
      <c r="D13" s="19114">
        <v>313</v>
      </c>
      <c r="E13" s="19115">
        <v>8</v>
      </c>
      <c r="F13" s="19116">
        <v>15</v>
      </c>
      <c r="G13" s="19117">
        <v>0</v>
      </c>
      <c r="H13" s="19118">
        <v>0</v>
      </c>
      <c r="I13" s="19119">
        <v>41</v>
      </c>
      <c r="J13" s="19120">
        <f>HLOOKUP("BPS",A1:CV300,13,FALSE)-((-6*HLOOKUP("OG",A1:CV300,13,FALSE))+(-6*HLOOKUP("PK Miss",A1:CV300,13,FALSE))+(9*HLOOKUP("FPL As",A1:CV300,13,FALSE))+(0*HLOOKUP("CS",A1:CV300,13,FALSE))+(18*HLOOKUP("Gs",A1:CV300,13,FALSE)))</f>
        <v>32</v>
      </c>
      <c r="K13" s="19121">
        <v>0</v>
      </c>
      <c r="L13" s="19122">
        <v>2</v>
      </c>
      <c r="M13" s="19123">
        <v>6</v>
      </c>
      <c r="N13" s="19124">
        <v>4</v>
      </c>
      <c r="O13" s="19125">
        <v>1</v>
      </c>
      <c r="P13" s="19126">
        <f>IF(HLOOKUP("Shots",A1:CV300,13,FALSE)=0,0,HLOOKUP("SIB",A1:CV300,13,FALSE)/HLOOKUP("Shots",A1:CV300,13,FALSE))</f>
        <v>0.25</v>
      </c>
      <c r="Q13" s="19127">
        <v>0</v>
      </c>
      <c r="R13" s="19128">
        <f>IF(HLOOKUP("Shots",A1:CV300,13,FALSE)=0,0,HLOOKUP("S6YD",A1:CV300,13,FALSE)/HLOOKUP("Shots",A1:CV300,13,FALSE))</f>
        <v>0</v>
      </c>
      <c r="S13" s="19129">
        <v>0</v>
      </c>
      <c r="T13" s="19130">
        <f>IF(HLOOKUP("Shots",A1:CV300,13,FALSE)=0,0,HLOOKUP("Headers",A1:CV300,13,FALSE)/HLOOKUP("Shots",A1:CV300,13,FALSE))</f>
        <v>0</v>
      </c>
      <c r="U13" s="19131">
        <v>1</v>
      </c>
      <c r="V13" s="19132">
        <f>IF(HLOOKUP("Shots",A1:CV300,13,FALSE)=0,0,HLOOKUP("SOT",A1:CV300,13,FALSE)/HLOOKUP("Shots",A1:CV300,13,FALSE))</f>
        <v>0.25</v>
      </c>
      <c r="W13" s="19133">
        <f>IF(HLOOKUP("Shots",A1:CV300,13,FALSE)=0,0,HLOOKUP("Gs",A1:CV300,13,FALSE)/HLOOKUP("Shots",A1:CV300,13,FALSE))</f>
        <v>0</v>
      </c>
      <c r="X13" s="19134">
        <v>1</v>
      </c>
      <c r="Y13" s="19135">
        <v>1</v>
      </c>
      <c r="Z13" s="19136">
        <v>4</v>
      </c>
      <c r="AA13" s="19137">
        <f>IF(HLOOKUP("KP",A1:CV300,13,FALSE)=0,0,HLOOKUP("As",A1:CV300,13,FALSE)/HLOOKUP("KP",A1:CV300,13,FALSE))</f>
        <v>0.25</v>
      </c>
      <c r="AB13" s="19138">
        <v>14.9</v>
      </c>
      <c r="AC13" s="19139">
        <v>100</v>
      </c>
      <c r="AD13" s="19140">
        <v>1</v>
      </c>
      <c r="AE13" s="19141">
        <v>0</v>
      </c>
      <c r="AF13" s="19142">
        <v>0</v>
      </c>
      <c r="AG13" s="19143">
        <f>IF(HLOOKUP("BC",A1:CV300,13,FALSE)=0,0,HLOOKUP("Gs - BC",A1:CV300,13,FALSE)/HLOOKUP("BC",A1:CV300,13,FALSE))</f>
        <v>0</v>
      </c>
      <c r="AH13" s="19144">
        <f>HLOOKUP("BC",A1:CV300,13,FALSE) - HLOOKUP("BC Miss",A1:CV300,13,FALSE)</f>
        <v>0</v>
      </c>
      <c r="AI13" s="19145">
        <f>IF(HLOOKUP("Gs",A1:CV300,13,FALSE)=0,0,HLOOKUP("Gs - BC",A1:CV300,13,FALSE)/HLOOKUP("Gs",A1:CV300,13,FALSE))</f>
        <v>0</v>
      </c>
      <c r="AJ13" s="19146">
        <v>0</v>
      </c>
      <c r="AK13" s="19147">
        <v>0</v>
      </c>
      <c r="AL13" s="19148">
        <f>HLOOKUP("BC",A1:CV300,13,FALSE) - (HLOOKUP("PK Gs",A1:CV300,13,FALSE) + HLOOKUP("PK Miss",A1:CV300,13,FALSE))</f>
        <v>0</v>
      </c>
      <c r="AM13" s="19149">
        <f>HLOOKUP("BC Miss",A1:CV300,13,FALSE) - HLOOKUP("PK Miss",A1:CV300,13,FALSE)</f>
        <v>0</v>
      </c>
      <c r="AN13" s="19150">
        <f>IF(HLOOKUP("BC - Open",A1:CV300,13,FALSE)=0,0,HLOOKUP("BC - Open Miss",A1:CV300,13,FALSE)/HLOOKUP("BC - Open",A1:CV300,13,FALSE))</f>
        <v>0</v>
      </c>
      <c r="AO13" s="19151">
        <v>0</v>
      </c>
      <c r="AP13" s="19152">
        <f>IF(HLOOKUP("Gs",A1:CV300,13,FALSE)=0,0,HLOOKUP("GIB",A1:CV300,13,FALSE)/HLOOKUP("Gs",A1:CV300,13,FALSE))</f>
        <v>0</v>
      </c>
      <c r="AQ13" s="19153">
        <v>0</v>
      </c>
      <c r="AR13" s="19154">
        <f>IF(HLOOKUP("Gs",A1:CV300,13,FALSE)=0,0,HLOOKUP("Gs - Open",A1:CV300,13,FALSE)/HLOOKUP("Gs",A1:CV300,13,FALSE))</f>
        <v>0</v>
      </c>
      <c r="AS13" s="19155">
        <v>0.17</v>
      </c>
      <c r="AT13" s="19156">
        <v>0.6</v>
      </c>
      <c r="AU13" s="19157">
        <f>IF(HLOOKUP("Mins",A1:CV300,13,FALSE)=0,0,HLOOKUP("Pts",A1:CV300,13,FALSE)/HLOOKUP("Mins",A1:CV300,13,FALSE)* 90)</f>
        <v>4.3130990415335457</v>
      </c>
      <c r="AV13" s="19158">
        <f>IF(HLOOKUP("Apps",A1:CV300,13,FALSE)=0,0,HLOOKUP("Pts",A1:CV300,13,FALSE)/HLOOKUP("Apps",A1:CV300,13,FALSE)* 1)</f>
        <v>1.875</v>
      </c>
      <c r="AW13" s="19159">
        <f>IF(HLOOKUP("Mins",A1:CV300,13,FALSE)=0,0,HLOOKUP("Gs",A1:CV300,13,FALSE)/HLOOKUP("Mins",A1:CV300,13,FALSE)* 90)</f>
        <v>0</v>
      </c>
      <c r="AX13" s="19160">
        <f>IF(HLOOKUP("Mins",A1:CV300,13,FALSE)=0,0,HLOOKUP("Bonus",A1:CV300,13,FALSE)/HLOOKUP("Mins",A1:CV300,13,FALSE)* 90)</f>
        <v>0</v>
      </c>
      <c r="AY13" s="19161">
        <f>IF(HLOOKUP("Mins",A1:CV300,13,FALSE)=0,0,HLOOKUP("BPS",A1:CV300,13,FALSE)/HLOOKUP("Mins",A1:CV300,13,FALSE)* 90)</f>
        <v>11.789137380191693</v>
      </c>
      <c r="AZ13" s="19162">
        <f>IF(HLOOKUP("Mins",A1:CV300,13,FALSE)=0,0,HLOOKUP("Base BPS",A1:CV300,13,FALSE)/HLOOKUP("Mins",A1:CV300,13,FALSE)* 90)</f>
        <v>9.2012779552715642</v>
      </c>
      <c r="BA13" s="19163">
        <f>IF(HLOOKUP("Mins",A1:CV300,13,FALSE)=0,0,HLOOKUP("PenTchs",A1:CV300,13,FALSE)/HLOOKUP("Mins",A1:CV300,13,FALSE)* 90)</f>
        <v>1.7252396166134185</v>
      </c>
      <c r="BB13" s="19164">
        <f>IF(HLOOKUP("Mins",A1:CV300,13,FALSE)=0,0,HLOOKUP("Shots",A1:CV300,13,FALSE)/HLOOKUP("Mins",A1:CV300,13,FALSE)* 90)</f>
        <v>1.1501597444089455</v>
      </c>
      <c r="BC13" s="19165">
        <f>IF(HLOOKUP("Mins",A1:CV300,13,FALSE)=0,0,HLOOKUP("SIB",A1:CV300,13,FALSE)/HLOOKUP("Mins",A1:CV300,13,FALSE)* 90)</f>
        <v>0.28753993610223638</v>
      </c>
      <c r="BD13" s="19166">
        <f>IF(HLOOKUP("Mins",A1:CV300,13,FALSE)=0,0,HLOOKUP("S6YD",A1:CV300,13,FALSE)/HLOOKUP("Mins",A1:CV300,13,FALSE)* 90)</f>
        <v>0</v>
      </c>
      <c r="BE13" s="19167">
        <f>IF(HLOOKUP("Mins",A1:CV300,13,FALSE)=0,0,HLOOKUP("Headers",A1:CV300,13,FALSE)/HLOOKUP("Mins",A1:CV300,13,FALSE)* 90)</f>
        <v>0</v>
      </c>
      <c r="BF13" s="19168">
        <f>IF(HLOOKUP("Mins",A1:CV300,13,FALSE)=0,0,HLOOKUP("SOT",A1:CV300,13,FALSE)/HLOOKUP("Mins",A1:CV300,13,FALSE)* 90)</f>
        <v>0.28753993610223638</v>
      </c>
      <c r="BG13" s="19169">
        <f>IF(HLOOKUP("Mins",A1:CV300,13,FALSE)=0,0,HLOOKUP("As",A1:CV300,13,FALSE)/HLOOKUP("Mins",A1:CV300,13,FALSE)* 90)</f>
        <v>0.28753993610223638</v>
      </c>
      <c r="BH13" s="19170">
        <f>IF(HLOOKUP("Mins",A1:CV300,13,FALSE)=0,0,HLOOKUP("FPL As",A1:CV300,13,FALSE)/HLOOKUP("Mins",A1:CV300,13,FALSE)* 90)</f>
        <v>0.28753993610223638</v>
      </c>
      <c r="BI13" s="19171">
        <f>IF(HLOOKUP("Mins",A1:CV300,13,FALSE)=0,0,HLOOKUP("BC Created",A1:CV300,13,FALSE)/HLOOKUP("Mins",A1:CV300,13,FALSE)* 90)</f>
        <v>0.28753993610223638</v>
      </c>
      <c r="BJ13" s="19172">
        <f>IF(HLOOKUP("Mins",A1:CV300,13,FALSE)=0,0,HLOOKUP("KP",A1:CV300,13,FALSE)/HLOOKUP("Mins",A1:CV300,13,FALSE)* 90)</f>
        <v>1.1501597444089455</v>
      </c>
      <c r="BK13" s="19173">
        <f>IF(HLOOKUP("Mins",A1:CV300,13,FALSE)=0,0,HLOOKUP("BC",A1:CV300,13,FALSE)/HLOOKUP("Mins",A1:CV300,13,FALSE)* 90)</f>
        <v>0</v>
      </c>
      <c r="BL13" s="19174">
        <f>IF(HLOOKUP("Mins",A1:CV300,13,FALSE)=0,0,HLOOKUP("BC Miss",A1:CV300,13,FALSE)/HLOOKUP("Mins",A1:CV300,13,FALSE)* 90)</f>
        <v>0</v>
      </c>
      <c r="BM13" s="19175">
        <f>IF(HLOOKUP("Mins",A1:CV300,13,FALSE)=0,0,HLOOKUP("Gs - BC",A1:CV300,13,FALSE)/HLOOKUP("Mins",A1:CV300,13,FALSE)* 90)</f>
        <v>0</v>
      </c>
      <c r="BN13" s="19176">
        <f>IF(HLOOKUP("Mins",A1:CV300,13,FALSE)=0,0,HLOOKUP("GIB",A1:CV300,13,FALSE)/HLOOKUP("Mins",A1:CV300,13,FALSE)* 90)</f>
        <v>0</v>
      </c>
      <c r="BO13" s="19177">
        <f>IF(HLOOKUP("Mins",A1:CV300,13,FALSE)=0,0,HLOOKUP("Gs - Open",A1:CV300,13,FALSE)/HLOOKUP("Mins",A1:CV300,13,FALSE)* 90)</f>
        <v>0</v>
      </c>
      <c r="BP13" s="19178">
        <f>IF(HLOOKUP("Mins",A1:CV300,13,FALSE)=0,0,HLOOKUP("ICT Index",A1:CV300,13,FALSE)/HLOOKUP("Mins",A1:CV300,13,FALSE)* 90)</f>
        <v>4.2843450479233223</v>
      </c>
      <c r="BQ13" s="19179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  <v>7.1884984025559095E-2</v>
      </c>
      <c r="BR13" s="19180">
        <f>0.0885*HLOOKUP("KP/90",A1:CV300,13,FALSE)</f>
        <v>0.10178913738019167</v>
      </c>
      <c r="BS13" s="19181">
        <f>5*HLOOKUP("xG/90",A1:CV300,13,FALSE)+3*HLOOKUP("xA/90",A1:CV300,13,FALSE)</f>
        <v>0.66479233226837042</v>
      </c>
      <c r="BT13" s="19182">
        <f>HLOOKUP("xPts/90",A1:CV300,13,FALSE)-(5*0.75*(HLOOKUP("PK Gs",A1:CV300,13,FALSE)+HLOOKUP("PK Miss",A1:CV300,13,FALSE))*90/HLOOKUP("Mins",A1:CV300,13,FALSE))</f>
        <v>0.66479233226837042</v>
      </c>
      <c r="BU13" s="19183">
        <f>IF(HLOOKUP("Mins",A1:CV300,13,FALSE)=0,0,HLOOKUP("fsXG",A1:CV300,13,FALSE)/HLOOKUP("Mins",A1:CV300,13,FALSE)* 90)</f>
        <v>4.8881789137380199E-2</v>
      </c>
      <c r="BV13" s="19184">
        <f>IF(HLOOKUP("Mins",A1:CV300,13,FALSE)=0,0,HLOOKUP("fsXA",A1:CV300,13,FALSE)/HLOOKUP("Mins",A1:CV300,13,FALSE)* 90)</f>
        <v>0.17252396166134185</v>
      </c>
      <c r="BW13" s="19185">
        <f>5*HLOOKUP("fsXG/90",A1:CV300,13,FALSE)+3*HLOOKUP("fsXA/90",A1:CV300,13,FALSE)</f>
        <v>0.76198083067092648</v>
      </c>
      <c r="BX13" s="19186">
        <v>4.2820986360311508E-2</v>
      </c>
      <c r="BY13" s="19187">
        <v>0.16286887228488922</v>
      </c>
      <c r="BZ13" s="19188">
        <f>5*HLOOKUP("uXG/90",A1:CV300,13,FALSE)+3*HLOOKUP("uXA/90",A1:CV300,13,FALSE)</f>
        <v>0.7027115486562252</v>
      </c>
    </row>
    <row r="14" spans="1:78" x14ac:dyDescent="0.3">
      <c r="A14" s="19189" t="s">
        <v>341</v>
      </c>
      <c r="B14" s="19190" t="s">
        <v>84</v>
      </c>
      <c r="C14" s="19191">
        <v>5</v>
      </c>
      <c r="D14" s="19192">
        <v>641</v>
      </c>
      <c r="E14" s="19193">
        <v>14</v>
      </c>
      <c r="F14" s="19194">
        <v>31</v>
      </c>
      <c r="G14" s="19195">
        <v>1</v>
      </c>
      <c r="H14" s="19196">
        <v>1</v>
      </c>
      <c r="I14" s="19197">
        <v>66</v>
      </c>
      <c r="J14" s="19198">
        <f>HLOOKUP("BPS",A1:CV300,14,FALSE)-((-6*HLOOKUP("OG",A1:CV300,14,FALSE))+(-6*HLOOKUP("PK Miss",A1:CV300,14,FALSE))+(9*HLOOKUP("FPL As",A1:CV300,14,FALSE))+(0*HLOOKUP("CS",A1:CV300,14,FALSE))+(18*HLOOKUP("Gs",A1:CV300,14,FALSE)))</f>
        <v>30</v>
      </c>
      <c r="K14" s="19199">
        <v>0</v>
      </c>
      <c r="L14" s="19200">
        <v>2</v>
      </c>
      <c r="M14" s="19201">
        <v>23</v>
      </c>
      <c r="N14" s="19202">
        <v>12</v>
      </c>
      <c r="O14" s="19203">
        <v>9</v>
      </c>
      <c r="P14" s="19204">
        <f>IF(HLOOKUP("Shots",A1:CV300,14,FALSE)=0,0,HLOOKUP("SIB",A1:CV300,14,FALSE)/HLOOKUP("Shots",A1:CV300,14,FALSE))</f>
        <v>0.75</v>
      </c>
      <c r="Q14" s="19205">
        <v>0</v>
      </c>
      <c r="R14" s="19206">
        <f>IF(HLOOKUP("Shots",A1:CV300,14,FALSE)=0,0,HLOOKUP("S6YD",A1:CV300,14,FALSE)/HLOOKUP("Shots",A1:CV300,14,FALSE))</f>
        <v>0</v>
      </c>
      <c r="S14" s="19207">
        <v>2</v>
      </c>
      <c r="T14" s="19208">
        <f>IF(HLOOKUP("Shots",A1:CV300,14,FALSE)=0,0,HLOOKUP("Headers",A1:CV300,14,FALSE)/HLOOKUP("Shots",A1:CV300,14,FALSE))</f>
        <v>0.16666666666666666</v>
      </c>
      <c r="U14" s="19209">
        <v>4</v>
      </c>
      <c r="V14" s="19210">
        <f>IF(HLOOKUP("Shots",A1:CV300,14,FALSE)=0,0,HLOOKUP("SOT",A1:CV300,14,FALSE)/HLOOKUP("Shots",A1:CV300,14,FALSE))</f>
        <v>0.33333333333333331</v>
      </c>
      <c r="W14" s="19211">
        <f>IF(HLOOKUP("Shots",A1:CV300,14,FALSE)=0,0,HLOOKUP("Gs",A1:CV300,14,FALSE)/HLOOKUP("Shots",A1:CV300,14,FALSE))</f>
        <v>8.3333333333333329E-2</v>
      </c>
      <c r="X14" s="19212">
        <v>1</v>
      </c>
      <c r="Y14" s="19213">
        <v>2</v>
      </c>
      <c r="Z14" s="19214">
        <v>3</v>
      </c>
      <c r="AA14" s="19215">
        <f>IF(HLOOKUP("KP",A1:CV300,14,FALSE)=0,0,HLOOKUP("As",A1:CV300,14,FALSE)/HLOOKUP("KP",A1:CV300,14,FALSE))</f>
        <v>0.33333333333333331</v>
      </c>
      <c r="AB14" s="19216">
        <v>28.2</v>
      </c>
      <c r="AC14" s="19217">
        <v>50</v>
      </c>
      <c r="AD14" s="19218">
        <v>1</v>
      </c>
      <c r="AE14" s="19219">
        <v>2</v>
      </c>
      <c r="AF14" s="19220">
        <v>1</v>
      </c>
      <c r="AG14" s="19221">
        <f>IF(HLOOKUP("BC",A1:CV300,14,FALSE)=0,0,HLOOKUP("Gs - BC",A1:CV300,14,FALSE)/HLOOKUP("BC",A1:CV300,14,FALSE))</f>
        <v>0.5</v>
      </c>
      <c r="AH14" s="19222">
        <f>HLOOKUP("BC",A1:CV300,14,FALSE) - HLOOKUP("BC Miss",A1:CV300,14,FALSE)</f>
        <v>1</v>
      </c>
      <c r="AI14" s="19223">
        <f>IF(HLOOKUP("Gs",A1:CV300,14,FALSE)=0,0,HLOOKUP("Gs - BC",A1:CV300,14,FALSE)/HLOOKUP("Gs",A1:CV300,14,FALSE))</f>
        <v>1</v>
      </c>
      <c r="AJ14" s="19224">
        <v>0</v>
      </c>
      <c r="AK14" s="19225">
        <v>0</v>
      </c>
      <c r="AL14" s="19226">
        <f>HLOOKUP("BC",A1:CV300,14,FALSE) - (HLOOKUP("PK Gs",A1:CV300,14,FALSE) + HLOOKUP("PK Miss",A1:CV300,14,FALSE))</f>
        <v>2</v>
      </c>
      <c r="AM14" s="19227">
        <f>HLOOKUP("BC Miss",A1:CV300,14,FALSE) - HLOOKUP("PK Miss",A1:CV300,14,FALSE)</f>
        <v>1</v>
      </c>
      <c r="AN14" s="19228">
        <f>IF(HLOOKUP("BC - Open",A1:CV300,14,FALSE)=0,0,HLOOKUP("BC - Open Miss",A1:CV300,14,FALSE)/HLOOKUP("BC - Open",A1:CV300,14,FALSE))</f>
        <v>0.5</v>
      </c>
      <c r="AO14" s="19229">
        <v>1</v>
      </c>
      <c r="AP14" s="19230">
        <f>IF(HLOOKUP("Gs",A1:CV300,14,FALSE)=0,0,HLOOKUP("GIB",A1:CV300,14,FALSE)/HLOOKUP("Gs",A1:CV300,14,FALSE))</f>
        <v>1</v>
      </c>
      <c r="AQ14" s="19231">
        <v>1</v>
      </c>
      <c r="AR14" s="19232">
        <f>IF(HLOOKUP("Gs",A1:CV300,14,FALSE)=0,0,HLOOKUP("Gs - Open",A1:CV300,14,FALSE)/HLOOKUP("Gs",A1:CV300,14,FALSE))</f>
        <v>1</v>
      </c>
      <c r="AS14" s="19233">
        <v>1.56</v>
      </c>
      <c r="AT14" s="19234">
        <v>0.51</v>
      </c>
      <c r="AU14" s="19235">
        <f>IF(HLOOKUP("Mins",A1:CV300,14,FALSE)=0,0,HLOOKUP("Pts",A1:CV300,14,FALSE)/HLOOKUP("Mins",A1:CV300,14,FALSE)* 90)</f>
        <v>4.3525741029641187</v>
      </c>
      <c r="AV14" s="19236">
        <f>IF(HLOOKUP("Apps",A1:CV300,14,FALSE)=0,0,HLOOKUP("Pts",A1:CV300,14,FALSE)/HLOOKUP("Apps",A1:CV300,14,FALSE)* 1)</f>
        <v>2.2142857142857144</v>
      </c>
      <c r="AW14" s="19237">
        <f>IF(HLOOKUP("Mins",A1:CV300,14,FALSE)=0,0,HLOOKUP("Gs",A1:CV300,14,FALSE)/HLOOKUP("Mins",A1:CV300,14,FALSE)* 90)</f>
        <v>0.14040561622464898</v>
      </c>
      <c r="AX14" s="19238">
        <f>IF(HLOOKUP("Mins",A1:CV300,14,FALSE)=0,0,HLOOKUP("Bonus",A1:CV300,14,FALSE)/HLOOKUP("Mins",A1:CV300,14,FALSE)* 90)</f>
        <v>0.14040561622464898</v>
      </c>
      <c r="AY14" s="19239">
        <f>IF(HLOOKUP("Mins",A1:CV300,14,FALSE)=0,0,HLOOKUP("BPS",A1:CV300,14,FALSE)/HLOOKUP("Mins",A1:CV300,14,FALSE)* 90)</f>
        <v>9.2667706708268334</v>
      </c>
      <c r="AZ14" s="19240">
        <f>IF(HLOOKUP("Mins",A1:CV300,14,FALSE)=0,0,HLOOKUP("Base BPS",A1:CV300,14,FALSE)/HLOOKUP("Mins",A1:CV300,14,FALSE)* 90)</f>
        <v>4.2121684867394693</v>
      </c>
      <c r="BA14" s="19241">
        <f>IF(HLOOKUP("Mins",A1:CV300,14,FALSE)=0,0,HLOOKUP("PenTchs",A1:CV300,14,FALSE)/HLOOKUP("Mins",A1:CV300,14,FALSE)* 90)</f>
        <v>3.2293291731669269</v>
      </c>
      <c r="BB14" s="19242">
        <f>IF(HLOOKUP("Mins",A1:CV300,14,FALSE)=0,0,HLOOKUP("Shots",A1:CV300,14,FALSE)/HLOOKUP("Mins",A1:CV300,14,FALSE)* 90)</f>
        <v>1.6848673946957879</v>
      </c>
      <c r="BC14" s="19243">
        <f>IF(HLOOKUP("Mins",A1:CV300,14,FALSE)=0,0,HLOOKUP("SIB",A1:CV300,14,FALSE)/HLOOKUP("Mins",A1:CV300,14,FALSE)* 90)</f>
        <v>1.263650546021841</v>
      </c>
      <c r="BD14" s="19244">
        <f>IF(HLOOKUP("Mins",A1:CV300,14,FALSE)=0,0,HLOOKUP("S6YD",A1:CV300,14,FALSE)/HLOOKUP("Mins",A1:CV300,14,FALSE)* 90)</f>
        <v>0</v>
      </c>
      <c r="BE14" s="19245">
        <f>IF(HLOOKUP("Mins",A1:CV300,14,FALSE)=0,0,HLOOKUP("Headers",A1:CV300,14,FALSE)/HLOOKUP("Mins",A1:CV300,14,FALSE)* 90)</f>
        <v>0.28081123244929795</v>
      </c>
      <c r="BF14" s="19246">
        <f>IF(HLOOKUP("Mins",A1:CV300,14,FALSE)=0,0,HLOOKUP("SOT",A1:CV300,14,FALSE)/HLOOKUP("Mins",A1:CV300,14,FALSE)* 90)</f>
        <v>0.56162246489859591</v>
      </c>
      <c r="BG14" s="19247">
        <f>IF(HLOOKUP("Mins",A1:CV300,14,FALSE)=0,0,HLOOKUP("As",A1:CV300,14,FALSE)/HLOOKUP("Mins",A1:CV300,14,FALSE)* 90)</f>
        <v>0.14040561622464898</v>
      </c>
      <c r="BH14" s="19248">
        <f>IF(HLOOKUP("Mins",A1:CV300,14,FALSE)=0,0,HLOOKUP("FPL As",A1:CV300,14,FALSE)/HLOOKUP("Mins",A1:CV300,14,FALSE)* 90)</f>
        <v>0.28081123244929795</v>
      </c>
      <c r="BI14" s="19249">
        <f>IF(HLOOKUP("Mins",A1:CV300,14,FALSE)=0,0,HLOOKUP("BC Created",A1:CV300,14,FALSE)/HLOOKUP("Mins",A1:CV300,14,FALSE)* 90)</f>
        <v>0.14040561622464898</v>
      </c>
      <c r="BJ14" s="19250">
        <f>IF(HLOOKUP("Mins",A1:CV300,14,FALSE)=0,0,HLOOKUP("KP",A1:CV300,14,FALSE)/HLOOKUP("Mins",A1:CV300,14,FALSE)* 90)</f>
        <v>0.42121684867394699</v>
      </c>
      <c r="BK14" s="19251">
        <f>IF(HLOOKUP("Mins",A1:CV300,14,FALSE)=0,0,HLOOKUP("BC",A1:CV300,14,FALSE)/HLOOKUP("Mins",A1:CV300,14,FALSE)* 90)</f>
        <v>0.28081123244929795</v>
      </c>
      <c r="BL14" s="19252">
        <f>IF(HLOOKUP("Mins",A1:CV300,14,FALSE)=0,0,HLOOKUP("BC Miss",A1:CV300,14,FALSE)/HLOOKUP("Mins",A1:CV300,14,FALSE)* 90)</f>
        <v>0.14040561622464898</v>
      </c>
      <c r="BM14" s="19253">
        <f>IF(HLOOKUP("Mins",A1:CV300,14,FALSE)=0,0,HLOOKUP("Gs - BC",A1:CV300,14,FALSE)/HLOOKUP("Mins",A1:CV300,14,FALSE)* 90)</f>
        <v>0.14040561622464898</v>
      </c>
      <c r="BN14" s="19254">
        <f>IF(HLOOKUP("Mins",A1:CV300,14,FALSE)=0,0,HLOOKUP("GIB",A1:CV300,14,FALSE)/HLOOKUP("Mins",A1:CV300,14,FALSE)* 90)</f>
        <v>0.14040561622464898</v>
      </c>
      <c r="BO14" s="19255">
        <f>IF(HLOOKUP("Mins",A1:CV300,14,FALSE)=0,0,HLOOKUP("Gs - Open",A1:CV300,14,FALSE)/HLOOKUP("Mins",A1:CV300,14,FALSE)* 90)</f>
        <v>0.14040561622464898</v>
      </c>
      <c r="BP14" s="19256">
        <f>IF(HLOOKUP("Mins",A1:CV300,14,FALSE)=0,0,HLOOKUP("ICT Index",A1:CV300,14,FALSE)/HLOOKUP("Mins",A1:CV300,14,FALSE)* 90)</f>
        <v>3.9594383775351014</v>
      </c>
      <c r="BQ14" s="19257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  <v>0.19460218408736346</v>
      </c>
      <c r="BR14" s="19258">
        <f>0.0885*HLOOKUP("KP/90",A1:CV300,14,FALSE)</f>
        <v>3.7277691107644305E-2</v>
      </c>
      <c r="BS14" s="19259">
        <f>5*HLOOKUP("xG/90",A1:CV300,14,FALSE)+3*HLOOKUP("xA/90",A1:CV300,14,FALSE)</f>
        <v>1.0848439937597503</v>
      </c>
      <c r="BT14" s="19260">
        <f>HLOOKUP("xPts/90",A1:CV300,14,FALSE)-(5*0.75*(HLOOKUP("PK Gs",A1:CV300,14,FALSE)+HLOOKUP("PK Miss",A1:CV300,14,FALSE))*90/HLOOKUP("Mins",A1:CV300,14,FALSE))</f>
        <v>1.0848439937597503</v>
      </c>
      <c r="BU14" s="19261">
        <f>IF(HLOOKUP("Mins",A1:CV300,14,FALSE)=0,0,HLOOKUP("fsXG",A1:CV300,14,FALSE)/HLOOKUP("Mins",A1:CV300,14,FALSE)* 90)</f>
        <v>0.21903276131045243</v>
      </c>
      <c r="BV14" s="19262">
        <f>IF(HLOOKUP("Mins",A1:CV300,14,FALSE)=0,0,HLOOKUP("fsXA",A1:CV300,14,FALSE)/HLOOKUP("Mins",A1:CV300,14,FALSE)* 90)</f>
        <v>7.1606864274570983E-2</v>
      </c>
      <c r="BW14" s="19263">
        <f>5*HLOOKUP("fsXG/90",A1:CV300,14,FALSE)+3*HLOOKUP("fsXA/90",A1:CV300,14,FALSE)</f>
        <v>1.3099843993759752</v>
      </c>
      <c r="BX14" s="19264">
        <v>0.21886681020259857</v>
      </c>
      <c r="BY14" s="19265">
        <v>7.6140560209751129E-2</v>
      </c>
      <c r="BZ14" s="19266">
        <f>5*HLOOKUP("uXG/90",A1:CV300,14,FALSE)+3*HLOOKUP("uXA/90",A1:CV300,14,FALSE)</f>
        <v>1.3227557316422462</v>
      </c>
    </row>
    <row r="15" spans="1:78" x14ac:dyDescent="0.3">
      <c r="A15" s="19267" t="s">
        <v>342</v>
      </c>
      <c r="B15" s="19268" t="s">
        <v>98</v>
      </c>
      <c r="C15" s="19269">
        <v>5.5</v>
      </c>
      <c r="D15" s="19270">
        <v>561</v>
      </c>
      <c r="E15" s="19271">
        <v>14</v>
      </c>
      <c r="F15" s="19272">
        <v>27</v>
      </c>
      <c r="G15" s="19273">
        <v>0</v>
      </c>
      <c r="H15" s="19274">
        <v>0</v>
      </c>
      <c r="I15" s="19275">
        <v>78</v>
      </c>
      <c r="J15" s="19276">
        <f>HLOOKUP("BPS",A1:CV300,15,FALSE)-((-6*HLOOKUP("OG",A1:CV300,15,FALSE))+(-6*HLOOKUP("PK Miss",A1:CV300,15,FALSE))+(9*HLOOKUP("FPL As",A1:CV300,15,FALSE))+(0*HLOOKUP("CS",A1:CV300,15,FALSE))+(18*HLOOKUP("Gs",A1:CV300,15,FALSE)))</f>
        <v>51</v>
      </c>
      <c r="K15" s="19277">
        <v>0</v>
      </c>
      <c r="L15" s="19278">
        <v>1</v>
      </c>
      <c r="M15" s="19279">
        <v>43</v>
      </c>
      <c r="N15" s="19280">
        <v>15</v>
      </c>
      <c r="O15" s="19281">
        <v>7</v>
      </c>
      <c r="P15" s="19282">
        <f>IF(HLOOKUP("Shots",A1:CV300,15,FALSE)=0,0,HLOOKUP("SIB",A1:CV300,15,FALSE)/HLOOKUP("Shots",A1:CV300,15,FALSE))</f>
        <v>0.46666666666666667</v>
      </c>
      <c r="Q15" s="19283">
        <v>0</v>
      </c>
      <c r="R15" s="19284">
        <f>IF(HLOOKUP("Shots",A1:CV300,15,FALSE)=0,0,HLOOKUP("S6YD",A1:CV300,15,FALSE)/HLOOKUP("Shots",A1:CV300,15,FALSE))</f>
        <v>0</v>
      </c>
      <c r="S15" s="19285">
        <v>0</v>
      </c>
      <c r="T15" s="19286">
        <f>IF(HLOOKUP("Shots",A1:CV300,15,FALSE)=0,0,HLOOKUP("Headers",A1:CV300,15,FALSE)/HLOOKUP("Shots",A1:CV300,15,FALSE))</f>
        <v>0</v>
      </c>
      <c r="U15" s="19287">
        <v>6</v>
      </c>
      <c r="V15" s="19288">
        <f>IF(HLOOKUP("Shots",A1:CV300,15,FALSE)=0,0,HLOOKUP("SOT",A1:CV300,15,FALSE)/HLOOKUP("Shots",A1:CV300,15,FALSE))</f>
        <v>0.4</v>
      </c>
      <c r="W15" s="19289">
        <f>IF(HLOOKUP("Shots",A1:CV300,15,FALSE)=0,0,HLOOKUP("Gs",A1:CV300,15,FALSE)/HLOOKUP("Shots",A1:CV300,15,FALSE))</f>
        <v>0</v>
      </c>
      <c r="X15" s="19290">
        <v>2</v>
      </c>
      <c r="Y15" s="19291">
        <v>3</v>
      </c>
      <c r="Z15" s="19292">
        <v>11</v>
      </c>
      <c r="AA15" s="19293">
        <f>IF(HLOOKUP("KP",A1:CV300,15,FALSE)=0,0,HLOOKUP("As",A1:CV300,15,FALSE)/HLOOKUP("KP",A1:CV300,15,FALSE))</f>
        <v>0.18181818181818182</v>
      </c>
      <c r="AB15" s="19294">
        <v>49.9</v>
      </c>
      <c r="AC15" s="19295">
        <v>38</v>
      </c>
      <c r="AD15" s="19296">
        <v>4</v>
      </c>
      <c r="AE15" s="19297">
        <v>1</v>
      </c>
      <c r="AF15" s="19298">
        <v>1</v>
      </c>
      <c r="AG15" s="19299">
        <f>IF(HLOOKUP("BC",A1:CV300,15,FALSE)=0,0,HLOOKUP("Gs - BC",A1:CV300,15,FALSE)/HLOOKUP("BC",A1:CV300,15,FALSE))</f>
        <v>0</v>
      </c>
      <c r="AH15" s="19300">
        <f>HLOOKUP("BC",A1:CV300,15,FALSE) - HLOOKUP("BC Miss",A1:CV300,15,FALSE)</f>
        <v>0</v>
      </c>
      <c r="AI15" s="19301">
        <f>IF(HLOOKUP("Gs",A1:CV300,15,FALSE)=0,0,HLOOKUP("Gs - BC",A1:CV300,15,FALSE)/HLOOKUP("Gs",A1:CV300,15,FALSE))</f>
        <v>0</v>
      </c>
      <c r="AJ15" s="19302">
        <v>0</v>
      </c>
      <c r="AK15" s="19303">
        <v>0</v>
      </c>
      <c r="AL15" s="19304">
        <f>HLOOKUP("BC",A1:CV300,15,FALSE) - (HLOOKUP("PK Gs",A1:CV300,15,FALSE) + HLOOKUP("PK Miss",A1:CV300,15,FALSE))</f>
        <v>1</v>
      </c>
      <c r="AM15" s="19305">
        <f>HLOOKUP("BC Miss",A1:CV300,15,FALSE) - HLOOKUP("PK Miss",A1:CV300,15,FALSE)</f>
        <v>1</v>
      </c>
      <c r="AN15" s="19306">
        <f>IF(HLOOKUP("BC - Open",A1:CV300,15,FALSE)=0,0,HLOOKUP("BC - Open Miss",A1:CV300,15,FALSE)/HLOOKUP("BC - Open",A1:CV300,15,FALSE))</f>
        <v>1</v>
      </c>
      <c r="AO15" s="19307">
        <v>0</v>
      </c>
      <c r="AP15" s="19308">
        <f>IF(HLOOKUP("Gs",A1:CV300,15,FALSE)=0,0,HLOOKUP("GIB",A1:CV300,15,FALSE)/HLOOKUP("Gs",A1:CV300,15,FALSE))</f>
        <v>0</v>
      </c>
      <c r="AQ15" s="19309">
        <v>0</v>
      </c>
      <c r="AR15" s="19310">
        <f>IF(HLOOKUP("Gs",A1:CV300,15,FALSE)=0,0,HLOOKUP("Gs - Open",A1:CV300,15,FALSE)/HLOOKUP("Gs",A1:CV300,15,FALSE))</f>
        <v>0</v>
      </c>
      <c r="AS15" s="19311">
        <v>0.85</v>
      </c>
      <c r="AT15" s="19312">
        <v>0.97</v>
      </c>
      <c r="AU15" s="19313">
        <f>IF(HLOOKUP("Mins",A1:CV300,15,FALSE)=0,0,HLOOKUP("Pts",A1:CV300,15,FALSE)/HLOOKUP("Mins",A1:CV300,15,FALSE)* 90)</f>
        <v>4.331550802139037</v>
      </c>
      <c r="AV15" s="19314">
        <f>IF(HLOOKUP("Apps",A1:CV300,15,FALSE)=0,0,HLOOKUP("Pts",A1:CV300,15,FALSE)/HLOOKUP("Apps",A1:CV300,15,FALSE)* 1)</f>
        <v>1.9285714285714286</v>
      </c>
      <c r="AW15" s="19315">
        <f>IF(HLOOKUP("Mins",A1:CV300,15,FALSE)=0,0,HLOOKUP("Gs",A1:CV300,15,FALSE)/HLOOKUP("Mins",A1:CV300,15,FALSE)* 90)</f>
        <v>0</v>
      </c>
      <c r="AX15" s="19316">
        <f>IF(HLOOKUP("Mins",A1:CV300,15,FALSE)=0,0,HLOOKUP("Bonus",A1:CV300,15,FALSE)/HLOOKUP("Mins",A1:CV300,15,FALSE)* 90)</f>
        <v>0</v>
      </c>
      <c r="AY15" s="19317">
        <f>IF(HLOOKUP("Mins",A1:CV300,15,FALSE)=0,0,HLOOKUP("BPS",A1:CV300,15,FALSE)/HLOOKUP("Mins",A1:CV300,15,FALSE)* 90)</f>
        <v>12.51336898395722</v>
      </c>
      <c r="AZ15" s="19318">
        <f>IF(HLOOKUP("Mins",A1:CV300,15,FALSE)=0,0,HLOOKUP("Base BPS",A1:CV300,15,FALSE)/HLOOKUP("Mins",A1:CV300,15,FALSE)* 90)</f>
        <v>8.1818181818181817</v>
      </c>
      <c r="BA15" s="19319">
        <f>IF(HLOOKUP("Mins",A1:CV300,15,FALSE)=0,0,HLOOKUP("PenTchs",A1:CV300,15,FALSE)/HLOOKUP("Mins",A1:CV300,15,FALSE)* 90)</f>
        <v>6.8983957219251337</v>
      </c>
      <c r="BB15" s="19320">
        <f>IF(HLOOKUP("Mins",A1:CV300,15,FALSE)=0,0,HLOOKUP("Shots",A1:CV300,15,FALSE)/HLOOKUP("Mins",A1:CV300,15,FALSE)* 90)</f>
        <v>2.4064171122994651</v>
      </c>
      <c r="BC15" s="19321">
        <f>IF(HLOOKUP("Mins",A1:CV300,15,FALSE)=0,0,HLOOKUP("SIB",A1:CV300,15,FALSE)/HLOOKUP("Mins",A1:CV300,15,FALSE)* 90)</f>
        <v>1.1229946524064172</v>
      </c>
      <c r="BD15" s="19322">
        <f>IF(HLOOKUP("Mins",A1:CV300,15,FALSE)=0,0,HLOOKUP("S6YD",A1:CV300,15,FALSE)/HLOOKUP("Mins",A1:CV300,15,FALSE)* 90)</f>
        <v>0</v>
      </c>
      <c r="BE15" s="19323">
        <f>IF(HLOOKUP("Mins",A1:CV300,15,FALSE)=0,0,HLOOKUP("Headers",A1:CV300,15,FALSE)/HLOOKUP("Mins",A1:CV300,15,FALSE)* 90)</f>
        <v>0</v>
      </c>
      <c r="BF15" s="19324">
        <f>IF(HLOOKUP("Mins",A1:CV300,15,FALSE)=0,0,HLOOKUP("SOT",A1:CV300,15,FALSE)/HLOOKUP("Mins",A1:CV300,15,FALSE)* 90)</f>
        <v>0.96256684491978606</v>
      </c>
      <c r="BG15" s="19325">
        <f>IF(HLOOKUP("Mins",A1:CV300,15,FALSE)=0,0,HLOOKUP("As",A1:CV300,15,FALSE)/HLOOKUP("Mins",A1:CV300,15,FALSE)* 90)</f>
        <v>0.32085561497326204</v>
      </c>
      <c r="BH15" s="19326">
        <f>IF(HLOOKUP("Mins",A1:CV300,15,FALSE)=0,0,HLOOKUP("FPL As",A1:CV300,15,FALSE)/HLOOKUP("Mins",A1:CV300,15,FALSE)* 90)</f>
        <v>0.48128342245989303</v>
      </c>
      <c r="BI15" s="19327">
        <f>IF(HLOOKUP("Mins",A1:CV300,15,FALSE)=0,0,HLOOKUP("BC Created",A1:CV300,15,FALSE)/HLOOKUP("Mins",A1:CV300,15,FALSE)* 90)</f>
        <v>0.64171122994652408</v>
      </c>
      <c r="BJ15" s="19328">
        <f>IF(HLOOKUP("Mins",A1:CV300,15,FALSE)=0,0,HLOOKUP("KP",A1:CV300,15,FALSE)/HLOOKUP("Mins",A1:CV300,15,FALSE)* 90)</f>
        <v>1.7647058823529411</v>
      </c>
      <c r="BK15" s="19329">
        <f>IF(HLOOKUP("Mins",A1:CV300,15,FALSE)=0,0,HLOOKUP("BC",A1:CV300,15,FALSE)/HLOOKUP("Mins",A1:CV300,15,FALSE)* 90)</f>
        <v>0.16042780748663102</v>
      </c>
      <c r="BL15" s="19330">
        <f>IF(HLOOKUP("Mins",A1:CV300,15,FALSE)=0,0,HLOOKUP("BC Miss",A1:CV300,15,FALSE)/HLOOKUP("Mins",A1:CV300,15,FALSE)* 90)</f>
        <v>0.16042780748663102</v>
      </c>
      <c r="BM15" s="19331">
        <f>IF(HLOOKUP("Mins",A1:CV300,15,FALSE)=0,0,HLOOKUP("Gs - BC",A1:CV300,15,FALSE)/HLOOKUP("Mins",A1:CV300,15,FALSE)* 90)</f>
        <v>0</v>
      </c>
      <c r="BN15" s="19332">
        <f>IF(HLOOKUP("Mins",A1:CV300,15,FALSE)=0,0,HLOOKUP("GIB",A1:CV300,15,FALSE)/HLOOKUP("Mins",A1:CV300,15,FALSE)* 90)</f>
        <v>0</v>
      </c>
      <c r="BO15" s="19333">
        <f>IF(HLOOKUP("Mins",A1:CV300,15,FALSE)=0,0,HLOOKUP("Gs - Open",A1:CV300,15,FALSE)/HLOOKUP("Mins",A1:CV300,15,FALSE)* 90)</f>
        <v>0</v>
      </c>
      <c r="BP15" s="19334">
        <f>IF(HLOOKUP("Mins",A1:CV300,15,FALSE)=0,0,HLOOKUP("ICT Index",A1:CV300,15,FALSE)/HLOOKUP("Mins",A1:CV300,15,FALSE)* 90)</f>
        <v>8.0053475935828882</v>
      </c>
      <c r="BQ15" s="19335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  <v>0.20566844919786093</v>
      </c>
      <c r="BR15" s="19336">
        <f>0.0885*HLOOKUP("KP/90",A1:CV300,15,FALSE)</f>
        <v>0.15617647058823528</v>
      </c>
      <c r="BS15" s="19337">
        <f>5*HLOOKUP("xG/90",A1:CV300,15,FALSE)+3*HLOOKUP("xA/90",A1:CV300,15,FALSE)</f>
        <v>1.4968716577540104</v>
      </c>
      <c r="BT15" s="19338">
        <f>HLOOKUP("xPts/90",A1:CV300,15,FALSE)-(5*0.75*(HLOOKUP("PK Gs",A1:CV300,15,FALSE)+HLOOKUP("PK Miss",A1:CV300,15,FALSE))*90/HLOOKUP("Mins",A1:CV300,15,FALSE))</f>
        <v>1.4968716577540104</v>
      </c>
      <c r="BU15" s="19339">
        <f>IF(HLOOKUP("Mins",A1:CV300,15,FALSE)=0,0,HLOOKUP("fsXG",A1:CV300,15,FALSE)/HLOOKUP("Mins",A1:CV300,15,FALSE)* 90)</f>
        <v>0.13636363636363635</v>
      </c>
      <c r="BV15" s="19340">
        <f>IF(HLOOKUP("Mins",A1:CV300,15,FALSE)=0,0,HLOOKUP("fsXA",A1:CV300,15,FALSE)/HLOOKUP("Mins",A1:CV300,15,FALSE)* 90)</f>
        <v>0.15561497326203208</v>
      </c>
      <c r="BW15" s="19341">
        <f>5*HLOOKUP("fsXG/90",A1:CV300,15,FALSE)+3*HLOOKUP("fsXA/90",A1:CV300,15,FALSE)</f>
        <v>1.1486631016042779</v>
      </c>
      <c r="BX15" s="19342">
        <v>0.13804474472999573</v>
      </c>
      <c r="BY15" s="19343">
        <v>0.392467200756073</v>
      </c>
      <c r="BZ15" s="19344">
        <f>5*HLOOKUP("uXG/90",A1:CV300,15,FALSE)+3*HLOOKUP("uXA/90",A1:CV300,15,FALSE)</f>
        <v>1.8676253259181976</v>
      </c>
    </row>
    <row r="16" spans="1:78" x14ac:dyDescent="0.3">
      <c r="A16" s="19345" t="s">
        <v>343</v>
      </c>
      <c r="B16" s="19346" t="s">
        <v>115</v>
      </c>
      <c r="C16" s="19347">
        <v>5.5999999046325684</v>
      </c>
      <c r="D16" s="19348">
        <v>883</v>
      </c>
      <c r="E16" s="19349">
        <v>16</v>
      </c>
      <c r="F16" s="19350">
        <v>34</v>
      </c>
      <c r="G16" s="19351">
        <v>2</v>
      </c>
      <c r="H16" s="19352">
        <v>0</v>
      </c>
      <c r="I16" s="19353">
        <v>110</v>
      </c>
      <c r="J16" s="19354">
        <f>HLOOKUP("BPS",A1:CV300,16,FALSE)-((-6*HLOOKUP("OG",A1:CV300,16,FALSE))+(-6*HLOOKUP("PK Miss",A1:CV300,16,FALSE))+(9*HLOOKUP("FPL As",A1:CV300,16,FALSE))+(0*HLOOKUP("CS",A1:CV300,16,FALSE))+(18*HLOOKUP("Gs",A1:CV300,16,FALSE)))</f>
        <v>74</v>
      </c>
      <c r="K16" s="19355">
        <v>0</v>
      </c>
      <c r="L16" s="19356">
        <v>4</v>
      </c>
      <c r="M16" s="19357">
        <v>37</v>
      </c>
      <c r="N16" s="19358">
        <v>15</v>
      </c>
      <c r="O16" s="19359">
        <v>8</v>
      </c>
      <c r="P16" s="19360">
        <f>IF(HLOOKUP("Shots",A1:CV300,16,FALSE)=0,0,HLOOKUP("SIB",A1:CV300,16,FALSE)/HLOOKUP("Shots",A1:CV300,16,FALSE))</f>
        <v>0.53333333333333333</v>
      </c>
      <c r="Q16" s="19361">
        <v>0</v>
      </c>
      <c r="R16" s="19362">
        <f>IF(HLOOKUP("Shots",A1:CV300,16,FALSE)=0,0,HLOOKUP("S6YD",A1:CV300,16,FALSE)/HLOOKUP("Shots",A1:CV300,16,FALSE))</f>
        <v>0</v>
      </c>
      <c r="S16" s="19363">
        <v>1</v>
      </c>
      <c r="T16" s="19364">
        <f>IF(HLOOKUP("Shots",A1:CV300,16,FALSE)=0,0,HLOOKUP("Headers",A1:CV300,16,FALSE)/HLOOKUP("Shots",A1:CV300,16,FALSE))</f>
        <v>6.6666666666666666E-2</v>
      </c>
      <c r="U16" s="19365">
        <v>5</v>
      </c>
      <c r="V16" s="19366">
        <f>IF(HLOOKUP("Shots",A1:CV300,16,FALSE)=0,0,HLOOKUP("SOT",A1:CV300,16,FALSE)/HLOOKUP("Shots",A1:CV300,16,FALSE))</f>
        <v>0.33333333333333331</v>
      </c>
      <c r="W16" s="19367">
        <f>IF(HLOOKUP("Shots",A1:CV300,16,FALSE)=0,0,HLOOKUP("Gs",A1:CV300,16,FALSE)/HLOOKUP("Shots",A1:CV300,16,FALSE))</f>
        <v>0.13333333333333333</v>
      </c>
      <c r="X16" s="19368">
        <v>0</v>
      </c>
      <c r="Y16" s="19369">
        <v>0</v>
      </c>
      <c r="Z16" s="19370">
        <v>15</v>
      </c>
      <c r="AA16" s="19371">
        <f>IF(HLOOKUP("KP",A1:CV300,16,FALSE)=0,0,HLOOKUP("As",A1:CV300,16,FALSE)/HLOOKUP("KP",A1:CV300,16,FALSE))</f>
        <v>0</v>
      </c>
      <c r="AB16" s="19372">
        <v>57.5</v>
      </c>
      <c r="AC16" s="19373">
        <v>33</v>
      </c>
      <c r="AD16" s="19374">
        <v>1</v>
      </c>
      <c r="AE16" s="19375">
        <v>3</v>
      </c>
      <c r="AF16" s="19376">
        <v>1</v>
      </c>
      <c r="AG16" s="19377">
        <f>IF(HLOOKUP("BC",A1:CV300,16,FALSE)=0,0,HLOOKUP("Gs - BC",A1:CV300,16,FALSE)/HLOOKUP("BC",A1:CV300,16,FALSE))</f>
        <v>0.66666666666666663</v>
      </c>
      <c r="AH16" s="19378">
        <f>HLOOKUP("BC",A1:CV300,16,FALSE) - HLOOKUP("BC Miss",A1:CV300,16,FALSE)</f>
        <v>2</v>
      </c>
      <c r="AI16" s="19379">
        <f>IF(HLOOKUP("Gs",A1:CV300,16,FALSE)=0,0,HLOOKUP("Gs - BC",A1:CV300,16,FALSE)/HLOOKUP("Gs",A1:CV300,16,FALSE))</f>
        <v>1</v>
      </c>
      <c r="AJ16" s="19380">
        <v>1</v>
      </c>
      <c r="AK16" s="19381">
        <v>0</v>
      </c>
      <c r="AL16" s="19382">
        <f>HLOOKUP("BC",A1:CV300,16,FALSE) - (HLOOKUP("PK Gs",A1:CV300,16,FALSE) + HLOOKUP("PK Miss",A1:CV300,16,FALSE))</f>
        <v>2</v>
      </c>
      <c r="AM16" s="19383">
        <f>HLOOKUP("BC Miss",A1:CV300,16,FALSE) - HLOOKUP("PK Miss",A1:CV300,16,FALSE)</f>
        <v>1</v>
      </c>
      <c r="AN16" s="19384">
        <f>IF(HLOOKUP("BC - Open",A1:CV300,16,FALSE)=0,0,HLOOKUP("BC - Open Miss",A1:CV300,16,FALSE)/HLOOKUP("BC - Open",A1:CV300,16,FALSE))</f>
        <v>0.5</v>
      </c>
      <c r="AO16" s="19385">
        <v>2</v>
      </c>
      <c r="AP16" s="19386">
        <f>IF(HLOOKUP("Gs",A1:CV300,16,FALSE)=0,0,HLOOKUP("GIB",A1:CV300,16,FALSE)/HLOOKUP("Gs",A1:CV300,16,FALSE))</f>
        <v>1</v>
      </c>
      <c r="AQ16" s="19387">
        <v>1</v>
      </c>
      <c r="AR16" s="19388">
        <f>IF(HLOOKUP("Gs",A1:CV300,16,FALSE)=0,0,HLOOKUP("Gs - Open",A1:CV300,16,FALSE)/HLOOKUP("Gs",A1:CV300,16,FALSE))</f>
        <v>0.5</v>
      </c>
      <c r="AS16" s="19389">
        <v>2.23</v>
      </c>
      <c r="AT16" s="19390">
        <v>1.1299999999999999</v>
      </c>
      <c r="AU16" s="19391">
        <f>IF(HLOOKUP("Mins",A1:CV300,16,FALSE)=0,0,HLOOKUP("Pts",A1:CV300,16,FALSE)/HLOOKUP("Mins",A1:CV300,16,FALSE)* 90)</f>
        <v>3.4654586636466593</v>
      </c>
      <c r="AV16" s="19392">
        <f>IF(HLOOKUP("Apps",A1:CV300,16,FALSE)=0,0,HLOOKUP("Pts",A1:CV300,16,FALSE)/HLOOKUP("Apps",A1:CV300,16,FALSE)* 1)</f>
        <v>2.125</v>
      </c>
      <c r="AW16" s="19393">
        <f>IF(HLOOKUP("Mins",A1:CV300,16,FALSE)=0,0,HLOOKUP("Gs",A1:CV300,16,FALSE)/HLOOKUP("Mins",A1:CV300,16,FALSE)* 90)</f>
        <v>0.20385050962627407</v>
      </c>
      <c r="AX16" s="19394">
        <f>IF(HLOOKUP("Mins",A1:CV300,16,FALSE)=0,0,HLOOKUP("Bonus",A1:CV300,16,FALSE)/HLOOKUP("Mins",A1:CV300,16,FALSE)* 90)</f>
        <v>0</v>
      </c>
      <c r="AY16" s="19395">
        <f>IF(HLOOKUP("Mins",A1:CV300,16,FALSE)=0,0,HLOOKUP("BPS",A1:CV300,16,FALSE)/HLOOKUP("Mins",A1:CV300,16,FALSE)* 90)</f>
        <v>11.211778029445075</v>
      </c>
      <c r="AZ16" s="19396">
        <f>IF(HLOOKUP("Mins",A1:CV300,16,FALSE)=0,0,HLOOKUP("Base BPS",A1:CV300,16,FALSE)/HLOOKUP("Mins",A1:CV300,16,FALSE)* 90)</f>
        <v>7.5424688561721407</v>
      </c>
      <c r="BA16" s="19397">
        <f>IF(HLOOKUP("Mins",A1:CV300,16,FALSE)=0,0,HLOOKUP("PenTchs",A1:CV300,16,FALSE)/HLOOKUP("Mins",A1:CV300,16,FALSE)* 90)</f>
        <v>3.7712344280860703</v>
      </c>
      <c r="BB16" s="19398">
        <f>IF(HLOOKUP("Mins",A1:CV300,16,FALSE)=0,0,HLOOKUP("Shots",A1:CV300,16,FALSE)/HLOOKUP("Mins",A1:CV300,16,FALSE)* 90)</f>
        <v>1.5288788221970553</v>
      </c>
      <c r="BC16" s="19399">
        <f>IF(HLOOKUP("Mins",A1:CV300,16,FALSE)=0,0,HLOOKUP("SIB",A1:CV300,16,FALSE)/HLOOKUP("Mins",A1:CV300,16,FALSE)* 90)</f>
        <v>0.81540203850509629</v>
      </c>
      <c r="BD16" s="19400">
        <f>IF(HLOOKUP("Mins",A1:CV300,16,FALSE)=0,0,HLOOKUP("S6YD",A1:CV300,16,FALSE)/HLOOKUP("Mins",A1:CV300,16,FALSE)* 90)</f>
        <v>0</v>
      </c>
      <c r="BE16" s="19401">
        <f>IF(HLOOKUP("Mins",A1:CV300,16,FALSE)=0,0,HLOOKUP("Headers",A1:CV300,16,FALSE)/HLOOKUP("Mins",A1:CV300,16,FALSE)* 90)</f>
        <v>0.10192525481313704</v>
      </c>
      <c r="BF16" s="19402">
        <f>IF(HLOOKUP("Mins",A1:CV300,16,FALSE)=0,0,HLOOKUP("SOT",A1:CV300,16,FALSE)/HLOOKUP("Mins",A1:CV300,16,FALSE)* 90)</f>
        <v>0.50962627406568517</v>
      </c>
      <c r="BG16" s="19403">
        <f>IF(HLOOKUP("Mins",A1:CV300,16,FALSE)=0,0,HLOOKUP("As",A1:CV300,16,FALSE)/HLOOKUP("Mins",A1:CV300,16,FALSE)* 90)</f>
        <v>0</v>
      </c>
      <c r="BH16" s="19404">
        <f>IF(HLOOKUP("Mins",A1:CV300,16,FALSE)=0,0,HLOOKUP("FPL As",A1:CV300,16,FALSE)/HLOOKUP("Mins",A1:CV300,16,FALSE)* 90)</f>
        <v>0</v>
      </c>
      <c r="BI16" s="19405">
        <f>IF(HLOOKUP("Mins",A1:CV300,16,FALSE)=0,0,HLOOKUP("BC Created",A1:CV300,16,FALSE)/HLOOKUP("Mins",A1:CV300,16,FALSE)* 90)</f>
        <v>0.10192525481313704</v>
      </c>
      <c r="BJ16" s="19406">
        <f>IF(HLOOKUP("Mins",A1:CV300,16,FALSE)=0,0,HLOOKUP("KP",A1:CV300,16,FALSE)/HLOOKUP("Mins",A1:CV300,16,FALSE)* 90)</f>
        <v>1.5288788221970553</v>
      </c>
      <c r="BK16" s="19407">
        <f>IF(HLOOKUP("Mins",A1:CV300,16,FALSE)=0,0,HLOOKUP("BC",A1:CV300,16,FALSE)/HLOOKUP("Mins",A1:CV300,16,FALSE)* 90)</f>
        <v>0.30577576443941112</v>
      </c>
      <c r="BL16" s="19408">
        <f>IF(HLOOKUP("Mins",A1:CV300,16,FALSE)=0,0,HLOOKUP("BC Miss",A1:CV300,16,FALSE)/HLOOKUP("Mins",A1:CV300,16,FALSE)* 90)</f>
        <v>0.10192525481313704</v>
      </c>
      <c r="BM16" s="19409">
        <f>IF(HLOOKUP("Mins",A1:CV300,16,FALSE)=0,0,HLOOKUP("Gs - BC",A1:CV300,16,FALSE)/HLOOKUP("Mins",A1:CV300,16,FALSE)* 90)</f>
        <v>0.20385050962627407</v>
      </c>
      <c r="BN16" s="19410">
        <f>IF(HLOOKUP("Mins",A1:CV300,16,FALSE)=0,0,HLOOKUP("GIB",A1:CV300,16,FALSE)/HLOOKUP("Mins",A1:CV300,16,FALSE)* 90)</f>
        <v>0.20385050962627407</v>
      </c>
      <c r="BO16" s="19411">
        <f>IF(HLOOKUP("Mins",A1:CV300,16,FALSE)=0,0,HLOOKUP("Gs - Open",A1:CV300,16,FALSE)/HLOOKUP("Mins",A1:CV300,16,FALSE)* 90)</f>
        <v>0.10192525481313704</v>
      </c>
      <c r="BP16" s="19412">
        <f>IF(HLOOKUP("Mins",A1:CV300,16,FALSE)=0,0,HLOOKUP("ICT Index",A1:CV300,16,FALSE)/HLOOKUP("Mins",A1:CV300,16,FALSE)* 90)</f>
        <v>5.8607021517553797</v>
      </c>
      <c r="BQ16" s="19413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  <v>0.20344280860702152</v>
      </c>
      <c r="BR16" s="19414">
        <f>0.0885*HLOOKUP("KP/90",A1:CV300,16,FALSE)</f>
        <v>0.13530577576443939</v>
      </c>
      <c r="BS16" s="19415">
        <f>5*HLOOKUP("xG/90",A1:CV300,16,FALSE)+3*HLOOKUP("xA/90",A1:CV300,16,FALSE)</f>
        <v>1.4231313703284258</v>
      </c>
      <c r="BT16" s="19416">
        <f>HLOOKUP("xPts/90",A1:CV300,16,FALSE)-(5*0.75*(HLOOKUP("PK Gs",A1:CV300,16,FALSE)+HLOOKUP("PK Miss",A1:CV300,16,FALSE))*90/HLOOKUP("Mins",A1:CV300,16,FALSE))</f>
        <v>1.0409116647791619</v>
      </c>
      <c r="BU16" s="19417">
        <f>IF(HLOOKUP("Mins",A1:CV300,16,FALSE)=0,0,HLOOKUP("fsXG",A1:CV300,16,FALSE)/HLOOKUP("Mins",A1:CV300,16,FALSE)* 90)</f>
        <v>0.22729331823329557</v>
      </c>
      <c r="BV16" s="19418">
        <f>IF(HLOOKUP("Mins",A1:CV300,16,FALSE)=0,0,HLOOKUP("fsXA",A1:CV300,16,FALSE)/HLOOKUP("Mins",A1:CV300,16,FALSE)* 90)</f>
        <v>0.11517553793884484</v>
      </c>
      <c r="BW16" s="19419">
        <f>5*HLOOKUP("fsXG/90",A1:CV300,16,FALSE)+3*HLOOKUP("fsXA/90",A1:CV300,16,FALSE)</f>
        <v>1.4819932049830125</v>
      </c>
      <c r="BX16" s="19420">
        <v>0.2284729927778244</v>
      </c>
      <c r="BY16" s="19421">
        <v>0.12718430161476135</v>
      </c>
      <c r="BZ16" s="19422">
        <f>5*HLOOKUP("uXG/90",A1:CV300,16,FALSE)+3*HLOOKUP("uXA/90",A1:CV300,16,FALSE)</f>
        <v>1.5239178687334061</v>
      </c>
    </row>
    <row r="17" spans="1:78" x14ac:dyDescent="0.3">
      <c r="A17" s="19423" t="s">
        <v>344</v>
      </c>
      <c r="B17" s="19424" t="s">
        <v>118</v>
      </c>
      <c r="C17" s="19425">
        <v>6.1999998092651367</v>
      </c>
      <c r="D17" s="19426">
        <v>702</v>
      </c>
      <c r="E17" s="19427">
        <v>15</v>
      </c>
      <c r="F17" s="19428">
        <v>30</v>
      </c>
      <c r="G17" s="19429">
        <v>0</v>
      </c>
      <c r="H17" s="19430">
        <v>0</v>
      </c>
      <c r="I17" s="19431">
        <v>68</v>
      </c>
      <c r="J17" s="19432">
        <f>HLOOKUP("BPS",A1:CV300,17,FALSE)-((-6*HLOOKUP("OG",A1:CV300,17,FALSE))+(-6*HLOOKUP("PK Miss",A1:CV300,17,FALSE))+(9*HLOOKUP("FPL As",A1:CV300,17,FALSE))+(0*HLOOKUP("CS",A1:CV300,17,FALSE))+(18*HLOOKUP("Gs",A1:CV300,17,FALSE)))</f>
        <v>50</v>
      </c>
      <c r="K17" s="19433">
        <v>0</v>
      </c>
      <c r="L17" s="19434">
        <v>2</v>
      </c>
      <c r="M17" s="19435">
        <v>48</v>
      </c>
      <c r="N17" s="19436">
        <v>23</v>
      </c>
      <c r="O17" s="19437">
        <v>18</v>
      </c>
      <c r="P17" s="19438">
        <f>IF(HLOOKUP("Shots",A1:CV300,17,FALSE)=0,0,HLOOKUP("SIB",A1:CV300,17,FALSE)/HLOOKUP("Shots",A1:CV300,17,FALSE))</f>
        <v>0.78260869565217395</v>
      </c>
      <c r="Q17" s="19439">
        <v>1</v>
      </c>
      <c r="R17" s="19440">
        <f>IF(HLOOKUP("Shots",A1:CV300,17,FALSE)=0,0,HLOOKUP("S6YD",A1:CV300,17,FALSE)/HLOOKUP("Shots",A1:CV300,17,FALSE))</f>
        <v>4.3478260869565216E-2</v>
      </c>
      <c r="S17" s="19441">
        <v>0</v>
      </c>
      <c r="T17" s="19442">
        <f>IF(HLOOKUP("Shots",A1:CV300,17,FALSE)=0,0,HLOOKUP("Headers",A1:CV300,17,FALSE)/HLOOKUP("Shots",A1:CV300,17,FALSE))</f>
        <v>0</v>
      </c>
      <c r="U17" s="19443">
        <v>6</v>
      </c>
      <c r="V17" s="19444">
        <f>IF(HLOOKUP("Shots",A1:CV300,17,FALSE)=0,0,HLOOKUP("SOT",A1:CV300,17,FALSE)/HLOOKUP("Shots",A1:CV300,17,FALSE))</f>
        <v>0.2608695652173913</v>
      </c>
      <c r="W17" s="19445">
        <f>IF(HLOOKUP("Shots",A1:CV300,17,FALSE)=0,0,HLOOKUP("Gs",A1:CV300,17,FALSE)/HLOOKUP("Shots",A1:CV300,17,FALSE))</f>
        <v>0</v>
      </c>
      <c r="X17" s="19446">
        <v>1</v>
      </c>
      <c r="Y17" s="19447">
        <v>2</v>
      </c>
      <c r="Z17" s="19448">
        <v>8</v>
      </c>
      <c r="AA17" s="19449">
        <f>IF(HLOOKUP("KP",A1:CV300,17,FALSE)=0,0,HLOOKUP("As",A1:CV300,17,FALSE)/HLOOKUP("KP",A1:CV300,17,FALSE))</f>
        <v>0.125</v>
      </c>
      <c r="AB17" s="19450">
        <v>55.6</v>
      </c>
      <c r="AC17" s="19451">
        <v>20</v>
      </c>
      <c r="AD17" s="19452">
        <v>1</v>
      </c>
      <c r="AE17" s="19453">
        <v>3</v>
      </c>
      <c r="AF17" s="19454">
        <v>3</v>
      </c>
      <c r="AG17" s="19455">
        <f>IF(HLOOKUP("BC",A1:CV300,17,FALSE)=0,0,HLOOKUP("Gs - BC",A1:CV300,17,FALSE)/HLOOKUP("BC",A1:CV300,17,FALSE))</f>
        <v>0</v>
      </c>
      <c r="AH17" s="19456">
        <f>HLOOKUP("BC",A1:CV300,17,FALSE) - HLOOKUP("BC Miss",A1:CV300,17,FALSE)</f>
        <v>0</v>
      </c>
      <c r="AI17" s="19457">
        <f>IF(HLOOKUP("Gs",A1:CV300,17,FALSE)=0,0,HLOOKUP("Gs - BC",A1:CV300,17,FALSE)/HLOOKUP("Gs",A1:CV300,17,FALSE))</f>
        <v>0</v>
      </c>
      <c r="AJ17" s="19458">
        <v>0</v>
      </c>
      <c r="AK17" s="19459">
        <v>0</v>
      </c>
      <c r="AL17" s="19460">
        <f>HLOOKUP("BC",A1:CV300,17,FALSE) - (HLOOKUP("PK Gs",A1:CV300,17,FALSE) + HLOOKUP("PK Miss",A1:CV300,17,FALSE))</f>
        <v>3</v>
      </c>
      <c r="AM17" s="19461">
        <f>HLOOKUP("BC Miss",A1:CV300,17,FALSE) - HLOOKUP("PK Miss",A1:CV300,17,FALSE)</f>
        <v>3</v>
      </c>
      <c r="AN17" s="19462">
        <f>IF(HLOOKUP("BC - Open",A1:CV300,17,FALSE)=0,0,HLOOKUP("BC - Open Miss",A1:CV300,17,FALSE)/HLOOKUP("BC - Open",A1:CV300,17,FALSE))</f>
        <v>1</v>
      </c>
      <c r="AO17" s="19463">
        <v>0</v>
      </c>
      <c r="AP17" s="19464">
        <f>IF(HLOOKUP("Gs",A1:CV300,17,FALSE)=0,0,HLOOKUP("GIB",A1:CV300,17,FALSE)/HLOOKUP("Gs",A1:CV300,17,FALSE))</f>
        <v>0</v>
      </c>
      <c r="AQ17" s="19465">
        <v>0</v>
      </c>
      <c r="AR17" s="19466">
        <f>IF(HLOOKUP("Gs",A1:CV300,17,FALSE)=0,0,HLOOKUP("Gs - Open",A1:CV300,17,FALSE)/HLOOKUP("Gs",A1:CV300,17,FALSE))</f>
        <v>0</v>
      </c>
      <c r="AS17" s="19467">
        <v>1.82</v>
      </c>
      <c r="AT17" s="19468">
        <v>1.07</v>
      </c>
      <c r="AU17" s="19469">
        <f>IF(HLOOKUP("Mins",A1:CV300,17,FALSE)=0,0,HLOOKUP("Pts",A1:CV300,17,FALSE)/HLOOKUP("Mins",A1:CV300,17,FALSE)* 90)</f>
        <v>3.8461538461538463</v>
      </c>
      <c r="AV17" s="19470">
        <f>IF(HLOOKUP("Apps",A1:CV300,17,FALSE)=0,0,HLOOKUP("Pts",A1:CV300,17,FALSE)/HLOOKUP("Apps",A1:CV300,17,FALSE)* 1)</f>
        <v>2</v>
      </c>
      <c r="AW17" s="19471">
        <f>IF(HLOOKUP("Mins",A1:CV300,17,FALSE)=0,0,HLOOKUP("Gs",A1:CV300,17,FALSE)/HLOOKUP("Mins",A1:CV300,17,FALSE)* 90)</f>
        <v>0</v>
      </c>
      <c r="AX17" s="19472">
        <f>IF(HLOOKUP("Mins",A1:CV300,17,FALSE)=0,0,HLOOKUP("Bonus",A1:CV300,17,FALSE)/HLOOKUP("Mins",A1:CV300,17,FALSE)* 90)</f>
        <v>0</v>
      </c>
      <c r="AY17" s="19473">
        <f>IF(HLOOKUP("Mins",A1:CV300,17,FALSE)=0,0,HLOOKUP("BPS",A1:CV300,17,FALSE)/HLOOKUP("Mins",A1:CV300,17,FALSE)* 90)</f>
        <v>8.7179487179487172</v>
      </c>
      <c r="AZ17" s="19474">
        <f>IF(HLOOKUP("Mins",A1:CV300,17,FALSE)=0,0,HLOOKUP("Base BPS",A1:CV300,17,FALSE)/HLOOKUP("Mins",A1:CV300,17,FALSE)* 90)</f>
        <v>6.4102564102564106</v>
      </c>
      <c r="BA17" s="19475">
        <f>IF(HLOOKUP("Mins",A1:CV300,17,FALSE)=0,0,HLOOKUP("PenTchs",A1:CV300,17,FALSE)/HLOOKUP("Mins",A1:CV300,17,FALSE)* 90)</f>
        <v>6.1538461538461542</v>
      </c>
      <c r="BB17" s="19476">
        <f>IF(HLOOKUP("Mins",A1:CV300,17,FALSE)=0,0,HLOOKUP("Shots",A1:CV300,17,FALSE)/HLOOKUP("Mins",A1:CV300,17,FALSE)* 90)</f>
        <v>2.9487179487179485</v>
      </c>
      <c r="BC17" s="19477">
        <f>IF(HLOOKUP("Mins",A1:CV300,17,FALSE)=0,0,HLOOKUP("SIB",A1:CV300,17,FALSE)/HLOOKUP("Mins",A1:CV300,17,FALSE)* 90)</f>
        <v>2.3076923076923075</v>
      </c>
      <c r="BD17" s="19478">
        <f>IF(HLOOKUP("Mins",A1:CV300,17,FALSE)=0,0,HLOOKUP("S6YD",A1:CV300,17,FALSE)/HLOOKUP("Mins",A1:CV300,17,FALSE)* 90)</f>
        <v>0.12820512820512822</v>
      </c>
      <c r="BE17" s="19479">
        <f>IF(HLOOKUP("Mins",A1:CV300,17,FALSE)=0,0,HLOOKUP("Headers",A1:CV300,17,FALSE)/HLOOKUP("Mins",A1:CV300,17,FALSE)* 90)</f>
        <v>0</v>
      </c>
      <c r="BF17" s="19480">
        <f>IF(HLOOKUP("Mins",A1:CV300,17,FALSE)=0,0,HLOOKUP("SOT",A1:CV300,17,FALSE)/HLOOKUP("Mins",A1:CV300,17,FALSE)* 90)</f>
        <v>0.76923076923076927</v>
      </c>
      <c r="BG17" s="19481">
        <f>IF(HLOOKUP("Mins",A1:CV300,17,FALSE)=0,0,HLOOKUP("As",A1:CV300,17,FALSE)/HLOOKUP("Mins",A1:CV300,17,FALSE)* 90)</f>
        <v>0.12820512820512822</v>
      </c>
      <c r="BH17" s="19482">
        <f>IF(HLOOKUP("Mins",A1:CV300,17,FALSE)=0,0,HLOOKUP("FPL As",A1:CV300,17,FALSE)/HLOOKUP("Mins",A1:CV300,17,FALSE)* 90)</f>
        <v>0.25641025641025644</v>
      </c>
      <c r="BI17" s="19483">
        <f>IF(HLOOKUP("Mins",A1:CV300,17,FALSE)=0,0,HLOOKUP("BC Created",A1:CV300,17,FALSE)/HLOOKUP("Mins",A1:CV300,17,FALSE)* 90)</f>
        <v>0.12820512820512822</v>
      </c>
      <c r="BJ17" s="19484">
        <f>IF(HLOOKUP("Mins",A1:CV300,17,FALSE)=0,0,HLOOKUP("KP",A1:CV300,17,FALSE)/HLOOKUP("Mins",A1:CV300,17,FALSE)* 90)</f>
        <v>1.0256410256410258</v>
      </c>
      <c r="BK17" s="19485">
        <f>IF(HLOOKUP("Mins",A1:CV300,17,FALSE)=0,0,HLOOKUP("BC",A1:CV300,17,FALSE)/HLOOKUP("Mins",A1:CV300,17,FALSE)* 90)</f>
        <v>0.38461538461538464</v>
      </c>
      <c r="BL17" s="19486">
        <f>IF(HLOOKUP("Mins",A1:CV300,17,FALSE)=0,0,HLOOKUP("BC Miss",A1:CV300,17,FALSE)/HLOOKUP("Mins",A1:CV300,17,FALSE)* 90)</f>
        <v>0.38461538461538464</v>
      </c>
      <c r="BM17" s="19487">
        <f>IF(HLOOKUP("Mins",A1:CV300,17,FALSE)=0,0,HLOOKUP("Gs - BC",A1:CV300,17,FALSE)/HLOOKUP("Mins",A1:CV300,17,FALSE)* 90)</f>
        <v>0</v>
      </c>
      <c r="BN17" s="19488">
        <f>IF(HLOOKUP("Mins",A1:CV300,17,FALSE)=0,0,HLOOKUP("GIB",A1:CV300,17,FALSE)/HLOOKUP("Mins",A1:CV300,17,FALSE)* 90)</f>
        <v>0</v>
      </c>
      <c r="BO17" s="19489">
        <f>IF(HLOOKUP("Mins",A1:CV300,17,FALSE)=0,0,HLOOKUP("Gs - Open",A1:CV300,17,FALSE)/HLOOKUP("Mins",A1:CV300,17,FALSE)* 90)</f>
        <v>0</v>
      </c>
      <c r="BP17" s="19490">
        <f>IF(HLOOKUP("Mins",A1:CV300,17,FALSE)=0,0,HLOOKUP("ICT Index",A1:CV300,17,FALSE)/HLOOKUP("Mins",A1:CV300,17,FALSE)* 90)</f>
        <v>7.1282051282051286</v>
      </c>
      <c r="BQ17" s="19491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  <v>0.35076923076923072</v>
      </c>
      <c r="BR17" s="19492">
        <f>0.0885*HLOOKUP("KP/90",A1:CV300,17,FALSE)</f>
        <v>9.0769230769230783E-2</v>
      </c>
      <c r="BS17" s="19493">
        <f>5*HLOOKUP("xG/90",A1:CV300,17,FALSE)+3*HLOOKUP("xA/90",A1:CV300,17,FALSE)</f>
        <v>2.026153846153846</v>
      </c>
      <c r="BT17" s="19494">
        <f>HLOOKUP("xPts/90",A1:CV300,17,FALSE)-(5*0.75*(HLOOKUP("PK Gs",A1:CV300,17,FALSE)+HLOOKUP("PK Miss",A1:CV300,17,FALSE))*90/HLOOKUP("Mins",A1:CV300,17,FALSE))</f>
        <v>2.026153846153846</v>
      </c>
      <c r="BU17" s="19495">
        <f>IF(HLOOKUP("Mins",A1:CV300,17,FALSE)=0,0,HLOOKUP("fsXG",A1:CV300,17,FALSE)/HLOOKUP("Mins",A1:CV300,17,FALSE)* 90)</f>
        <v>0.23333333333333334</v>
      </c>
      <c r="BV17" s="19496">
        <f>IF(HLOOKUP("Mins",A1:CV300,17,FALSE)=0,0,HLOOKUP("fsXA",A1:CV300,17,FALSE)/HLOOKUP("Mins",A1:CV300,17,FALSE)* 90)</f>
        <v>0.13717948717948719</v>
      </c>
      <c r="BW17" s="19497">
        <f>5*HLOOKUP("fsXG/90",A1:CV300,17,FALSE)+3*HLOOKUP("fsXA/90",A1:CV300,17,FALSE)</f>
        <v>1.5782051282051284</v>
      </c>
      <c r="BX17" s="19498">
        <v>0.2606290876865387</v>
      </c>
      <c r="BY17" s="19499">
        <v>0.1096390038728714</v>
      </c>
      <c r="BZ17" s="19500">
        <f>5*HLOOKUP("uXG/90",A1:CV300,17,FALSE)+3*HLOOKUP("uXA/90",A1:CV300,17,FALSE)</f>
        <v>1.6320624500513077</v>
      </c>
    </row>
    <row r="18" spans="1:78" x14ac:dyDescent="0.3">
      <c r="A18" s="19501" t="s">
        <v>345</v>
      </c>
      <c r="B18" s="19502" t="s">
        <v>91</v>
      </c>
      <c r="C18" s="19503">
        <v>6.1999998092651367</v>
      </c>
      <c r="D18" s="19504">
        <v>355</v>
      </c>
      <c r="E18" s="19505">
        <v>10</v>
      </c>
      <c r="F18" s="19506">
        <v>18</v>
      </c>
      <c r="G18" s="19507">
        <v>1</v>
      </c>
      <c r="H18" s="19508">
        <v>1</v>
      </c>
      <c r="I18" s="19509">
        <v>76</v>
      </c>
      <c r="J18" s="19510">
        <f>HLOOKUP("BPS",A1:CV300,18,FALSE)-((-6*HLOOKUP("OG",A1:CV300,18,FALSE))+(-6*HLOOKUP("PK Miss",A1:CV300,18,FALSE))+(9*HLOOKUP("FPL As",A1:CV300,18,FALSE))+(0*HLOOKUP("CS",A1:CV300,18,FALSE))+(18*HLOOKUP("Gs",A1:CV300,18,FALSE)))</f>
        <v>58</v>
      </c>
      <c r="K18" s="19511">
        <v>0</v>
      </c>
      <c r="L18" s="19512">
        <v>0</v>
      </c>
      <c r="M18" s="19513">
        <v>4</v>
      </c>
      <c r="N18" s="19514">
        <v>8</v>
      </c>
      <c r="O18" s="19515">
        <v>2</v>
      </c>
      <c r="P18" s="19516">
        <f>IF(HLOOKUP("Shots",A1:CV300,18,FALSE)=0,0,HLOOKUP("SIB",A1:CV300,18,FALSE)/HLOOKUP("Shots",A1:CV300,18,FALSE))</f>
        <v>0.25</v>
      </c>
      <c r="Q18" s="19517">
        <v>1</v>
      </c>
      <c r="R18" s="19518">
        <f>IF(HLOOKUP("Shots",A1:CV300,18,FALSE)=0,0,HLOOKUP("S6YD",A1:CV300,18,FALSE)/HLOOKUP("Shots",A1:CV300,18,FALSE))</f>
        <v>0.125</v>
      </c>
      <c r="S18" s="19519">
        <v>0</v>
      </c>
      <c r="T18" s="19520">
        <f>IF(HLOOKUP("Shots",A1:CV300,18,FALSE)=0,0,HLOOKUP("Headers",A1:CV300,18,FALSE)/HLOOKUP("Shots",A1:CV300,18,FALSE))</f>
        <v>0</v>
      </c>
      <c r="U18" s="19521">
        <v>2</v>
      </c>
      <c r="V18" s="19522">
        <f>IF(HLOOKUP("Shots",A1:CV300,18,FALSE)=0,0,HLOOKUP("SOT",A1:CV300,18,FALSE)/HLOOKUP("Shots",A1:CV300,18,FALSE))</f>
        <v>0.25</v>
      </c>
      <c r="W18" s="19523">
        <f>IF(HLOOKUP("Shots",A1:CV300,18,FALSE)=0,0,HLOOKUP("Gs",A1:CV300,18,FALSE)/HLOOKUP("Shots",A1:CV300,18,FALSE))</f>
        <v>0.125</v>
      </c>
      <c r="X18" s="19524">
        <v>0</v>
      </c>
      <c r="Y18" s="19525">
        <v>0</v>
      </c>
      <c r="Z18" s="19526">
        <v>6</v>
      </c>
      <c r="AA18" s="19527">
        <f>IF(HLOOKUP("KP",A1:CV300,18,FALSE)=0,0,HLOOKUP("As",A1:CV300,18,FALSE)/HLOOKUP("KP",A1:CV300,18,FALSE))</f>
        <v>0</v>
      </c>
      <c r="AB18" s="19528">
        <v>23.4</v>
      </c>
      <c r="AC18" s="19529">
        <v>25</v>
      </c>
      <c r="AD18" s="19530">
        <v>0</v>
      </c>
      <c r="AE18" s="19531">
        <v>1</v>
      </c>
      <c r="AF18" s="19532">
        <v>1</v>
      </c>
      <c r="AG18" s="19533">
        <f>IF(HLOOKUP("BC",A1:CV300,18,FALSE)=0,0,HLOOKUP("Gs - BC",A1:CV300,18,FALSE)/HLOOKUP("BC",A1:CV300,18,FALSE))</f>
        <v>0</v>
      </c>
      <c r="AH18" s="19534">
        <f>HLOOKUP("BC",A1:CV300,18,FALSE) - HLOOKUP("BC Miss",A1:CV300,18,FALSE)</f>
        <v>0</v>
      </c>
      <c r="AI18" s="19535">
        <f>IF(HLOOKUP("Gs",A1:CV300,18,FALSE)=0,0,HLOOKUP("Gs - BC",A1:CV300,18,FALSE)/HLOOKUP("Gs",A1:CV300,18,FALSE))</f>
        <v>0</v>
      </c>
      <c r="AJ18" s="19536">
        <v>0</v>
      </c>
      <c r="AK18" s="19537">
        <v>0</v>
      </c>
      <c r="AL18" s="19538">
        <f>HLOOKUP("BC",A1:CV300,18,FALSE) - (HLOOKUP("PK Gs",A1:CV300,18,FALSE) + HLOOKUP("PK Miss",A1:CV300,18,FALSE))</f>
        <v>1</v>
      </c>
      <c r="AM18" s="19539">
        <f>HLOOKUP("BC Miss",A1:CV300,18,FALSE) - HLOOKUP("PK Miss",A1:CV300,18,FALSE)</f>
        <v>1</v>
      </c>
      <c r="AN18" s="19540">
        <f>IF(HLOOKUP("BC - Open",A1:CV300,18,FALSE)=0,0,HLOOKUP("BC - Open Miss",A1:CV300,18,FALSE)/HLOOKUP("BC - Open",A1:CV300,18,FALSE))</f>
        <v>1</v>
      </c>
      <c r="AO18" s="19541">
        <v>0</v>
      </c>
      <c r="AP18" s="19542">
        <f>IF(HLOOKUP("Gs",A1:CV300,18,FALSE)=0,0,HLOOKUP("GIB",A1:CV300,18,FALSE)/HLOOKUP("Gs",A1:CV300,18,FALSE))</f>
        <v>0</v>
      </c>
      <c r="AQ18" s="19543">
        <v>1</v>
      </c>
      <c r="AR18" s="19544">
        <f>IF(HLOOKUP("Gs",A1:CV300,18,FALSE)=0,0,HLOOKUP("Gs - Open",A1:CV300,18,FALSE)/HLOOKUP("Gs",A1:CV300,18,FALSE))</f>
        <v>1</v>
      </c>
      <c r="AS18" s="19545">
        <v>0.44</v>
      </c>
      <c r="AT18" s="19546">
        <v>0.28999999999999998</v>
      </c>
      <c r="AU18" s="19547">
        <f>IF(HLOOKUP("Mins",A1:CV300,18,FALSE)=0,0,HLOOKUP("Pts",A1:CV300,18,FALSE)/HLOOKUP("Mins",A1:CV300,18,FALSE)* 90)</f>
        <v>4.563380281690141</v>
      </c>
      <c r="AV18" s="19548">
        <f>IF(HLOOKUP("Apps",A1:CV300,18,FALSE)=0,0,HLOOKUP("Pts",A1:CV300,18,FALSE)/HLOOKUP("Apps",A1:CV300,18,FALSE)* 1)</f>
        <v>1.8</v>
      </c>
      <c r="AW18" s="19549">
        <f>IF(HLOOKUP("Mins",A1:CV300,18,FALSE)=0,0,HLOOKUP("Gs",A1:CV300,18,FALSE)/HLOOKUP("Mins",A1:CV300,18,FALSE)* 90)</f>
        <v>0.25352112676056338</v>
      </c>
      <c r="AX18" s="19550">
        <f>IF(HLOOKUP("Mins",A1:CV300,18,FALSE)=0,0,HLOOKUP("Bonus",A1:CV300,18,FALSE)/HLOOKUP("Mins",A1:CV300,18,FALSE)* 90)</f>
        <v>0.25352112676056338</v>
      </c>
      <c r="AY18" s="19551">
        <f>IF(HLOOKUP("Mins",A1:CV300,18,FALSE)=0,0,HLOOKUP("BPS",A1:CV300,18,FALSE)/HLOOKUP("Mins",A1:CV300,18,FALSE)* 90)</f>
        <v>19.267605633802816</v>
      </c>
      <c r="AZ18" s="19552">
        <f>IF(HLOOKUP("Mins",A1:CV300,18,FALSE)=0,0,HLOOKUP("Base BPS",A1:CV300,18,FALSE)/HLOOKUP("Mins",A1:CV300,18,FALSE)* 90)</f>
        <v>14.704225352112676</v>
      </c>
      <c r="BA18" s="19553">
        <f>IF(HLOOKUP("Mins",A1:CV300,18,FALSE)=0,0,HLOOKUP("PenTchs",A1:CV300,18,FALSE)/HLOOKUP("Mins",A1:CV300,18,FALSE)* 90)</f>
        <v>1.0140845070422535</v>
      </c>
      <c r="BB18" s="19554">
        <f>IF(HLOOKUP("Mins",A1:CV300,18,FALSE)=0,0,HLOOKUP("Shots",A1:CV300,18,FALSE)/HLOOKUP("Mins",A1:CV300,18,FALSE)* 90)</f>
        <v>2.028169014084507</v>
      </c>
      <c r="BC18" s="19555">
        <f>IF(HLOOKUP("Mins",A1:CV300,18,FALSE)=0,0,HLOOKUP("SIB",A1:CV300,18,FALSE)/HLOOKUP("Mins",A1:CV300,18,FALSE)* 90)</f>
        <v>0.50704225352112675</v>
      </c>
      <c r="BD18" s="19556">
        <f>IF(HLOOKUP("Mins",A1:CV300,18,FALSE)=0,0,HLOOKUP("S6YD",A1:CV300,18,FALSE)/HLOOKUP("Mins",A1:CV300,18,FALSE)* 90)</f>
        <v>0.25352112676056338</v>
      </c>
      <c r="BE18" s="19557">
        <f>IF(HLOOKUP("Mins",A1:CV300,18,FALSE)=0,0,HLOOKUP("Headers",A1:CV300,18,FALSE)/HLOOKUP("Mins",A1:CV300,18,FALSE)* 90)</f>
        <v>0</v>
      </c>
      <c r="BF18" s="19558">
        <f>IF(HLOOKUP("Mins",A1:CV300,18,FALSE)=0,0,HLOOKUP("SOT",A1:CV300,18,FALSE)/HLOOKUP("Mins",A1:CV300,18,FALSE)* 90)</f>
        <v>0.50704225352112675</v>
      </c>
      <c r="BG18" s="19559">
        <f>IF(HLOOKUP("Mins",A1:CV300,18,FALSE)=0,0,HLOOKUP("As",A1:CV300,18,FALSE)/HLOOKUP("Mins",A1:CV300,18,FALSE)* 90)</f>
        <v>0</v>
      </c>
      <c r="BH18" s="19560">
        <f>IF(HLOOKUP("Mins",A1:CV300,18,FALSE)=0,0,HLOOKUP("FPL As",A1:CV300,18,FALSE)/HLOOKUP("Mins",A1:CV300,18,FALSE)* 90)</f>
        <v>0</v>
      </c>
      <c r="BI18" s="19561">
        <f>IF(HLOOKUP("Mins",A1:CV300,18,FALSE)=0,0,HLOOKUP("BC Created",A1:CV300,18,FALSE)/HLOOKUP("Mins",A1:CV300,18,FALSE)* 90)</f>
        <v>0</v>
      </c>
      <c r="BJ18" s="19562">
        <f>IF(HLOOKUP("Mins",A1:CV300,18,FALSE)=0,0,HLOOKUP("KP",A1:CV300,18,FALSE)/HLOOKUP("Mins",A1:CV300,18,FALSE)* 90)</f>
        <v>1.52112676056338</v>
      </c>
      <c r="BK18" s="19563">
        <f>IF(HLOOKUP("Mins",A1:CV300,18,FALSE)=0,0,HLOOKUP("BC",A1:CV300,18,FALSE)/HLOOKUP("Mins",A1:CV300,18,FALSE)* 90)</f>
        <v>0.25352112676056338</v>
      </c>
      <c r="BL18" s="19564">
        <f>IF(HLOOKUP("Mins",A1:CV300,18,FALSE)=0,0,HLOOKUP("BC Miss",A1:CV300,18,FALSE)/HLOOKUP("Mins",A1:CV300,18,FALSE)* 90)</f>
        <v>0.25352112676056338</v>
      </c>
      <c r="BM18" s="19565">
        <f>IF(HLOOKUP("Mins",A1:CV300,18,FALSE)=0,0,HLOOKUP("Gs - BC",A1:CV300,18,FALSE)/HLOOKUP("Mins",A1:CV300,18,FALSE)* 90)</f>
        <v>0</v>
      </c>
      <c r="BN18" s="19566">
        <f>IF(HLOOKUP("Mins",A1:CV300,18,FALSE)=0,0,HLOOKUP("GIB",A1:CV300,18,FALSE)/HLOOKUP("Mins",A1:CV300,18,FALSE)* 90)</f>
        <v>0</v>
      </c>
      <c r="BO18" s="19567">
        <f>IF(HLOOKUP("Mins",A1:CV300,18,FALSE)=0,0,HLOOKUP("Gs - Open",A1:CV300,18,FALSE)/HLOOKUP("Mins",A1:CV300,18,FALSE)* 90)</f>
        <v>0.25352112676056338</v>
      </c>
      <c r="BP18" s="19568">
        <f>IF(HLOOKUP("Mins",A1:CV300,18,FALSE)=0,0,HLOOKUP("ICT Index",A1:CV300,18,FALSE)/HLOOKUP("Mins",A1:CV300,18,FALSE)* 90)</f>
        <v>5.9323943661971823</v>
      </c>
      <c r="BQ18" s="19569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  <v>0.12676056338028169</v>
      </c>
      <c r="BR18" s="19570">
        <f>0.0885*HLOOKUP("KP/90",A1:CV300,18,FALSE)</f>
        <v>0.13461971830985914</v>
      </c>
      <c r="BS18" s="19571">
        <f>5*HLOOKUP("xG/90",A1:CV300,18,FALSE)+3*HLOOKUP("xA/90",A1:CV300,18,FALSE)</f>
        <v>1.0376619718309859</v>
      </c>
      <c r="BT18" s="19572">
        <f>HLOOKUP("xPts/90",A1:CV300,18,FALSE)-(5*0.75*(HLOOKUP("PK Gs",A1:CV300,18,FALSE)+HLOOKUP("PK Miss",A1:CV300,18,FALSE))*90/HLOOKUP("Mins",A1:CV300,18,FALSE))</f>
        <v>1.0376619718309859</v>
      </c>
      <c r="BU18" s="19573">
        <f>IF(HLOOKUP("Mins",A1:CV300,18,FALSE)=0,0,HLOOKUP("fsXG",A1:CV300,18,FALSE)/HLOOKUP("Mins",A1:CV300,18,FALSE)* 90)</f>
        <v>0.11154929577464789</v>
      </c>
      <c r="BV18" s="19574">
        <f>IF(HLOOKUP("Mins",A1:CV300,18,FALSE)=0,0,HLOOKUP("fsXA",A1:CV300,18,FALSE)/HLOOKUP("Mins",A1:CV300,18,FALSE)* 90)</f>
        <v>7.3521126760563368E-2</v>
      </c>
      <c r="BW18" s="19575">
        <f>5*HLOOKUP("fsXG/90",A1:CV300,18,FALSE)+3*HLOOKUP("fsXA/90",A1:CV300,18,FALSE)</f>
        <v>0.77830985915492956</v>
      </c>
      <c r="BX18" s="19576">
        <v>0.17851771414279938</v>
      </c>
      <c r="BY18" s="19577">
        <v>7.7341288328170776E-2</v>
      </c>
      <c r="BZ18" s="19578">
        <f>5*HLOOKUP("uXG/90",A1:CV300,18,FALSE)+3*HLOOKUP("uXA/90",A1:CV300,18,FALSE)</f>
        <v>1.1246124356985092</v>
      </c>
    </row>
    <row r="19" spans="1:78" x14ac:dyDescent="0.3">
      <c r="A19" s="19579" t="s">
        <v>346</v>
      </c>
      <c r="B19" s="19580" t="s">
        <v>107</v>
      </c>
      <c r="C19" s="19581">
        <v>5.4000000953674316</v>
      </c>
      <c r="D19" s="19582">
        <v>859</v>
      </c>
      <c r="E19" s="19583">
        <v>14</v>
      </c>
      <c r="F19" s="19584">
        <v>40</v>
      </c>
      <c r="G19" s="19585">
        <v>2</v>
      </c>
      <c r="H19" s="19586">
        <v>3</v>
      </c>
      <c r="I19" s="19587">
        <v>121</v>
      </c>
      <c r="J19" s="19588">
        <f>HLOOKUP("BPS",A1:CV300,19,FALSE)-((-6*HLOOKUP("OG",A1:CV300,19,FALSE))+(-6*HLOOKUP("PK Miss",A1:CV300,19,FALSE))+(9*HLOOKUP("FPL As",A1:CV300,19,FALSE))+(0*HLOOKUP("CS",A1:CV300,19,FALSE))+(18*HLOOKUP("Gs",A1:CV300,19,FALSE)))</f>
        <v>76</v>
      </c>
      <c r="K19" s="19589">
        <v>0</v>
      </c>
      <c r="L19" s="19590">
        <v>4</v>
      </c>
      <c r="M19" s="19591">
        <v>27</v>
      </c>
      <c r="N19" s="19592">
        <v>14</v>
      </c>
      <c r="O19" s="19593">
        <v>7</v>
      </c>
      <c r="P19" s="19594">
        <f>IF(HLOOKUP("Shots",A1:CV300,19,FALSE)=0,0,HLOOKUP("SIB",A1:CV300,19,FALSE)/HLOOKUP("Shots",A1:CV300,19,FALSE))</f>
        <v>0.5</v>
      </c>
      <c r="Q19" s="19595">
        <v>1</v>
      </c>
      <c r="R19" s="19596">
        <f>IF(HLOOKUP("Shots",A1:CV300,19,FALSE)=0,0,HLOOKUP("S6YD",A1:CV300,19,FALSE)/HLOOKUP("Shots",A1:CV300,19,FALSE))</f>
        <v>7.1428571428571425E-2</v>
      </c>
      <c r="S19" s="19597">
        <v>0</v>
      </c>
      <c r="T19" s="19598">
        <f>IF(HLOOKUP("Shots",A1:CV300,19,FALSE)=0,0,HLOOKUP("Headers",A1:CV300,19,FALSE)/HLOOKUP("Shots",A1:CV300,19,FALSE))</f>
        <v>0</v>
      </c>
      <c r="U19" s="19599">
        <v>7</v>
      </c>
      <c r="V19" s="19600">
        <f>IF(HLOOKUP("Shots",A1:CV300,19,FALSE)=0,0,HLOOKUP("SOT",A1:CV300,19,FALSE)/HLOOKUP("Shots",A1:CV300,19,FALSE))</f>
        <v>0.5</v>
      </c>
      <c r="W19" s="19601">
        <f>IF(HLOOKUP("Shots",A1:CV300,19,FALSE)=0,0,HLOOKUP("Gs",A1:CV300,19,FALSE)/HLOOKUP("Shots",A1:CV300,19,FALSE))</f>
        <v>0.14285714285714285</v>
      </c>
      <c r="X19" s="19602">
        <v>1</v>
      </c>
      <c r="Y19" s="19603">
        <v>1</v>
      </c>
      <c r="Z19" s="19604">
        <v>7</v>
      </c>
      <c r="AA19" s="19605">
        <f>IF(HLOOKUP("KP",A1:CV300,19,FALSE)=0,0,HLOOKUP("As",A1:CV300,19,FALSE)/HLOOKUP("KP",A1:CV300,19,FALSE))</f>
        <v>0.14285714285714285</v>
      </c>
      <c r="AB19" s="19606">
        <v>53.8</v>
      </c>
      <c r="AC19" s="19607">
        <v>30</v>
      </c>
      <c r="AD19" s="19608">
        <v>2</v>
      </c>
      <c r="AE19" s="19609">
        <v>2</v>
      </c>
      <c r="AF19" s="19610">
        <v>2</v>
      </c>
      <c r="AG19" s="19611">
        <f>IF(HLOOKUP("BC",A1:CV300,19,FALSE)=0,0,HLOOKUP("Gs - BC",A1:CV300,19,FALSE)/HLOOKUP("BC",A1:CV300,19,FALSE))</f>
        <v>0</v>
      </c>
      <c r="AH19" s="19612">
        <f>HLOOKUP("BC",A1:CV300,19,FALSE) - HLOOKUP("BC Miss",A1:CV300,19,FALSE)</f>
        <v>0</v>
      </c>
      <c r="AI19" s="19613">
        <f>IF(HLOOKUP("Gs",A1:CV300,19,FALSE)=0,0,HLOOKUP("Gs - BC",A1:CV300,19,FALSE)/HLOOKUP("Gs",A1:CV300,19,FALSE))</f>
        <v>0</v>
      </c>
      <c r="AJ19" s="19614">
        <v>0</v>
      </c>
      <c r="AK19" s="19615">
        <v>0</v>
      </c>
      <c r="AL19" s="19616">
        <f>HLOOKUP("BC",A1:CV300,19,FALSE) - (HLOOKUP("PK Gs",A1:CV300,19,FALSE) + HLOOKUP("PK Miss",A1:CV300,19,FALSE))</f>
        <v>2</v>
      </c>
      <c r="AM19" s="19617">
        <f>HLOOKUP("BC Miss",A1:CV300,19,FALSE) - HLOOKUP("PK Miss",A1:CV300,19,FALSE)</f>
        <v>2</v>
      </c>
      <c r="AN19" s="19618">
        <f>IF(HLOOKUP("BC - Open",A1:CV300,19,FALSE)=0,0,HLOOKUP("BC - Open Miss",A1:CV300,19,FALSE)/HLOOKUP("BC - Open",A1:CV300,19,FALSE))</f>
        <v>1</v>
      </c>
      <c r="AO19" s="19619">
        <v>2</v>
      </c>
      <c r="AP19" s="19620">
        <f>IF(HLOOKUP("Gs",A1:CV300,19,FALSE)=0,0,HLOOKUP("GIB",A1:CV300,19,FALSE)/HLOOKUP("Gs",A1:CV300,19,FALSE))</f>
        <v>1</v>
      </c>
      <c r="AQ19" s="19621">
        <v>2</v>
      </c>
      <c r="AR19" s="19622">
        <f>IF(HLOOKUP("Gs",A1:CV300,19,FALSE)=0,0,HLOOKUP("Gs - Open",A1:CV300,19,FALSE)/HLOOKUP("Gs",A1:CV300,19,FALSE))</f>
        <v>1</v>
      </c>
      <c r="AS19" s="19623">
        <v>1.42</v>
      </c>
      <c r="AT19" s="19624">
        <v>0.32</v>
      </c>
      <c r="AU19" s="19625">
        <f>IF(HLOOKUP("Mins",A1:CV300,19,FALSE)=0,0,HLOOKUP("Pts",A1:CV300,19,FALSE)/HLOOKUP("Mins",A1:CV300,19,FALSE)* 90)</f>
        <v>4.1909196740395815</v>
      </c>
      <c r="AV19" s="19626">
        <f>IF(HLOOKUP("Apps",A1:CV300,19,FALSE)=0,0,HLOOKUP("Pts",A1:CV300,19,FALSE)/HLOOKUP("Apps",A1:CV300,19,FALSE)* 1)</f>
        <v>2.8571428571428572</v>
      </c>
      <c r="AW19" s="19627">
        <f>IF(HLOOKUP("Mins",A1:CV300,19,FALSE)=0,0,HLOOKUP("Gs",A1:CV300,19,FALSE)/HLOOKUP("Mins",A1:CV300,19,FALSE)* 90)</f>
        <v>0.20954598370197905</v>
      </c>
      <c r="AX19" s="19628">
        <f>IF(HLOOKUP("Mins",A1:CV300,19,FALSE)=0,0,HLOOKUP("Bonus",A1:CV300,19,FALSE)/HLOOKUP("Mins",A1:CV300,19,FALSE)* 90)</f>
        <v>0.31431897555296856</v>
      </c>
      <c r="AY19" s="19629">
        <f>IF(HLOOKUP("Mins",A1:CV300,19,FALSE)=0,0,HLOOKUP("BPS",A1:CV300,19,FALSE)/HLOOKUP("Mins",A1:CV300,19,FALSE)* 90)</f>
        <v>12.677532013969731</v>
      </c>
      <c r="AZ19" s="19630">
        <f>IF(HLOOKUP("Mins",A1:CV300,19,FALSE)=0,0,HLOOKUP("Base BPS",A1:CV300,19,FALSE)/HLOOKUP("Mins",A1:CV300,19,FALSE)* 90)</f>
        <v>7.9627473806752036</v>
      </c>
      <c r="BA19" s="19631">
        <f>IF(HLOOKUP("Mins",A1:CV300,19,FALSE)=0,0,HLOOKUP("PenTchs",A1:CV300,19,FALSE)/HLOOKUP("Mins",A1:CV300,19,FALSE)* 90)</f>
        <v>2.8288707799767172</v>
      </c>
      <c r="BB19" s="19632">
        <f>IF(HLOOKUP("Mins",A1:CV300,19,FALSE)=0,0,HLOOKUP("Shots",A1:CV300,19,FALSE)/HLOOKUP("Mins",A1:CV300,19,FALSE)* 90)</f>
        <v>1.4668218859138533</v>
      </c>
      <c r="BC19" s="19633">
        <f>IF(HLOOKUP("Mins",A1:CV300,19,FALSE)=0,0,HLOOKUP("SIB",A1:CV300,19,FALSE)/HLOOKUP("Mins",A1:CV300,19,FALSE)* 90)</f>
        <v>0.73341094295692666</v>
      </c>
      <c r="BD19" s="19634">
        <f>IF(HLOOKUP("Mins",A1:CV300,19,FALSE)=0,0,HLOOKUP("S6YD",A1:CV300,19,FALSE)/HLOOKUP("Mins",A1:CV300,19,FALSE)* 90)</f>
        <v>0.10477299185098952</v>
      </c>
      <c r="BE19" s="19635">
        <f>IF(HLOOKUP("Mins",A1:CV300,19,FALSE)=0,0,HLOOKUP("Headers",A1:CV300,19,FALSE)/HLOOKUP("Mins",A1:CV300,19,FALSE)* 90)</f>
        <v>0</v>
      </c>
      <c r="BF19" s="19636">
        <f>IF(HLOOKUP("Mins",A1:CV300,19,FALSE)=0,0,HLOOKUP("SOT",A1:CV300,19,FALSE)/HLOOKUP("Mins",A1:CV300,19,FALSE)* 90)</f>
        <v>0.73341094295692666</v>
      </c>
      <c r="BG19" s="19637">
        <f>IF(HLOOKUP("Mins",A1:CV300,19,FALSE)=0,0,HLOOKUP("As",A1:CV300,19,FALSE)/HLOOKUP("Mins",A1:CV300,19,FALSE)* 90)</f>
        <v>0.10477299185098952</v>
      </c>
      <c r="BH19" s="19638">
        <f>IF(HLOOKUP("Mins",A1:CV300,19,FALSE)=0,0,HLOOKUP("FPL As",A1:CV300,19,FALSE)/HLOOKUP("Mins",A1:CV300,19,FALSE)* 90)</f>
        <v>0.10477299185098952</v>
      </c>
      <c r="BI19" s="19639">
        <f>IF(HLOOKUP("Mins",A1:CV300,19,FALSE)=0,0,HLOOKUP("BC Created",A1:CV300,19,FALSE)/HLOOKUP("Mins",A1:CV300,19,FALSE)* 90)</f>
        <v>0.20954598370197905</v>
      </c>
      <c r="BJ19" s="19640">
        <f>IF(HLOOKUP("Mins",A1:CV300,19,FALSE)=0,0,HLOOKUP("KP",A1:CV300,19,FALSE)/HLOOKUP("Mins",A1:CV300,19,FALSE)* 90)</f>
        <v>0.73341094295692666</v>
      </c>
      <c r="BK19" s="19641">
        <f>IF(HLOOKUP("Mins",A1:CV300,19,FALSE)=0,0,HLOOKUP("BC",A1:CV300,19,FALSE)/HLOOKUP("Mins",A1:CV300,19,FALSE)* 90)</f>
        <v>0.20954598370197905</v>
      </c>
      <c r="BL19" s="19642">
        <f>IF(HLOOKUP("Mins",A1:CV300,19,FALSE)=0,0,HLOOKUP("BC Miss",A1:CV300,19,FALSE)/HLOOKUP("Mins",A1:CV300,19,FALSE)* 90)</f>
        <v>0.20954598370197905</v>
      </c>
      <c r="BM19" s="19643">
        <f>IF(HLOOKUP("Mins",A1:CV300,19,FALSE)=0,0,HLOOKUP("Gs - BC",A1:CV300,19,FALSE)/HLOOKUP("Mins",A1:CV300,19,FALSE)* 90)</f>
        <v>0</v>
      </c>
      <c r="BN19" s="19644">
        <f>IF(HLOOKUP("Mins",A1:CV300,19,FALSE)=0,0,HLOOKUP("GIB",A1:CV300,19,FALSE)/HLOOKUP("Mins",A1:CV300,19,FALSE)* 90)</f>
        <v>0.20954598370197905</v>
      </c>
      <c r="BO19" s="19645">
        <f>IF(HLOOKUP("Mins",A1:CV300,19,FALSE)=0,0,HLOOKUP("Gs - Open",A1:CV300,19,FALSE)/HLOOKUP("Mins",A1:CV300,19,FALSE)* 90)</f>
        <v>0.20954598370197905</v>
      </c>
      <c r="BP19" s="19646">
        <f>IF(HLOOKUP("Mins",A1:CV300,19,FALSE)=0,0,HLOOKUP("ICT Index",A1:CV300,19,FALSE)/HLOOKUP("Mins",A1:CV300,19,FALSE)* 90)</f>
        <v>5.636786961583236</v>
      </c>
      <c r="BQ19" s="19647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  <v>0.13054714784633295</v>
      </c>
      <c r="BR19" s="19648">
        <f>0.0885*HLOOKUP("KP/90",A1:CV300,19,FALSE)</f>
        <v>6.4906868451687999E-2</v>
      </c>
      <c r="BS19" s="19649">
        <f>5*HLOOKUP("xG/90",A1:CV300,19,FALSE)+3*HLOOKUP("xA/90",A1:CV300,19,FALSE)</f>
        <v>0.84745634458672869</v>
      </c>
      <c r="BT19" s="19650">
        <f>HLOOKUP("xPts/90",A1:CV300,19,FALSE)-(5*0.75*(HLOOKUP("PK Gs",A1:CV300,19,FALSE)+HLOOKUP("PK Miss",A1:CV300,19,FALSE))*90/HLOOKUP("Mins",A1:CV300,19,FALSE))</f>
        <v>0.84745634458672869</v>
      </c>
      <c r="BU19" s="19651">
        <f>IF(HLOOKUP("Mins",A1:CV300,19,FALSE)=0,0,HLOOKUP("fsXG",A1:CV300,19,FALSE)/HLOOKUP("Mins",A1:CV300,19,FALSE)* 90)</f>
        <v>0.14877764842840513</v>
      </c>
      <c r="BV19" s="19652">
        <f>IF(HLOOKUP("Mins",A1:CV300,19,FALSE)=0,0,HLOOKUP("fsXA",A1:CV300,19,FALSE)/HLOOKUP("Mins",A1:CV300,19,FALSE)* 90)</f>
        <v>3.3527357392316645E-2</v>
      </c>
      <c r="BW19" s="19653">
        <f>5*HLOOKUP("fsXG/90",A1:CV300,19,FALSE)+3*HLOOKUP("fsXA/90",A1:CV300,19,FALSE)</f>
        <v>0.84447031431897557</v>
      </c>
      <c r="BX19" s="19654">
        <v>0.16031491756439209</v>
      </c>
      <c r="BY19" s="19655">
        <v>9.9524132907390594E-2</v>
      </c>
      <c r="BZ19" s="19656">
        <f>5*HLOOKUP("uXG/90",A1:CV300,19,FALSE)+3*HLOOKUP("uXA/90",A1:CV300,19,FALSE)</f>
        <v>1.1001469865441322</v>
      </c>
    </row>
    <row r="20" spans="1:78" x14ac:dyDescent="0.3">
      <c r="A20" s="19657" t="s">
        <v>347</v>
      </c>
      <c r="B20" s="19658" t="s">
        <v>96</v>
      </c>
      <c r="C20" s="19659">
        <v>4.5999999046325684</v>
      </c>
      <c r="D20" s="19660">
        <v>476</v>
      </c>
      <c r="E20" s="19661">
        <v>13</v>
      </c>
      <c r="F20" s="19662">
        <v>13</v>
      </c>
      <c r="G20" s="19663">
        <v>0</v>
      </c>
      <c r="H20" s="19664">
        <v>0</v>
      </c>
      <c r="I20" s="19665">
        <v>46</v>
      </c>
      <c r="J20" s="19666">
        <f>HLOOKUP("BPS",A1:CV300,20,FALSE)-((-6*HLOOKUP("OG",A1:CV300,20,FALSE))+(-6*HLOOKUP("PK Miss",A1:CV300,20,FALSE))+(9*HLOOKUP("FPL As",A1:CV300,20,FALSE))+(0*HLOOKUP("CS",A1:CV300,20,FALSE))+(18*HLOOKUP("Gs",A1:CV300,20,FALSE)))</f>
        <v>46</v>
      </c>
      <c r="K20" s="19667">
        <v>0</v>
      </c>
      <c r="L20" s="19668">
        <v>0</v>
      </c>
      <c r="M20" s="19669">
        <v>5</v>
      </c>
      <c r="N20" s="19670">
        <v>1</v>
      </c>
      <c r="O20" s="19671">
        <v>1</v>
      </c>
      <c r="P20" s="19672">
        <f>IF(HLOOKUP("Shots",A1:CV300,20,FALSE)=0,0,HLOOKUP("SIB",A1:CV300,20,FALSE)/HLOOKUP("Shots",A1:CV300,20,FALSE))</f>
        <v>1</v>
      </c>
      <c r="Q20" s="19673">
        <v>0</v>
      </c>
      <c r="R20" s="19674">
        <f>IF(HLOOKUP("Shots",A1:CV300,20,FALSE)=0,0,HLOOKUP("S6YD",A1:CV300,20,FALSE)/HLOOKUP("Shots",A1:CV300,20,FALSE))</f>
        <v>0</v>
      </c>
      <c r="S20" s="19675">
        <v>0</v>
      </c>
      <c r="T20" s="19676">
        <f>IF(HLOOKUP("Shots",A1:CV300,20,FALSE)=0,0,HLOOKUP("Headers",A1:CV300,20,FALSE)/HLOOKUP("Shots",A1:CV300,20,FALSE))</f>
        <v>0</v>
      </c>
      <c r="U20" s="19677">
        <v>0</v>
      </c>
      <c r="V20" s="19678">
        <f>IF(HLOOKUP("Shots",A1:CV300,20,FALSE)=0,0,HLOOKUP("SOT",A1:CV300,20,FALSE)/HLOOKUP("Shots",A1:CV300,20,FALSE))</f>
        <v>0</v>
      </c>
      <c r="W20" s="19679">
        <f>IF(HLOOKUP("Shots",A1:CV300,20,FALSE)=0,0,HLOOKUP("Gs",A1:CV300,20,FALSE)/HLOOKUP("Shots",A1:CV300,20,FALSE))</f>
        <v>0</v>
      </c>
      <c r="X20" s="19680">
        <v>0</v>
      </c>
      <c r="Y20" s="19681">
        <v>0</v>
      </c>
      <c r="Z20" s="19682">
        <v>2</v>
      </c>
      <c r="AA20" s="19683">
        <f>IF(HLOOKUP("KP",A1:CV300,20,FALSE)=0,0,HLOOKUP("As",A1:CV300,20,FALSE)/HLOOKUP("KP",A1:CV300,20,FALSE))</f>
        <v>0</v>
      </c>
      <c r="AB20" s="19684">
        <v>9.1</v>
      </c>
      <c r="AC20" s="19685">
        <v>0</v>
      </c>
      <c r="AD20" s="19686">
        <v>0</v>
      </c>
      <c r="AE20" s="19687">
        <v>0</v>
      </c>
      <c r="AF20" s="19688">
        <v>0</v>
      </c>
      <c r="AG20" s="19689">
        <f>IF(HLOOKUP("BC",A1:CV300,20,FALSE)=0,0,HLOOKUP("Gs - BC",A1:CV300,20,FALSE)/HLOOKUP("BC",A1:CV300,20,FALSE))</f>
        <v>0</v>
      </c>
      <c r="AH20" s="19690">
        <f>HLOOKUP("BC",A1:CV300,20,FALSE) - HLOOKUP("BC Miss",A1:CV300,20,FALSE)</f>
        <v>0</v>
      </c>
      <c r="AI20" s="19691">
        <f>IF(HLOOKUP("Gs",A1:CV300,20,FALSE)=0,0,HLOOKUP("Gs - BC",A1:CV300,20,FALSE)/HLOOKUP("Gs",A1:CV300,20,FALSE))</f>
        <v>0</v>
      </c>
      <c r="AJ20" s="19692">
        <v>0</v>
      </c>
      <c r="AK20" s="19693">
        <v>0</v>
      </c>
      <c r="AL20" s="19694">
        <f>HLOOKUP("BC",A1:CV300,20,FALSE) - (HLOOKUP("PK Gs",A1:CV300,20,FALSE) + HLOOKUP("PK Miss",A1:CV300,20,FALSE))</f>
        <v>0</v>
      </c>
      <c r="AM20" s="19695">
        <f>HLOOKUP("BC Miss",A1:CV300,20,FALSE) - HLOOKUP("PK Miss",A1:CV300,20,FALSE)</f>
        <v>0</v>
      </c>
      <c r="AN20" s="19696">
        <f>IF(HLOOKUP("BC - Open",A1:CV300,20,FALSE)=0,0,HLOOKUP("BC - Open Miss",A1:CV300,20,FALSE)/HLOOKUP("BC - Open",A1:CV300,20,FALSE))</f>
        <v>0</v>
      </c>
      <c r="AO20" s="19697">
        <v>0</v>
      </c>
      <c r="AP20" s="19698">
        <f>IF(HLOOKUP("Gs",A1:CV300,20,FALSE)=0,0,HLOOKUP("GIB",A1:CV300,20,FALSE)/HLOOKUP("Gs",A1:CV300,20,FALSE))</f>
        <v>0</v>
      </c>
      <c r="AQ20" s="19699">
        <v>0</v>
      </c>
      <c r="AR20" s="19700">
        <f>IF(HLOOKUP("Gs",A1:CV300,20,FALSE)=0,0,HLOOKUP("Gs - Open",A1:CV300,20,FALSE)/HLOOKUP("Gs",A1:CV300,20,FALSE))</f>
        <v>0</v>
      </c>
      <c r="AS20" s="19701">
        <v>0.04</v>
      </c>
      <c r="AT20" s="19702">
        <v>0.19</v>
      </c>
      <c r="AU20" s="19703">
        <f>IF(HLOOKUP("Mins",A1:CV300,20,FALSE)=0,0,HLOOKUP("Pts",A1:CV300,20,FALSE)/HLOOKUP("Mins",A1:CV300,20,FALSE)* 90)</f>
        <v>2.4579831932773111</v>
      </c>
      <c r="AV20" s="19704">
        <f>IF(HLOOKUP("Apps",A1:CV300,20,FALSE)=0,0,HLOOKUP("Pts",A1:CV300,20,FALSE)/HLOOKUP("Apps",A1:CV300,20,FALSE)* 1)</f>
        <v>1</v>
      </c>
      <c r="AW20" s="19705">
        <f>IF(HLOOKUP("Mins",A1:CV300,20,FALSE)=0,0,HLOOKUP("Gs",A1:CV300,20,FALSE)/HLOOKUP("Mins",A1:CV300,20,FALSE)* 90)</f>
        <v>0</v>
      </c>
      <c r="AX20" s="19706">
        <f>IF(HLOOKUP("Mins",A1:CV300,20,FALSE)=0,0,HLOOKUP("Bonus",A1:CV300,20,FALSE)/HLOOKUP("Mins",A1:CV300,20,FALSE)* 90)</f>
        <v>0</v>
      </c>
      <c r="AY20" s="19707">
        <f>IF(HLOOKUP("Mins",A1:CV300,20,FALSE)=0,0,HLOOKUP("BPS",A1:CV300,20,FALSE)/HLOOKUP("Mins",A1:CV300,20,FALSE)* 90)</f>
        <v>8.6974789915966397</v>
      </c>
      <c r="AZ20" s="19708">
        <f>IF(HLOOKUP("Mins",A1:CV300,20,FALSE)=0,0,HLOOKUP("Base BPS",A1:CV300,20,FALSE)/HLOOKUP("Mins",A1:CV300,20,FALSE)* 90)</f>
        <v>8.6974789915966397</v>
      </c>
      <c r="BA20" s="19709">
        <f>IF(HLOOKUP("Mins",A1:CV300,20,FALSE)=0,0,HLOOKUP("PenTchs",A1:CV300,20,FALSE)/HLOOKUP("Mins",A1:CV300,20,FALSE)* 90)</f>
        <v>0.94537815126050428</v>
      </c>
      <c r="BB20" s="19710">
        <f>IF(HLOOKUP("Mins",A1:CV300,20,FALSE)=0,0,HLOOKUP("Shots",A1:CV300,20,FALSE)/HLOOKUP("Mins",A1:CV300,20,FALSE)* 90)</f>
        <v>0.18907563025210083</v>
      </c>
      <c r="BC20" s="19711">
        <f>IF(HLOOKUP("Mins",A1:CV300,20,FALSE)=0,0,HLOOKUP("SIB",A1:CV300,20,FALSE)/HLOOKUP("Mins",A1:CV300,20,FALSE)* 90)</f>
        <v>0.18907563025210083</v>
      </c>
      <c r="BD20" s="19712">
        <f>IF(HLOOKUP("Mins",A1:CV300,20,FALSE)=0,0,HLOOKUP("S6YD",A1:CV300,20,FALSE)/HLOOKUP("Mins",A1:CV300,20,FALSE)* 90)</f>
        <v>0</v>
      </c>
      <c r="BE20" s="19713">
        <f>IF(HLOOKUP("Mins",A1:CV300,20,FALSE)=0,0,HLOOKUP("Headers",A1:CV300,20,FALSE)/HLOOKUP("Mins",A1:CV300,20,FALSE)* 90)</f>
        <v>0</v>
      </c>
      <c r="BF20" s="19714">
        <f>IF(HLOOKUP("Mins",A1:CV300,20,FALSE)=0,0,HLOOKUP("SOT",A1:CV300,20,FALSE)/HLOOKUP("Mins",A1:CV300,20,FALSE)* 90)</f>
        <v>0</v>
      </c>
      <c r="BG20" s="19715">
        <f>IF(HLOOKUP("Mins",A1:CV300,20,FALSE)=0,0,HLOOKUP("As",A1:CV300,20,FALSE)/HLOOKUP("Mins",A1:CV300,20,FALSE)* 90)</f>
        <v>0</v>
      </c>
      <c r="BH20" s="19716">
        <f>IF(HLOOKUP("Mins",A1:CV300,20,FALSE)=0,0,HLOOKUP("FPL As",A1:CV300,20,FALSE)/HLOOKUP("Mins",A1:CV300,20,FALSE)* 90)</f>
        <v>0</v>
      </c>
      <c r="BI20" s="19717">
        <f>IF(HLOOKUP("Mins",A1:CV300,20,FALSE)=0,0,HLOOKUP("BC Created",A1:CV300,20,FALSE)/HLOOKUP("Mins",A1:CV300,20,FALSE)* 90)</f>
        <v>0</v>
      </c>
      <c r="BJ20" s="19718">
        <f>IF(HLOOKUP("Mins",A1:CV300,20,FALSE)=0,0,HLOOKUP("KP",A1:CV300,20,FALSE)/HLOOKUP("Mins",A1:CV300,20,FALSE)* 90)</f>
        <v>0.37815126050420167</v>
      </c>
      <c r="BK20" s="19719">
        <f>IF(HLOOKUP("Mins",A1:CV300,20,FALSE)=0,0,HLOOKUP("BC",A1:CV300,20,FALSE)/HLOOKUP("Mins",A1:CV300,20,FALSE)* 90)</f>
        <v>0</v>
      </c>
      <c r="BL20" s="19720">
        <f>IF(HLOOKUP("Mins",A1:CV300,20,FALSE)=0,0,HLOOKUP("BC Miss",A1:CV300,20,FALSE)/HLOOKUP("Mins",A1:CV300,20,FALSE)* 90)</f>
        <v>0</v>
      </c>
      <c r="BM20" s="19721">
        <f>IF(HLOOKUP("Mins",A1:CV300,20,FALSE)=0,0,HLOOKUP("Gs - BC",A1:CV300,20,FALSE)/HLOOKUP("Mins",A1:CV300,20,FALSE)* 90)</f>
        <v>0</v>
      </c>
      <c r="BN20" s="19722">
        <f>IF(HLOOKUP("Mins",A1:CV300,20,FALSE)=0,0,HLOOKUP("GIB",A1:CV300,20,FALSE)/HLOOKUP("Mins",A1:CV300,20,FALSE)* 90)</f>
        <v>0</v>
      </c>
      <c r="BO20" s="19723">
        <f>IF(HLOOKUP("Mins",A1:CV300,20,FALSE)=0,0,HLOOKUP("Gs - Open",A1:CV300,20,FALSE)/HLOOKUP("Mins",A1:CV300,20,FALSE)* 90)</f>
        <v>0</v>
      </c>
      <c r="BP20" s="19724">
        <f>IF(HLOOKUP("Mins",A1:CV300,20,FALSE)=0,0,HLOOKUP("ICT Index",A1:CV300,20,FALSE)/HLOOKUP("Mins",A1:CV300,20,FALSE)* 90)</f>
        <v>1.7205882352941175</v>
      </c>
      <c r="BQ20" s="19725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  <v>2.6848739495798316E-2</v>
      </c>
      <c r="BR20" s="19726">
        <f>0.0885*HLOOKUP("KP/90",A1:CV300,20,FALSE)</f>
        <v>3.3466386554621849E-2</v>
      </c>
      <c r="BS20" s="19727">
        <f>5*HLOOKUP("xG/90",A1:CV300,20,FALSE)+3*HLOOKUP("xA/90",A1:CV300,20,FALSE)</f>
        <v>0.2346428571428571</v>
      </c>
      <c r="BT20" s="19728">
        <f>HLOOKUP("xPts/90",A1:CV300,20,FALSE)-(5*0.75*(HLOOKUP("PK Gs",A1:CV300,20,FALSE)+HLOOKUP("PK Miss",A1:CV300,20,FALSE))*90/HLOOKUP("Mins",A1:CV300,20,FALSE))</f>
        <v>0.2346428571428571</v>
      </c>
      <c r="BU20" s="19729">
        <f>IF(HLOOKUP("Mins",A1:CV300,20,FALSE)=0,0,HLOOKUP("fsXG",A1:CV300,20,FALSE)/HLOOKUP("Mins",A1:CV300,20,FALSE)* 90)</f>
        <v>7.5630252100840336E-3</v>
      </c>
      <c r="BV20" s="19730">
        <f>IF(HLOOKUP("Mins",A1:CV300,20,FALSE)=0,0,HLOOKUP("fsXA",A1:CV300,20,FALSE)/HLOOKUP("Mins",A1:CV300,20,FALSE)* 90)</f>
        <v>3.5924369747899157E-2</v>
      </c>
      <c r="BW20" s="19731">
        <f>5*HLOOKUP("fsXG/90",A1:CV300,20,FALSE)+3*HLOOKUP("fsXA/90",A1:CV300,20,FALSE)</f>
        <v>0.14558823529411763</v>
      </c>
      <c r="BX20" s="19732">
        <v>4.772053100168705E-3</v>
      </c>
      <c r="BY20" s="19733">
        <v>3.1118648126721382E-2</v>
      </c>
      <c r="BZ20" s="19734">
        <f>5*HLOOKUP("uXG/90",A1:CV300,20,FALSE)+3*HLOOKUP("uXA/90",A1:CV300,20,FALSE)</f>
        <v>0.11721620988100767</v>
      </c>
    </row>
    <row r="21" spans="1:78" x14ac:dyDescent="0.3">
      <c r="A21" s="19735" t="s">
        <v>348</v>
      </c>
      <c r="B21" s="19736" t="s">
        <v>105</v>
      </c>
      <c r="C21" s="19737">
        <v>7.8000001907348633</v>
      </c>
      <c r="D21" s="19738">
        <v>1180</v>
      </c>
      <c r="E21" s="19739">
        <v>18</v>
      </c>
      <c r="F21" s="19740">
        <v>72</v>
      </c>
      <c r="G21" s="19741">
        <v>5</v>
      </c>
      <c r="H21" s="19742">
        <v>5</v>
      </c>
      <c r="I21" s="19743">
        <v>321</v>
      </c>
      <c r="J21" s="19744">
        <f>HLOOKUP("BPS",A1:CV300,21,FALSE)-((-6*HLOOKUP("OG",A1:CV300,21,FALSE))+(-6*HLOOKUP("PK Miss",A1:CV300,21,FALSE))+(9*HLOOKUP("FPL As",A1:CV300,21,FALSE))+(0*HLOOKUP("CS",A1:CV300,21,FALSE))+(18*HLOOKUP("Gs",A1:CV300,21,FALSE)))</f>
        <v>195</v>
      </c>
      <c r="K21" s="19745">
        <v>0</v>
      </c>
      <c r="L21" s="19746">
        <v>4</v>
      </c>
      <c r="M21" s="19747">
        <v>88</v>
      </c>
      <c r="N21" s="19748">
        <v>30</v>
      </c>
      <c r="O21" s="19749">
        <v>24</v>
      </c>
      <c r="P21" s="19750">
        <f>IF(HLOOKUP("Shots",A1:CV300,21,FALSE)=0,0,HLOOKUP("SIB",A1:CV300,21,FALSE)/HLOOKUP("Shots",A1:CV300,21,FALSE))</f>
        <v>0.8</v>
      </c>
      <c r="Q21" s="19751">
        <v>4</v>
      </c>
      <c r="R21" s="19752">
        <f>IF(HLOOKUP("Shots",A1:CV300,21,FALSE)=0,0,HLOOKUP("S6YD",A1:CV300,21,FALSE)/HLOOKUP("Shots",A1:CV300,21,FALSE))</f>
        <v>0.13333333333333333</v>
      </c>
      <c r="S21" s="19753">
        <v>5</v>
      </c>
      <c r="T21" s="19754">
        <f>IF(HLOOKUP("Shots",A1:CV300,21,FALSE)=0,0,HLOOKUP("Headers",A1:CV300,21,FALSE)/HLOOKUP("Shots",A1:CV300,21,FALSE))</f>
        <v>0.16666666666666666</v>
      </c>
      <c r="U21" s="19755">
        <v>11</v>
      </c>
      <c r="V21" s="19756">
        <f>IF(HLOOKUP("Shots",A1:CV300,21,FALSE)=0,0,HLOOKUP("SOT",A1:CV300,21,FALSE)/HLOOKUP("Shots",A1:CV300,21,FALSE))</f>
        <v>0.36666666666666664</v>
      </c>
      <c r="W21" s="19757">
        <f>IF(HLOOKUP("Shots",A1:CV300,21,FALSE)=0,0,HLOOKUP("Gs",A1:CV300,21,FALSE)/HLOOKUP("Shots",A1:CV300,21,FALSE))</f>
        <v>0.16666666666666666</v>
      </c>
      <c r="X21" s="19758">
        <v>4</v>
      </c>
      <c r="Y21" s="19759">
        <v>4</v>
      </c>
      <c r="Z21" s="19760">
        <v>26</v>
      </c>
      <c r="AA21" s="19761">
        <f>IF(HLOOKUP("KP",A1:CV300,21,FALSE)=0,0,HLOOKUP("As",A1:CV300,21,FALSE)/HLOOKUP("KP",A1:CV300,21,FALSE))</f>
        <v>0.15384615384615385</v>
      </c>
      <c r="AB21" s="19762">
        <v>138.9</v>
      </c>
      <c r="AC21" s="19763">
        <v>26</v>
      </c>
      <c r="AD21" s="19764">
        <v>6</v>
      </c>
      <c r="AE21" s="19765">
        <v>8</v>
      </c>
      <c r="AF21" s="19766">
        <v>5</v>
      </c>
      <c r="AG21" s="19767">
        <f>IF(HLOOKUP("BC",A1:CV300,21,FALSE)=0,0,HLOOKUP("Gs - BC",A1:CV300,21,FALSE)/HLOOKUP("BC",A1:CV300,21,FALSE))</f>
        <v>0.375</v>
      </c>
      <c r="AH21" s="19768">
        <f>HLOOKUP("BC",A1:CV300,21,FALSE) - HLOOKUP("BC Miss",A1:CV300,21,FALSE)</f>
        <v>3</v>
      </c>
      <c r="AI21" s="19769">
        <f>IF(HLOOKUP("Gs",A1:CV300,21,FALSE)=0,0,HLOOKUP("Gs - BC",A1:CV300,21,FALSE)/HLOOKUP("Gs",A1:CV300,21,FALSE))</f>
        <v>0.6</v>
      </c>
      <c r="AJ21" s="19770">
        <v>0</v>
      </c>
      <c r="AK21" s="19771">
        <v>0</v>
      </c>
      <c r="AL21" s="19772">
        <f>HLOOKUP("BC",A1:CV300,21,FALSE) - (HLOOKUP("PK Gs",A1:CV300,21,FALSE) + HLOOKUP("PK Miss",A1:CV300,21,FALSE))</f>
        <v>8</v>
      </c>
      <c r="AM21" s="19773">
        <f>HLOOKUP("BC Miss",A1:CV300,21,FALSE) - HLOOKUP("PK Miss",A1:CV300,21,FALSE)</f>
        <v>5</v>
      </c>
      <c r="AN21" s="19774">
        <f>IF(HLOOKUP("BC - Open",A1:CV300,21,FALSE)=0,0,HLOOKUP("BC - Open Miss",A1:CV300,21,FALSE)/HLOOKUP("BC - Open",A1:CV300,21,FALSE))</f>
        <v>0.625</v>
      </c>
      <c r="AO21" s="19775">
        <v>5</v>
      </c>
      <c r="AP21" s="19776">
        <f>IF(HLOOKUP("Gs",A1:CV300,21,FALSE)=0,0,HLOOKUP("GIB",A1:CV300,21,FALSE)/HLOOKUP("Gs",A1:CV300,21,FALSE))</f>
        <v>1</v>
      </c>
      <c r="AQ21" s="19777">
        <v>4</v>
      </c>
      <c r="AR21" s="19778">
        <f>IF(HLOOKUP("Gs",A1:CV300,21,FALSE)=0,0,HLOOKUP("Gs - Open",A1:CV300,21,FALSE)/HLOOKUP("Gs",A1:CV300,21,FALSE))</f>
        <v>0.8</v>
      </c>
      <c r="AS21" s="19779">
        <v>3.93</v>
      </c>
      <c r="AT21" s="19780">
        <v>2.44</v>
      </c>
      <c r="AU21" s="19781">
        <f>IF(HLOOKUP("Mins",A1:CV300,21,FALSE)=0,0,HLOOKUP("Pts",A1:CV300,21,FALSE)/HLOOKUP("Mins",A1:CV300,21,FALSE)* 90)</f>
        <v>5.491525423728814</v>
      </c>
      <c r="AV21" s="19782">
        <f>IF(HLOOKUP("Apps",A1:CV300,21,FALSE)=0,0,HLOOKUP("Pts",A1:CV300,21,FALSE)/HLOOKUP("Apps",A1:CV300,21,FALSE)* 1)</f>
        <v>4</v>
      </c>
      <c r="AW21" s="19783">
        <f>IF(HLOOKUP("Mins",A1:CV300,21,FALSE)=0,0,HLOOKUP("Gs",A1:CV300,21,FALSE)/HLOOKUP("Mins",A1:CV300,21,FALSE)* 90)</f>
        <v>0.38135593220338981</v>
      </c>
      <c r="AX21" s="19784">
        <f>IF(HLOOKUP("Mins",A1:CV300,21,FALSE)=0,0,HLOOKUP("Bonus",A1:CV300,21,FALSE)/HLOOKUP("Mins",A1:CV300,21,FALSE)* 90)</f>
        <v>0.38135593220338981</v>
      </c>
      <c r="AY21" s="19785">
        <f>IF(HLOOKUP("Mins",A1:CV300,21,FALSE)=0,0,HLOOKUP("BPS",A1:CV300,21,FALSE)/HLOOKUP("Mins",A1:CV300,21,FALSE)* 90)</f>
        <v>24.483050847457626</v>
      </c>
      <c r="AZ21" s="19786">
        <f>IF(HLOOKUP("Mins",A1:CV300,21,FALSE)=0,0,HLOOKUP("Base BPS",A1:CV300,21,FALSE)/HLOOKUP("Mins",A1:CV300,21,FALSE)* 90)</f>
        <v>14.872881355932204</v>
      </c>
      <c r="BA21" s="19787">
        <f>IF(HLOOKUP("Mins",A1:CV300,21,FALSE)=0,0,HLOOKUP("PenTchs",A1:CV300,21,FALSE)/HLOOKUP("Mins",A1:CV300,21,FALSE)* 90)</f>
        <v>6.7118644067796618</v>
      </c>
      <c r="BB21" s="19788">
        <f>IF(HLOOKUP("Mins",A1:CV300,21,FALSE)=0,0,HLOOKUP("Shots",A1:CV300,21,FALSE)/HLOOKUP("Mins",A1:CV300,21,FALSE)* 90)</f>
        <v>2.2881355932203391</v>
      </c>
      <c r="BC21" s="19789">
        <f>IF(HLOOKUP("Mins",A1:CV300,21,FALSE)=0,0,HLOOKUP("SIB",A1:CV300,21,FALSE)/HLOOKUP("Mins",A1:CV300,21,FALSE)* 90)</f>
        <v>1.830508474576271</v>
      </c>
      <c r="BD21" s="19790">
        <f>IF(HLOOKUP("Mins",A1:CV300,21,FALSE)=0,0,HLOOKUP("S6YD",A1:CV300,21,FALSE)/HLOOKUP("Mins",A1:CV300,21,FALSE)* 90)</f>
        <v>0.30508474576271183</v>
      </c>
      <c r="BE21" s="19791">
        <f>IF(HLOOKUP("Mins",A1:CV300,21,FALSE)=0,0,HLOOKUP("Headers",A1:CV300,21,FALSE)/HLOOKUP("Mins",A1:CV300,21,FALSE)* 90)</f>
        <v>0.38135593220338981</v>
      </c>
      <c r="BF21" s="19792">
        <f>IF(HLOOKUP("Mins",A1:CV300,21,FALSE)=0,0,HLOOKUP("SOT",A1:CV300,21,FALSE)/HLOOKUP("Mins",A1:CV300,21,FALSE)* 90)</f>
        <v>0.83898305084745772</v>
      </c>
      <c r="BG21" s="19793">
        <f>IF(HLOOKUP("Mins",A1:CV300,21,FALSE)=0,0,HLOOKUP("As",A1:CV300,21,FALSE)/HLOOKUP("Mins",A1:CV300,21,FALSE)* 90)</f>
        <v>0.30508474576271183</v>
      </c>
      <c r="BH21" s="19794">
        <f>IF(HLOOKUP("Mins",A1:CV300,21,FALSE)=0,0,HLOOKUP("FPL As",A1:CV300,21,FALSE)/HLOOKUP("Mins",A1:CV300,21,FALSE)* 90)</f>
        <v>0.30508474576271183</v>
      </c>
      <c r="BI21" s="19795">
        <f>IF(HLOOKUP("Mins",A1:CV300,21,FALSE)=0,0,HLOOKUP("BC Created",A1:CV300,21,FALSE)/HLOOKUP("Mins",A1:CV300,21,FALSE)* 90)</f>
        <v>0.45762711864406774</v>
      </c>
      <c r="BJ21" s="19796">
        <f>IF(HLOOKUP("Mins",A1:CV300,21,FALSE)=0,0,HLOOKUP("KP",A1:CV300,21,FALSE)/HLOOKUP("Mins",A1:CV300,21,FALSE)* 90)</f>
        <v>1.9830508474576272</v>
      </c>
      <c r="BK21" s="19797">
        <f>IF(HLOOKUP("Mins",A1:CV300,21,FALSE)=0,0,HLOOKUP("BC",A1:CV300,21,FALSE)/HLOOKUP("Mins",A1:CV300,21,FALSE)* 90)</f>
        <v>0.61016949152542366</v>
      </c>
      <c r="BL21" s="19798">
        <f>IF(HLOOKUP("Mins",A1:CV300,21,FALSE)=0,0,HLOOKUP("BC Miss",A1:CV300,21,FALSE)/HLOOKUP("Mins",A1:CV300,21,FALSE)* 90)</f>
        <v>0.38135593220338981</v>
      </c>
      <c r="BM21" s="19799">
        <f>IF(HLOOKUP("Mins",A1:CV300,21,FALSE)=0,0,HLOOKUP("Gs - BC",A1:CV300,21,FALSE)/HLOOKUP("Mins",A1:CV300,21,FALSE)* 90)</f>
        <v>0.22881355932203387</v>
      </c>
      <c r="BN21" s="19800">
        <f>IF(HLOOKUP("Mins",A1:CV300,21,FALSE)=0,0,HLOOKUP("GIB",A1:CV300,21,FALSE)/HLOOKUP("Mins",A1:CV300,21,FALSE)* 90)</f>
        <v>0.38135593220338981</v>
      </c>
      <c r="BO21" s="19801">
        <f>IF(HLOOKUP("Mins",A1:CV300,21,FALSE)=0,0,HLOOKUP("Gs - Open",A1:CV300,21,FALSE)/HLOOKUP("Mins",A1:CV300,21,FALSE)* 90)</f>
        <v>0.30508474576271183</v>
      </c>
      <c r="BP21" s="19802">
        <f>IF(HLOOKUP("Mins",A1:CV300,21,FALSE)=0,0,HLOOKUP("ICT Index",A1:CV300,21,FALSE)/HLOOKUP("Mins",A1:CV300,21,FALSE)* 90)</f>
        <v>10.594067796610171</v>
      </c>
      <c r="BQ21" s="19803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  <v>0.27640677966101695</v>
      </c>
      <c r="BR21" s="19804">
        <f>0.0885*HLOOKUP("KP/90",A1:CV300,21,FALSE)</f>
        <v>0.17549999999999999</v>
      </c>
      <c r="BS21" s="19805">
        <f>5*HLOOKUP("xG/90",A1:CV300,21,FALSE)+3*HLOOKUP("xA/90",A1:CV300,21,FALSE)</f>
        <v>1.9085338983050848</v>
      </c>
      <c r="BT21" s="19806">
        <f>HLOOKUP("xPts/90",A1:CV300,21,FALSE)-(5*0.75*(HLOOKUP("PK Gs",A1:CV300,21,FALSE)+HLOOKUP("PK Miss",A1:CV300,21,FALSE))*90/HLOOKUP("Mins",A1:CV300,21,FALSE))</f>
        <v>1.9085338983050848</v>
      </c>
      <c r="BU21" s="19807">
        <f>IF(HLOOKUP("Mins",A1:CV300,21,FALSE)=0,0,HLOOKUP("fsXG",A1:CV300,21,FALSE)/HLOOKUP("Mins",A1:CV300,21,FALSE)* 90)</f>
        <v>0.29974576271186443</v>
      </c>
      <c r="BV21" s="19808">
        <f>IF(HLOOKUP("Mins",A1:CV300,21,FALSE)=0,0,HLOOKUP("fsXA",A1:CV300,21,FALSE)/HLOOKUP("Mins",A1:CV300,21,FALSE)* 90)</f>
        <v>0.18610169491525425</v>
      </c>
      <c r="BW21" s="19809">
        <f>5*HLOOKUP("fsXG/90",A1:CV300,21,FALSE)+3*HLOOKUP("fsXA/90",A1:CV300,21,FALSE)</f>
        <v>2.0570338983050851</v>
      </c>
      <c r="BX21" s="19810">
        <v>0.37906372547149658</v>
      </c>
      <c r="BY21" s="19811">
        <v>0.28799337148666382</v>
      </c>
      <c r="BZ21" s="19812">
        <f>5*HLOOKUP("uXG/90",A1:CV300,21,FALSE)+3*HLOOKUP("uXA/90",A1:CV300,21,FALSE)</f>
        <v>2.7592987418174744</v>
      </c>
    </row>
    <row r="22" spans="1:78" x14ac:dyDescent="0.3">
      <c r="A22" s="19813" t="s">
        <v>349</v>
      </c>
      <c r="B22" s="19814" t="s">
        <v>113</v>
      </c>
      <c r="C22" s="19815">
        <v>6.1999998092651367</v>
      </c>
      <c r="D22" s="19816">
        <v>939</v>
      </c>
      <c r="E22" s="19817">
        <v>15</v>
      </c>
      <c r="F22" s="19818">
        <v>38</v>
      </c>
      <c r="G22" s="19819">
        <v>0</v>
      </c>
      <c r="H22" s="19820">
        <v>3</v>
      </c>
      <c r="I22" s="19821">
        <v>194</v>
      </c>
      <c r="J22" s="19822">
        <f>HLOOKUP("BPS",A1:CV300,22,FALSE)-((-6*HLOOKUP("OG",A1:CV300,22,FALSE))+(-6*HLOOKUP("PK Miss",A1:CV300,22,FALSE))+(9*HLOOKUP("FPL As",A1:CV300,22,FALSE))+(0*HLOOKUP("CS",A1:CV300,22,FALSE))+(18*HLOOKUP("Gs",A1:CV300,22,FALSE)))</f>
        <v>167</v>
      </c>
      <c r="K22" s="19823">
        <v>0</v>
      </c>
      <c r="L22" s="19824">
        <v>2</v>
      </c>
      <c r="M22" s="19825">
        <v>25</v>
      </c>
      <c r="N22" s="19826">
        <v>18</v>
      </c>
      <c r="O22" s="19827">
        <v>10</v>
      </c>
      <c r="P22" s="19828">
        <f>IF(HLOOKUP("Shots",A1:CV300,22,FALSE)=0,0,HLOOKUP("SIB",A1:CV300,22,FALSE)/HLOOKUP("Shots",A1:CV300,22,FALSE))</f>
        <v>0.55555555555555558</v>
      </c>
      <c r="Q22" s="19829">
        <v>1</v>
      </c>
      <c r="R22" s="19830">
        <f>IF(HLOOKUP("Shots",A1:CV300,22,FALSE)=0,0,HLOOKUP("S6YD",A1:CV300,22,FALSE)/HLOOKUP("Shots",A1:CV300,22,FALSE))</f>
        <v>5.5555555555555552E-2</v>
      </c>
      <c r="S22" s="19831">
        <v>3</v>
      </c>
      <c r="T22" s="19832">
        <f>IF(HLOOKUP("Shots",A1:CV300,22,FALSE)=0,0,HLOOKUP("Headers",A1:CV300,22,FALSE)/HLOOKUP("Shots",A1:CV300,22,FALSE))</f>
        <v>0.16666666666666666</v>
      </c>
      <c r="U22" s="19833">
        <v>6</v>
      </c>
      <c r="V22" s="19834">
        <f>IF(HLOOKUP("Shots",A1:CV300,22,FALSE)=0,0,HLOOKUP("SOT",A1:CV300,22,FALSE)/HLOOKUP("Shots",A1:CV300,22,FALSE))</f>
        <v>0.33333333333333331</v>
      </c>
      <c r="W22" s="19835">
        <f>IF(HLOOKUP("Shots",A1:CV300,22,FALSE)=0,0,HLOOKUP("Gs",A1:CV300,22,FALSE)/HLOOKUP("Shots",A1:CV300,22,FALSE))</f>
        <v>0</v>
      </c>
      <c r="X22" s="19836">
        <v>2</v>
      </c>
      <c r="Y22" s="19837">
        <v>3</v>
      </c>
      <c r="Z22" s="19838">
        <v>27</v>
      </c>
      <c r="AA22" s="19839">
        <f>IF(HLOOKUP("KP",A1:CV300,22,FALSE)=0,0,HLOOKUP("As",A1:CV300,22,FALSE)/HLOOKUP("KP",A1:CV300,22,FALSE))</f>
        <v>7.407407407407407E-2</v>
      </c>
      <c r="AB22" s="19840">
        <v>80</v>
      </c>
      <c r="AC22" s="19841">
        <v>27</v>
      </c>
      <c r="AD22" s="19842">
        <v>2</v>
      </c>
      <c r="AE22" s="19843">
        <v>3</v>
      </c>
      <c r="AF22" s="19844">
        <v>3</v>
      </c>
      <c r="AG22" s="19845">
        <f>IF(HLOOKUP("BC",A1:CV300,22,FALSE)=0,0,HLOOKUP("Gs - BC",A1:CV300,22,FALSE)/HLOOKUP("BC",A1:CV300,22,FALSE))</f>
        <v>0</v>
      </c>
      <c r="AH22" s="19846">
        <f>HLOOKUP("BC",A1:CV300,22,FALSE) - HLOOKUP("BC Miss",A1:CV300,22,FALSE)</f>
        <v>0</v>
      </c>
      <c r="AI22" s="19847">
        <f>IF(HLOOKUP("Gs",A1:CV300,22,FALSE)=0,0,HLOOKUP("Gs - BC",A1:CV300,22,FALSE)/HLOOKUP("Gs",A1:CV300,22,FALSE))</f>
        <v>0</v>
      </c>
      <c r="AJ22" s="19848">
        <v>0</v>
      </c>
      <c r="AK22" s="19849">
        <v>0</v>
      </c>
      <c r="AL22" s="19850">
        <f>HLOOKUP("BC",A1:CV300,22,FALSE) - (HLOOKUP("PK Gs",A1:CV300,22,FALSE) + HLOOKUP("PK Miss",A1:CV300,22,FALSE))</f>
        <v>3</v>
      </c>
      <c r="AM22" s="19851">
        <f>HLOOKUP("BC Miss",A1:CV300,22,FALSE) - HLOOKUP("PK Miss",A1:CV300,22,FALSE)</f>
        <v>3</v>
      </c>
      <c r="AN22" s="19852">
        <f>IF(HLOOKUP("BC - Open",A1:CV300,22,FALSE)=0,0,HLOOKUP("BC - Open Miss",A1:CV300,22,FALSE)/HLOOKUP("BC - Open",A1:CV300,22,FALSE))</f>
        <v>1</v>
      </c>
      <c r="AO22" s="19853">
        <v>0</v>
      </c>
      <c r="AP22" s="19854">
        <f>IF(HLOOKUP("Gs",A1:CV300,22,FALSE)=0,0,HLOOKUP("GIB",A1:CV300,22,FALSE)/HLOOKUP("Gs",A1:CV300,22,FALSE))</f>
        <v>0</v>
      </c>
      <c r="AQ22" s="19855">
        <v>0</v>
      </c>
      <c r="AR22" s="19856">
        <f>IF(HLOOKUP("Gs",A1:CV300,22,FALSE)=0,0,HLOOKUP("Gs - Open",A1:CV300,22,FALSE)/HLOOKUP("Gs",A1:CV300,22,FALSE))</f>
        <v>0</v>
      </c>
      <c r="AS22" s="19857">
        <v>1.78</v>
      </c>
      <c r="AT22" s="19858">
        <v>1.52</v>
      </c>
      <c r="AU22" s="19859">
        <f>IF(HLOOKUP("Mins",A1:CV300,22,FALSE)=0,0,HLOOKUP("Pts",A1:CV300,22,FALSE)/HLOOKUP("Mins",A1:CV300,22,FALSE)* 90)</f>
        <v>3.6421725239616616</v>
      </c>
      <c r="AV22" s="19860">
        <f>IF(HLOOKUP("Apps",A1:CV300,22,FALSE)=0,0,HLOOKUP("Pts",A1:CV300,22,FALSE)/HLOOKUP("Apps",A1:CV300,22,FALSE)* 1)</f>
        <v>2.5333333333333332</v>
      </c>
      <c r="AW22" s="19861">
        <f>IF(HLOOKUP("Mins",A1:CV300,22,FALSE)=0,0,HLOOKUP("Gs",A1:CV300,22,FALSE)/HLOOKUP("Mins",A1:CV300,22,FALSE)* 90)</f>
        <v>0</v>
      </c>
      <c r="AX22" s="19862">
        <f>IF(HLOOKUP("Mins",A1:CV300,22,FALSE)=0,0,HLOOKUP("Bonus",A1:CV300,22,FALSE)/HLOOKUP("Mins",A1:CV300,22,FALSE)* 90)</f>
        <v>0.28753993610223638</v>
      </c>
      <c r="AY22" s="19863">
        <f>IF(HLOOKUP("Mins",A1:CV300,22,FALSE)=0,0,HLOOKUP("BPS",A1:CV300,22,FALSE)/HLOOKUP("Mins",A1:CV300,22,FALSE)* 90)</f>
        <v>18.594249201277957</v>
      </c>
      <c r="AZ22" s="19864">
        <f>IF(HLOOKUP("Mins",A1:CV300,22,FALSE)=0,0,HLOOKUP("Base BPS",A1:CV300,22,FALSE)/HLOOKUP("Mins",A1:CV300,22,FALSE)* 90)</f>
        <v>16.006389776357828</v>
      </c>
      <c r="BA22" s="19865">
        <f>IF(HLOOKUP("Mins",A1:CV300,22,FALSE)=0,0,HLOOKUP("PenTchs",A1:CV300,22,FALSE)/HLOOKUP("Mins",A1:CV300,22,FALSE)* 90)</f>
        <v>2.3961661341853038</v>
      </c>
      <c r="BB22" s="19866">
        <f>IF(HLOOKUP("Mins",A1:CV300,22,FALSE)=0,0,HLOOKUP("Shots",A1:CV300,22,FALSE)/HLOOKUP("Mins",A1:CV300,22,FALSE)* 90)</f>
        <v>1.7252396166134185</v>
      </c>
      <c r="BC22" s="19867">
        <f>IF(HLOOKUP("Mins",A1:CV300,22,FALSE)=0,0,HLOOKUP("SIB",A1:CV300,22,FALSE)/HLOOKUP("Mins",A1:CV300,22,FALSE)* 90)</f>
        <v>0.95846645367412142</v>
      </c>
      <c r="BD22" s="19868">
        <f>IF(HLOOKUP("Mins",A1:CV300,22,FALSE)=0,0,HLOOKUP("S6YD",A1:CV300,22,FALSE)/HLOOKUP("Mins",A1:CV300,22,FALSE)* 90)</f>
        <v>9.584664536741215E-2</v>
      </c>
      <c r="BE22" s="19869">
        <f>IF(HLOOKUP("Mins",A1:CV300,22,FALSE)=0,0,HLOOKUP("Headers",A1:CV300,22,FALSE)/HLOOKUP("Mins",A1:CV300,22,FALSE)* 90)</f>
        <v>0.28753993610223638</v>
      </c>
      <c r="BF22" s="19870">
        <f>IF(HLOOKUP("Mins",A1:CV300,22,FALSE)=0,0,HLOOKUP("SOT",A1:CV300,22,FALSE)/HLOOKUP("Mins",A1:CV300,22,FALSE)* 90)</f>
        <v>0.57507987220447276</v>
      </c>
      <c r="BG22" s="19871">
        <f>IF(HLOOKUP("Mins",A1:CV300,22,FALSE)=0,0,HLOOKUP("As",A1:CV300,22,FALSE)/HLOOKUP("Mins",A1:CV300,22,FALSE)* 90)</f>
        <v>0.1916932907348243</v>
      </c>
      <c r="BH22" s="19872">
        <f>IF(HLOOKUP("Mins",A1:CV300,22,FALSE)=0,0,HLOOKUP("FPL As",A1:CV300,22,FALSE)/HLOOKUP("Mins",A1:CV300,22,FALSE)* 90)</f>
        <v>0.28753993610223638</v>
      </c>
      <c r="BI22" s="19873">
        <f>IF(HLOOKUP("Mins",A1:CV300,22,FALSE)=0,0,HLOOKUP("BC Created",A1:CV300,22,FALSE)/HLOOKUP("Mins",A1:CV300,22,FALSE)* 90)</f>
        <v>0.1916932907348243</v>
      </c>
      <c r="BJ22" s="19874">
        <f>IF(HLOOKUP("Mins",A1:CV300,22,FALSE)=0,0,HLOOKUP("KP",A1:CV300,22,FALSE)/HLOOKUP("Mins",A1:CV300,22,FALSE)* 90)</f>
        <v>2.5878594249201279</v>
      </c>
      <c r="BK22" s="19875">
        <f>IF(HLOOKUP("Mins",A1:CV300,22,FALSE)=0,0,HLOOKUP("BC",A1:CV300,22,FALSE)/HLOOKUP("Mins",A1:CV300,22,FALSE)* 90)</f>
        <v>0.28753993610223638</v>
      </c>
      <c r="BL22" s="19876">
        <f>IF(HLOOKUP("Mins",A1:CV300,22,FALSE)=0,0,HLOOKUP("BC Miss",A1:CV300,22,FALSE)/HLOOKUP("Mins",A1:CV300,22,FALSE)* 90)</f>
        <v>0.28753993610223638</v>
      </c>
      <c r="BM22" s="19877">
        <f>IF(HLOOKUP("Mins",A1:CV300,22,FALSE)=0,0,HLOOKUP("Gs - BC",A1:CV300,22,FALSE)/HLOOKUP("Mins",A1:CV300,22,FALSE)* 90)</f>
        <v>0</v>
      </c>
      <c r="BN22" s="19878">
        <f>IF(HLOOKUP("Mins",A1:CV300,22,FALSE)=0,0,HLOOKUP("GIB",A1:CV300,22,FALSE)/HLOOKUP("Mins",A1:CV300,22,FALSE)* 90)</f>
        <v>0</v>
      </c>
      <c r="BO22" s="19879">
        <f>IF(HLOOKUP("Mins",A1:CV300,22,FALSE)=0,0,HLOOKUP("Gs - Open",A1:CV300,22,FALSE)/HLOOKUP("Mins",A1:CV300,22,FALSE)* 90)</f>
        <v>0</v>
      </c>
      <c r="BP22" s="19880">
        <f>IF(HLOOKUP("Mins",A1:CV300,22,FALSE)=0,0,HLOOKUP("ICT Index",A1:CV300,22,FALSE)/HLOOKUP("Mins",A1:CV300,22,FALSE)* 90)</f>
        <v>7.6677316293929714</v>
      </c>
      <c r="BQ22" s="19881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  <v>0.16370607028753995</v>
      </c>
      <c r="BR22" s="19882">
        <f>0.0885*HLOOKUP("KP/90",A1:CV300,22,FALSE)</f>
        <v>0.22902555910543129</v>
      </c>
      <c r="BS22" s="19883">
        <f>5*HLOOKUP("xG/90",A1:CV300,22,FALSE)+3*HLOOKUP("xA/90",A1:CV300,22,FALSE)</f>
        <v>1.5056070287539935</v>
      </c>
      <c r="BT22" s="19884">
        <f>HLOOKUP("xPts/90",A1:CV300,22,FALSE)-(5*0.75*(HLOOKUP("PK Gs",A1:CV300,22,FALSE)+HLOOKUP("PK Miss",A1:CV300,22,FALSE))*90/HLOOKUP("Mins",A1:CV300,22,FALSE))</f>
        <v>1.5056070287539935</v>
      </c>
      <c r="BU22" s="19885">
        <f>IF(HLOOKUP("Mins",A1:CV300,22,FALSE)=0,0,HLOOKUP("fsXG",A1:CV300,22,FALSE)/HLOOKUP("Mins",A1:CV300,22,FALSE)* 90)</f>
        <v>0.17060702875399361</v>
      </c>
      <c r="BV22" s="19886">
        <f>IF(HLOOKUP("Mins",A1:CV300,22,FALSE)=0,0,HLOOKUP("fsXA",A1:CV300,22,FALSE)/HLOOKUP("Mins",A1:CV300,22,FALSE)* 90)</f>
        <v>0.14568690095846645</v>
      </c>
      <c r="BW22" s="19887">
        <f>5*HLOOKUP("fsXG/90",A1:CV300,22,FALSE)+3*HLOOKUP("fsXA/90",A1:CV300,22,FALSE)</f>
        <v>1.2900958466453674</v>
      </c>
      <c r="BX22" s="19888">
        <v>0.1697753518819809</v>
      </c>
      <c r="BY22" s="19889">
        <v>0.18627750873565674</v>
      </c>
      <c r="BZ22" s="19890">
        <f>5*HLOOKUP("uXG/90",A1:CV300,22,FALSE)+3*HLOOKUP("uXA/90",A1:CV300,22,FALSE)</f>
        <v>1.4077092856168747</v>
      </c>
    </row>
    <row r="23" spans="1:78" x14ac:dyDescent="0.3">
      <c r="A23" s="19891" t="s">
        <v>350</v>
      </c>
      <c r="B23" s="19892" t="s">
        <v>93</v>
      </c>
      <c r="C23" s="19893">
        <v>4.6999998092651367</v>
      </c>
      <c r="D23" s="19894">
        <v>57</v>
      </c>
      <c r="E23" s="19895">
        <v>3</v>
      </c>
      <c r="F23" s="19896">
        <v>3</v>
      </c>
      <c r="G23" s="19897">
        <v>0</v>
      </c>
      <c r="H23" s="19898">
        <v>0</v>
      </c>
      <c r="I23" s="19899">
        <v>9</v>
      </c>
      <c r="J23" s="19900">
        <f>HLOOKUP("BPS",A1:CV300,23,FALSE)-((-6*HLOOKUP("OG",A1:CV300,23,FALSE))+(-6*HLOOKUP("PK Miss",A1:CV300,23,FALSE))+(9*HLOOKUP("FPL As",A1:CV300,23,FALSE))+(0*HLOOKUP("CS",A1:CV300,23,FALSE))+(18*HLOOKUP("Gs",A1:CV300,23,FALSE)))</f>
        <v>9</v>
      </c>
      <c r="K23" s="19901">
        <v>0</v>
      </c>
      <c r="L23" s="19902">
        <v>0</v>
      </c>
      <c r="M23" s="19903">
        <v>0</v>
      </c>
      <c r="N23" s="19904">
        <v>0</v>
      </c>
      <c r="O23" s="19905">
        <v>0</v>
      </c>
      <c r="P23" s="19906">
        <f>IF(HLOOKUP("Shots",A1:CV300,23,FALSE)=0,0,HLOOKUP("SIB",A1:CV300,23,FALSE)/HLOOKUP("Shots",A1:CV300,23,FALSE))</f>
        <v>0</v>
      </c>
      <c r="Q23" s="19907">
        <v>0</v>
      </c>
      <c r="R23" s="19908">
        <f>IF(HLOOKUP("Shots",A1:CV300,23,FALSE)=0,0,HLOOKUP("S6YD",A1:CV300,23,FALSE)/HLOOKUP("Shots",A1:CV300,23,FALSE))</f>
        <v>0</v>
      </c>
      <c r="S23" s="19909">
        <v>0</v>
      </c>
      <c r="T23" s="19910">
        <f>IF(HLOOKUP("Shots",A1:CV300,23,FALSE)=0,0,HLOOKUP("Headers",A1:CV300,23,FALSE)/HLOOKUP("Shots",A1:CV300,23,FALSE))</f>
        <v>0</v>
      </c>
      <c r="U23" s="19911">
        <v>0</v>
      </c>
      <c r="V23" s="19912">
        <f>IF(HLOOKUP("Shots",A1:CV300,23,FALSE)=0,0,HLOOKUP("SOT",A1:CV300,23,FALSE)/HLOOKUP("Shots",A1:CV300,23,FALSE))</f>
        <v>0</v>
      </c>
      <c r="W23" s="19913">
        <f>IF(HLOOKUP("Shots",A1:CV300,23,FALSE)=0,0,HLOOKUP("Gs",A1:CV300,23,FALSE)/HLOOKUP("Shots",A1:CV300,23,FALSE))</f>
        <v>0</v>
      </c>
      <c r="X23" s="19914">
        <v>0</v>
      </c>
      <c r="Y23" s="19915">
        <v>0</v>
      </c>
      <c r="Z23" s="19916">
        <v>0</v>
      </c>
      <c r="AA23" s="19917">
        <f>IF(HLOOKUP("KP",A1:CV300,23,FALSE)=0,0,HLOOKUP("As",A1:CV300,23,FALSE)/HLOOKUP("KP",A1:CV300,23,FALSE))</f>
        <v>0</v>
      </c>
      <c r="AB23" s="19918">
        <v>0.9</v>
      </c>
      <c r="AC23" s="19919">
        <v>0</v>
      </c>
      <c r="AD23" s="19920">
        <v>0</v>
      </c>
      <c r="AE23" s="19921">
        <v>0</v>
      </c>
      <c r="AF23" s="19922">
        <v>0</v>
      </c>
      <c r="AG23" s="19923">
        <f>IF(HLOOKUP("BC",A1:CV300,23,FALSE)=0,0,HLOOKUP("Gs - BC",A1:CV300,23,FALSE)/HLOOKUP("BC",A1:CV300,23,FALSE))</f>
        <v>0</v>
      </c>
      <c r="AH23" s="19924">
        <f>HLOOKUP("BC",A1:CV300,23,FALSE) - HLOOKUP("BC Miss",A1:CV300,23,FALSE)</f>
        <v>0</v>
      </c>
      <c r="AI23" s="19925">
        <f>IF(HLOOKUP("Gs",A1:CV300,23,FALSE)=0,0,HLOOKUP("Gs - BC",A1:CV300,23,FALSE)/HLOOKUP("Gs",A1:CV300,23,FALSE))</f>
        <v>0</v>
      </c>
      <c r="AJ23" s="19926">
        <v>0</v>
      </c>
      <c r="AK23" s="19927">
        <v>0</v>
      </c>
      <c r="AL23" s="19928">
        <f>HLOOKUP("BC",A1:CV300,23,FALSE) - (HLOOKUP("PK Gs",A1:CV300,23,FALSE) + HLOOKUP("PK Miss",A1:CV300,23,FALSE))</f>
        <v>0</v>
      </c>
      <c r="AM23" s="19929">
        <f>HLOOKUP("BC Miss",A1:CV300,23,FALSE) - HLOOKUP("PK Miss",A1:CV300,23,FALSE)</f>
        <v>0</v>
      </c>
      <c r="AN23" s="19930">
        <f>IF(HLOOKUP("BC - Open",A1:CV300,23,FALSE)=0,0,HLOOKUP("BC - Open Miss",A1:CV300,23,FALSE)/HLOOKUP("BC - Open",A1:CV300,23,FALSE))</f>
        <v>0</v>
      </c>
      <c r="AO23" s="19931">
        <v>0</v>
      </c>
      <c r="AP23" s="19932">
        <f>IF(HLOOKUP("Gs",A1:CV300,23,FALSE)=0,0,HLOOKUP("GIB",A1:CV300,23,FALSE)/HLOOKUP("Gs",A1:CV300,23,FALSE))</f>
        <v>0</v>
      </c>
      <c r="AQ23" s="19933">
        <v>0</v>
      </c>
      <c r="AR23" s="19934">
        <f>IF(HLOOKUP("Gs",A1:CV300,23,FALSE)=0,0,HLOOKUP("Gs - Open",A1:CV300,23,FALSE)/HLOOKUP("Gs",A1:CV300,23,FALSE))</f>
        <v>0</v>
      </c>
      <c r="AS23" s="19935">
        <v>0</v>
      </c>
      <c r="AT23" s="19936">
        <v>0.02</v>
      </c>
      <c r="AU23" s="19937">
        <f>IF(HLOOKUP("Mins",A1:CV300,23,FALSE)=0,0,HLOOKUP("Pts",A1:CV300,23,FALSE)/HLOOKUP("Mins",A1:CV300,23,FALSE)* 90)</f>
        <v>4.7368421052631575</v>
      </c>
      <c r="AV23" s="19938">
        <f>IF(HLOOKUP("Apps",A1:CV300,23,FALSE)=0,0,HLOOKUP("Pts",A1:CV300,23,FALSE)/HLOOKUP("Apps",A1:CV300,23,FALSE)* 1)</f>
        <v>1</v>
      </c>
      <c r="AW23" s="19939">
        <f>IF(HLOOKUP("Mins",A1:CV300,23,FALSE)=0,0,HLOOKUP("Gs",A1:CV300,23,FALSE)/HLOOKUP("Mins",A1:CV300,23,FALSE)* 90)</f>
        <v>0</v>
      </c>
      <c r="AX23" s="19940">
        <f>IF(HLOOKUP("Mins",A1:CV300,23,FALSE)=0,0,HLOOKUP("Bonus",A1:CV300,23,FALSE)/HLOOKUP("Mins",A1:CV300,23,FALSE)* 90)</f>
        <v>0</v>
      </c>
      <c r="AY23" s="19941">
        <f>IF(HLOOKUP("Mins",A1:CV300,23,FALSE)=0,0,HLOOKUP("BPS",A1:CV300,23,FALSE)/HLOOKUP("Mins",A1:CV300,23,FALSE)* 90)</f>
        <v>14.210526315789473</v>
      </c>
      <c r="AZ23" s="19942">
        <f>IF(HLOOKUP("Mins",A1:CV300,23,FALSE)=0,0,HLOOKUP("Base BPS",A1:CV300,23,FALSE)/HLOOKUP("Mins",A1:CV300,23,FALSE)* 90)</f>
        <v>14.210526315789473</v>
      </c>
      <c r="BA23" s="19943">
        <f>IF(HLOOKUP("Mins",A1:CV300,23,FALSE)=0,0,HLOOKUP("PenTchs",A1:CV300,23,FALSE)/HLOOKUP("Mins",A1:CV300,23,FALSE)* 90)</f>
        <v>0</v>
      </c>
      <c r="BB23" s="19944">
        <f>IF(HLOOKUP("Mins",A1:CV300,23,FALSE)=0,0,HLOOKUP("Shots",A1:CV300,23,FALSE)/HLOOKUP("Mins",A1:CV300,23,FALSE)* 90)</f>
        <v>0</v>
      </c>
      <c r="BC23" s="19945">
        <f>IF(HLOOKUP("Mins",A1:CV300,23,FALSE)=0,0,HLOOKUP("SIB",A1:CV300,23,FALSE)/HLOOKUP("Mins",A1:CV300,23,FALSE)* 90)</f>
        <v>0</v>
      </c>
      <c r="BD23" s="19946">
        <f>IF(HLOOKUP("Mins",A1:CV300,23,FALSE)=0,0,HLOOKUP("S6YD",A1:CV300,23,FALSE)/HLOOKUP("Mins",A1:CV300,23,FALSE)* 90)</f>
        <v>0</v>
      </c>
      <c r="BE23" s="19947">
        <f>IF(HLOOKUP("Mins",A1:CV300,23,FALSE)=0,0,HLOOKUP("Headers",A1:CV300,23,FALSE)/HLOOKUP("Mins",A1:CV300,23,FALSE)* 90)</f>
        <v>0</v>
      </c>
      <c r="BF23" s="19948">
        <f>IF(HLOOKUP("Mins",A1:CV300,23,FALSE)=0,0,HLOOKUP("SOT",A1:CV300,23,FALSE)/HLOOKUP("Mins",A1:CV300,23,FALSE)* 90)</f>
        <v>0</v>
      </c>
      <c r="BG23" s="19949">
        <f>IF(HLOOKUP("Mins",A1:CV300,23,FALSE)=0,0,HLOOKUP("As",A1:CV300,23,FALSE)/HLOOKUP("Mins",A1:CV300,23,FALSE)* 90)</f>
        <v>0</v>
      </c>
      <c r="BH23" s="19950">
        <f>IF(HLOOKUP("Mins",A1:CV300,23,FALSE)=0,0,HLOOKUP("FPL As",A1:CV300,23,FALSE)/HLOOKUP("Mins",A1:CV300,23,FALSE)* 90)</f>
        <v>0</v>
      </c>
      <c r="BI23" s="19951">
        <f>IF(HLOOKUP("Mins",A1:CV300,23,FALSE)=0,0,HLOOKUP("BC Created",A1:CV300,23,FALSE)/HLOOKUP("Mins",A1:CV300,23,FALSE)* 90)</f>
        <v>0</v>
      </c>
      <c r="BJ23" s="19952">
        <f>IF(HLOOKUP("Mins",A1:CV300,23,FALSE)=0,0,HLOOKUP("KP",A1:CV300,23,FALSE)/HLOOKUP("Mins",A1:CV300,23,FALSE)* 90)</f>
        <v>0</v>
      </c>
      <c r="BK23" s="19953">
        <f>IF(HLOOKUP("Mins",A1:CV300,23,FALSE)=0,0,HLOOKUP("BC",A1:CV300,23,FALSE)/HLOOKUP("Mins",A1:CV300,23,FALSE)* 90)</f>
        <v>0</v>
      </c>
      <c r="BL23" s="19954">
        <f>IF(HLOOKUP("Mins",A1:CV300,23,FALSE)=0,0,HLOOKUP("BC Miss",A1:CV300,23,FALSE)/HLOOKUP("Mins",A1:CV300,23,FALSE)* 90)</f>
        <v>0</v>
      </c>
      <c r="BM23" s="19955">
        <f>IF(HLOOKUP("Mins",A1:CV300,23,FALSE)=0,0,HLOOKUP("Gs - BC",A1:CV300,23,FALSE)/HLOOKUP("Mins",A1:CV300,23,FALSE)* 90)</f>
        <v>0</v>
      </c>
      <c r="BN23" s="19956">
        <f>IF(HLOOKUP("Mins",A1:CV300,23,FALSE)=0,0,HLOOKUP("GIB",A1:CV300,23,FALSE)/HLOOKUP("Mins",A1:CV300,23,FALSE)* 90)</f>
        <v>0</v>
      </c>
      <c r="BO23" s="19957">
        <f>IF(HLOOKUP("Mins",A1:CV300,23,FALSE)=0,0,HLOOKUP("Gs - Open",A1:CV300,23,FALSE)/HLOOKUP("Mins",A1:CV300,23,FALSE)* 90)</f>
        <v>0</v>
      </c>
      <c r="BP23" s="19958">
        <f>IF(HLOOKUP("Mins",A1:CV300,23,FALSE)=0,0,HLOOKUP("ICT Index",A1:CV300,23,FALSE)/HLOOKUP("Mins",A1:CV300,23,FALSE)* 90)</f>
        <v>1.4210526315789473</v>
      </c>
      <c r="BQ23" s="19959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  <v>0</v>
      </c>
      <c r="BR23" s="19960">
        <f>0.0885*HLOOKUP("KP/90",A1:CV300,23,FALSE)</f>
        <v>0</v>
      </c>
      <c r="BS23" s="19961">
        <f>5*HLOOKUP("xG/90",A1:CV300,23,FALSE)+3*HLOOKUP("xA/90",A1:CV300,23,FALSE)</f>
        <v>0</v>
      </c>
      <c r="BT23" s="19962">
        <f>HLOOKUP("xPts/90",A1:CV300,23,FALSE)-(5*0.75*(HLOOKUP("PK Gs",A1:CV300,23,FALSE)+HLOOKUP("PK Miss",A1:CV300,23,FALSE))*90/HLOOKUP("Mins",A1:CV300,23,FALSE))</f>
        <v>0</v>
      </c>
      <c r="BU23" s="19963">
        <f>IF(HLOOKUP("Mins",A1:CV300,23,FALSE)=0,0,HLOOKUP("fsXG",A1:CV300,23,FALSE)/HLOOKUP("Mins",A1:CV300,23,FALSE)* 90)</f>
        <v>0</v>
      </c>
      <c r="BV23" s="19964">
        <f>IF(HLOOKUP("Mins",A1:CV300,23,FALSE)=0,0,HLOOKUP("fsXA",A1:CV300,23,FALSE)/HLOOKUP("Mins",A1:CV300,23,FALSE)* 90)</f>
        <v>3.1578947368421054E-2</v>
      </c>
      <c r="BW23" s="19965">
        <f>5*HLOOKUP("fsXG/90",A1:CV300,23,FALSE)+3*HLOOKUP("fsXA/90",A1:CV300,23,FALSE)</f>
        <v>9.4736842105263161E-2</v>
      </c>
      <c r="BX23" s="19966">
        <v>0</v>
      </c>
      <c r="BY23" s="19967">
        <v>0</v>
      </c>
      <c r="BZ23" s="19968">
        <f>5*HLOOKUP("uXG/90",A1:CV300,23,FALSE)+3*HLOOKUP("uXA/90",A1:CV300,23,FALSE)</f>
        <v>0</v>
      </c>
    </row>
    <row r="24" spans="1:78" x14ac:dyDescent="0.3">
      <c r="A24" s="19969" t="s">
        <v>351</v>
      </c>
      <c r="B24" s="19970" t="s">
        <v>91</v>
      </c>
      <c r="C24" s="19971">
        <v>5.0999999046325684</v>
      </c>
      <c r="D24" s="19972">
        <v>929</v>
      </c>
      <c r="E24" s="19973">
        <v>16</v>
      </c>
      <c r="F24" s="19974">
        <v>23</v>
      </c>
      <c r="G24" s="19975">
        <v>0</v>
      </c>
      <c r="H24" s="19976">
        <v>0</v>
      </c>
      <c r="I24" s="19977">
        <v>73</v>
      </c>
      <c r="J24" s="19978">
        <f>HLOOKUP("BPS",A1:CV300,24,FALSE)-((-6*HLOOKUP("OG",A1:CV300,24,FALSE))+(-6*HLOOKUP("PK Miss",A1:CV300,24,FALSE))+(9*HLOOKUP("FPL As",A1:CV300,24,FALSE))+(0*HLOOKUP("CS",A1:CV300,24,FALSE))+(18*HLOOKUP("Gs",A1:CV300,24,FALSE)))</f>
        <v>73</v>
      </c>
      <c r="K24" s="19979">
        <v>0</v>
      </c>
      <c r="L24" s="19980">
        <v>1</v>
      </c>
      <c r="M24" s="19981">
        <v>40</v>
      </c>
      <c r="N24" s="19982">
        <v>18</v>
      </c>
      <c r="O24" s="19983">
        <v>10</v>
      </c>
      <c r="P24" s="19984">
        <f>IF(HLOOKUP("Shots",A1:CV300,24,FALSE)=0,0,HLOOKUP("SIB",A1:CV300,24,FALSE)/HLOOKUP("Shots",A1:CV300,24,FALSE))</f>
        <v>0.55555555555555558</v>
      </c>
      <c r="Q24" s="19985">
        <v>1</v>
      </c>
      <c r="R24" s="19986">
        <f>IF(HLOOKUP("Shots",A1:CV300,24,FALSE)=0,0,HLOOKUP("S6YD",A1:CV300,24,FALSE)/HLOOKUP("Shots",A1:CV300,24,FALSE))</f>
        <v>5.5555555555555552E-2</v>
      </c>
      <c r="S24" s="19987">
        <v>0</v>
      </c>
      <c r="T24" s="19988">
        <f>IF(HLOOKUP("Shots",A1:CV300,24,FALSE)=0,0,HLOOKUP("Headers",A1:CV300,24,FALSE)/HLOOKUP("Shots",A1:CV300,24,FALSE))</f>
        <v>0</v>
      </c>
      <c r="U24" s="19989">
        <v>6</v>
      </c>
      <c r="V24" s="19990">
        <f>IF(HLOOKUP("Shots",A1:CV300,24,FALSE)=0,0,HLOOKUP("SOT",A1:CV300,24,FALSE)/HLOOKUP("Shots",A1:CV300,24,FALSE))</f>
        <v>0.33333333333333331</v>
      </c>
      <c r="W24" s="19991">
        <f>IF(HLOOKUP("Shots",A1:CV300,24,FALSE)=0,0,HLOOKUP("Gs",A1:CV300,24,FALSE)/HLOOKUP("Shots",A1:CV300,24,FALSE))</f>
        <v>0</v>
      </c>
      <c r="X24" s="19992">
        <v>0</v>
      </c>
      <c r="Y24" s="19993">
        <v>0</v>
      </c>
      <c r="Z24" s="19994">
        <v>10</v>
      </c>
      <c r="AA24" s="19995">
        <f>IF(HLOOKUP("KP",A1:CV300,24,FALSE)=0,0,HLOOKUP("As",A1:CV300,24,FALSE)/HLOOKUP("KP",A1:CV300,24,FALSE))</f>
        <v>0</v>
      </c>
      <c r="AB24" s="19996">
        <v>49.6</v>
      </c>
      <c r="AC24" s="19997">
        <v>0</v>
      </c>
      <c r="AD24" s="19998">
        <v>1</v>
      </c>
      <c r="AE24" s="19999">
        <v>0</v>
      </c>
      <c r="AF24" s="20000">
        <v>0</v>
      </c>
      <c r="AG24" s="20001">
        <f>IF(HLOOKUP("BC",A1:CV300,24,FALSE)=0,0,HLOOKUP("Gs - BC",A1:CV300,24,FALSE)/HLOOKUP("BC",A1:CV300,24,FALSE))</f>
        <v>0</v>
      </c>
      <c r="AH24" s="20002">
        <f>HLOOKUP("BC",A1:CV300,24,FALSE) - HLOOKUP("BC Miss",A1:CV300,24,FALSE)</f>
        <v>0</v>
      </c>
      <c r="AI24" s="20003">
        <f>IF(HLOOKUP("Gs",A1:CV300,24,FALSE)=0,0,HLOOKUP("Gs - BC",A1:CV300,24,FALSE)/HLOOKUP("Gs",A1:CV300,24,FALSE))</f>
        <v>0</v>
      </c>
      <c r="AJ24" s="20004">
        <v>0</v>
      </c>
      <c r="AK24" s="20005">
        <v>0</v>
      </c>
      <c r="AL24" s="20006">
        <f>HLOOKUP("BC",A1:CV300,24,FALSE) - (HLOOKUP("PK Gs",A1:CV300,24,FALSE) + HLOOKUP("PK Miss",A1:CV300,24,FALSE))</f>
        <v>0</v>
      </c>
      <c r="AM24" s="20007">
        <f>HLOOKUP("BC Miss",A1:CV300,24,FALSE) - HLOOKUP("PK Miss",A1:CV300,24,FALSE)</f>
        <v>0</v>
      </c>
      <c r="AN24" s="20008">
        <f>IF(HLOOKUP("BC - Open",A1:CV300,24,FALSE)=0,0,HLOOKUP("BC - Open Miss",A1:CV300,24,FALSE)/HLOOKUP("BC - Open",A1:CV300,24,FALSE))</f>
        <v>0</v>
      </c>
      <c r="AO24" s="20009">
        <v>0</v>
      </c>
      <c r="AP24" s="20010">
        <f>IF(HLOOKUP("Gs",A1:CV300,24,FALSE)=0,0,HLOOKUP("GIB",A1:CV300,24,FALSE)/HLOOKUP("Gs",A1:CV300,24,FALSE))</f>
        <v>0</v>
      </c>
      <c r="AQ24" s="20011">
        <v>0</v>
      </c>
      <c r="AR24" s="20012">
        <f>IF(HLOOKUP("Gs",A1:CV300,24,FALSE)=0,0,HLOOKUP("Gs - Open",A1:CV300,24,FALSE)/HLOOKUP("Gs",A1:CV300,24,FALSE))</f>
        <v>0</v>
      </c>
      <c r="AS24" s="20013">
        <v>1.36</v>
      </c>
      <c r="AT24" s="20014">
        <v>0.77</v>
      </c>
      <c r="AU24" s="20015">
        <f>IF(HLOOKUP("Mins",A1:CV300,24,FALSE)=0,0,HLOOKUP("Pts",A1:CV300,24,FALSE)/HLOOKUP("Mins",A1:CV300,24,FALSE)* 90)</f>
        <v>2.2282023681377825</v>
      </c>
      <c r="AV24" s="20016">
        <f>IF(HLOOKUP("Apps",A1:CV300,24,FALSE)=0,0,HLOOKUP("Pts",A1:CV300,24,FALSE)/HLOOKUP("Apps",A1:CV300,24,FALSE)* 1)</f>
        <v>1.4375</v>
      </c>
      <c r="AW24" s="20017">
        <f>IF(HLOOKUP("Mins",A1:CV300,24,FALSE)=0,0,HLOOKUP("Gs",A1:CV300,24,FALSE)/HLOOKUP("Mins",A1:CV300,24,FALSE)* 90)</f>
        <v>0</v>
      </c>
      <c r="AX24" s="20018">
        <f>IF(HLOOKUP("Mins",A1:CV300,24,FALSE)=0,0,HLOOKUP("Bonus",A1:CV300,24,FALSE)/HLOOKUP("Mins",A1:CV300,24,FALSE)* 90)</f>
        <v>0</v>
      </c>
      <c r="AY24" s="20019">
        <f>IF(HLOOKUP("Mins",A1:CV300,24,FALSE)=0,0,HLOOKUP("BPS",A1:CV300,24,FALSE)/HLOOKUP("Mins",A1:CV300,24,FALSE)* 90)</f>
        <v>7.0721205597416583</v>
      </c>
      <c r="AZ24" s="20020">
        <f>IF(HLOOKUP("Mins",A1:CV300,24,FALSE)=0,0,HLOOKUP("Base BPS",A1:CV300,24,FALSE)/HLOOKUP("Mins",A1:CV300,24,FALSE)* 90)</f>
        <v>7.0721205597416583</v>
      </c>
      <c r="BA24" s="20021">
        <f>IF(HLOOKUP("Mins",A1:CV300,24,FALSE)=0,0,HLOOKUP("PenTchs",A1:CV300,24,FALSE)/HLOOKUP("Mins",A1:CV300,24,FALSE)* 90)</f>
        <v>3.8751345532831003</v>
      </c>
      <c r="BB24" s="20022">
        <f>IF(HLOOKUP("Mins",A1:CV300,24,FALSE)=0,0,HLOOKUP("Shots",A1:CV300,24,FALSE)/HLOOKUP("Mins",A1:CV300,24,FALSE)* 90)</f>
        <v>1.743810548977395</v>
      </c>
      <c r="BC24" s="20023">
        <f>IF(HLOOKUP("Mins",A1:CV300,24,FALSE)=0,0,HLOOKUP("SIB",A1:CV300,24,FALSE)/HLOOKUP("Mins",A1:CV300,24,FALSE)* 90)</f>
        <v>0.96878363832077508</v>
      </c>
      <c r="BD24" s="20024">
        <f>IF(HLOOKUP("Mins",A1:CV300,24,FALSE)=0,0,HLOOKUP("S6YD",A1:CV300,24,FALSE)/HLOOKUP("Mins",A1:CV300,24,FALSE)* 90)</f>
        <v>9.6878363832077499E-2</v>
      </c>
      <c r="BE24" s="20025">
        <f>IF(HLOOKUP("Mins",A1:CV300,24,FALSE)=0,0,HLOOKUP("Headers",A1:CV300,24,FALSE)/HLOOKUP("Mins",A1:CV300,24,FALSE)* 90)</f>
        <v>0</v>
      </c>
      <c r="BF24" s="20026">
        <f>IF(HLOOKUP("Mins",A1:CV300,24,FALSE)=0,0,HLOOKUP("SOT",A1:CV300,24,FALSE)/HLOOKUP("Mins",A1:CV300,24,FALSE)* 90)</f>
        <v>0.58127018299246502</v>
      </c>
      <c r="BG24" s="20027">
        <f>IF(HLOOKUP("Mins",A1:CV300,24,FALSE)=0,0,HLOOKUP("As",A1:CV300,24,FALSE)/HLOOKUP("Mins",A1:CV300,24,FALSE)* 90)</f>
        <v>0</v>
      </c>
      <c r="BH24" s="20028">
        <f>IF(HLOOKUP("Mins",A1:CV300,24,FALSE)=0,0,HLOOKUP("FPL As",A1:CV300,24,FALSE)/HLOOKUP("Mins",A1:CV300,24,FALSE)* 90)</f>
        <v>0</v>
      </c>
      <c r="BI24" s="20029">
        <f>IF(HLOOKUP("Mins",A1:CV300,24,FALSE)=0,0,HLOOKUP("BC Created",A1:CV300,24,FALSE)/HLOOKUP("Mins",A1:CV300,24,FALSE)* 90)</f>
        <v>9.6878363832077499E-2</v>
      </c>
      <c r="BJ24" s="20030">
        <f>IF(HLOOKUP("Mins",A1:CV300,24,FALSE)=0,0,HLOOKUP("KP",A1:CV300,24,FALSE)/HLOOKUP("Mins",A1:CV300,24,FALSE)* 90)</f>
        <v>0.96878363832077508</v>
      </c>
      <c r="BK24" s="20031">
        <f>IF(HLOOKUP("Mins",A1:CV300,24,FALSE)=0,0,HLOOKUP("BC",A1:CV300,24,FALSE)/HLOOKUP("Mins",A1:CV300,24,FALSE)* 90)</f>
        <v>0</v>
      </c>
      <c r="BL24" s="20032">
        <f>IF(HLOOKUP("Mins",A1:CV300,24,FALSE)=0,0,HLOOKUP("BC Miss",A1:CV300,24,FALSE)/HLOOKUP("Mins",A1:CV300,24,FALSE)* 90)</f>
        <v>0</v>
      </c>
      <c r="BM24" s="20033">
        <f>IF(HLOOKUP("Mins",A1:CV300,24,FALSE)=0,0,HLOOKUP("Gs - BC",A1:CV300,24,FALSE)/HLOOKUP("Mins",A1:CV300,24,FALSE)* 90)</f>
        <v>0</v>
      </c>
      <c r="BN24" s="20034">
        <f>IF(HLOOKUP("Mins",A1:CV300,24,FALSE)=0,0,HLOOKUP("GIB",A1:CV300,24,FALSE)/HLOOKUP("Mins",A1:CV300,24,FALSE)* 90)</f>
        <v>0</v>
      </c>
      <c r="BO24" s="20035">
        <f>IF(HLOOKUP("Mins",A1:CV300,24,FALSE)=0,0,HLOOKUP("Gs - Open",A1:CV300,24,FALSE)/HLOOKUP("Mins",A1:CV300,24,FALSE)* 90)</f>
        <v>0</v>
      </c>
      <c r="BP24" s="20036">
        <f>IF(HLOOKUP("Mins",A1:CV300,24,FALSE)=0,0,HLOOKUP("ICT Index",A1:CV300,24,FALSE)/HLOOKUP("Mins",A1:CV300,24,FALSE)* 90)</f>
        <v>4.8051668460710442</v>
      </c>
      <c r="BQ24" s="20037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  <v>0.16546824542518837</v>
      </c>
      <c r="BR24" s="20038">
        <f>0.0885*HLOOKUP("KP/90",A1:CV300,24,FALSE)</f>
        <v>8.5737351991388586E-2</v>
      </c>
      <c r="BS24" s="20039">
        <f>5*HLOOKUP("xG/90",A1:CV300,24,FALSE)+3*HLOOKUP("xA/90",A1:CV300,24,FALSE)</f>
        <v>1.0845532831001075</v>
      </c>
      <c r="BT24" s="20040">
        <f>HLOOKUP("xPts/90",A1:CV300,24,FALSE)-(5*0.75*(HLOOKUP("PK Gs",A1:CV300,24,FALSE)+HLOOKUP("PK Miss",A1:CV300,24,FALSE))*90/HLOOKUP("Mins",A1:CV300,24,FALSE))</f>
        <v>1.0845532831001075</v>
      </c>
      <c r="BU24" s="20041">
        <f>IF(HLOOKUP("Mins",A1:CV300,24,FALSE)=0,0,HLOOKUP("fsXG",A1:CV300,24,FALSE)/HLOOKUP("Mins",A1:CV300,24,FALSE)* 90)</f>
        <v>0.13175457481162542</v>
      </c>
      <c r="BV24" s="20042">
        <f>IF(HLOOKUP("Mins",A1:CV300,24,FALSE)=0,0,HLOOKUP("fsXA",A1:CV300,24,FALSE)/HLOOKUP("Mins",A1:CV300,24,FALSE)* 90)</f>
        <v>7.4596340150699686E-2</v>
      </c>
      <c r="BW24" s="20043">
        <f>5*HLOOKUP("fsXG/90",A1:CV300,24,FALSE)+3*HLOOKUP("fsXA/90",A1:CV300,24,FALSE)</f>
        <v>0.88256189451022615</v>
      </c>
      <c r="BX24" s="20044">
        <v>0.11033479124307632</v>
      </c>
      <c r="BY24" s="20045">
        <v>7.8066281974315643E-2</v>
      </c>
      <c r="BZ24" s="20046">
        <f>5*HLOOKUP("uXG/90",A1:CV300,24,FALSE)+3*HLOOKUP("uXA/90",A1:CV300,24,FALSE)</f>
        <v>0.78587280213832855</v>
      </c>
    </row>
    <row r="25" spans="1:78" x14ac:dyDescent="0.3">
      <c r="A25" s="20047" t="s">
        <v>352</v>
      </c>
      <c r="B25" s="20048" t="s">
        <v>113</v>
      </c>
      <c r="C25" s="20049">
        <v>6</v>
      </c>
      <c r="D25" s="20050">
        <v>1113</v>
      </c>
      <c r="E25" s="20051">
        <v>20</v>
      </c>
      <c r="F25" s="20052">
        <v>51</v>
      </c>
      <c r="G25" s="20053">
        <v>1</v>
      </c>
      <c r="H25" s="20054">
        <v>3</v>
      </c>
      <c r="I25" s="20055">
        <v>177</v>
      </c>
      <c r="J25" s="20056">
        <f>HLOOKUP("BPS",A1:CV300,25,FALSE)-((-6*HLOOKUP("OG",A1:CV300,25,FALSE))+(-6*HLOOKUP("PK Miss",A1:CV300,25,FALSE))+(9*HLOOKUP("FPL As",A1:CV300,25,FALSE))+(0*HLOOKUP("CS",A1:CV300,25,FALSE))+(18*HLOOKUP("Gs",A1:CV300,25,FALSE)))</f>
        <v>132</v>
      </c>
      <c r="K25" s="20057">
        <v>0</v>
      </c>
      <c r="L25" s="20058">
        <v>4</v>
      </c>
      <c r="M25" s="20059">
        <v>30</v>
      </c>
      <c r="N25" s="20060">
        <v>21</v>
      </c>
      <c r="O25" s="20061">
        <v>15</v>
      </c>
      <c r="P25" s="20062">
        <f>IF(HLOOKUP("Shots",A1:CV300,25,FALSE)=0,0,HLOOKUP("SIB",A1:CV300,25,FALSE)/HLOOKUP("Shots",A1:CV300,25,FALSE))</f>
        <v>0.7142857142857143</v>
      </c>
      <c r="Q25" s="20063">
        <v>0</v>
      </c>
      <c r="R25" s="20064">
        <f>IF(HLOOKUP("Shots",A1:CV300,25,FALSE)=0,0,HLOOKUP("S6YD",A1:CV300,25,FALSE)/HLOOKUP("Shots",A1:CV300,25,FALSE))</f>
        <v>0</v>
      </c>
      <c r="S25" s="20065">
        <v>2</v>
      </c>
      <c r="T25" s="20066">
        <f>IF(HLOOKUP("Shots",A1:CV300,25,FALSE)=0,0,HLOOKUP("Headers",A1:CV300,25,FALSE)/HLOOKUP("Shots",A1:CV300,25,FALSE))</f>
        <v>9.5238095238095233E-2</v>
      </c>
      <c r="U25" s="20067">
        <v>6</v>
      </c>
      <c r="V25" s="20068">
        <f>IF(HLOOKUP("Shots",A1:CV300,25,FALSE)=0,0,HLOOKUP("SOT",A1:CV300,25,FALSE)/HLOOKUP("Shots",A1:CV300,25,FALSE))</f>
        <v>0.2857142857142857</v>
      </c>
      <c r="W25" s="20069">
        <f>IF(HLOOKUP("Shots",A1:CV300,25,FALSE)=0,0,HLOOKUP("Gs",A1:CV300,25,FALSE)/HLOOKUP("Shots",A1:CV300,25,FALSE))</f>
        <v>4.7619047619047616E-2</v>
      </c>
      <c r="X25" s="20070">
        <v>3</v>
      </c>
      <c r="Y25" s="20071">
        <v>3</v>
      </c>
      <c r="Z25" s="20072">
        <v>13</v>
      </c>
      <c r="AA25" s="20073">
        <f>IF(HLOOKUP("KP",A1:CV300,25,FALSE)=0,0,HLOOKUP("As",A1:CV300,25,FALSE)/HLOOKUP("KP",A1:CV300,25,FALSE))</f>
        <v>0.23076923076923078</v>
      </c>
      <c r="AB25" s="20074">
        <v>68</v>
      </c>
      <c r="AC25" s="20075">
        <v>27</v>
      </c>
      <c r="AD25" s="20076">
        <v>2</v>
      </c>
      <c r="AE25" s="20077">
        <v>0</v>
      </c>
      <c r="AF25" s="20078">
        <v>0</v>
      </c>
      <c r="AG25" s="20079">
        <f>IF(HLOOKUP("BC",A1:CV300,25,FALSE)=0,0,HLOOKUP("Gs - BC",A1:CV300,25,FALSE)/HLOOKUP("BC",A1:CV300,25,FALSE))</f>
        <v>0</v>
      </c>
      <c r="AH25" s="20080">
        <f>HLOOKUP("BC",A1:CV300,25,FALSE) - HLOOKUP("BC Miss",A1:CV300,25,FALSE)</f>
        <v>0</v>
      </c>
      <c r="AI25" s="20081">
        <f>IF(HLOOKUP("Gs",A1:CV300,25,FALSE)=0,0,HLOOKUP("Gs - BC",A1:CV300,25,FALSE)/HLOOKUP("Gs",A1:CV300,25,FALSE))</f>
        <v>0</v>
      </c>
      <c r="AJ25" s="20082">
        <v>0</v>
      </c>
      <c r="AK25" s="20083">
        <v>0</v>
      </c>
      <c r="AL25" s="20084">
        <f>HLOOKUP("BC",A1:CV300,25,FALSE) - (HLOOKUP("PK Gs",A1:CV300,25,FALSE) + HLOOKUP("PK Miss",A1:CV300,25,FALSE))</f>
        <v>0</v>
      </c>
      <c r="AM25" s="20085">
        <f>HLOOKUP("BC Miss",A1:CV300,25,FALSE) - HLOOKUP("PK Miss",A1:CV300,25,FALSE)</f>
        <v>0</v>
      </c>
      <c r="AN25" s="20086">
        <f>IF(HLOOKUP("BC - Open",A1:CV300,25,FALSE)=0,0,HLOOKUP("BC - Open Miss",A1:CV300,25,FALSE)/HLOOKUP("BC - Open",A1:CV300,25,FALSE))</f>
        <v>0</v>
      </c>
      <c r="AO25" s="20087">
        <v>1</v>
      </c>
      <c r="AP25" s="20088">
        <f>IF(HLOOKUP("Gs",A1:CV300,25,FALSE)=0,0,HLOOKUP("GIB",A1:CV300,25,FALSE)/HLOOKUP("Gs",A1:CV300,25,FALSE))</f>
        <v>1</v>
      </c>
      <c r="AQ25" s="20089">
        <v>1</v>
      </c>
      <c r="AR25" s="20090">
        <f>IF(HLOOKUP("Gs",A1:CV300,25,FALSE)=0,0,HLOOKUP("Gs - Open",A1:CV300,25,FALSE)/HLOOKUP("Gs",A1:CV300,25,FALSE))</f>
        <v>1</v>
      </c>
      <c r="AS25" s="20091">
        <v>1.19</v>
      </c>
      <c r="AT25" s="20092">
        <v>1.0900000000000001</v>
      </c>
      <c r="AU25" s="20093">
        <f>IF(HLOOKUP("Mins",A1:CV300,25,FALSE)=0,0,HLOOKUP("Pts",A1:CV300,25,FALSE)/HLOOKUP("Mins",A1:CV300,25,FALSE)* 90)</f>
        <v>4.1239892183288411</v>
      </c>
      <c r="AV25" s="20094">
        <f>IF(HLOOKUP("Apps",A1:CV300,25,FALSE)=0,0,HLOOKUP("Pts",A1:CV300,25,FALSE)/HLOOKUP("Apps",A1:CV300,25,FALSE)* 1)</f>
        <v>2.5499999999999998</v>
      </c>
      <c r="AW25" s="20095">
        <f>IF(HLOOKUP("Mins",A1:CV300,25,FALSE)=0,0,HLOOKUP("Gs",A1:CV300,25,FALSE)/HLOOKUP("Mins",A1:CV300,25,FALSE)* 90)</f>
        <v>8.086253369272238E-2</v>
      </c>
      <c r="AX25" s="20096">
        <f>IF(HLOOKUP("Mins",A1:CV300,25,FALSE)=0,0,HLOOKUP("Bonus",A1:CV300,25,FALSE)/HLOOKUP("Mins",A1:CV300,25,FALSE)* 90)</f>
        <v>0.24258760107816713</v>
      </c>
      <c r="AY25" s="20097">
        <f>IF(HLOOKUP("Mins",A1:CV300,25,FALSE)=0,0,HLOOKUP("BPS",A1:CV300,25,FALSE)/HLOOKUP("Mins",A1:CV300,25,FALSE)* 90)</f>
        <v>14.31266846361186</v>
      </c>
      <c r="AZ25" s="20098">
        <f>IF(HLOOKUP("Mins",A1:CV300,25,FALSE)=0,0,HLOOKUP("Base BPS",A1:CV300,25,FALSE)/HLOOKUP("Mins",A1:CV300,25,FALSE)* 90)</f>
        <v>10.673854447439354</v>
      </c>
      <c r="BA25" s="20099">
        <f>IF(HLOOKUP("Mins",A1:CV300,25,FALSE)=0,0,HLOOKUP("PenTchs",A1:CV300,25,FALSE)/HLOOKUP("Mins",A1:CV300,25,FALSE)* 90)</f>
        <v>2.4258760107816713</v>
      </c>
      <c r="BB25" s="20100">
        <f>IF(HLOOKUP("Mins",A1:CV300,25,FALSE)=0,0,HLOOKUP("Shots",A1:CV300,25,FALSE)/HLOOKUP("Mins",A1:CV300,25,FALSE)* 90)</f>
        <v>1.6981132075471697</v>
      </c>
      <c r="BC25" s="20101">
        <f>IF(HLOOKUP("Mins",A1:CV300,25,FALSE)=0,0,HLOOKUP("SIB",A1:CV300,25,FALSE)/HLOOKUP("Mins",A1:CV300,25,FALSE)* 90)</f>
        <v>1.2129380053908356</v>
      </c>
      <c r="BD25" s="20102">
        <f>IF(HLOOKUP("Mins",A1:CV300,25,FALSE)=0,0,HLOOKUP("S6YD",A1:CV300,25,FALSE)/HLOOKUP("Mins",A1:CV300,25,FALSE)* 90)</f>
        <v>0</v>
      </c>
      <c r="BE25" s="20103">
        <f>IF(HLOOKUP("Mins",A1:CV300,25,FALSE)=0,0,HLOOKUP("Headers",A1:CV300,25,FALSE)/HLOOKUP("Mins",A1:CV300,25,FALSE)* 90)</f>
        <v>0.16172506738544476</v>
      </c>
      <c r="BF25" s="20104">
        <f>IF(HLOOKUP("Mins",A1:CV300,25,FALSE)=0,0,HLOOKUP("SOT",A1:CV300,25,FALSE)/HLOOKUP("Mins",A1:CV300,25,FALSE)* 90)</f>
        <v>0.48517520215633425</v>
      </c>
      <c r="BG25" s="20105">
        <f>IF(HLOOKUP("Mins",A1:CV300,25,FALSE)=0,0,HLOOKUP("As",A1:CV300,25,FALSE)/HLOOKUP("Mins",A1:CV300,25,FALSE)* 90)</f>
        <v>0.24258760107816713</v>
      </c>
      <c r="BH25" s="20106">
        <f>IF(HLOOKUP("Mins",A1:CV300,25,FALSE)=0,0,HLOOKUP("FPL As",A1:CV300,25,FALSE)/HLOOKUP("Mins",A1:CV300,25,FALSE)* 90)</f>
        <v>0.24258760107816713</v>
      </c>
      <c r="BI25" s="20107">
        <f>IF(HLOOKUP("Mins",A1:CV300,25,FALSE)=0,0,HLOOKUP("BC Created",A1:CV300,25,FALSE)/HLOOKUP("Mins",A1:CV300,25,FALSE)* 90)</f>
        <v>0.16172506738544476</v>
      </c>
      <c r="BJ25" s="20108">
        <f>IF(HLOOKUP("Mins",A1:CV300,25,FALSE)=0,0,HLOOKUP("KP",A1:CV300,25,FALSE)/HLOOKUP("Mins",A1:CV300,25,FALSE)* 90)</f>
        <v>1.051212938005391</v>
      </c>
      <c r="BK25" s="20109">
        <f>IF(HLOOKUP("Mins",A1:CV300,25,FALSE)=0,0,HLOOKUP("BC",A1:CV300,25,FALSE)/HLOOKUP("Mins",A1:CV300,25,FALSE)* 90)</f>
        <v>0</v>
      </c>
      <c r="BL25" s="20110">
        <f>IF(HLOOKUP("Mins",A1:CV300,25,FALSE)=0,0,HLOOKUP("BC Miss",A1:CV300,25,FALSE)/HLOOKUP("Mins",A1:CV300,25,FALSE)* 90)</f>
        <v>0</v>
      </c>
      <c r="BM25" s="20111">
        <f>IF(HLOOKUP("Mins",A1:CV300,25,FALSE)=0,0,HLOOKUP("Gs - BC",A1:CV300,25,FALSE)/HLOOKUP("Mins",A1:CV300,25,FALSE)* 90)</f>
        <v>0</v>
      </c>
      <c r="BN25" s="20112">
        <f>IF(HLOOKUP("Mins",A1:CV300,25,FALSE)=0,0,HLOOKUP("GIB",A1:CV300,25,FALSE)/HLOOKUP("Mins",A1:CV300,25,FALSE)* 90)</f>
        <v>8.086253369272238E-2</v>
      </c>
      <c r="BO25" s="20113">
        <f>IF(HLOOKUP("Mins",A1:CV300,25,FALSE)=0,0,HLOOKUP("Gs - Open",A1:CV300,25,FALSE)/HLOOKUP("Mins",A1:CV300,25,FALSE)* 90)</f>
        <v>8.086253369272238E-2</v>
      </c>
      <c r="BP25" s="20114">
        <f>IF(HLOOKUP("Mins",A1:CV300,25,FALSE)=0,0,HLOOKUP("ICT Index",A1:CV300,25,FALSE)/HLOOKUP("Mins",A1:CV300,25,FALSE)* 90)</f>
        <v>5.4986522911051212</v>
      </c>
      <c r="BQ25" s="20115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  <v>0.18970350404312669</v>
      </c>
      <c r="BR25" s="20116">
        <f>0.0885*HLOOKUP("KP/90",A1:CV300,25,FALSE)</f>
        <v>9.3032345013477097E-2</v>
      </c>
      <c r="BS25" s="20117">
        <f>5*HLOOKUP("xG/90",A1:CV300,25,FALSE)+3*HLOOKUP("xA/90",A1:CV300,25,FALSE)</f>
        <v>1.2276145552560647</v>
      </c>
      <c r="BT25" s="20118">
        <f>HLOOKUP("xPts/90",A1:CV300,25,FALSE)-(5*0.75*(HLOOKUP("PK Gs",A1:CV300,25,FALSE)+HLOOKUP("PK Miss",A1:CV300,25,FALSE))*90/HLOOKUP("Mins",A1:CV300,25,FALSE))</f>
        <v>1.2276145552560647</v>
      </c>
      <c r="BU25" s="20119">
        <f>IF(HLOOKUP("Mins",A1:CV300,25,FALSE)=0,0,HLOOKUP("fsXG",A1:CV300,25,FALSE)/HLOOKUP("Mins",A1:CV300,25,FALSE)* 90)</f>
        <v>9.6226415094339615E-2</v>
      </c>
      <c r="BV25" s="20120">
        <f>IF(HLOOKUP("Mins",A1:CV300,25,FALSE)=0,0,HLOOKUP("fsXA",A1:CV300,25,FALSE)/HLOOKUP("Mins",A1:CV300,25,FALSE)* 90)</f>
        <v>8.814016172506739E-2</v>
      </c>
      <c r="BW25" s="20121">
        <f>5*HLOOKUP("fsXG/90",A1:CV300,25,FALSE)+3*HLOOKUP("fsXA/90",A1:CV300,25,FALSE)</f>
        <v>0.74555256064690023</v>
      </c>
      <c r="BX25" s="20122">
        <v>9.8063848912715912E-2</v>
      </c>
      <c r="BY25" s="20123">
        <v>0.11134517192840576</v>
      </c>
      <c r="BZ25" s="20124">
        <f>5*HLOOKUP("uXG/90",A1:CV300,25,FALSE)+3*HLOOKUP("uXA/90",A1:CV300,25,FALSE)</f>
        <v>0.82435476034879684</v>
      </c>
    </row>
    <row r="26" spans="1:78" x14ac:dyDescent="0.3">
      <c r="A26" s="20125" t="s">
        <v>353</v>
      </c>
      <c r="B26" s="20126" t="s">
        <v>84</v>
      </c>
      <c r="C26" s="20127">
        <v>4.9000000953674316</v>
      </c>
      <c r="D26" s="20128">
        <v>1649</v>
      </c>
      <c r="E26" s="20129">
        <v>19</v>
      </c>
      <c r="F26" s="20130">
        <v>74</v>
      </c>
      <c r="G26" s="20131">
        <v>4</v>
      </c>
      <c r="H26" s="20132">
        <v>10</v>
      </c>
      <c r="I26" s="20133">
        <v>340</v>
      </c>
      <c r="J26" s="20134">
        <f>HLOOKUP("BPS",A1:CV300,26,FALSE)-((-6*HLOOKUP("OG",A1:CV300,26,FALSE))+(-6*HLOOKUP("PK Miss",A1:CV300,26,FALSE))+(9*HLOOKUP("FPL As",A1:CV300,26,FALSE))+(0*HLOOKUP("CS",A1:CV300,26,FALSE))+(18*HLOOKUP("Gs",A1:CV300,26,FALSE)))</f>
        <v>250</v>
      </c>
      <c r="K26" s="20135">
        <v>0</v>
      </c>
      <c r="L26" s="20136">
        <v>6</v>
      </c>
      <c r="M26" s="20137">
        <v>26</v>
      </c>
      <c r="N26" s="20138">
        <v>23</v>
      </c>
      <c r="O26" s="20139">
        <v>11</v>
      </c>
      <c r="P26" s="20140">
        <f>IF(HLOOKUP("Shots",A1:CV300,26,FALSE)=0,0,HLOOKUP("SIB",A1:CV300,26,FALSE)/HLOOKUP("Shots",A1:CV300,26,FALSE))</f>
        <v>0.47826086956521741</v>
      </c>
      <c r="Q26" s="20141">
        <v>2</v>
      </c>
      <c r="R26" s="20142">
        <f>IF(HLOOKUP("Shots",A1:CV300,26,FALSE)=0,0,HLOOKUP("S6YD",A1:CV300,26,FALSE)/HLOOKUP("Shots",A1:CV300,26,FALSE))</f>
        <v>8.6956521739130432E-2</v>
      </c>
      <c r="S26" s="20143">
        <v>1</v>
      </c>
      <c r="T26" s="20144">
        <f>IF(HLOOKUP("Shots",A1:CV300,26,FALSE)=0,0,HLOOKUP("Headers",A1:CV300,26,FALSE)/HLOOKUP("Shots",A1:CV300,26,FALSE))</f>
        <v>4.3478260869565216E-2</v>
      </c>
      <c r="U26" s="20145">
        <v>10</v>
      </c>
      <c r="V26" s="20146">
        <f>IF(HLOOKUP("Shots",A1:CV300,26,FALSE)=0,0,HLOOKUP("SOT",A1:CV300,26,FALSE)/HLOOKUP("Shots",A1:CV300,26,FALSE))</f>
        <v>0.43478260869565216</v>
      </c>
      <c r="W26" s="20147">
        <f>IF(HLOOKUP("Shots",A1:CV300,26,FALSE)=0,0,HLOOKUP("Gs",A1:CV300,26,FALSE)/HLOOKUP("Shots",A1:CV300,26,FALSE))</f>
        <v>0.17391304347826086</v>
      </c>
      <c r="X26" s="20148">
        <v>2</v>
      </c>
      <c r="Y26" s="20149">
        <v>2</v>
      </c>
      <c r="Z26" s="20150">
        <v>29</v>
      </c>
      <c r="AA26" s="20151">
        <f>IF(HLOOKUP("KP",A1:CV300,26,FALSE)=0,0,HLOOKUP("As",A1:CV300,26,FALSE)/HLOOKUP("KP",A1:CV300,26,FALSE))</f>
        <v>6.8965517241379309E-2</v>
      </c>
      <c r="AB26" s="20152">
        <v>114.9</v>
      </c>
      <c r="AC26" s="20153">
        <v>32</v>
      </c>
      <c r="AD26" s="20154">
        <v>4</v>
      </c>
      <c r="AE26" s="20155">
        <v>5</v>
      </c>
      <c r="AF26" s="20156">
        <v>2</v>
      </c>
      <c r="AG26" s="20157">
        <f>IF(HLOOKUP("BC",A1:CV300,26,FALSE)=0,0,HLOOKUP("Gs - BC",A1:CV300,26,FALSE)/HLOOKUP("BC",A1:CV300,26,FALSE))</f>
        <v>0.6</v>
      </c>
      <c r="AH26" s="20158">
        <f>HLOOKUP("BC",A1:CV300,26,FALSE) - HLOOKUP("BC Miss",A1:CV300,26,FALSE)</f>
        <v>3</v>
      </c>
      <c r="AI26" s="20159">
        <f>IF(HLOOKUP("Gs",A1:CV300,26,FALSE)=0,0,HLOOKUP("Gs - BC",A1:CV300,26,FALSE)/HLOOKUP("Gs",A1:CV300,26,FALSE))</f>
        <v>0.75</v>
      </c>
      <c r="AJ26" s="20160">
        <v>0</v>
      </c>
      <c r="AK26" s="20161">
        <v>0</v>
      </c>
      <c r="AL26" s="20162">
        <f>HLOOKUP("BC",A1:CV300,26,FALSE) - (HLOOKUP("PK Gs",A1:CV300,26,FALSE) + HLOOKUP("PK Miss",A1:CV300,26,FALSE))</f>
        <v>5</v>
      </c>
      <c r="AM26" s="20163">
        <f>HLOOKUP("BC Miss",A1:CV300,26,FALSE) - HLOOKUP("PK Miss",A1:CV300,26,FALSE)</f>
        <v>2</v>
      </c>
      <c r="AN26" s="20164">
        <f>IF(HLOOKUP("BC - Open",A1:CV300,26,FALSE)=0,0,HLOOKUP("BC - Open Miss",A1:CV300,26,FALSE)/HLOOKUP("BC - Open",A1:CV300,26,FALSE))</f>
        <v>0.4</v>
      </c>
      <c r="AO26" s="20165">
        <v>4</v>
      </c>
      <c r="AP26" s="20166">
        <f>IF(HLOOKUP("Gs",A1:CV300,26,FALSE)=0,0,HLOOKUP("GIB",A1:CV300,26,FALSE)/HLOOKUP("Gs",A1:CV300,26,FALSE))</f>
        <v>1</v>
      </c>
      <c r="AQ26" s="20167">
        <v>4</v>
      </c>
      <c r="AR26" s="20168">
        <f>IF(HLOOKUP("Gs",A1:CV300,26,FALSE)=0,0,HLOOKUP("Gs - Open",A1:CV300,26,FALSE)/HLOOKUP("Gs",A1:CV300,26,FALSE))</f>
        <v>1</v>
      </c>
      <c r="AS26" s="20169">
        <v>2.8</v>
      </c>
      <c r="AT26" s="20170">
        <v>2.34</v>
      </c>
      <c r="AU26" s="20171">
        <f>IF(HLOOKUP("Mins",A1:CV300,26,FALSE)=0,0,HLOOKUP("Pts",A1:CV300,26,FALSE)/HLOOKUP("Mins",A1:CV300,26,FALSE)* 90)</f>
        <v>4.0388114008489993</v>
      </c>
      <c r="AV26" s="20172">
        <f>IF(HLOOKUP("Apps",A1:CV300,26,FALSE)=0,0,HLOOKUP("Pts",A1:CV300,26,FALSE)/HLOOKUP("Apps",A1:CV300,26,FALSE)* 1)</f>
        <v>3.8947368421052633</v>
      </c>
      <c r="AW26" s="20173">
        <f>IF(HLOOKUP("Mins",A1:CV300,26,FALSE)=0,0,HLOOKUP("Gs",A1:CV300,26,FALSE)/HLOOKUP("Mins",A1:CV300,26,FALSE)* 90)</f>
        <v>0.21831412977562159</v>
      </c>
      <c r="AX26" s="20174">
        <f>IF(HLOOKUP("Mins",A1:CV300,26,FALSE)=0,0,HLOOKUP("Bonus",A1:CV300,26,FALSE)/HLOOKUP("Mins",A1:CV300,26,FALSE)* 90)</f>
        <v>0.54578532443905403</v>
      </c>
      <c r="AY26" s="20175">
        <f>IF(HLOOKUP("Mins",A1:CV300,26,FALSE)=0,0,HLOOKUP("BPS",A1:CV300,26,FALSE)/HLOOKUP("Mins",A1:CV300,26,FALSE)* 90)</f>
        <v>18.556701030927833</v>
      </c>
      <c r="AZ26" s="20176">
        <f>IF(HLOOKUP("Mins",A1:CV300,26,FALSE)=0,0,HLOOKUP("Base BPS",A1:CV300,26,FALSE)/HLOOKUP("Mins",A1:CV300,26,FALSE)* 90)</f>
        <v>13.644633110976349</v>
      </c>
      <c r="BA26" s="20177">
        <f>IF(HLOOKUP("Mins",A1:CV300,26,FALSE)=0,0,HLOOKUP("PenTchs",A1:CV300,26,FALSE)/HLOOKUP("Mins",A1:CV300,26,FALSE)* 90)</f>
        <v>1.4190418435415402</v>
      </c>
      <c r="BB26" s="20178">
        <f>IF(HLOOKUP("Mins",A1:CV300,26,FALSE)=0,0,HLOOKUP("Shots",A1:CV300,26,FALSE)/HLOOKUP("Mins",A1:CV300,26,FALSE)* 90)</f>
        <v>1.2553062462098241</v>
      </c>
      <c r="BC26" s="20179">
        <f>IF(HLOOKUP("Mins",A1:CV300,26,FALSE)=0,0,HLOOKUP("SIB",A1:CV300,26,FALSE)/HLOOKUP("Mins",A1:CV300,26,FALSE)* 90)</f>
        <v>0.60036385688295935</v>
      </c>
      <c r="BD26" s="20180">
        <f>IF(HLOOKUP("Mins",A1:CV300,26,FALSE)=0,0,HLOOKUP("S6YD",A1:CV300,26,FALSE)/HLOOKUP("Mins",A1:CV300,26,FALSE)* 90)</f>
        <v>0.1091570648878108</v>
      </c>
      <c r="BE26" s="20181">
        <f>IF(HLOOKUP("Mins",A1:CV300,26,FALSE)=0,0,HLOOKUP("Headers",A1:CV300,26,FALSE)/HLOOKUP("Mins",A1:CV300,26,FALSE)* 90)</f>
        <v>5.4578532443905398E-2</v>
      </c>
      <c r="BF26" s="20182">
        <f>IF(HLOOKUP("Mins",A1:CV300,26,FALSE)=0,0,HLOOKUP("SOT",A1:CV300,26,FALSE)/HLOOKUP("Mins",A1:CV300,26,FALSE)* 90)</f>
        <v>0.54578532443905403</v>
      </c>
      <c r="BG26" s="20183">
        <f>IF(HLOOKUP("Mins",A1:CV300,26,FALSE)=0,0,HLOOKUP("As",A1:CV300,26,FALSE)/HLOOKUP("Mins",A1:CV300,26,FALSE)* 90)</f>
        <v>0.1091570648878108</v>
      </c>
      <c r="BH26" s="20184">
        <f>IF(HLOOKUP("Mins",A1:CV300,26,FALSE)=0,0,HLOOKUP("FPL As",A1:CV300,26,FALSE)/HLOOKUP("Mins",A1:CV300,26,FALSE)* 90)</f>
        <v>0.1091570648878108</v>
      </c>
      <c r="BI26" s="20185">
        <f>IF(HLOOKUP("Mins",A1:CV300,26,FALSE)=0,0,HLOOKUP("BC Created",A1:CV300,26,FALSE)/HLOOKUP("Mins",A1:CV300,26,FALSE)* 90)</f>
        <v>0.21831412977562159</v>
      </c>
      <c r="BJ26" s="20186">
        <f>IF(HLOOKUP("Mins",A1:CV300,26,FALSE)=0,0,HLOOKUP("KP",A1:CV300,26,FALSE)/HLOOKUP("Mins",A1:CV300,26,FALSE)* 90)</f>
        <v>1.5827774408732564</v>
      </c>
      <c r="BK26" s="20187">
        <f>IF(HLOOKUP("Mins",A1:CV300,26,FALSE)=0,0,HLOOKUP("BC",A1:CV300,26,FALSE)/HLOOKUP("Mins",A1:CV300,26,FALSE)* 90)</f>
        <v>0.27289266221952702</v>
      </c>
      <c r="BL26" s="20188">
        <f>IF(HLOOKUP("Mins",A1:CV300,26,FALSE)=0,0,HLOOKUP("BC Miss",A1:CV300,26,FALSE)/HLOOKUP("Mins",A1:CV300,26,FALSE)* 90)</f>
        <v>0.1091570648878108</v>
      </c>
      <c r="BM26" s="20189">
        <f>IF(HLOOKUP("Mins",A1:CV300,26,FALSE)=0,0,HLOOKUP("Gs - BC",A1:CV300,26,FALSE)/HLOOKUP("Mins",A1:CV300,26,FALSE)* 90)</f>
        <v>0.16373559733171619</v>
      </c>
      <c r="BN26" s="20190">
        <f>IF(HLOOKUP("Mins",A1:CV300,26,FALSE)=0,0,HLOOKUP("GIB",A1:CV300,26,FALSE)/HLOOKUP("Mins",A1:CV300,26,FALSE)* 90)</f>
        <v>0.21831412977562159</v>
      </c>
      <c r="BO26" s="20191">
        <f>IF(HLOOKUP("Mins",A1:CV300,26,FALSE)=0,0,HLOOKUP("Gs - Open",A1:CV300,26,FALSE)/HLOOKUP("Mins",A1:CV300,26,FALSE)* 90)</f>
        <v>0.21831412977562159</v>
      </c>
      <c r="BP26" s="20192">
        <f>IF(HLOOKUP("Mins",A1:CV300,26,FALSE)=0,0,HLOOKUP("ICT Index",A1:CV300,26,FALSE)/HLOOKUP("Mins",A1:CV300,26,FALSE)* 90)</f>
        <v>6.2710733778047301</v>
      </c>
      <c r="BQ26" s="20193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  <v>0.10882959369314735</v>
      </c>
      <c r="BR26" s="20194">
        <f>0.0885*HLOOKUP("KP/90",A1:CV300,26,FALSE)</f>
        <v>0.14007580351728319</v>
      </c>
      <c r="BS26" s="20195">
        <f>5*HLOOKUP("xG/90",A1:CV300,26,FALSE)+3*HLOOKUP("xA/90",A1:CV300,26,FALSE)</f>
        <v>0.9643753790175863</v>
      </c>
      <c r="BT26" s="20196">
        <f>HLOOKUP("xPts/90",A1:CV300,26,FALSE)-(5*0.75*(HLOOKUP("PK Gs",A1:CV300,26,FALSE)+HLOOKUP("PK Miss",A1:CV300,26,FALSE))*90/HLOOKUP("Mins",A1:CV300,26,FALSE))</f>
        <v>0.9643753790175863</v>
      </c>
      <c r="BU26" s="20197">
        <f>IF(HLOOKUP("Mins",A1:CV300,26,FALSE)=0,0,HLOOKUP("fsXG",A1:CV300,26,FALSE)/HLOOKUP("Mins",A1:CV300,26,FALSE)* 90)</f>
        <v>0.1528198908429351</v>
      </c>
      <c r="BV26" s="20198">
        <f>IF(HLOOKUP("Mins",A1:CV300,26,FALSE)=0,0,HLOOKUP("fsXA",A1:CV300,26,FALSE)/HLOOKUP("Mins",A1:CV300,26,FALSE)* 90)</f>
        <v>0.12771376591873862</v>
      </c>
      <c r="BW26" s="20199">
        <f>5*HLOOKUP("fsXG/90",A1:CV300,26,FALSE)+3*HLOOKUP("fsXA/90",A1:CV300,26,FALSE)</f>
        <v>1.1472407519708914</v>
      </c>
      <c r="BX26" s="20200">
        <v>0.16188912093639374</v>
      </c>
      <c r="BY26" s="20201">
        <v>0.15030021965503693</v>
      </c>
      <c r="BZ26" s="20202">
        <f>5*HLOOKUP("uXG/90",A1:CV300,26,FALSE)+3*HLOOKUP("uXA/90",A1:CV300,26,FALSE)</f>
        <v>1.2603462636470795</v>
      </c>
    </row>
    <row r="27" spans="1:78" x14ac:dyDescent="0.3">
      <c r="A27" s="20203" t="s">
        <v>354</v>
      </c>
      <c r="B27" s="20204" t="s">
        <v>151</v>
      </c>
      <c r="C27" s="20205">
        <v>4.8000001907348633</v>
      </c>
      <c r="D27" s="20206">
        <v>421</v>
      </c>
      <c r="E27" s="20207">
        <v>6</v>
      </c>
      <c r="F27" s="20208">
        <v>14</v>
      </c>
      <c r="G27" s="20209">
        <v>0</v>
      </c>
      <c r="H27" s="20210">
        <v>0</v>
      </c>
      <c r="I27" s="20211">
        <v>70</v>
      </c>
      <c r="J27" s="20212">
        <f>HLOOKUP("BPS",A1:CV300,27,FALSE)-((-6*HLOOKUP("OG",A1:CV300,27,FALSE))+(-6*HLOOKUP("PK Miss",A1:CV300,27,FALSE))+(9*HLOOKUP("FPL As",A1:CV300,27,FALSE))+(0*HLOOKUP("CS",A1:CV300,27,FALSE))+(18*HLOOKUP("Gs",A1:CV300,27,FALSE)))</f>
        <v>70</v>
      </c>
      <c r="K27" s="20213">
        <v>0</v>
      </c>
      <c r="L27" s="20214">
        <v>3</v>
      </c>
      <c r="M27" s="20215">
        <v>5</v>
      </c>
      <c r="N27" s="20216">
        <v>4</v>
      </c>
      <c r="O27" s="20217">
        <v>1</v>
      </c>
      <c r="P27" s="20218">
        <f>IF(HLOOKUP("Shots",A1:CV300,27,FALSE)=0,0,HLOOKUP("SIB",A1:CV300,27,FALSE)/HLOOKUP("Shots",A1:CV300,27,FALSE))</f>
        <v>0.25</v>
      </c>
      <c r="Q27" s="20219">
        <v>0</v>
      </c>
      <c r="R27" s="20220">
        <f>IF(HLOOKUP("Shots",A1:CV300,27,FALSE)=0,0,HLOOKUP("S6YD",A1:CV300,27,FALSE)/HLOOKUP("Shots",A1:CV300,27,FALSE))</f>
        <v>0</v>
      </c>
      <c r="S27" s="20221">
        <v>0</v>
      </c>
      <c r="T27" s="20222">
        <f>IF(HLOOKUP("Shots",A1:CV300,27,FALSE)=0,0,HLOOKUP("Headers",A1:CV300,27,FALSE)/HLOOKUP("Shots",A1:CV300,27,FALSE))</f>
        <v>0</v>
      </c>
      <c r="U27" s="20223">
        <v>1</v>
      </c>
      <c r="V27" s="20224">
        <f>IF(HLOOKUP("Shots",A1:CV300,27,FALSE)=0,0,HLOOKUP("SOT",A1:CV300,27,FALSE)/HLOOKUP("Shots",A1:CV300,27,FALSE))</f>
        <v>0.25</v>
      </c>
      <c r="W27" s="20225">
        <f>IF(HLOOKUP("Shots",A1:CV300,27,FALSE)=0,0,HLOOKUP("Gs",A1:CV300,27,FALSE)/HLOOKUP("Shots",A1:CV300,27,FALSE))</f>
        <v>0</v>
      </c>
      <c r="X27" s="20226">
        <v>0</v>
      </c>
      <c r="Y27" s="20227">
        <v>0</v>
      </c>
      <c r="Z27" s="20228">
        <v>1</v>
      </c>
      <c r="AA27" s="20229">
        <f>IF(HLOOKUP("KP",A1:CV300,27,FALSE)=0,0,HLOOKUP("As",A1:CV300,27,FALSE)/HLOOKUP("KP",A1:CV300,27,FALSE))</f>
        <v>0</v>
      </c>
      <c r="AB27" s="20230">
        <v>13.6</v>
      </c>
      <c r="AC27" s="20231">
        <v>0</v>
      </c>
      <c r="AD27" s="20232">
        <v>0</v>
      </c>
      <c r="AE27" s="20233">
        <v>0</v>
      </c>
      <c r="AF27" s="20234">
        <v>0</v>
      </c>
      <c r="AG27" s="20235">
        <f>IF(HLOOKUP("BC",A1:CV300,27,FALSE)=0,0,HLOOKUP("Gs - BC",A1:CV300,27,FALSE)/HLOOKUP("BC",A1:CV300,27,FALSE))</f>
        <v>0</v>
      </c>
      <c r="AH27" s="20236">
        <f>HLOOKUP("BC",A1:CV300,27,FALSE) - HLOOKUP("BC Miss",A1:CV300,27,FALSE)</f>
        <v>0</v>
      </c>
      <c r="AI27" s="20237">
        <f>IF(HLOOKUP("Gs",A1:CV300,27,FALSE)=0,0,HLOOKUP("Gs - BC",A1:CV300,27,FALSE)/HLOOKUP("Gs",A1:CV300,27,FALSE))</f>
        <v>0</v>
      </c>
      <c r="AJ27" s="20238">
        <v>0</v>
      </c>
      <c r="AK27" s="20239">
        <v>0</v>
      </c>
      <c r="AL27" s="20240">
        <f>HLOOKUP("BC",A1:CV300,27,FALSE) - (HLOOKUP("PK Gs",A1:CV300,27,FALSE) + HLOOKUP("PK Miss",A1:CV300,27,FALSE))</f>
        <v>0</v>
      </c>
      <c r="AM27" s="20241">
        <f>HLOOKUP("BC Miss",A1:CV300,27,FALSE) - HLOOKUP("PK Miss",A1:CV300,27,FALSE)</f>
        <v>0</v>
      </c>
      <c r="AN27" s="20242">
        <f>IF(HLOOKUP("BC - Open",A1:CV300,27,FALSE)=0,0,HLOOKUP("BC - Open Miss",A1:CV300,27,FALSE)/HLOOKUP("BC - Open",A1:CV300,27,FALSE))</f>
        <v>0</v>
      </c>
      <c r="AO27" s="20243">
        <v>0</v>
      </c>
      <c r="AP27" s="20244">
        <f>IF(HLOOKUP("Gs",A1:CV300,27,FALSE)=0,0,HLOOKUP("GIB",A1:CV300,27,FALSE)/HLOOKUP("Gs",A1:CV300,27,FALSE))</f>
        <v>0</v>
      </c>
      <c r="AQ27" s="20245">
        <v>0</v>
      </c>
      <c r="AR27" s="20246">
        <f>IF(HLOOKUP("Gs",A1:CV300,27,FALSE)=0,0,HLOOKUP("Gs - Open",A1:CV300,27,FALSE)/HLOOKUP("Gs",A1:CV300,27,FALSE))</f>
        <v>0</v>
      </c>
      <c r="AS27" s="20247">
        <v>0.14000000000000001</v>
      </c>
      <c r="AT27" s="20248">
        <v>0.35</v>
      </c>
      <c r="AU27" s="20249">
        <f>IF(HLOOKUP("Mins",A1:CV300,27,FALSE)=0,0,HLOOKUP("Pts",A1:CV300,27,FALSE)/HLOOKUP("Mins",A1:CV300,27,FALSE)* 90)</f>
        <v>2.9928741092636582</v>
      </c>
      <c r="AV27" s="20250">
        <f>IF(HLOOKUP("Apps",A1:CV300,27,FALSE)=0,0,HLOOKUP("Pts",A1:CV300,27,FALSE)/HLOOKUP("Apps",A1:CV300,27,FALSE)* 1)</f>
        <v>2.3333333333333335</v>
      </c>
      <c r="AW27" s="20251">
        <f>IF(HLOOKUP("Mins",A1:CV300,27,FALSE)=0,0,HLOOKUP("Gs",A1:CV300,27,FALSE)/HLOOKUP("Mins",A1:CV300,27,FALSE)* 90)</f>
        <v>0</v>
      </c>
      <c r="AX27" s="20252">
        <f>IF(HLOOKUP("Mins",A1:CV300,27,FALSE)=0,0,HLOOKUP("Bonus",A1:CV300,27,FALSE)/HLOOKUP("Mins",A1:CV300,27,FALSE)* 90)</f>
        <v>0</v>
      </c>
      <c r="AY27" s="20253">
        <f>IF(HLOOKUP("Mins",A1:CV300,27,FALSE)=0,0,HLOOKUP("BPS",A1:CV300,27,FALSE)/HLOOKUP("Mins",A1:CV300,27,FALSE)* 90)</f>
        <v>14.964370546318289</v>
      </c>
      <c r="AZ27" s="20254">
        <f>IF(HLOOKUP("Mins",A1:CV300,27,FALSE)=0,0,HLOOKUP("Base BPS",A1:CV300,27,FALSE)/HLOOKUP("Mins",A1:CV300,27,FALSE)* 90)</f>
        <v>14.964370546318289</v>
      </c>
      <c r="BA27" s="20255">
        <f>IF(HLOOKUP("Mins",A1:CV300,27,FALSE)=0,0,HLOOKUP("PenTchs",A1:CV300,27,FALSE)/HLOOKUP("Mins",A1:CV300,27,FALSE)* 90)</f>
        <v>1.0688836104513064</v>
      </c>
      <c r="BB27" s="20256">
        <f>IF(HLOOKUP("Mins",A1:CV300,27,FALSE)=0,0,HLOOKUP("Shots",A1:CV300,27,FALSE)/HLOOKUP("Mins",A1:CV300,27,FALSE)* 90)</f>
        <v>0.8551068883610452</v>
      </c>
      <c r="BC27" s="20257">
        <f>IF(HLOOKUP("Mins",A1:CV300,27,FALSE)=0,0,HLOOKUP("SIB",A1:CV300,27,FALSE)/HLOOKUP("Mins",A1:CV300,27,FALSE)* 90)</f>
        <v>0.2137767220902613</v>
      </c>
      <c r="BD27" s="20258">
        <f>IF(HLOOKUP("Mins",A1:CV300,27,FALSE)=0,0,HLOOKUP("S6YD",A1:CV300,27,FALSE)/HLOOKUP("Mins",A1:CV300,27,FALSE)* 90)</f>
        <v>0</v>
      </c>
      <c r="BE27" s="20259">
        <f>IF(HLOOKUP("Mins",A1:CV300,27,FALSE)=0,0,HLOOKUP("Headers",A1:CV300,27,FALSE)/HLOOKUP("Mins",A1:CV300,27,FALSE)* 90)</f>
        <v>0</v>
      </c>
      <c r="BF27" s="20260">
        <f>IF(HLOOKUP("Mins",A1:CV300,27,FALSE)=0,0,HLOOKUP("SOT",A1:CV300,27,FALSE)/HLOOKUP("Mins",A1:CV300,27,FALSE)* 90)</f>
        <v>0.2137767220902613</v>
      </c>
      <c r="BG27" s="20261">
        <f>IF(HLOOKUP("Mins",A1:CV300,27,FALSE)=0,0,HLOOKUP("As",A1:CV300,27,FALSE)/HLOOKUP("Mins",A1:CV300,27,FALSE)* 90)</f>
        <v>0</v>
      </c>
      <c r="BH27" s="20262">
        <f>IF(HLOOKUP("Mins",A1:CV300,27,FALSE)=0,0,HLOOKUP("FPL As",A1:CV300,27,FALSE)/HLOOKUP("Mins",A1:CV300,27,FALSE)* 90)</f>
        <v>0</v>
      </c>
      <c r="BI27" s="20263">
        <f>IF(HLOOKUP("Mins",A1:CV300,27,FALSE)=0,0,HLOOKUP("BC Created",A1:CV300,27,FALSE)/HLOOKUP("Mins",A1:CV300,27,FALSE)* 90)</f>
        <v>0</v>
      </c>
      <c r="BJ27" s="20264">
        <f>IF(HLOOKUP("Mins",A1:CV300,27,FALSE)=0,0,HLOOKUP("KP",A1:CV300,27,FALSE)/HLOOKUP("Mins",A1:CV300,27,FALSE)* 90)</f>
        <v>0.2137767220902613</v>
      </c>
      <c r="BK27" s="20265">
        <f>IF(HLOOKUP("Mins",A1:CV300,27,FALSE)=0,0,HLOOKUP("BC",A1:CV300,27,FALSE)/HLOOKUP("Mins",A1:CV300,27,FALSE)* 90)</f>
        <v>0</v>
      </c>
      <c r="BL27" s="20266">
        <f>IF(HLOOKUP("Mins",A1:CV300,27,FALSE)=0,0,HLOOKUP("BC Miss",A1:CV300,27,FALSE)/HLOOKUP("Mins",A1:CV300,27,FALSE)* 90)</f>
        <v>0</v>
      </c>
      <c r="BM27" s="20267">
        <f>IF(HLOOKUP("Mins",A1:CV300,27,FALSE)=0,0,HLOOKUP("Gs - BC",A1:CV300,27,FALSE)/HLOOKUP("Mins",A1:CV300,27,FALSE)* 90)</f>
        <v>0</v>
      </c>
      <c r="BN27" s="20268">
        <f>IF(HLOOKUP("Mins",A1:CV300,27,FALSE)=0,0,HLOOKUP("GIB",A1:CV300,27,FALSE)/HLOOKUP("Mins",A1:CV300,27,FALSE)* 90)</f>
        <v>0</v>
      </c>
      <c r="BO27" s="20269">
        <f>IF(HLOOKUP("Mins",A1:CV300,27,FALSE)=0,0,HLOOKUP("Gs - Open",A1:CV300,27,FALSE)/HLOOKUP("Mins",A1:CV300,27,FALSE)* 90)</f>
        <v>0</v>
      </c>
      <c r="BP27" s="20270">
        <f>IF(HLOOKUP("Mins",A1:CV300,27,FALSE)=0,0,HLOOKUP("ICT Index",A1:CV300,27,FALSE)/HLOOKUP("Mins",A1:CV300,27,FALSE)* 90)</f>
        <v>2.9073634204275538</v>
      </c>
      <c r="BQ27" s="20271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  <v>5.3444180522565311E-2</v>
      </c>
      <c r="BR27" s="20272">
        <f>0.0885*HLOOKUP("KP/90",A1:CV300,27,FALSE)</f>
        <v>1.8919239904988124E-2</v>
      </c>
      <c r="BS27" s="20273">
        <f>5*HLOOKUP("xG/90",A1:CV300,27,FALSE)+3*HLOOKUP("xA/90",A1:CV300,27,FALSE)</f>
        <v>0.3239786223277909</v>
      </c>
      <c r="BT27" s="20274">
        <f>HLOOKUP("xPts/90",A1:CV300,27,FALSE)-(5*0.75*(HLOOKUP("PK Gs",A1:CV300,27,FALSE)+HLOOKUP("PK Miss",A1:CV300,27,FALSE))*90/HLOOKUP("Mins",A1:CV300,27,FALSE))</f>
        <v>0.3239786223277909</v>
      </c>
      <c r="BU27" s="20275">
        <f>IF(HLOOKUP("Mins",A1:CV300,27,FALSE)=0,0,HLOOKUP("fsXG",A1:CV300,27,FALSE)/HLOOKUP("Mins",A1:CV300,27,FALSE)* 90)</f>
        <v>2.9928741092636581E-2</v>
      </c>
      <c r="BV27" s="20276">
        <f>IF(HLOOKUP("Mins",A1:CV300,27,FALSE)=0,0,HLOOKUP("fsXA",A1:CV300,27,FALSE)/HLOOKUP("Mins",A1:CV300,27,FALSE)* 90)</f>
        <v>7.4821852731591448E-2</v>
      </c>
      <c r="BW27" s="20277">
        <f>5*HLOOKUP("fsXG/90",A1:CV300,27,FALSE)+3*HLOOKUP("fsXA/90",A1:CV300,27,FALSE)</f>
        <v>0.37410926365795727</v>
      </c>
      <c r="BX27" s="20278">
        <v>3.327719122171402E-2</v>
      </c>
      <c r="BY27" s="20279">
        <v>1.9936194643378258E-2</v>
      </c>
      <c r="BZ27" s="20280">
        <f>5*HLOOKUP("uXG/90",A1:CV300,27,FALSE)+3*HLOOKUP("uXA/90",A1:CV300,27,FALSE)</f>
        <v>0.22619454003870487</v>
      </c>
    </row>
    <row r="28" spans="1:78" x14ac:dyDescent="0.3">
      <c r="A28" s="20281" t="s">
        <v>355</v>
      </c>
      <c r="B28" s="20282" t="s">
        <v>105</v>
      </c>
      <c r="C28" s="20283">
        <v>10.699999809265137</v>
      </c>
      <c r="D28" s="20284">
        <v>1715</v>
      </c>
      <c r="E28" s="20285">
        <v>21</v>
      </c>
      <c r="F28" s="20286">
        <v>150</v>
      </c>
      <c r="G28" s="20287">
        <v>7</v>
      </c>
      <c r="H28" s="20288">
        <v>19</v>
      </c>
      <c r="I28" s="20289">
        <v>601</v>
      </c>
      <c r="J28" s="20290">
        <f>HLOOKUP("BPS",A1:CV300,28,FALSE)-((-6*HLOOKUP("OG",A1:CV300,28,FALSE))+(-6*HLOOKUP("PK Miss",A1:CV300,28,FALSE))+(9*HLOOKUP("FPL As",A1:CV300,28,FALSE))+(0*HLOOKUP("CS",A1:CV300,28,FALSE))+(18*HLOOKUP("Gs",A1:CV300,28,FALSE)))</f>
        <v>331</v>
      </c>
      <c r="K28" s="20291">
        <v>0</v>
      </c>
      <c r="L28" s="20292">
        <v>9</v>
      </c>
      <c r="M28" s="20293">
        <v>102</v>
      </c>
      <c r="N28" s="20294">
        <v>59</v>
      </c>
      <c r="O28" s="20295">
        <v>27</v>
      </c>
      <c r="P28" s="20296">
        <f>IF(HLOOKUP("Shots",A1:CV300,28,FALSE)=0,0,HLOOKUP("SIB",A1:CV300,28,FALSE)/HLOOKUP("Shots",A1:CV300,28,FALSE))</f>
        <v>0.4576271186440678</v>
      </c>
      <c r="Q28" s="20297">
        <v>1</v>
      </c>
      <c r="R28" s="20298">
        <f>IF(HLOOKUP("Shots",A1:CV300,28,FALSE)=0,0,HLOOKUP("S6YD",A1:CV300,28,FALSE)/HLOOKUP("Shots",A1:CV300,28,FALSE))</f>
        <v>1.6949152542372881E-2</v>
      </c>
      <c r="S28" s="20299">
        <v>1</v>
      </c>
      <c r="T28" s="20300">
        <f>IF(HLOOKUP("Shots",A1:CV300,28,FALSE)=0,0,HLOOKUP("Headers",A1:CV300,28,FALSE)/HLOOKUP("Shots",A1:CV300,28,FALSE))</f>
        <v>1.6949152542372881E-2</v>
      </c>
      <c r="U28" s="20301">
        <v>18</v>
      </c>
      <c r="V28" s="20302">
        <f>IF(HLOOKUP("Shots",A1:CV300,28,FALSE)=0,0,HLOOKUP("SOT",A1:CV300,28,FALSE)/HLOOKUP("Shots",A1:CV300,28,FALSE))</f>
        <v>0.30508474576271188</v>
      </c>
      <c r="W28" s="20303">
        <f>IF(HLOOKUP("Shots",A1:CV300,28,FALSE)=0,0,HLOOKUP("Gs",A1:CV300,28,FALSE)/HLOOKUP("Shots",A1:CV300,28,FALSE))</f>
        <v>0.11864406779661017</v>
      </c>
      <c r="X28" s="20304">
        <v>14</v>
      </c>
      <c r="Y28" s="20305">
        <v>16</v>
      </c>
      <c r="Z28" s="20306">
        <v>76</v>
      </c>
      <c r="AA28" s="20307">
        <f>IF(HLOOKUP("KP",A1:CV300,28,FALSE)=0,0,HLOOKUP("As",A1:CV300,28,FALSE)/HLOOKUP("KP",A1:CV300,28,FALSE))</f>
        <v>0.18421052631578946</v>
      </c>
      <c r="AB28" s="20308">
        <v>253.5</v>
      </c>
      <c r="AC28" s="20309">
        <v>42</v>
      </c>
      <c r="AD28" s="20310">
        <v>19</v>
      </c>
      <c r="AE28" s="20311">
        <v>3</v>
      </c>
      <c r="AF28" s="20312">
        <v>2</v>
      </c>
      <c r="AG28" s="20313">
        <f>IF(HLOOKUP("BC",A1:CV300,28,FALSE)=0,0,HLOOKUP("Gs - BC",A1:CV300,28,FALSE)/HLOOKUP("BC",A1:CV300,28,FALSE))</f>
        <v>0.33333333333333331</v>
      </c>
      <c r="AH28" s="20314">
        <f>HLOOKUP("BC",A1:CV300,28,FALSE) - HLOOKUP("BC Miss",A1:CV300,28,FALSE)</f>
        <v>1</v>
      </c>
      <c r="AI28" s="20315">
        <f>IF(HLOOKUP("Gs",A1:CV300,28,FALSE)=0,0,HLOOKUP("Gs - BC",A1:CV300,28,FALSE)/HLOOKUP("Gs",A1:CV300,28,FALSE))</f>
        <v>0.14285714285714285</v>
      </c>
      <c r="AJ28" s="20316">
        <v>0</v>
      </c>
      <c r="AK28" s="20317">
        <v>0</v>
      </c>
      <c r="AL28" s="20318">
        <f>HLOOKUP("BC",A1:CV300,28,FALSE) - (HLOOKUP("PK Gs",A1:CV300,28,FALSE) + HLOOKUP("PK Miss",A1:CV300,28,FALSE))</f>
        <v>3</v>
      </c>
      <c r="AM28" s="20319">
        <f>HLOOKUP("BC Miss",A1:CV300,28,FALSE) - HLOOKUP("PK Miss",A1:CV300,28,FALSE)</f>
        <v>2</v>
      </c>
      <c r="AN28" s="20320">
        <f>IF(HLOOKUP("BC - Open",A1:CV300,28,FALSE)=0,0,HLOOKUP("BC - Open Miss",A1:CV300,28,FALSE)/HLOOKUP("BC - Open",A1:CV300,28,FALSE))</f>
        <v>0.66666666666666663</v>
      </c>
      <c r="AO28" s="20321">
        <v>4</v>
      </c>
      <c r="AP28" s="20322">
        <f>IF(HLOOKUP("Gs",A1:CV300,28,FALSE)=0,0,HLOOKUP("GIB",A1:CV300,28,FALSE)/HLOOKUP("Gs",A1:CV300,28,FALSE))</f>
        <v>0.5714285714285714</v>
      </c>
      <c r="AQ28" s="20323">
        <v>6</v>
      </c>
      <c r="AR28" s="20324">
        <f>IF(HLOOKUP("Gs",A1:CV300,28,FALSE)=0,0,HLOOKUP("Gs - Open",A1:CV300,28,FALSE)/HLOOKUP("Gs",A1:CV300,28,FALSE))</f>
        <v>0.8571428571428571</v>
      </c>
      <c r="AS28" s="20325">
        <v>3.89</v>
      </c>
      <c r="AT28" s="20326">
        <v>8.18</v>
      </c>
      <c r="AU28" s="20327">
        <f>IF(HLOOKUP("Mins",A1:CV300,28,FALSE)=0,0,HLOOKUP("Pts",A1:CV300,28,FALSE)/HLOOKUP("Mins",A1:CV300,28,FALSE)* 90)</f>
        <v>7.871720116618075</v>
      </c>
      <c r="AV28" s="20328">
        <f>IF(HLOOKUP("Apps",A1:CV300,28,FALSE)=0,0,HLOOKUP("Pts",A1:CV300,28,FALSE)/HLOOKUP("Apps",A1:CV300,28,FALSE)* 1)</f>
        <v>7.1428571428571432</v>
      </c>
      <c r="AW28" s="20329">
        <f>IF(HLOOKUP("Mins",A1:CV300,28,FALSE)=0,0,HLOOKUP("Gs",A1:CV300,28,FALSE)/HLOOKUP("Mins",A1:CV300,28,FALSE)* 90)</f>
        <v>0.36734693877551022</v>
      </c>
      <c r="AX28" s="20330">
        <f>IF(HLOOKUP("Mins",A1:CV300,28,FALSE)=0,0,HLOOKUP("Bonus",A1:CV300,28,FALSE)/HLOOKUP("Mins",A1:CV300,28,FALSE)* 90)</f>
        <v>0.99708454810495628</v>
      </c>
      <c r="AY28" s="20331">
        <f>IF(HLOOKUP("Mins",A1:CV300,28,FALSE)=0,0,HLOOKUP("BPS",A1:CV300,28,FALSE)/HLOOKUP("Mins",A1:CV300,28,FALSE)* 90)</f>
        <v>31.539358600583093</v>
      </c>
      <c r="AZ28" s="20332">
        <f>IF(HLOOKUP("Mins",A1:CV300,28,FALSE)=0,0,HLOOKUP("Base BPS",A1:CV300,28,FALSE)/HLOOKUP("Mins",A1:CV300,28,FALSE)* 90)</f>
        <v>17.370262390670554</v>
      </c>
      <c r="BA28" s="20333">
        <f>IF(HLOOKUP("Mins",A1:CV300,28,FALSE)=0,0,HLOOKUP("PenTchs",A1:CV300,28,FALSE)/HLOOKUP("Mins",A1:CV300,28,FALSE)* 90)</f>
        <v>5.3527696793002919</v>
      </c>
      <c r="BB28" s="20334">
        <f>IF(HLOOKUP("Mins",A1:CV300,28,FALSE)=0,0,HLOOKUP("Shots",A1:CV300,28,FALSE)/HLOOKUP("Mins",A1:CV300,28,FALSE)* 90)</f>
        <v>3.0962099125364428</v>
      </c>
      <c r="BC28" s="20335">
        <f>IF(HLOOKUP("Mins",A1:CV300,28,FALSE)=0,0,HLOOKUP("SIB",A1:CV300,28,FALSE)/HLOOKUP("Mins",A1:CV300,28,FALSE)* 90)</f>
        <v>1.4169096209912535</v>
      </c>
      <c r="BD28" s="20336">
        <f>IF(HLOOKUP("Mins",A1:CV300,28,FALSE)=0,0,HLOOKUP("S6YD",A1:CV300,28,FALSE)/HLOOKUP("Mins",A1:CV300,28,FALSE)* 90)</f>
        <v>5.2478134110787174E-2</v>
      </c>
      <c r="BE28" s="20337">
        <f>IF(HLOOKUP("Mins",A1:CV300,28,FALSE)=0,0,HLOOKUP("Headers",A1:CV300,28,FALSE)/HLOOKUP("Mins",A1:CV300,28,FALSE)* 90)</f>
        <v>5.2478134110787174E-2</v>
      </c>
      <c r="BF28" s="20338">
        <f>IF(HLOOKUP("Mins",A1:CV300,28,FALSE)=0,0,HLOOKUP("SOT",A1:CV300,28,FALSE)/HLOOKUP("Mins",A1:CV300,28,FALSE)* 90)</f>
        <v>0.94460641399416911</v>
      </c>
      <c r="BG28" s="20339">
        <f>IF(HLOOKUP("Mins",A1:CV300,28,FALSE)=0,0,HLOOKUP("As",A1:CV300,28,FALSE)/HLOOKUP("Mins",A1:CV300,28,FALSE)* 90)</f>
        <v>0.73469387755102045</v>
      </c>
      <c r="BH28" s="20340">
        <f>IF(HLOOKUP("Mins",A1:CV300,28,FALSE)=0,0,HLOOKUP("FPL As",A1:CV300,28,FALSE)/HLOOKUP("Mins",A1:CV300,28,FALSE)* 90)</f>
        <v>0.83965014577259478</v>
      </c>
      <c r="BI28" s="20341">
        <f>IF(HLOOKUP("Mins",A1:CV300,28,FALSE)=0,0,HLOOKUP("BC Created",A1:CV300,28,FALSE)/HLOOKUP("Mins",A1:CV300,28,FALSE)* 90)</f>
        <v>0.99708454810495628</v>
      </c>
      <c r="BJ28" s="20342">
        <f>IF(HLOOKUP("Mins",A1:CV300,28,FALSE)=0,0,HLOOKUP("KP",A1:CV300,28,FALSE)/HLOOKUP("Mins",A1:CV300,28,FALSE)* 90)</f>
        <v>3.9883381924198251</v>
      </c>
      <c r="BK28" s="20343">
        <f>IF(HLOOKUP("Mins",A1:CV300,28,FALSE)=0,0,HLOOKUP("BC",A1:CV300,28,FALSE)/HLOOKUP("Mins",A1:CV300,28,FALSE)* 90)</f>
        <v>0.1574344023323615</v>
      </c>
      <c r="BL28" s="20344">
        <f>IF(HLOOKUP("Mins",A1:CV300,28,FALSE)=0,0,HLOOKUP("BC Miss",A1:CV300,28,FALSE)/HLOOKUP("Mins",A1:CV300,28,FALSE)* 90)</f>
        <v>0.10495626822157435</v>
      </c>
      <c r="BM28" s="20345">
        <f>IF(HLOOKUP("Mins",A1:CV300,28,FALSE)=0,0,HLOOKUP("Gs - BC",A1:CV300,28,FALSE)/HLOOKUP("Mins",A1:CV300,28,FALSE)* 90)</f>
        <v>5.2478134110787174E-2</v>
      </c>
      <c r="BN28" s="20346">
        <f>IF(HLOOKUP("Mins",A1:CV300,28,FALSE)=0,0,HLOOKUP("GIB",A1:CV300,28,FALSE)/HLOOKUP("Mins",A1:CV300,28,FALSE)* 90)</f>
        <v>0.2099125364431487</v>
      </c>
      <c r="BO28" s="20347">
        <f>IF(HLOOKUP("Mins",A1:CV300,28,FALSE)=0,0,HLOOKUP("Gs - Open",A1:CV300,28,FALSE)/HLOOKUP("Mins",A1:CV300,28,FALSE)* 90)</f>
        <v>0.314868804664723</v>
      </c>
      <c r="BP28" s="20348">
        <f>IF(HLOOKUP("Mins",A1:CV300,28,FALSE)=0,0,HLOOKUP("ICT Index",A1:CV300,28,FALSE)/HLOOKUP("Mins",A1:CV300,28,FALSE)* 90)</f>
        <v>13.303206997084548</v>
      </c>
      <c r="BQ28" s="20349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  <v>0.26165597667638485</v>
      </c>
      <c r="BR28" s="20350">
        <f>0.0885*HLOOKUP("KP/90",A1:CV300,28,FALSE)</f>
        <v>0.3529679300291545</v>
      </c>
      <c r="BS28" s="20351">
        <f>5*HLOOKUP("xG/90",A1:CV300,28,FALSE)+3*HLOOKUP("xA/90",A1:CV300,28,FALSE)</f>
        <v>2.3671836734693876</v>
      </c>
      <c r="BT28" s="20352">
        <f>HLOOKUP("xPts/90",A1:CV300,28,FALSE)-(5*0.75*(HLOOKUP("PK Gs",A1:CV300,28,FALSE)+HLOOKUP("PK Miss",A1:CV300,28,FALSE))*90/HLOOKUP("Mins",A1:CV300,28,FALSE))</f>
        <v>2.3671836734693876</v>
      </c>
      <c r="BU28" s="20353">
        <f>IF(HLOOKUP("Mins",A1:CV300,28,FALSE)=0,0,HLOOKUP("fsXG",A1:CV300,28,FALSE)/HLOOKUP("Mins",A1:CV300,28,FALSE)* 90)</f>
        <v>0.20413994169096208</v>
      </c>
      <c r="BV28" s="20354">
        <f>IF(HLOOKUP("Mins",A1:CV300,28,FALSE)=0,0,HLOOKUP("fsXA",A1:CV300,28,FALSE)/HLOOKUP("Mins",A1:CV300,28,FALSE)* 90)</f>
        <v>0.42927113702623904</v>
      </c>
      <c r="BW28" s="20355">
        <f>5*HLOOKUP("fsXG/90",A1:CV300,28,FALSE)+3*HLOOKUP("fsXA/90",A1:CV300,28,FALSE)</f>
        <v>2.3085131195335276</v>
      </c>
      <c r="BX28" s="20356">
        <v>0.23867553472518921</v>
      </c>
      <c r="BY28" s="20357">
        <v>0.61358928680419922</v>
      </c>
      <c r="BZ28" s="20358">
        <f>5*HLOOKUP("uXG/90",A1:CV300,28,FALSE)+3*HLOOKUP("uXA/90",A1:CV300,28,FALSE)</f>
        <v>3.0341455340385437</v>
      </c>
    </row>
    <row r="29" spans="1:78" x14ac:dyDescent="0.3">
      <c r="A29" s="20359" t="s">
        <v>356</v>
      </c>
      <c r="B29" s="20360" t="s">
        <v>81</v>
      </c>
      <c r="C29" s="20361">
        <v>5.1999998092651367</v>
      </c>
      <c r="D29" s="20362">
        <v>353</v>
      </c>
      <c r="E29" s="20363">
        <v>11</v>
      </c>
      <c r="F29" s="20364">
        <v>15</v>
      </c>
      <c r="G29" s="20365">
        <v>0</v>
      </c>
      <c r="H29" s="20366">
        <v>0</v>
      </c>
      <c r="I29" s="20367">
        <v>76</v>
      </c>
      <c r="J29" s="20368">
        <f>HLOOKUP("BPS",A1:CV300,29,FALSE)-((-6*HLOOKUP("OG",A1:CV300,29,FALSE))+(-6*HLOOKUP("PK Miss",A1:CV300,29,FALSE))+(9*HLOOKUP("FPL As",A1:CV300,29,FALSE))+(0*HLOOKUP("CS",A1:CV300,29,FALSE))+(18*HLOOKUP("Gs",A1:CV300,29,FALSE)))</f>
        <v>67</v>
      </c>
      <c r="K29" s="20369">
        <v>0</v>
      </c>
      <c r="L29" s="20370">
        <v>0</v>
      </c>
      <c r="M29" s="20371">
        <v>9</v>
      </c>
      <c r="N29" s="20372">
        <v>5</v>
      </c>
      <c r="O29" s="20373">
        <v>1</v>
      </c>
      <c r="P29" s="20374">
        <f>IF(HLOOKUP("Shots",A1:CV300,29,FALSE)=0,0,HLOOKUP("SIB",A1:CV300,29,FALSE)/HLOOKUP("Shots",A1:CV300,29,FALSE))</f>
        <v>0.2</v>
      </c>
      <c r="Q29" s="20375">
        <v>0</v>
      </c>
      <c r="R29" s="20376">
        <f>IF(HLOOKUP("Shots",A1:CV300,29,FALSE)=0,0,HLOOKUP("S6YD",A1:CV300,29,FALSE)/HLOOKUP("Shots",A1:CV300,29,FALSE))</f>
        <v>0</v>
      </c>
      <c r="S29" s="20377">
        <v>0</v>
      </c>
      <c r="T29" s="20378">
        <f>IF(HLOOKUP("Shots",A1:CV300,29,FALSE)=0,0,HLOOKUP("Headers",A1:CV300,29,FALSE)/HLOOKUP("Shots",A1:CV300,29,FALSE))</f>
        <v>0</v>
      </c>
      <c r="U29" s="20379">
        <v>2</v>
      </c>
      <c r="V29" s="20380">
        <f>IF(HLOOKUP("Shots",A1:CV300,29,FALSE)=0,0,HLOOKUP("SOT",A1:CV300,29,FALSE)/HLOOKUP("Shots",A1:CV300,29,FALSE))</f>
        <v>0.4</v>
      </c>
      <c r="W29" s="20381">
        <f>IF(HLOOKUP("Shots",A1:CV300,29,FALSE)=0,0,HLOOKUP("Gs",A1:CV300,29,FALSE)/HLOOKUP("Shots",A1:CV300,29,FALSE))</f>
        <v>0</v>
      </c>
      <c r="X29" s="20382">
        <v>1</v>
      </c>
      <c r="Y29" s="20383">
        <v>1</v>
      </c>
      <c r="Z29" s="20384">
        <v>9</v>
      </c>
      <c r="AA29" s="20385">
        <f>IF(HLOOKUP("KP",A1:CV300,29,FALSE)=0,0,HLOOKUP("As",A1:CV300,29,FALSE)/HLOOKUP("KP",A1:CV300,29,FALSE))</f>
        <v>0.1111111111111111</v>
      </c>
      <c r="AB29" s="20386">
        <v>25.2</v>
      </c>
      <c r="AC29" s="20387">
        <v>10</v>
      </c>
      <c r="AD29" s="20388">
        <v>3</v>
      </c>
      <c r="AE29" s="20389">
        <v>0</v>
      </c>
      <c r="AF29" s="20390">
        <v>0</v>
      </c>
      <c r="AG29" s="20391">
        <f>IF(HLOOKUP("BC",A1:CV300,29,FALSE)=0,0,HLOOKUP("Gs - BC",A1:CV300,29,FALSE)/HLOOKUP("BC",A1:CV300,29,FALSE))</f>
        <v>0</v>
      </c>
      <c r="AH29" s="20392">
        <f>HLOOKUP("BC",A1:CV300,29,FALSE) - HLOOKUP("BC Miss",A1:CV300,29,FALSE)</f>
        <v>0</v>
      </c>
      <c r="AI29" s="20393">
        <f>IF(HLOOKUP("Gs",A1:CV300,29,FALSE)=0,0,HLOOKUP("Gs - BC",A1:CV300,29,FALSE)/HLOOKUP("Gs",A1:CV300,29,FALSE))</f>
        <v>0</v>
      </c>
      <c r="AJ29" s="20394">
        <v>0</v>
      </c>
      <c r="AK29" s="20395">
        <v>0</v>
      </c>
      <c r="AL29" s="20396">
        <f>HLOOKUP("BC",A1:CV300,29,FALSE) - (HLOOKUP("PK Gs",A1:CV300,29,FALSE) + HLOOKUP("PK Miss",A1:CV300,29,FALSE))</f>
        <v>0</v>
      </c>
      <c r="AM29" s="20397">
        <f>HLOOKUP("BC Miss",A1:CV300,29,FALSE) - HLOOKUP("PK Miss",A1:CV300,29,FALSE)</f>
        <v>0</v>
      </c>
      <c r="AN29" s="20398">
        <f>IF(HLOOKUP("BC - Open",A1:CV300,29,FALSE)=0,0,HLOOKUP("BC - Open Miss",A1:CV300,29,FALSE)/HLOOKUP("BC - Open",A1:CV300,29,FALSE))</f>
        <v>0</v>
      </c>
      <c r="AO29" s="20399">
        <v>0</v>
      </c>
      <c r="AP29" s="20400">
        <f>IF(HLOOKUP("Gs",A1:CV300,29,FALSE)=0,0,HLOOKUP("GIB",A1:CV300,29,FALSE)/HLOOKUP("Gs",A1:CV300,29,FALSE))</f>
        <v>0</v>
      </c>
      <c r="AQ29" s="20401">
        <v>0</v>
      </c>
      <c r="AR29" s="20402">
        <f>IF(HLOOKUP("Gs",A1:CV300,29,FALSE)=0,0,HLOOKUP("Gs - Open",A1:CV300,29,FALSE)/HLOOKUP("Gs",A1:CV300,29,FALSE))</f>
        <v>0</v>
      </c>
      <c r="AS29" s="20403">
        <v>0.17</v>
      </c>
      <c r="AT29" s="20404">
        <v>1.1499999999999999</v>
      </c>
      <c r="AU29" s="20405">
        <f>IF(HLOOKUP("Mins",A1:CV300,29,FALSE)=0,0,HLOOKUP("Pts",A1:CV300,29,FALSE)/HLOOKUP("Mins",A1:CV300,29,FALSE)* 90)</f>
        <v>3.8243626062322948</v>
      </c>
      <c r="AV29" s="20406">
        <f>IF(HLOOKUP("Apps",A1:CV300,29,FALSE)=0,0,HLOOKUP("Pts",A1:CV300,29,FALSE)/HLOOKUP("Apps",A1:CV300,29,FALSE)* 1)</f>
        <v>1.3636363636363635</v>
      </c>
      <c r="AW29" s="20407">
        <f>IF(HLOOKUP("Mins",A1:CV300,29,FALSE)=0,0,HLOOKUP("Gs",A1:CV300,29,FALSE)/HLOOKUP("Mins",A1:CV300,29,FALSE)* 90)</f>
        <v>0</v>
      </c>
      <c r="AX29" s="20408">
        <f>IF(HLOOKUP("Mins",A1:CV300,29,FALSE)=0,0,HLOOKUP("Bonus",A1:CV300,29,FALSE)/HLOOKUP("Mins",A1:CV300,29,FALSE)* 90)</f>
        <v>0</v>
      </c>
      <c r="AY29" s="20409">
        <f>IF(HLOOKUP("Mins",A1:CV300,29,FALSE)=0,0,HLOOKUP("BPS",A1:CV300,29,FALSE)/HLOOKUP("Mins",A1:CV300,29,FALSE)* 90)</f>
        <v>19.376770538243626</v>
      </c>
      <c r="AZ29" s="20410">
        <f>IF(HLOOKUP("Mins",A1:CV300,29,FALSE)=0,0,HLOOKUP("Base BPS",A1:CV300,29,FALSE)/HLOOKUP("Mins",A1:CV300,29,FALSE)* 90)</f>
        <v>17.082152974504247</v>
      </c>
      <c r="BA29" s="20411">
        <f>IF(HLOOKUP("Mins",A1:CV300,29,FALSE)=0,0,HLOOKUP("PenTchs",A1:CV300,29,FALSE)/HLOOKUP("Mins",A1:CV300,29,FALSE)* 90)</f>
        <v>2.2946175637393766</v>
      </c>
      <c r="BB29" s="20412">
        <f>IF(HLOOKUP("Mins",A1:CV300,29,FALSE)=0,0,HLOOKUP("Shots",A1:CV300,29,FALSE)/HLOOKUP("Mins",A1:CV300,29,FALSE)* 90)</f>
        <v>1.2747875354107649</v>
      </c>
      <c r="BC29" s="20413">
        <f>IF(HLOOKUP("Mins",A1:CV300,29,FALSE)=0,0,HLOOKUP("SIB",A1:CV300,29,FALSE)/HLOOKUP("Mins",A1:CV300,29,FALSE)* 90)</f>
        <v>0.25495750708215298</v>
      </c>
      <c r="BD29" s="20414">
        <f>IF(HLOOKUP("Mins",A1:CV300,29,FALSE)=0,0,HLOOKUP("S6YD",A1:CV300,29,FALSE)/HLOOKUP("Mins",A1:CV300,29,FALSE)* 90)</f>
        <v>0</v>
      </c>
      <c r="BE29" s="20415">
        <f>IF(HLOOKUP("Mins",A1:CV300,29,FALSE)=0,0,HLOOKUP("Headers",A1:CV300,29,FALSE)/HLOOKUP("Mins",A1:CV300,29,FALSE)* 90)</f>
        <v>0</v>
      </c>
      <c r="BF29" s="20416">
        <f>IF(HLOOKUP("Mins",A1:CV300,29,FALSE)=0,0,HLOOKUP("SOT",A1:CV300,29,FALSE)/HLOOKUP("Mins",A1:CV300,29,FALSE)* 90)</f>
        <v>0.50991501416430596</v>
      </c>
      <c r="BG29" s="20417">
        <f>IF(HLOOKUP("Mins",A1:CV300,29,FALSE)=0,0,HLOOKUP("As",A1:CV300,29,FALSE)/HLOOKUP("Mins",A1:CV300,29,FALSE)* 90)</f>
        <v>0.25495750708215298</v>
      </c>
      <c r="BH29" s="20418">
        <f>IF(HLOOKUP("Mins",A1:CV300,29,FALSE)=0,0,HLOOKUP("FPL As",A1:CV300,29,FALSE)/HLOOKUP("Mins",A1:CV300,29,FALSE)* 90)</f>
        <v>0.25495750708215298</v>
      </c>
      <c r="BI29" s="20419">
        <f>IF(HLOOKUP("Mins",A1:CV300,29,FALSE)=0,0,HLOOKUP("BC Created",A1:CV300,29,FALSE)/HLOOKUP("Mins",A1:CV300,29,FALSE)* 90)</f>
        <v>0.76487252124645899</v>
      </c>
      <c r="BJ29" s="20420">
        <f>IF(HLOOKUP("Mins",A1:CV300,29,FALSE)=0,0,HLOOKUP("KP",A1:CV300,29,FALSE)/HLOOKUP("Mins",A1:CV300,29,FALSE)* 90)</f>
        <v>2.2946175637393766</v>
      </c>
      <c r="BK29" s="20421">
        <f>IF(HLOOKUP("Mins",A1:CV300,29,FALSE)=0,0,HLOOKUP("BC",A1:CV300,29,FALSE)/HLOOKUP("Mins",A1:CV300,29,FALSE)* 90)</f>
        <v>0</v>
      </c>
      <c r="BL29" s="20422">
        <f>IF(HLOOKUP("Mins",A1:CV300,29,FALSE)=0,0,HLOOKUP("BC Miss",A1:CV300,29,FALSE)/HLOOKUP("Mins",A1:CV300,29,FALSE)* 90)</f>
        <v>0</v>
      </c>
      <c r="BM29" s="20423">
        <f>IF(HLOOKUP("Mins",A1:CV300,29,FALSE)=0,0,HLOOKUP("Gs - BC",A1:CV300,29,FALSE)/HLOOKUP("Mins",A1:CV300,29,FALSE)* 90)</f>
        <v>0</v>
      </c>
      <c r="BN29" s="20424">
        <f>IF(HLOOKUP("Mins",A1:CV300,29,FALSE)=0,0,HLOOKUP("GIB",A1:CV300,29,FALSE)/HLOOKUP("Mins",A1:CV300,29,FALSE)* 90)</f>
        <v>0</v>
      </c>
      <c r="BO29" s="20425">
        <f>IF(HLOOKUP("Mins",A1:CV300,29,FALSE)=0,0,HLOOKUP("Gs - Open",A1:CV300,29,FALSE)/HLOOKUP("Mins",A1:CV300,29,FALSE)* 90)</f>
        <v>0</v>
      </c>
      <c r="BP29" s="20426">
        <f>IF(HLOOKUP("Mins",A1:CV300,29,FALSE)=0,0,HLOOKUP("ICT Index",A1:CV300,29,FALSE)/HLOOKUP("Mins",A1:CV300,29,FALSE)* 90)</f>
        <v>6.4249291784702542</v>
      </c>
      <c r="BQ29" s="20427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  <v>7.2917847025495738E-2</v>
      </c>
      <c r="BR29" s="20428">
        <f>0.0885*HLOOKUP("KP/90",A1:CV300,29,FALSE)</f>
        <v>0.20307365439093483</v>
      </c>
      <c r="BS29" s="20429">
        <f>5*HLOOKUP("xG/90",A1:CV300,29,FALSE)+3*HLOOKUP("xA/90",A1:CV300,29,FALSE)</f>
        <v>0.97381019830028315</v>
      </c>
      <c r="BT29" s="20430">
        <f>HLOOKUP("xPts/90",A1:CV300,29,FALSE)-(5*0.75*(HLOOKUP("PK Gs",A1:CV300,29,FALSE)+HLOOKUP("PK Miss",A1:CV300,29,FALSE))*90/HLOOKUP("Mins",A1:CV300,29,FALSE))</f>
        <v>0.97381019830028315</v>
      </c>
      <c r="BU29" s="20431">
        <f>IF(HLOOKUP("Mins",A1:CV300,29,FALSE)=0,0,HLOOKUP("fsXG",A1:CV300,29,FALSE)/HLOOKUP("Mins",A1:CV300,29,FALSE)* 90)</f>
        <v>4.334277620396601E-2</v>
      </c>
      <c r="BV29" s="20432">
        <f>IF(HLOOKUP("Mins",A1:CV300,29,FALSE)=0,0,HLOOKUP("fsXA",A1:CV300,29,FALSE)/HLOOKUP("Mins",A1:CV300,29,FALSE)* 90)</f>
        <v>0.29320113314447593</v>
      </c>
      <c r="BW29" s="20433">
        <f>5*HLOOKUP("fsXG/90",A1:CV300,29,FALSE)+3*HLOOKUP("fsXA/90",A1:CV300,29,FALSE)</f>
        <v>1.0963172804532579</v>
      </c>
      <c r="BX29" s="20434">
        <v>5.1853880286216736E-2</v>
      </c>
      <c r="BY29" s="20435">
        <v>0.3611539900302887</v>
      </c>
      <c r="BZ29" s="20436">
        <f>5*HLOOKUP("uXG/90",A1:CV300,29,FALSE)+3*HLOOKUP("uXA/90",A1:CV300,29,FALSE)</f>
        <v>1.3427313715219498</v>
      </c>
    </row>
    <row r="30" spans="1:78" x14ac:dyDescent="0.3">
      <c r="A30" s="20437" t="s">
        <v>357</v>
      </c>
      <c r="B30" s="20438" t="s">
        <v>93</v>
      </c>
      <c r="C30" s="20439">
        <v>4.5999999046325684</v>
      </c>
      <c r="D30" s="20440">
        <v>48</v>
      </c>
      <c r="E30" s="20441">
        <v>2</v>
      </c>
      <c r="F30" s="20442">
        <v>2</v>
      </c>
      <c r="G30" s="20443">
        <v>0</v>
      </c>
      <c r="H30" s="20444">
        <v>0</v>
      </c>
      <c r="I30" s="20445">
        <v>10</v>
      </c>
      <c r="J30" s="20446">
        <f>HLOOKUP("BPS",A1:CV300,30,FALSE)-((-6*HLOOKUP("OG",A1:CV300,30,FALSE))+(-6*HLOOKUP("PK Miss",A1:CV300,30,FALSE))+(9*HLOOKUP("FPL As",A1:CV300,30,FALSE))+(0*HLOOKUP("CS",A1:CV300,30,FALSE))+(18*HLOOKUP("Gs",A1:CV300,30,FALSE)))</f>
        <v>10</v>
      </c>
      <c r="K30" s="20447">
        <v>0</v>
      </c>
      <c r="L30" s="20448">
        <v>0</v>
      </c>
      <c r="M30" s="20449">
        <v>0</v>
      </c>
      <c r="N30" s="20450">
        <v>0</v>
      </c>
      <c r="O30" s="20451">
        <v>0</v>
      </c>
      <c r="P30" s="20452">
        <f>IF(HLOOKUP("Shots",A1:CV300,30,FALSE)=0,0,HLOOKUP("SIB",A1:CV300,30,FALSE)/HLOOKUP("Shots",A1:CV300,30,FALSE))</f>
        <v>0</v>
      </c>
      <c r="Q30" s="20453">
        <v>0</v>
      </c>
      <c r="R30" s="20454">
        <f>IF(HLOOKUP("Shots",A1:CV300,30,FALSE)=0,0,HLOOKUP("S6YD",A1:CV300,30,FALSE)/HLOOKUP("Shots",A1:CV300,30,FALSE))</f>
        <v>0</v>
      </c>
      <c r="S30" s="20455">
        <v>0</v>
      </c>
      <c r="T30" s="20456">
        <f>IF(HLOOKUP("Shots",A1:CV300,30,FALSE)=0,0,HLOOKUP("Headers",A1:CV300,30,FALSE)/HLOOKUP("Shots",A1:CV300,30,FALSE))</f>
        <v>0</v>
      </c>
      <c r="U30" s="20457">
        <v>0</v>
      </c>
      <c r="V30" s="20458">
        <f>IF(HLOOKUP("Shots",A1:CV300,30,FALSE)=0,0,HLOOKUP("SOT",A1:CV300,30,FALSE)/HLOOKUP("Shots",A1:CV300,30,FALSE))</f>
        <v>0</v>
      </c>
      <c r="W30" s="20459">
        <f>IF(HLOOKUP("Shots",A1:CV300,30,FALSE)=0,0,HLOOKUP("Gs",A1:CV300,30,FALSE)/HLOOKUP("Shots",A1:CV300,30,FALSE))</f>
        <v>0</v>
      </c>
      <c r="X30" s="20460">
        <v>0</v>
      </c>
      <c r="Y30" s="20461">
        <v>0</v>
      </c>
      <c r="Z30" s="20462">
        <v>0</v>
      </c>
      <c r="AA30" s="20463">
        <f>IF(HLOOKUP("KP",A1:CV300,30,FALSE)=0,0,HLOOKUP("As",A1:CV300,30,FALSE)/HLOOKUP("KP",A1:CV300,30,FALSE))</f>
        <v>0</v>
      </c>
      <c r="AB30" s="20464">
        <v>1.2</v>
      </c>
      <c r="AC30" s="20465">
        <v>0</v>
      </c>
      <c r="AD30" s="20466">
        <v>0</v>
      </c>
      <c r="AE30" s="20467">
        <v>0</v>
      </c>
      <c r="AF30" s="20468">
        <v>0</v>
      </c>
      <c r="AG30" s="20469">
        <f>IF(HLOOKUP("BC",A1:CV300,30,FALSE)=0,0,HLOOKUP("Gs - BC",A1:CV300,30,FALSE)/HLOOKUP("BC",A1:CV300,30,FALSE))</f>
        <v>0</v>
      </c>
      <c r="AH30" s="20470">
        <f>HLOOKUP("BC",A1:CV300,30,FALSE) - HLOOKUP("BC Miss",A1:CV300,30,FALSE)</f>
        <v>0</v>
      </c>
      <c r="AI30" s="20471">
        <f>IF(HLOOKUP("Gs",A1:CV300,30,FALSE)=0,0,HLOOKUP("Gs - BC",A1:CV300,30,FALSE)/HLOOKUP("Gs",A1:CV300,30,FALSE))</f>
        <v>0</v>
      </c>
      <c r="AJ30" s="20472">
        <v>0</v>
      </c>
      <c r="AK30" s="20473">
        <v>0</v>
      </c>
      <c r="AL30" s="20474">
        <f>HLOOKUP("BC",A1:CV300,30,FALSE) - (HLOOKUP("PK Gs",A1:CV300,30,FALSE) + HLOOKUP("PK Miss",A1:CV300,30,FALSE))</f>
        <v>0</v>
      </c>
      <c r="AM30" s="20475">
        <f>HLOOKUP("BC Miss",A1:CV300,30,FALSE) - HLOOKUP("PK Miss",A1:CV300,30,FALSE)</f>
        <v>0</v>
      </c>
      <c r="AN30" s="20476">
        <f>IF(HLOOKUP("BC - Open",A1:CV300,30,FALSE)=0,0,HLOOKUP("BC - Open Miss",A1:CV300,30,FALSE)/HLOOKUP("BC - Open",A1:CV300,30,FALSE))</f>
        <v>0</v>
      </c>
      <c r="AO30" s="20477">
        <v>0</v>
      </c>
      <c r="AP30" s="20478">
        <f>IF(HLOOKUP("Gs",A1:CV300,30,FALSE)=0,0,HLOOKUP("GIB",A1:CV300,30,FALSE)/HLOOKUP("Gs",A1:CV300,30,FALSE))</f>
        <v>0</v>
      </c>
      <c r="AQ30" s="20479">
        <v>0</v>
      </c>
      <c r="AR30" s="20480">
        <f>IF(HLOOKUP("Gs",A1:CV300,30,FALSE)=0,0,HLOOKUP("Gs - Open",A1:CV300,30,FALSE)/HLOOKUP("Gs",A1:CV300,30,FALSE))</f>
        <v>0</v>
      </c>
      <c r="AS30" s="20481">
        <v>0</v>
      </c>
      <c r="AT30" s="20482">
        <v>0.02</v>
      </c>
      <c r="AU30" s="20483">
        <f>IF(HLOOKUP("Mins",A1:CV300,30,FALSE)=0,0,HLOOKUP("Pts",A1:CV300,30,FALSE)/HLOOKUP("Mins",A1:CV300,30,FALSE)* 90)</f>
        <v>3.75</v>
      </c>
      <c r="AV30" s="20484">
        <f>IF(HLOOKUP("Apps",A1:CV300,30,FALSE)=0,0,HLOOKUP("Pts",A1:CV300,30,FALSE)/HLOOKUP("Apps",A1:CV300,30,FALSE)* 1)</f>
        <v>1</v>
      </c>
      <c r="AW30" s="20485">
        <f>IF(HLOOKUP("Mins",A1:CV300,30,FALSE)=0,0,HLOOKUP("Gs",A1:CV300,30,FALSE)/HLOOKUP("Mins",A1:CV300,30,FALSE)* 90)</f>
        <v>0</v>
      </c>
      <c r="AX30" s="20486">
        <f>IF(HLOOKUP("Mins",A1:CV300,30,FALSE)=0,0,HLOOKUP("Bonus",A1:CV300,30,FALSE)/HLOOKUP("Mins",A1:CV300,30,FALSE)* 90)</f>
        <v>0</v>
      </c>
      <c r="AY30" s="20487">
        <f>IF(HLOOKUP("Mins",A1:CV300,30,FALSE)=0,0,HLOOKUP("BPS",A1:CV300,30,FALSE)/HLOOKUP("Mins",A1:CV300,30,FALSE)* 90)</f>
        <v>18.75</v>
      </c>
      <c r="AZ30" s="20488">
        <f>IF(HLOOKUP("Mins",A1:CV300,30,FALSE)=0,0,HLOOKUP("Base BPS",A1:CV300,30,FALSE)/HLOOKUP("Mins",A1:CV300,30,FALSE)* 90)</f>
        <v>18.75</v>
      </c>
      <c r="BA30" s="20489">
        <f>IF(HLOOKUP("Mins",A1:CV300,30,FALSE)=0,0,HLOOKUP("PenTchs",A1:CV300,30,FALSE)/HLOOKUP("Mins",A1:CV300,30,FALSE)* 90)</f>
        <v>0</v>
      </c>
      <c r="BB30" s="20490">
        <f>IF(HLOOKUP("Mins",A1:CV300,30,FALSE)=0,0,HLOOKUP("Shots",A1:CV300,30,FALSE)/HLOOKUP("Mins",A1:CV300,30,FALSE)* 90)</f>
        <v>0</v>
      </c>
      <c r="BC30" s="20491">
        <f>IF(HLOOKUP("Mins",A1:CV300,30,FALSE)=0,0,HLOOKUP("SIB",A1:CV300,30,FALSE)/HLOOKUP("Mins",A1:CV300,30,FALSE)* 90)</f>
        <v>0</v>
      </c>
      <c r="BD30" s="20492">
        <f>IF(HLOOKUP("Mins",A1:CV300,30,FALSE)=0,0,HLOOKUP("S6YD",A1:CV300,30,FALSE)/HLOOKUP("Mins",A1:CV300,30,FALSE)* 90)</f>
        <v>0</v>
      </c>
      <c r="BE30" s="20493">
        <f>IF(HLOOKUP("Mins",A1:CV300,30,FALSE)=0,0,HLOOKUP("Headers",A1:CV300,30,FALSE)/HLOOKUP("Mins",A1:CV300,30,FALSE)* 90)</f>
        <v>0</v>
      </c>
      <c r="BF30" s="20494">
        <f>IF(HLOOKUP("Mins",A1:CV300,30,FALSE)=0,0,HLOOKUP("SOT",A1:CV300,30,FALSE)/HLOOKUP("Mins",A1:CV300,30,FALSE)* 90)</f>
        <v>0</v>
      </c>
      <c r="BG30" s="20495">
        <f>IF(HLOOKUP("Mins",A1:CV300,30,FALSE)=0,0,HLOOKUP("As",A1:CV300,30,FALSE)/HLOOKUP("Mins",A1:CV300,30,FALSE)* 90)</f>
        <v>0</v>
      </c>
      <c r="BH30" s="20496">
        <f>IF(HLOOKUP("Mins",A1:CV300,30,FALSE)=0,0,HLOOKUP("FPL As",A1:CV300,30,FALSE)/HLOOKUP("Mins",A1:CV300,30,FALSE)* 90)</f>
        <v>0</v>
      </c>
      <c r="BI30" s="20497">
        <f>IF(HLOOKUP("Mins",A1:CV300,30,FALSE)=0,0,HLOOKUP("BC Created",A1:CV300,30,FALSE)/HLOOKUP("Mins",A1:CV300,30,FALSE)* 90)</f>
        <v>0</v>
      </c>
      <c r="BJ30" s="20498">
        <f>IF(HLOOKUP("Mins",A1:CV300,30,FALSE)=0,0,HLOOKUP("KP",A1:CV300,30,FALSE)/HLOOKUP("Mins",A1:CV300,30,FALSE)* 90)</f>
        <v>0</v>
      </c>
      <c r="BK30" s="20499">
        <f>IF(HLOOKUP("Mins",A1:CV300,30,FALSE)=0,0,HLOOKUP("BC",A1:CV300,30,FALSE)/HLOOKUP("Mins",A1:CV300,30,FALSE)* 90)</f>
        <v>0</v>
      </c>
      <c r="BL30" s="20500">
        <f>IF(HLOOKUP("Mins",A1:CV300,30,FALSE)=0,0,HLOOKUP("BC Miss",A1:CV300,30,FALSE)/HLOOKUP("Mins",A1:CV300,30,FALSE)* 90)</f>
        <v>0</v>
      </c>
      <c r="BM30" s="20501">
        <f>IF(HLOOKUP("Mins",A1:CV300,30,FALSE)=0,0,HLOOKUP("Gs - BC",A1:CV300,30,FALSE)/HLOOKUP("Mins",A1:CV300,30,FALSE)* 90)</f>
        <v>0</v>
      </c>
      <c r="BN30" s="20502">
        <f>IF(HLOOKUP("Mins",A1:CV300,30,FALSE)=0,0,HLOOKUP("GIB",A1:CV300,30,FALSE)/HLOOKUP("Mins",A1:CV300,30,FALSE)* 90)</f>
        <v>0</v>
      </c>
      <c r="BO30" s="20503">
        <f>IF(HLOOKUP("Mins",A1:CV300,30,FALSE)=0,0,HLOOKUP("Gs - Open",A1:CV300,30,FALSE)/HLOOKUP("Mins",A1:CV300,30,FALSE)* 90)</f>
        <v>0</v>
      </c>
      <c r="BP30" s="20504">
        <f>IF(HLOOKUP("Mins",A1:CV300,30,FALSE)=0,0,HLOOKUP("ICT Index",A1:CV300,30,FALSE)/HLOOKUP("Mins",A1:CV300,30,FALSE)* 90)</f>
        <v>2.25</v>
      </c>
      <c r="BQ30" s="20505">
        <f>IF(HLOOKUP("Mins",A1:CV300,30,FALSE)=0,0,(0.036*(HLOOKUP("Shots",A1:CV300,30,FALSE)-HLOOKUP("SIB",A1:CV300,30,FALSE))+0.142*(HLOOKUP("SIB",A1:CV300,30,FALSE)-(HLOOKUP("PK Gs",A1:CV300,30,FALSE)+HLOOKUP("PK Miss",A1:CV300,30,FALSE)))+0.75*(HLOOKUP("PK Gs",A1:CV300,30,FALSE)+HLOOKUP("PK Miss",A1:CV300,30,FALSE)))/HLOOKUP("Mins",A1:CV300,30,FALSE)*90)</f>
        <v>0</v>
      </c>
      <c r="BR30" s="20506">
        <f>0.0885*HLOOKUP("KP/90",A1:CV300,30,FALSE)</f>
        <v>0</v>
      </c>
      <c r="BS30" s="20507">
        <f>5*HLOOKUP("xG/90",A1:CV300,30,FALSE)+3*HLOOKUP("xA/90",A1:CV300,30,FALSE)</f>
        <v>0</v>
      </c>
      <c r="BT30" s="20508">
        <f>HLOOKUP("xPts/90",A1:CV300,30,FALSE)-(5*0.75*(HLOOKUP("PK Gs",A1:CV300,30,FALSE)+HLOOKUP("PK Miss",A1:CV300,30,FALSE))*90/HLOOKUP("Mins",A1:CV300,30,FALSE))</f>
        <v>0</v>
      </c>
      <c r="BU30" s="20509">
        <f>IF(HLOOKUP("Mins",A1:CV300,30,FALSE)=0,0,HLOOKUP("fsXG",A1:CV300,30,FALSE)/HLOOKUP("Mins",A1:CV300,30,FALSE)* 90)</f>
        <v>0</v>
      </c>
      <c r="BV30" s="20510">
        <f>IF(HLOOKUP("Mins",A1:CV300,30,FALSE)=0,0,HLOOKUP("fsXA",A1:CV300,30,FALSE)/HLOOKUP("Mins",A1:CV300,30,FALSE)* 90)</f>
        <v>3.7500000000000006E-2</v>
      </c>
      <c r="BW30" s="20511">
        <f>5*HLOOKUP("fsXG/90",A1:CV300,30,FALSE)+3*HLOOKUP("fsXA/90",A1:CV300,30,FALSE)</f>
        <v>0.11250000000000002</v>
      </c>
      <c r="BX30" s="20512">
        <v>0</v>
      </c>
      <c r="BY30" s="20513">
        <v>0</v>
      </c>
      <c r="BZ30" s="20514">
        <f>5*HLOOKUP("uXG/90",A1:CV300,30,FALSE)+3*HLOOKUP("uXA/90",A1:CV300,30,FALSE)</f>
        <v>0</v>
      </c>
    </row>
    <row r="31" spans="1:78" x14ac:dyDescent="0.3">
      <c r="A31" s="20515" t="s">
        <v>358</v>
      </c>
      <c r="B31" s="20516" t="s">
        <v>109</v>
      </c>
      <c r="C31" s="20517">
        <v>4.4000000953674316</v>
      </c>
      <c r="D31" s="20518">
        <v>1672</v>
      </c>
      <c r="E31" s="20519">
        <v>20</v>
      </c>
      <c r="F31" s="20520">
        <v>42</v>
      </c>
      <c r="G31" s="20521">
        <v>0</v>
      </c>
      <c r="H31" s="20522">
        <v>1</v>
      </c>
      <c r="I31" s="20523">
        <v>278</v>
      </c>
      <c r="J31" s="20524">
        <f>HLOOKUP("BPS",A1:CV300,31,FALSE)-((-6*HLOOKUP("OG",A1:CV300,31,FALSE))+(-6*HLOOKUP("PK Miss",A1:CV300,31,FALSE))+(9*HLOOKUP("FPL As",A1:CV300,31,FALSE))+(0*HLOOKUP("CS",A1:CV300,31,FALSE))+(18*HLOOKUP("Gs",A1:CV300,31,FALSE)))</f>
        <v>269</v>
      </c>
      <c r="K31" s="20525">
        <v>0</v>
      </c>
      <c r="L31" s="20526">
        <v>4</v>
      </c>
      <c r="M31" s="20527">
        <v>7</v>
      </c>
      <c r="N31" s="20528">
        <v>13</v>
      </c>
      <c r="O31" s="20529">
        <v>3</v>
      </c>
      <c r="P31" s="20530">
        <f>IF(HLOOKUP("Shots",A1:CV300,31,FALSE)=0,0,HLOOKUP("SIB",A1:CV300,31,FALSE)/HLOOKUP("Shots",A1:CV300,31,FALSE))</f>
        <v>0.23076923076923078</v>
      </c>
      <c r="Q31" s="20531">
        <v>0</v>
      </c>
      <c r="R31" s="20532">
        <f>IF(HLOOKUP("Shots",A1:CV300,31,FALSE)=0,0,HLOOKUP("S6YD",A1:CV300,31,FALSE)/HLOOKUP("Shots",A1:CV300,31,FALSE))</f>
        <v>0</v>
      </c>
      <c r="S31" s="20533">
        <v>0</v>
      </c>
      <c r="T31" s="20534">
        <f>IF(HLOOKUP("Shots",A1:CV300,31,FALSE)=0,0,HLOOKUP("Headers",A1:CV300,31,FALSE)/HLOOKUP("Shots",A1:CV300,31,FALSE))</f>
        <v>0</v>
      </c>
      <c r="U31" s="20535">
        <v>2</v>
      </c>
      <c r="V31" s="20536">
        <f>IF(HLOOKUP("Shots",A1:CV300,31,FALSE)=0,0,HLOOKUP("SOT",A1:CV300,31,FALSE)/HLOOKUP("Shots",A1:CV300,31,FALSE))</f>
        <v>0.15384615384615385</v>
      </c>
      <c r="W31" s="20537">
        <f>IF(HLOOKUP("Shots",A1:CV300,31,FALSE)=0,0,HLOOKUP("Gs",A1:CV300,31,FALSE)/HLOOKUP("Shots",A1:CV300,31,FALSE))</f>
        <v>0</v>
      </c>
      <c r="X31" s="20538">
        <v>1</v>
      </c>
      <c r="Y31" s="20539">
        <v>1</v>
      </c>
      <c r="Z31" s="20540">
        <v>12</v>
      </c>
      <c r="AA31" s="20541">
        <f>IF(HLOOKUP("KP",A1:CV300,31,FALSE)=0,0,HLOOKUP("As",A1:CV300,31,FALSE)/HLOOKUP("KP",A1:CV300,31,FALSE))</f>
        <v>8.3333333333333329E-2</v>
      </c>
      <c r="AB31" s="20542">
        <v>58.7</v>
      </c>
      <c r="AC31" s="20543">
        <v>5</v>
      </c>
      <c r="AD31" s="20544">
        <v>0</v>
      </c>
      <c r="AE31" s="20545">
        <v>0</v>
      </c>
      <c r="AF31" s="20546">
        <v>0</v>
      </c>
      <c r="AG31" s="20547">
        <f>IF(HLOOKUP("BC",A1:CV300,31,FALSE)=0,0,HLOOKUP("Gs - BC",A1:CV300,31,FALSE)/HLOOKUP("BC",A1:CV300,31,FALSE))</f>
        <v>0</v>
      </c>
      <c r="AH31" s="20548">
        <f>HLOOKUP("BC",A1:CV300,31,FALSE) - HLOOKUP("BC Miss",A1:CV300,31,FALSE)</f>
        <v>0</v>
      </c>
      <c r="AI31" s="20549">
        <f>IF(HLOOKUP("Gs",A1:CV300,31,FALSE)=0,0,HLOOKUP("Gs - BC",A1:CV300,31,FALSE)/HLOOKUP("Gs",A1:CV300,31,FALSE))</f>
        <v>0</v>
      </c>
      <c r="AJ31" s="20550">
        <v>0</v>
      </c>
      <c r="AK31" s="20551">
        <v>0</v>
      </c>
      <c r="AL31" s="20552">
        <f>HLOOKUP("BC",A1:CV300,31,FALSE) - (HLOOKUP("PK Gs",A1:CV300,31,FALSE) + HLOOKUP("PK Miss",A1:CV300,31,FALSE))</f>
        <v>0</v>
      </c>
      <c r="AM31" s="20553">
        <f>HLOOKUP("BC Miss",A1:CV300,31,FALSE) - HLOOKUP("PK Miss",A1:CV300,31,FALSE)</f>
        <v>0</v>
      </c>
      <c r="AN31" s="20554">
        <f>IF(HLOOKUP("BC - Open",A1:CV300,31,FALSE)=0,0,HLOOKUP("BC - Open Miss",A1:CV300,31,FALSE)/HLOOKUP("BC - Open",A1:CV300,31,FALSE))</f>
        <v>0</v>
      </c>
      <c r="AO31" s="20555">
        <v>0</v>
      </c>
      <c r="AP31" s="20556">
        <f>IF(HLOOKUP("Gs",A1:CV300,31,FALSE)=0,0,HLOOKUP("GIB",A1:CV300,31,FALSE)/HLOOKUP("Gs",A1:CV300,31,FALSE))</f>
        <v>0</v>
      </c>
      <c r="AQ31" s="20557">
        <v>0</v>
      </c>
      <c r="AR31" s="20558">
        <f>IF(HLOOKUP("Gs",A1:CV300,31,FALSE)=0,0,HLOOKUP("Gs - Open",A1:CV300,31,FALSE)/HLOOKUP("Gs",A1:CV300,31,FALSE))</f>
        <v>0</v>
      </c>
      <c r="AS31" s="20559">
        <v>0.38</v>
      </c>
      <c r="AT31" s="20560">
        <v>0.85</v>
      </c>
      <c r="AU31" s="20561">
        <f>IF(HLOOKUP("Mins",A1:CV300,31,FALSE)=0,0,HLOOKUP("Pts",A1:CV300,31,FALSE)/HLOOKUP("Mins",A1:CV300,31,FALSE)* 90)</f>
        <v>2.2607655502392343</v>
      </c>
      <c r="AV31" s="20562">
        <f>IF(HLOOKUP("Apps",A1:CV300,31,FALSE)=0,0,HLOOKUP("Pts",A1:CV300,31,FALSE)/HLOOKUP("Apps",A1:CV300,31,FALSE)* 1)</f>
        <v>2.1</v>
      </c>
      <c r="AW31" s="20563">
        <f>IF(HLOOKUP("Mins",A1:CV300,31,FALSE)=0,0,HLOOKUP("Gs",A1:CV300,31,FALSE)/HLOOKUP("Mins",A1:CV300,31,FALSE)* 90)</f>
        <v>0</v>
      </c>
      <c r="AX31" s="20564">
        <f>IF(HLOOKUP("Mins",A1:CV300,31,FALSE)=0,0,HLOOKUP("Bonus",A1:CV300,31,FALSE)/HLOOKUP("Mins",A1:CV300,31,FALSE)* 90)</f>
        <v>5.3827751196172245E-2</v>
      </c>
      <c r="AY31" s="20565">
        <f>IF(HLOOKUP("Mins",A1:CV300,31,FALSE)=0,0,HLOOKUP("BPS",A1:CV300,31,FALSE)/HLOOKUP("Mins",A1:CV300,31,FALSE)* 90)</f>
        <v>14.964114832535886</v>
      </c>
      <c r="AZ31" s="20566">
        <f>IF(HLOOKUP("Mins",A1:CV300,31,FALSE)=0,0,HLOOKUP("Base BPS",A1:CV300,31,FALSE)/HLOOKUP("Mins",A1:CV300,31,FALSE)* 90)</f>
        <v>14.479665071770334</v>
      </c>
      <c r="BA31" s="20567">
        <f>IF(HLOOKUP("Mins",A1:CV300,31,FALSE)=0,0,HLOOKUP("PenTchs",A1:CV300,31,FALSE)/HLOOKUP("Mins",A1:CV300,31,FALSE)* 90)</f>
        <v>0.37679425837320574</v>
      </c>
      <c r="BB31" s="20568">
        <f>IF(HLOOKUP("Mins",A1:CV300,31,FALSE)=0,0,HLOOKUP("Shots",A1:CV300,31,FALSE)/HLOOKUP("Mins",A1:CV300,31,FALSE)* 90)</f>
        <v>0.69976076555023925</v>
      </c>
      <c r="BC31" s="20569">
        <f>IF(HLOOKUP("Mins",A1:CV300,31,FALSE)=0,0,HLOOKUP("SIB",A1:CV300,31,FALSE)/HLOOKUP("Mins",A1:CV300,31,FALSE)* 90)</f>
        <v>0.16148325358851676</v>
      </c>
      <c r="BD31" s="20570">
        <f>IF(HLOOKUP("Mins",A1:CV300,31,FALSE)=0,0,HLOOKUP("S6YD",A1:CV300,31,FALSE)/HLOOKUP("Mins",A1:CV300,31,FALSE)* 90)</f>
        <v>0</v>
      </c>
      <c r="BE31" s="20571">
        <f>IF(HLOOKUP("Mins",A1:CV300,31,FALSE)=0,0,HLOOKUP("Headers",A1:CV300,31,FALSE)/HLOOKUP("Mins",A1:CV300,31,FALSE)* 90)</f>
        <v>0</v>
      </c>
      <c r="BF31" s="20572">
        <f>IF(HLOOKUP("Mins",A1:CV300,31,FALSE)=0,0,HLOOKUP("SOT",A1:CV300,31,FALSE)/HLOOKUP("Mins",A1:CV300,31,FALSE)* 90)</f>
        <v>0.10765550239234449</v>
      </c>
      <c r="BG31" s="20573">
        <f>IF(HLOOKUP("Mins",A1:CV300,31,FALSE)=0,0,HLOOKUP("As",A1:CV300,31,FALSE)/HLOOKUP("Mins",A1:CV300,31,FALSE)* 90)</f>
        <v>5.3827751196172245E-2</v>
      </c>
      <c r="BH31" s="20574">
        <f>IF(HLOOKUP("Mins",A1:CV300,31,FALSE)=0,0,HLOOKUP("FPL As",A1:CV300,31,FALSE)/HLOOKUP("Mins",A1:CV300,31,FALSE)* 90)</f>
        <v>5.3827751196172245E-2</v>
      </c>
      <c r="BI31" s="20575">
        <f>IF(HLOOKUP("Mins",A1:CV300,31,FALSE)=0,0,HLOOKUP("BC Created",A1:CV300,31,FALSE)/HLOOKUP("Mins",A1:CV300,31,FALSE)* 90)</f>
        <v>0</v>
      </c>
      <c r="BJ31" s="20576">
        <f>IF(HLOOKUP("Mins",A1:CV300,31,FALSE)=0,0,HLOOKUP("KP",A1:CV300,31,FALSE)/HLOOKUP("Mins",A1:CV300,31,FALSE)* 90)</f>
        <v>0.64593301435406703</v>
      </c>
      <c r="BK31" s="20577">
        <f>IF(HLOOKUP("Mins",A1:CV300,31,FALSE)=0,0,HLOOKUP("BC",A1:CV300,31,FALSE)/HLOOKUP("Mins",A1:CV300,31,FALSE)* 90)</f>
        <v>0</v>
      </c>
      <c r="BL31" s="20578">
        <f>IF(HLOOKUP("Mins",A1:CV300,31,FALSE)=0,0,HLOOKUP("BC Miss",A1:CV300,31,FALSE)/HLOOKUP("Mins",A1:CV300,31,FALSE)* 90)</f>
        <v>0</v>
      </c>
      <c r="BM31" s="20579">
        <f>IF(HLOOKUP("Mins",A1:CV300,31,FALSE)=0,0,HLOOKUP("Gs - BC",A1:CV300,31,FALSE)/HLOOKUP("Mins",A1:CV300,31,FALSE)* 90)</f>
        <v>0</v>
      </c>
      <c r="BN31" s="20580">
        <f>IF(HLOOKUP("Mins",A1:CV300,31,FALSE)=0,0,HLOOKUP("GIB",A1:CV300,31,FALSE)/HLOOKUP("Mins",A1:CV300,31,FALSE)* 90)</f>
        <v>0</v>
      </c>
      <c r="BO31" s="20581">
        <f>IF(HLOOKUP("Mins",A1:CV300,31,FALSE)=0,0,HLOOKUP("Gs - Open",A1:CV300,31,FALSE)/HLOOKUP("Mins",A1:CV300,31,FALSE)* 90)</f>
        <v>0</v>
      </c>
      <c r="BP31" s="20582">
        <f>IF(HLOOKUP("Mins",A1:CV300,31,FALSE)=0,0,HLOOKUP("ICT Index",A1:CV300,31,FALSE)/HLOOKUP("Mins",A1:CV300,31,FALSE)* 90)</f>
        <v>3.1596889952153111</v>
      </c>
      <c r="BQ31" s="20583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  <v>4.2308612440191386E-2</v>
      </c>
      <c r="BR31" s="20584">
        <f>0.0885*HLOOKUP("KP/90",A1:CV300,31,FALSE)</f>
        <v>5.7165071770334926E-2</v>
      </c>
      <c r="BS31" s="20585">
        <f>5*HLOOKUP("xG/90",A1:CV300,31,FALSE)+3*HLOOKUP("xA/90",A1:CV300,31,FALSE)</f>
        <v>0.38303827751196173</v>
      </c>
      <c r="BT31" s="20586">
        <f>HLOOKUP("xPts/90",A1:CV300,31,FALSE)-(5*0.75*(HLOOKUP("PK Gs",A1:CV300,31,FALSE)+HLOOKUP("PK Miss",A1:CV300,31,FALSE))*90/HLOOKUP("Mins",A1:CV300,31,FALSE))</f>
        <v>0.38303827751196173</v>
      </c>
      <c r="BU31" s="20587">
        <f>IF(HLOOKUP("Mins",A1:CV300,31,FALSE)=0,0,HLOOKUP("fsXG",A1:CV300,31,FALSE)/HLOOKUP("Mins",A1:CV300,31,FALSE)* 90)</f>
        <v>2.0454545454545454E-2</v>
      </c>
      <c r="BV31" s="20588">
        <f>IF(HLOOKUP("Mins",A1:CV300,31,FALSE)=0,0,HLOOKUP("fsXA",A1:CV300,31,FALSE)/HLOOKUP("Mins",A1:CV300,31,FALSE)* 90)</f>
        <v>4.5753588516746407E-2</v>
      </c>
      <c r="BW31" s="20589">
        <f>5*HLOOKUP("fsXG/90",A1:CV300,31,FALSE)+3*HLOOKUP("fsXA/90",A1:CV300,31,FALSE)</f>
        <v>0.23953349282296649</v>
      </c>
      <c r="BX31" s="20590">
        <v>1.5707021579146385E-2</v>
      </c>
      <c r="BY31" s="20591">
        <v>2.7106862515211105E-2</v>
      </c>
      <c r="BZ31" s="20592">
        <f>5*HLOOKUP("uXG/90",A1:CV300,31,FALSE)+3*HLOOKUP("uXA/90",A1:CV300,31,FALSE)</f>
        <v>0.15985569544136524</v>
      </c>
    </row>
    <row r="32" spans="1:78" x14ac:dyDescent="0.3">
      <c r="A32" s="20593" t="s">
        <v>359</v>
      </c>
      <c r="B32" s="20594" t="s">
        <v>89</v>
      </c>
      <c r="C32" s="20595">
        <v>8.6000003814697266</v>
      </c>
      <c r="D32" s="20596">
        <v>1254</v>
      </c>
      <c r="E32" s="20597">
        <v>15</v>
      </c>
      <c r="F32" s="20598">
        <v>77</v>
      </c>
      <c r="G32" s="20599">
        <v>6</v>
      </c>
      <c r="H32" s="20600">
        <v>9</v>
      </c>
      <c r="I32" s="20601">
        <v>259</v>
      </c>
      <c r="J32" s="20602">
        <f>HLOOKUP("BPS",A1:CV300,32,FALSE)-((-6*HLOOKUP("OG",A1:CV300,32,FALSE))+(-6*HLOOKUP("PK Miss",A1:CV300,32,FALSE))+(9*HLOOKUP("FPL As",A1:CV300,32,FALSE))+(0*HLOOKUP("CS",A1:CV300,32,FALSE))+(18*HLOOKUP("Gs",A1:CV300,32,FALSE)))</f>
        <v>124</v>
      </c>
      <c r="K32" s="20603">
        <v>0</v>
      </c>
      <c r="L32" s="20604">
        <v>2</v>
      </c>
      <c r="M32" s="20605">
        <v>53</v>
      </c>
      <c r="N32" s="20606">
        <v>24</v>
      </c>
      <c r="O32" s="20607">
        <v>17</v>
      </c>
      <c r="P32" s="20608">
        <f>IF(HLOOKUP("Shots",A1:CV300,32,FALSE)=0,0,HLOOKUP("SIB",A1:CV300,32,FALSE)/HLOOKUP("Shots",A1:CV300,32,FALSE))</f>
        <v>0.70833333333333337</v>
      </c>
      <c r="Q32" s="20609">
        <v>3</v>
      </c>
      <c r="R32" s="20610">
        <f>IF(HLOOKUP("Shots",A1:CV300,32,FALSE)=0,0,HLOOKUP("S6YD",A1:CV300,32,FALSE)/HLOOKUP("Shots",A1:CV300,32,FALSE))</f>
        <v>0.125</v>
      </c>
      <c r="S32" s="20611">
        <v>1</v>
      </c>
      <c r="T32" s="20612">
        <f>IF(HLOOKUP("Shots",A1:CV300,32,FALSE)=0,0,HLOOKUP("Headers",A1:CV300,32,FALSE)/HLOOKUP("Shots",A1:CV300,32,FALSE))</f>
        <v>4.1666666666666664E-2</v>
      </c>
      <c r="U32" s="20613">
        <v>14</v>
      </c>
      <c r="V32" s="20614">
        <f>IF(HLOOKUP("Shots",A1:CV300,32,FALSE)=0,0,HLOOKUP("SOT",A1:CV300,32,FALSE)/HLOOKUP("Shots",A1:CV300,32,FALSE))</f>
        <v>0.58333333333333337</v>
      </c>
      <c r="W32" s="20615">
        <f>IF(HLOOKUP("Shots",A1:CV300,32,FALSE)=0,0,HLOOKUP("Gs",A1:CV300,32,FALSE)/HLOOKUP("Shots",A1:CV300,32,FALSE))</f>
        <v>0.25</v>
      </c>
      <c r="X32" s="20616">
        <v>3</v>
      </c>
      <c r="Y32" s="20617">
        <v>3</v>
      </c>
      <c r="Z32" s="20618">
        <v>18</v>
      </c>
      <c r="AA32" s="20619">
        <f>IF(HLOOKUP("KP",A1:CV300,32,FALSE)=0,0,HLOOKUP("As",A1:CV300,32,FALSE)/HLOOKUP("KP",A1:CV300,32,FALSE))</f>
        <v>0.16666666666666666</v>
      </c>
      <c r="AB32" s="20620">
        <v>100.6</v>
      </c>
      <c r="AC32" s="20621">
        <v>41</v>
      </c>
      <c r="AD32" s="20622">
        <v>5</v>
      </c>
      <c r="AE32" s="20623">
        <v>5</v>
      </c>
      <c r="AF32" s="20624">
        <v>1</v>
      </c>
      <c r="AG32" s="20625">
        <f>IF(HLOOKUP("BC",A1:CV300,32,FALSE)=0,0,HLOOKUP("Gs - BC",A1:CV300,32,FALSE)/HLOOKUP("BC",A1:CV300,32,FALSE))</f>
        <v>0.8</v>
      </c>
      <c r="AH32" s="20626">
        <f>HLOOKUP("BC",A1:CV300,32,FALSE) - HLOOKUP("BC Miss",A1:CV300,32,FALSE)</f>
        <v>4</v>
      </c>
      <c r="AI32" s="20627">
        <f>IF(HLOOKUP("Gs",A1:CV300,32,FALSE)=0,0,HLOOKUP("Gs - BC",A1:CV300,32,FALSE)/HLOOKUP("Gs",A1:CV300,32,FALSE))</f>
        <v>0.66666666666666663</v>
      </c>
      <c r="AJ32" s="20628">
        <v>0</v>
      </c>
      <c r="AK32" s="20629">
        <v>0</v>
      </c>
      <c r="AL32" s="20630">
        <f>HLOOKUP("BC",A1:CV300,32,FALSE) - (HLOOKUP("PK Gs",A1:CV300,32,FALSE) + HLOOKUP("PK Miss",A1:CV300,32,FALSE))</f>
        <v>5</v>
      </c>
      <c r="AM32" s="20631">
        <f>HLOOKUP("BC Miss",A1:CV300,32,FALSE) - HLOOKUP("PK Miss",A1:CV300,32,FALSE)</f>
        <v>1</v>
      </c>
      <c r="AN32" s="20632">
        <f>IF(HLOOKUP("BC - Open",A1:CV300,32,FALSE)=0,0,HLOOKUP("BC - Open Miss",A1:CV300,32,FALSE)/HLOOKUP("BC - Open",A1:CV300,32,FALSE))</f>
        <v>0.2</v>
      </c>
      <c r="AO32" s="20633">
        <v>6</v>
      </c>
      <c r="AP32" s="20634">
        <f>IF(HLOOKUP("Gs",A1:CV300,32,FALSE)=0,0,HLOOKUP("GIB",A1:CV300,32,FALSE)/HLOOKUP("Gs",A1:CV300,32,FALSE))</f>
        <v>1</v>
      </c>
      <c r="AQ32" s="20635">
        <v>6</v>
      </c>
      <c r="AR32" s="20636">
        <f>IF(HLOOKUP("Gs",A1:CV300,32,FALSE)=0,0,HLOOKUP("Gs - Open",A1:CV300,32,FALSE)/HLOOKUP("Gs",A1:CV300,32,FALSE))</f>
        <v>1</v>
      </c>
      <c r="AS32" s="20637">
        <v>3.68</v>
      </c>
      <c r="AT32" s="20638">
        <v>2.2999999999999998</v>
      </c>
      <c r="AU32" s="20639">
        <f>IF(HLOOKUP("Mins",A1:CV300,32,FALSE)=0,0,HLOOKUP("Pts",A1:CV300,32,FALSE)/HLOOKUP("Mins",A1:CV300,32,FALSE)* 90)</f>
        <v>5.5263157894736841</v>
      </c>
      <c r="AV32" s="20640">
        <f>IF(HLOOKUP("Apps",A1:CV300,32,FALSE)=0,0,HLOOKUP("Pts",A1:CV300,32,FALSE)/HLOOKUP("Apps",A1:CV300,32,FALSE)* 1)</f>
        <v>5.1333333333333337</v>
      </c>
      <c r="AW32" s="20641">
        <f>IF(HLOOKUP("Mins",A1:CV300,32,FALSE)=0,0,HLOOKUP("Gs",A1:CV300,32,FALSE)/HLOOKUP("Mins",A1:CV300,32,FALSE)* 90)</f>
        <v>0.43062200956937796</v>
      </c>
      <c r="AX32" s="20642">
        <f>IF(HLOOKUP("Mins",A1:CV300,32,FALSE)=0,0,HLOOKUP("Bonus",A1:CV300,32,FALSE)/HLOOKUP("Mins",A1:CV300,32,FALSE)* 90)</f>
        <v>0.64593301435406703</v>
      </c>
      <c r="AY32" s="20643">
        <f>IF(HLOOKUP("Mins",A1:CV300,32,FALSE)=0,0,HLOOKUP("BPS",A1:CV300,32,FALSE)/HLOOKUP("Mins",A1:CV300,32,FALSE)* 90)</f>
        <v>18.588516746411486</v>
      </c>
      <c r="AZ32" s="20644">
        <f>IF(HLOOKUP("Mins",A1:CV300,32,FALSE)=0,0,HLOOKUP("Base BPS",A1:CV300,32,FALSE)/HLOOKUP("Mins",A1:CV300,32,FALSE)* 90)</f>
        <v>8.8995215311004774</v>
      </c>
      <c r="BA32" s="20645">
        <f>IF(HLOOKUP("Mins",A1:CV300,32,FALSE)=0,0,HLOOKUP("PenTchs",A1:CV300,32,FALSE)/HLOOKUP("Mins",A1:CV300,32,FALSE)* 90)</f>
        <v>3.8038277511961724</v>
      </c>
      <c r="BB32" s="20646">
        <f>IF(HLOOKUP("Mins",A1:CV300,32,FALSE)=0,0,HLOOKUP("Shots",A1:CV300,32,FALSE)/HLOOKUP("Mins",A1:CV300,32,FALSE)* 90)</f>
        <v>1.7224880382775118</v>
      </c>
      <c r="BC32" s="20647">
        <f>IF(HLOOKUP("Mins",A1:CV300,32,FALSE)=0,0,HLOOKUP("SIB",A1:CV300,32,FALSE)/HLOOKUP("Mins",A1:CV300,32,FALSE)* 90)</f>
        <v>1.2200956937799043</v>
      </c>
      <c r="BD32" s="20648">
        <f>IF(HLOOKUP("Mins",A1:CV300,32,FALSE)=0,0,HLOOKUP("S6YD",A1:CV300,32,FALSE)/HLOOKUP("Mins",A1:CV300,32,FALSE)* 90)</f>
        <v>0.21531100478468898</v>
      </c>
      <c r="BE32" s="20649">
        <f>IF(HLOOKUP("Mins",A1:CV300,32,FALSE)=0,0,HLOOKUP("Headers",A1:CV300,32,FALSE)/HLOOKUP("Mins",A1:CV300,32,FALSE)* 90)</f>
        <v>7.1770334928229665E-2</v>
      </c>
      <c r="BF32" s="20650">
        <f>IF(HLOOKUP("Mins",A1:CV300,32,FALSE)=0,0,HLOOKUP("SOT",A1:CV300,32,FALSE)/HLOOKUP("Mins",A1:CV300,32,FALSE)* 90)</f>
        <v>1.0047846889952152</v>
      </c>
      <c r="BG32" s="20651">
        <f>IF(HLOOKUP("Mins",A1:CV300,32,FALSE)=0,0,HLOOKUP("As",A1:CV300,32,FALSE)/HLOOKUP("Mins",A1:CV300,32,FALSE)* 90)</f>
        <v>0.21531100478468898</v>
      </c>
      <c r="BH32" s="20652">
        <f>IF(HLOOKUP("Mins",A1:CV300,32,FALSE)=0,0,HLOOKUP("FPL As",A1:CV300,32,FALSE)/HLOOKUP("Mins",A1:CV300,32,FALSE)* 90)</f>
        <v>0.21531100478468898</v>
      </c>
      <c r="BI32" s="20653">
        <f>IF(HLOOKUP("Mins",A1:CV300,32,FALSE)=0,0,HLOOKUP("BC Created",A1:CV300,32,FALSE)/HLOOKUP("Mins",A1:CV300,32,FALSE)* 90)</f>
        <v>0.35885167464114831</v>
      </c>
      <c r="BJ32" s="20654">
        <f>IF(HLOOKUP("Mins",A1:CV300,32,FALSE)=0,0,HLOOKUP("KP",A1:CV300,32,FALSE)/HLOOKUP("Mins",A1:CV300,32,FALSE)* 90)</f>
        <v>1.2918660287081341</v>
      </c>
      <c r="BK32" s="20655">
        <f>IF(HLOOKUP("Mins",A1:CV300,32,FALSE)=0,0,HLOOKUP("BC",A1:CV300,32,FALSE)/HLOOKUP("Mins",A1:CV300,32,FALSE)* 90)</f>
        <v>0.35885167464114831</v>
      </c>
      <c r="BL32" s="20656">
        <f>IF(HLOOKUP("Mins",A1:CV300,32,FALSE)=0,0,HLOOKUP("BC Miss",A1:CV300,32,FALSE)/HLOOKUP("Mins",A1:CV300,32,FALSE)* 90)</f>
        <v>7.1770334928229665E-2</v>
      </c>
      <c r="BM32" s="20657">
        <f>IF(HLOOKUP("Mins",A1:CV300,32,FALSE)=0,0,HLOOKUP("Gs - BC",A1:CV300,32,FALSE)/HLOOKUP("Mins",A1:CV300,32,FALSE)* 90)</f>
        <v>0.28708133971291866</v>
      </c>
      <c r="BN32" s="20658">
        <f>IF(HLOOKUP("Mins",A1:CV300,32,FALSE)=0,0,HLOOKUP("GIB",A1:CV300,32,FALSE)/HLOOKUP("Mins",A1:CV300,32,FALSE)* 90)</f>
        <v>0.43062200956937796</v>
      </c>
      <c r="BO32" s="20659">
        <f>IF(HLOOKUP("Mins",A1:CV300,32,FALSE)=0,0,HLOOKUP("Gs - Open",A1:CV300,32,FALSE)/HLOOKUP("Mins",A1:CV300,32,FALSE)* 90)</f>
        <v>0.43062200956937796</v>
      </c>
      <c r="BP32" s="20660">
        <f>IF(HLOOKUP("Mins",A1:CV300,32,FALSE)=0,0,HLOOKUP("ICT Index",A1:CV300,32,FALSE)/HLOOKUP("Mins",A1:CV300,32,FALSE)* 90)</f>
        <v>7.2200956937799043</v>
      </c>
      <c r="BQ32" s="20661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  <v>0.19133971291866023</v>
      </c>
      <c r="BR32" s="20662">
        <f>0.0885*HLOOKUP("KP/90",A1:CV300,32,FALSE)</f>
        <v>0.11433014354066985</v>
      </c>
      <c r="BS32" s="20663">
        <f>5*HLOOKUP("xG/90",A1:CV300,32,FALSE)+3*HLOOKUP("xA/90",A1:CV300,32,FALSE)</f>
        <v>1.2996889952153108</v>
      </c>
      <c r="BT32" s="20664">
        <f>HLOOKUP("xPts/90",A1:CV300,32,FALSE)-(5*0.75*(HLOOKUP("PK Gs",A1:CV300,32,FALSE)+HLOOKUP("PK Miss",A1:CV300,32,FALSE))*90/HLOOKUP("Mins",A1:CV300,32,FALSE))</f>
        <v>1.2996889952153108</v>
      </c>
      <c r="BU32" s="20665">
        <f>IF(HLOOKUP("Mins",A1:CV300,32,FALSE)=0,0,HLOOKUP("fsXG",A1:CV300,32,FALSE)/HLOOKUP("Mins",A1:CV300,32,FALSE)* 90)</f>
        <v>0.26411483253588519</v>
      </c>
      <c r="BV32" s="20666">
        <f>IF(HLOOKUP("Mins",A1:CV300,32,FALSE)=0,0,HLOOKUP("fsXA",A1:CV300,32,FALSE)/HLOOKUP("Mins",A1:CV300,32,FALSE)* 90)</f>
        <v>0.1650717703349282</v>
      </c>
      <c r="BW32" s="20667">
        <f>5*HLOOKUP("fsXG/90",A1:CV300,32,FALSE)+3*HLOOKUP("fsXA/90",A1:CV300,32,FALSE)</f>
        <v>1.8157894736842106</v>
      </c>
      <c r="BX32" s="20668">
        <v>0.24233195185661316</v>
      </c>
      <c r="BY32" s="20669">
        <v>0.19810850918292999</v>
      </c>
      <c r="BZ32" s="20670">
        <f>5*HLOOKUP("uXG/90",A1:CV300,32,FALSE)+3*HLOOKUP("uXA/90",A1:CV300,32,FALSE)</f>
        <v>1.8059852868318558</v>
      </c>
    </row>
    <row r="33" spans="1:78" x14ac:dyDescent="0.3">
      <c r="A33" s="20671" t="s">
        <v>360</v>
      </c>
      <c r="B33" s="20672" t="s">
        <v>115</v>
      </c>
      <c r="C33" s="20673">
        <v>4.8000001907348633</v>
      </c>
      <c r="D33" s="20674">
        <v>647</v>
      </c>
      <c r="E33" s="20675">
        <v>9</v>
      </c>
      <c r="F33" s="20676">
        <v>24</v>
      </c>
      <c r="G33" s="20677">
        <v>1</v>
      </c>
      <c r="H33" s="20678">
        <v>2</v>
      </c>
      <c r="I33" s="20679">
        <v>120</v>
      </c>
      <c r="J33" s="20680">
        <f>HLOOKUP("BPS",A1:CV300,33,FALSE)-((-6*HLOOKUP("OG",A1:CV300,33,FALSE))+(-6*HLOOKUP("PK Miss",A1:CV300,33,FALSE))+(9*HLOOKUP("FPL As",A1:CV300,33,FALSE))+(0*HLOOKUP("CS",A1:CV300,33,FALSE))+(18*HLOOKUP("Gs",A1:CV300,33,FALSE)))</f>
        <v>102</v>
      </c>
      <c r="K33" s="20681">
        <v>0</v>
      </c>
      <c r="L33" s="20682">
        <v>1</v>
      </c>
      <c r="M33" s="20683">
        <v>20</v>
      </c>
      <c r="N33" s="20684">
        <v>15</v>
      </c>
      <c r="O33" s="20685">
        <v>9</v>
      </c>
      <c r="P33" s="20686">
        <f>IF(HLOOKUP("Shots",A1:CV300,33,FALSE)=0,0,HLOOKUP("SIB",A1:CV300,33,FALSE)/HLOOKUP("Shots",A1:CV300,33,FALSE))</f>
        <v>0.6</v>
      </c>
      <c r="Q33" s="20687">
        <v>1</v>
      </c>
      <c r="R33" s="20688">
        <f>IF(HLOOKUP("Shots",A1:CV300,33,FALSE)=0,0,HLOOKUP("S6YD",A1:CV300,33,FALSE)/HLOOKUP("Shots",A1:CV300,33,FALSE))</f>
        <v>6.6666666666666666E-2</v>
      </c>
      <c r="S33" s="20689">
        <v>0</v>
      </c>
      <c r="T33" s="20690">
        <f>IF(HLOOKUP("Shots",A1:CV300,33,FALSE)=0,0,HLOOKUP("Headers",A1:CV300,33,FALSE)/HLOOKUP("Shots",A1:CV300,33,FALSE))</f>
        <v>0</v>
      </c>
      <c r="U33" s="20691">
        <v>4</v>
      </c>
      <c r="V33" s="20692">
        <f>IF(HLOOKUP("Shots",A1:CV300,33,FALSE)=0,0,HLOOKUP("SOT",A1:CV300,33,FALSE)/HLOOKUP("Shots",A1:CV300,33,FALSE))</f>
        <v>0.26666666666666666</v>
      </c>
      <c r="W33" s="20693">
        <f>IF(HLOOKUP("Shots",A1:CV300,33,FALSE)=0,0,HLOOKUP("Gs",A1:CV300,33,FALSE)/HLOOKUP("Shots",A1:CV300,33,FALSE))</f>
        <v>6.6666666666666666E-2</v>
      </c>
      <c r="X33" s="20694">
        <v>0</v>
      </c>
      <c r="Y33" s="20695">
        <v>0</v>
      </c>
      <c r="Z33" s="20696">
        <v>13</v>
      </c>
      <c r="AA33" s="20697">
        <f>IF(HLOOKUP("KP",A1:CV300,33,FALSE)=0,0,HLOOKUP("As",A1:CV300,33,FALSE)/HLOOKUP("KP",A1:CV300,33,FALSE))</f>
        <v>0</v>
      </c>
      <c r="AB33" s="20698">
        <v>47.4</v>
      </c>
      <c r="AC33" s="20699">
        <v>20</v>
      </c>
      <c r="AD33" s="20700">
        <v>0</v>
      </c>
      <c r="AE33" s="20701">
        <v>3</v>
      </c>
      <c r="AF33" s="20702">
        <v>2</v>
      </c>
      <c r="AG33" s="20703">
        <f>IF(HLOOKUP("BC",A1:CV300,33,FALSE)=0,0,HLOOKUP("Gs - BC",A1:CV300,33,FALSE)/HLOOKUP("BC",A1:CV300,33,FALSE))</f>
        <v>0.33333333333333331</v>
      </c>
      <c r="AH33" s="20704">
        <f>HLOOKUP("BC",A1:CV300,33,FALSE) - HLOOKUP("BC Miss",A1:CV300,33,FALSE)</f>
        <v>1</v>
      </c>
      <c r="AI33" s="20705">
        <f>IF(HLOOKUP("Gs",A1:CV300,33,FALSE)=0,0,HLOOKUP("Gs - BC",A1:CV300,33,FALSE)/HLOOKUP("Gs",A1:CV300,33,FALSE))</f>
        <v>1</v>
      </c>
      <c r="AJ33" s="20706">
        <v>0</v>
      </c>
      <c r="AK33" s="20707">
        <v>0</v>
      </c>
      <c r="AL33" s="20708">
        <f>HLOOKUP("BC",A1:CV300,33,FALSE) - (HLOOKUP("PK Gs",A1:CV300,33,FALSE) + HLOOKUP("PK Miss",A1:CV300,33,FALSE))</f>
        <v>3</v>
      </c>
      <c r="AM33" s="20709">
        <f>HLOOKUP("BC Miss",A1:CV300,33,FALSE) - HLOOKUP("PK Miss",A1:CV300,33,FALSE)</f>
        <v>2</v>
      </c>
      <c r="AN33" s="20710">
        <f>IF(HLOOKUP("BC - Open",A1:CV300,33,FALSE)=0,0,HLOOKUP("BC - Open Miss",A1:CV300,33,FALSE)/HLOOKUP("BC - Open",A1:CV300,33,FALSE))</f>
        <v>0.66666666666666663</v>
      </c>
      <c r="AO33" s="20711">
        <v>1</v>
      </c>
      <c r="AP33" s="20712">
        <f>IF(HLOOKUP("Gs",A1:CV300,33,FALSE)=0,0,HLOOKUP("GIB",A1:CV300,33,FALSE)/HLOOKUP("Gs",A1:CV300,33,FALSE))</f>
        <v>1</v>
      </c>
      <c r="AQ33" s="20713">
        <v>1</v>
      </c>
      <c r="AR33" s="20714">
        <f>IF(HLOOKUP("Gs",A1:CV300,33,FALSE)=0,0,HLOOKUP("Gs - Open",A1:CV300,33,FALSE)/HLOOKUP("Gs",A1:CV300,33,FALSE))</f>
        <v>1</v>
      </c>
      <c r="AS33" s="20715">
        <v>1.99</v>
      </c>
      <c r="AT33" s="20716">
        <v>0.81</v>
      </c>
      <c r="AU33" s="20717">
        <f>IF(HLOOKUP("Mins",A1:CV300,33,FALSE)=0,0,HLOOKUP("Pts",A1:CV300,33,FALSE)/HLOOKUP("Mins",A1:CV300,33,FALSE)* 90)</f>
        <v>3.3384853168469859</v>
      </c>
      <c r="AV33" s="20718">
        <f>IF(HLOOKUP("Apps",A1:CV300,33,FALSE)=0,0,HLOOKUP("Pts",A1:CV300,33,FALSE)/HLOOKUP("Apps",A1:CV300,33,FALSE)* 1)</f>
        <v>2.6666666666666665</v>
      </c>
      <c r="AW33" s="20719">
        <f>IF(HLOOKUP("Mins",A1:CV300,33,FALSE)=0,0,HLOOKUP("Gs",A1:CV300,33,FALSE)/HLOOKUP("Mins",A1:CV300,33,FALSE)* 90)</f>
        <v>0.13910355486862441</v>
      </c>
      <c r="AX33" s="20720">
        <f>IF(HLOOKUP("Mins",A1:CV300,33,FALSE)=0,0,HLOOKUP("Bonus",A1:CV300,33,FALSE)/HLOOKUP("Mins",A1:CV300,33,FALSE)* 90)</f>
        <v>0.27820710973724883</v>
      </c>
      <c r="AY33" s="20721">
        <f>IF(HLOOKUP("Mins",A1:CV300,33,FALSE)=0,0,HLOOKUP("BPS",A1:CV300,33,FALSE)/HLOOKUP("Mins",A1:CV300,33,FALSE)* 90)</f>
        <v>16.69242658423493</v>
      </c>
      <c r="AZ33" s="20722">
        <f>IF(HLOOKUP("Mins",A1:CV300,33,FALSE)=0,0,HLOOKUP("Base BPS",A1:CV300,33,FALSE)/HLOOKUP("Mins",A1:CV300,33,FALSE)* 90)</f>
        <v>14.18856259659969</v>
      </c>
      <c r="BA33" s="20723">
        <f>IF(HLOOKUP("Mins",A1:CV300,33,FALSE)=0,0,HLOOKUP("PenTchs",A1:CV300,33,FALSE)/HLOOKUP("Mins",A1:CV300,33,FALSE)* 90)</f>
        <v>2.7820710973724885</v>
      </c>
      <c r="BB33" s="20724">
        <f>IF(HLOOKUP("Mins",A1:CV300,33,FALSE)=0,0,HLOOKUP("Shots",A1:CV300,33,FALSE)/HLOOKUP("Mins",A1:CV300,33,FALSE)* 90)</f>
        <v>2.0865533230293662</v>
      </c>
      <c r="BC33" s="20725">
        <f>IF(HLOOKUP("Mins",A1:CV300,33,FALSE)=0,0,HLOOKUP("SIB",A1:CV300,33,FALSE)/HLOOKUP("Mins",A1:CV300,33,FALSE)* 90)</f>
        <v>1.2519319938176199</v>
      </c>
      <c r="BD33" s="20726">
        <f>IF(HLOOKUP("Mins",A1:CV300,33,FALSE)=0,0,HLOOKUP("S6YD",A1:CV300,33,FALSE)/HLOOKUP("Mins",A1:CV300,33,FALSE)* 90)</f>
        <v>0.13910355486862441</v>
      </c>
      <c r="BE33" s="20727">
        <f>IF(HLOOKUP("Mins",A1:CV300,33,FALSE)=0,0,HLOOKUP("Headers",A1:CV300,33,FALSE)/HLOOKUP("Mins",A1:CV300,33,FALSE)* 90)</f>
        <v>0</v>
      </c>
      <c r="BF33" s="20728">
        <f>IF(HLOOKUP("Mins",A1:CV300,33,FALSE)=0,0,HLOOKUP("SOT",A1:CV300,33,FALSE)/HLOOKUP("Mins",A1:CV300,33,FALSE)* 90)</f>
        <v>0.55641421947449765</v>
      </c>
      <c r="BG33" s="20729">
        <f>IF(HLOOKUP("Mins",A1:CV300,33,FALSE)=0,0,HLOOKUP("As",A1:CV300,33,FALSE)/HLOOKUP("Mins",A1:CV300,33,FALSE)* 90)</f>
        <v>0</v>
      </c>
      <c r="BH33" s="20730">
        <f>IF(HLOOKUP("Mins",A1:CV300,33,FALSE)=0,0,HLOOKUP("FPL As",A1:CV300,33,FALSE)/HLOOKUP("Mins",A1:CV300,33,FALSE)* 90)</f>
        <v>0</v>
      </c>
      <c r="BI33" s="20731">
        <f>IF(HLOOKUP("Mins",A1:CV300,33,FALSE)=0,0,HLOOKUP("BC Created",A1:CV300,33,FALSE)/HLOOKUP("Mins",A1:CV300,33,FALSE)* 90)</f>
        <v>0</v>
      </c>
      <c r="BJ33" s="20732">
        <f>IF(HLOOKUP("Mins",A1:CV300,33,FALSE)=0,0,HLOOKUP("KP",A1:CV300,33,FALSE)/HLOOKUP("Mins",A1:CV300,33,FALSE)* 90)</f>
        <v>1.8083462132921175</v>
      </c>
      <c r="BK33" s="20733">
        <f>IF(HLOOKUP("Mins",A1:CV300,33,FALSE)=0,0,HLOOKUP("BC",A1:CV300,33,FALSE)/HLOOKUP("Mins",A1:CV300,33,FALSE)* 90)</f>
        <v>0.41731066460587324</v>
      </c>
      <c r="BL33" s="20734">
        <f>IF(HLOOKUP("Mins",A1:CV300,33,FALSE)=0,0,HLOOKUP("BC Miss",A1:CV300,33,FALSE)/HLOOKUP("Mins",A1:CV300,33,FALSE)* 90)</f>
        <v>0.27820710973724883</v>
      </c>
      <c r="BM33" s="20735">
        <f>IF(HLOOKUP("Mins",A1:CV300,33,FALSE)=0,0,HLOOKUP("Gs - BC",A1:CV300,33,FALSE)/HLOOKUP("Mins",A1:CV300,33,FALSE)* 90)</f>
        <v>0.13910355486862441</v>
      </c>
      <c r="BN33" s="20736">
        <f>IF(HLOOKUP("Mins",A1:CV300,33,FALSE)=0,0,HLOOKUP("GIB",A1:CV300,33,FALSE)/HLOOKUP("Mins",A1:CV300,33,FALSE)* 90)</f>
        <v>0.13910355486862441</v>
      </c>
      <c r="BO33" s="20737">
        <f>IF(HLOOKUP("Mins",A1:CV300,33,FALSE)=0,0,HLOOKUP("Gs - Open",A1:CV300,33,FALSE)/HLOOKUP("Mins",A1:CV300,33,FALSE)* 90)</f>
        <v>0.13910355486862441</v>
      </c>
      <c r="BP33" s="20738">
        <f>IF(HLOOKUP("Mins",A1:CV300,33,FALSE)=0,0,HLOOKUP("ICT Index",A1:CV300,33,FALSE)/HLOOKUP("Mins",A1:CV300,33,FALSE)* 90)</f>
        <v>6.5935085007727965</v>
      </c>
      <c r="BQ33" s="20739">
        <f>IF(HLOOKUP("Mins",A1:CV300,33,FALSE)=0,0,(0.036*(HLOOKUP("Shots",A1:CV300,33,FALSE)-HLOOKUP("SIB",A1:CV300,33,FALSE))+0.142*(HLOOKUP("SIB",A1:CV300,33,FALSE)-(HLOOKUP("PK Gs",A1:CV300,33,FALSE)+HLOOKUP("PK Miss",A1:CV300,33,FALSE)))+0.75*(HLOOKUP("PK Gs",A1:CV300,33,FALSE)+HLOOKUP("PK Miss",A1:CV300,33,FALSE)))/HLOOKUP("Mins",A1:CV300,33,FALSE)*90)</f>
        <v>0.20782071097372487</v>
      </c>
      <c r="BR33" s="20740">
        <f>0.0885*HLOOKUP("KP/90",A1:CV300,33,FALSE)</f>
        <v>0.16003863987635239</v>
      </c>
      <c r="BS33" s="20741">
        <f>5*HLOOKUP("xG/90",A1:CV300,33,FALSE)+3*HLOOKUP("xA/90",A1:CV300,33,FALSE)</f>
        <v>1.5192194744976815</v>
      </c>
      <c r="BT33" s="20742">
        <f>HLOOKUP("xPts/90",A1:CV300,33,FALSE)-(5*0.75*(HLOOKUP("PK Gs",A1:CV300,33,FALSE)+HLOOKUP("PK Miss",A1:CV300,33,FALSE))*90/HLOOKUP("Mins",A1:CV300,33,FALSE))</f>
        <v>1.5192194744976815</v>
      </c>
      <c r="BU33" s="20743">
        <f>IF(HLOOKUP("Mins",A1:CV300,33,FALSE)=0,0,HLOOKUP("fsXG",A1:CV300,33,FALSE)/HLOOKUP("Mins",A1:CV300,33,FALSE)* 90)</f>
        <v>0.27681607418856258</v>
      </c>
      <c r="BV33" s="20744">
        <f>IF(HLOOKUP("Mins",A1:CV300,33,FALSE)=0,0,HLOOKUP("fsXA",A1:CV300,33,FALSE)/HLOOKUP("Mins",A1:CV300,33,FALSE)* 90)</f>
        <v>0.1126738794435858</v>
      </c>
      <c r="BW33" s="20745">
        <f>5*HLOOKUP("fsXG/90",A1:CV300,33,FALSE)+3*HLOOKUP("fsXA/90",A1:CV300,33,FALSE)</f>
        <v>1.7221020092735704</v>
      </c>
      <c r="BX33" s="20746">
        <v>0.2351456880569458</v>
      </c>
      <c r="BY33" s="20747">
        <v>8.6525782942771912E-2</v>
      </c>
      <c r="BZ33" s="20748">
        <f>5*HLOOKUP("uXG/90",A1:CV300,33,FALSE)+3*HLOOKUP("uXA/90",A1:CV300,33,FALSE)</f>
        <v>1.4353057891130447</v>
      </c>
    </row>
    <row r="34" spans="1:78" x14ac:dyDescent="0.3">
      <c r="A34" s="20749" t="s">
        <v>361</v>
      </c>
      <c r="B34" s="20750" t="s">
        <v>89</v>
      </c>
      <c r="C34" s="20751">
        <v>7.0999999046325684</v>
      </c>
      <c r="D34" s="20752">
        <v>1104</v>
      </c>
      <c r="E34" s="20753">
        <v>20</v>
      </c>
      <c r="F34" s="20754">
        <v>58</v>
      </c>
      <c r="G34" s="20755">
        <v>4</v>
      </c>
      <c r="H34" s="20756">
        <v>1</v>
      </c>
      <c r="I34" s="20757">
        <v>175</v>
      </c>
      <c r="J34" s="20758">
        <f>HLOOKUP("BPS",A1:CV300,34,FALSE)-((-6*HLOOKUP("OG",A1:CV300,34,FALSE))+(-6*HLOOKUP("PK Miss",A1:CV300,34,FALSE))+(9*HLOOKUP("FPL As",A1:CV300,34,FALSE))+(0*HLOOKUP("CS",A1:CV300,34,FALSE))+(18*HLOOKUP("Gs",A1:CV300,34,FALSE)))</f>
        <v>85</v>
      </c>
      <c r="K34" s="20759">
        <v>0</v>
      </c>
      <c r="L34" s="20760">
        <v>1</v>
      </c>
      <c r="M34" s="20761">
        <v>44</v>
      </c>
      <c r="N34" s="20762">
        <v>33</v>
      </c>
      <c r="O34" s="20763">
        <v>20</v>
      </c>
      <c r="P34" s="20764">
        <f>IF(HLOOKUP("Shots",A1:CV300,34,FALSE)=0,0,HLOOKUP("SIB",A1:CV300,34,FALSE)/HLOOKUP("Shots",A1:CV300,34,FALSE))</f>
        <v>0.60606060606060608</v>
      </c>
      <c r="Q34" s="20765">
        <v>4</v>
      </c>
      <c r="R34" s="20766">
        <f>IF(HLOOKUP("Shots",A1:CV300,34,FALSE)=0,0,HLOOKUP("S6YD",A1:CV300,34,FALSE)/HLOOKUP("Shots",A1:CV300,34,FALSE))</f>
        <v>0.12121212121212122</v>
      </c>
      <c r="S34" s="20767">
        <v>7</v>
      </c>
      <c r="T34" s="20768">
        <f>IF(HLOOKUP("Shots",A1:CV300,34,FALSE)=0,0,HLOOKUP("Headers",A1:CV300,34,FALSE)/HLOOKUP("Shots",A1:CV300,34,FALSE))</f>
        <v>0.21212121212121213</v>
      </c>
      <c r="U34" s="20769">
        <v>9</v>
      </c>
      <c r="V34" s="20770">
        <f>IF(HLOOKUP("Shots",A1:CV300,34,FALSE)=0,0,HLOOKUP("SOT",A1:CV300,34,FALSE)/HLOOKUP("Shots",A1:CV300,34,FALSE))</f>
        <v>0.27272727272727271</v>
      </c>
      <c r="W34" s="20771">
        <f>IF(HLOOKUP("Shots",A1:CV300,34,FALSE)=0,0,HLOOKUP("Gs",A1:CV300,34,FALSE)/HLOOKUP("Shots",A1:CV300,34,FALSE))</f>
        <v>0.12121212121212122</v>
      </c>
      <c r="X34" s="20772">
        <v>1</v>
      </c>
      <c r="Y34" s="20773">
        <v>2</v>
      </c>
      <c r="Z34" s="20774">
        <v>16</v>
      </c>
      <c r="AA34" s="20775">
        <f>IF(HLOOKUP("KP",A1:CV300,34,FALSE)=0,0,HLOOKUP("As",A1:CV300,34,FALSE)/HLOOKUP("KP",A1:CV300,34,FALSE))</f>
        <v>6.25E-2</v>
      </c>
      <c r="AB34" s="20776">
        <v>91.9</v>
      </c>
      <c r="AC34" s="20777">
        <v>32</v>
      </c>
      <c r="AD34" s="20778">
        <v>1</v>
      </c>
      <c r="AE34" s="20779">
        <v>6</v>
      </c>
      <c r="AF34" s="20780">
        <v>4</v>
      </c>
      <c r="AG34" s="20781">
        <f>IF(HLOOKUP("BC",A1:CV300,34,FALSE)=0,0,HLOOKUP("Gs - BC",A1:CV300,34,FALSE)/HLOOKUP("BC",A1:CV300,34,FALSE))</f>
        <v>0.33333333333333331</v>
      </c>
      <c r="AH34" s="20782">
        <f>HLOOKUP("BC",A1:CV300,34,FALSE) - HLOOKUP("BC Miss",A1:CV300,34,FALSE)</f>
        <v>2</v>
      </c>
      <c r="AI34" s="20783">
        <f>IF(HLOOKUP("Gs",A1:CV300,34,FALSE)=0,0,HLOOKUP("Gs - BC",A1:CV300,34,FALSE)/HLOOKUP("Gs",A1:CV300,34,FALSE))</f>
        <v>0.5</v>
      </c>
      <c r="AJ34" s="20784">
        <v>0</v>
      </c>
      <c r="AK34" s="20785">
        <v>0</v>
      </c>
      <c r="AL34" s="20786">
        <f>HLOOKUP("BC",A1:CV300,34,FALSE) - (HLOOKUP("PK Gs",A1:CV300,34,FALSE) + HLOOKUP("PK Miss",A1:CV300,34,FALSE))</f>
        <v>6</v>
      </c>
      <c r="AM34" s="20787">
        <f>HLOOKUP("BC Miss",A1:CV300,34,FALSE) - HLOOKUP("PK Miss",A1:CV300,34,FALSE)</f>
        <v>4</v>
      </c>
      <c r="AN34" s="20788">
        <f>IF(HLOOKUP("BC - Open",A1:CV300,34,FALSE)=0,0,HLOOKUP("BC - Open Miss",A1:CV300,34,FALSE)/HLOOKUP("BC - Open",A1:CV300,34,FALSE))</f>
        <v>0.66666666666666663</v>
      </c>
      <c r="AO34" s="20789">
        <v>4</v>
      </c>
      <c r="AP34" s="20790">
        <f>IF(HLOOKUP("Gs",A1:CV300,34,FALSE)=0,0,HLOOKUP("GIB",A1:CV300,34,FALSE)/HLOOKUP("Gs",A1:CV300,34,FALSE))</f>
        <v>1</v>
      </c>
      <c r="AQ34" s="20791">
        <v>3</v>
      </c>
      <c r="AR34" s="20792">
        <f>IF(HLOOKUP("Gs",A1:CV300,34,FALSE)=0,0,HLOOKUP("Gs - Open",A1:CV300,34,FALSE)/HLOOKUP("Gs",A1:CV300,34,FALSE))</f>
        <v>0.75</v>
      </c>
      <c r="AS34" s="20793">
        <v>4.1100000000000003</v>
      </c>
      <c r="AT34" s="20794">
        <v>1.23</v>
      </c>
      <c r="AU34" s="20795">
        <f>IF(HLOOKUP("Mins",A1:CV300,34,FALSE)=0,0,HLOOKUP("Pts",A1:CV300,34,FALSE)/HLOOKUP("Mins",A1:CV300,34,FALSE)* 90)</f>
        <v>4.7282608695652169</v>
      </c>
      <c r="AV34" s="20796">
        <f>IF(HLOOKUP("Apps",A1:CV300,34,FALSE)=0,0,HLOOKUP("Pts",A1:CV300,34,FALSE)/HLOOKUP("Apps",A1:CV300,34,FALSE)* 1)</f>
        <v>2.9</v>
      </c>
      <c r="AW34" s="20797">
        <f>IF(HLOOKUP("Mins",A1:CV300,34,FALSE)=0,0,HLOOKUP("Gs",A1:CV300,34,FALSE)/HLOOKUP("Mins",A1:CV300,34,FALSE)* 90)</f>
        <v>0.32608695652173914</v>
      </c>
      <c r="AX34" s="20798">
        <f>IF(HLOOKUP("Mins",A1:CV300,34,FALSE)=0,0,HLOOKUP("Bonus",A1:CV300,34,FALSE)/HLOOKUP("Mins",A1:CV300,34,FALSE)* 90)</f>
        <v>8.1521739130434784E-2</v>
      </c>
      <c r="AY34" s="20799">
        <f>IF(HLOOKUP("Mins",A1:CV300,34,FALSE)=0,0,HLOOKUP("BPS",A1:CV300,34,FALSE)/HLOOKUP("Mins",A1:CV300,34,FALSE)* 90)</f>
        <v>14.266304347826088</v>
      </c>
      <c r="AZ34" s="20800">
        <f>IF(HLOOKUP("Mins",A1:CV300,34,FALSE)=0,0,HLOOKUP("Base BPS",A1:CV300,34,FALSE)/HLOOKUP("Mins",A1:CV300,34,FALSE)* 90)</f>
        <v>6.9293478260869561</v>
      </c>
      <c r="BA34" s="20801">
        <f>IF(HLOOKUP("Mins",A1:CV300,34,FALSE)=0,0,HLOOKUP("PenTchs",A1:CV300,34,FALSE)/HLOOKUP("Mins",A1:CV300,34,FALSE)* 90)</f>
        <v>3.5869565217391299</v>
      </c>
      <c r="BB34" s="20802">
        <f>IF(HLOOKUP("Mins",A1:CV300,34,FALSE)=0,0,HLOOKUP("Shots",A1:CV300,34,FALSE)/HLOOKUP("Mins",A1:CV300,34,FALSE)* 90)</f>
        <v>2.6902173913043481</v>
      </c>
      <c r="BC34" s="20803">
        <f>IF(HLOOKUP("Mins",A1:CV300,34,FALSE)=0,0,HLOOKUP("SIB",A1:CV300,34,FALSE)/HLOOKUP("Mins",A1:CV300,34,FALSE)* 90)</f>
        <v>1.6304347826086958</v>
      </c>
      <c r="BD34" s="20804">
        <f>IF(HLOOKUP("Mins",A1:CV300,34,FALSE)=0,0,HLOOKUP("S6YD",A1:CV300,34,FALSE)/HLOOKUP("Mins",A1:CV300,34,FALSE)* 90)</f>
        <v>0.32608695652173914</v>
      </c>
      <c r="BE34" s="20805">
        <f>IF(HLOOKUP("Mins",A1:CV300,34,FALSE)=0,0,HLOOKUP("Headers",A1:CV300,34,FALSE)/HLOOKUP("Mins",A1:CV300,34,FALSE)* 90)</f>
        <v>0.57065217391304346</v>
      </c>
      <c r="BF34" s="20806">
        <f>IF(HLOOKUP("Mins",A1:CV300,34,FALSE)=0,0,HLOOKUP("SOT",A1:CV300,34,FALSE)/HLOOKUP("Mins",A1:CV300,34,FALSE)* 90)</f>
        <v>0.73369565217391297</v>
      </c>
      <c r="BG34" s="20807">
        <f>IF(HLOOKUP("Mins",A1:CV300,34,FALSE)=0,0,HLOOKUP("As",A1:CV300,34,FALSE)/HLOOKUP("Mins",A1:CV300,34,FALSE)* 90)</f>
        <v>8.1521739130434784E-2</v>
      </c>
      <c r="BH34" s="20808">
        <f>IF(HLOOKUP("Mins",A1:CV300,34,FALSE)=0,0,HLOOKUP("FPL As",A1:CV300,34,FALSE)/HLOOKUP("Mins",A1:CV300,34,FALSE)* 90)</f>
        <v>0.16304347826086957</v>
      </c>
      <c r="BI34" s="20809">
        <f>IF(HLOOKUP("Mins",A1:CV300,34,FALSE)=0,0,HLOOKUP("BC Created",A1:CV300,34,FALSE)/HLOOKUP("Mins",A1:CV300,34,FALSE)* 90)</f>
        <v>8.1521739130434784E-2</v>
      </c>
      <c r="BJ34" s="20810">
        <f>IF(HLOOKUP("Mins",A1:CV300,34,FALSE)=0,0,HLOOKUP("KP",A1:CV300,34,FALSE)/HLOOKUP("Mins",A1:CV300,34,FALSE)* 90)</f>
        <v>1.3043478260869565</v>
      </c>
      <c r="BK34" s="20811">
        <f>IF(HLOOKUP("Mins",A1:CV300,34,FALSE)=0,0,HLOOKUP("BC",A1:CV300,34,FALSE)/HLOOKUP("Mins",A1:CV300,34,FALSE)* 90)</f>
        <v>0.4891304347826087</v>
      </c>
      <c r="BL34" s="20812">
        <f>IF(HLOOKUP("Mins",A1:CV300,34,FALSE)=0,0,HLOOKUP("BC Miss",A1:CV300,34,FALSE)/HLOOKUP("Mins",A1:CV300,34,FALSE)* 90)</f>
        <v>0.32608695652173914</v>
      </c>
      <c r="BM34" s="20813">
        <f>IF(HLOOKUP("Mins",A1:CV300,34,FALSE)=0,0,HLOOKUP("Gs - BC",A1:CV300,34,FALSE)/HLOOKUP("Mins",A1:CV300,34,FALSE)* 90)</f>
        <v>0.16304347826086957</v>
      </c>
      <c r="BN34" s="20814">
        <f>IF(HLOOKUP("Mins",A1:CV300,34,FALSE)=0,0,HLOOKUP("GIB",A1:CV300,34,FALSE)/HLOOKUP("Mins",A1:CV300,34,FALSE)* 90)</f>
        <v>0.32608695652173914</v>
      </c>
      <c r="BO34" s="20815">
        <f>IF(HLOOKUP("Mins",A1:CV300,34,FALSE)=0,0,HLOOKUP("Gs - Open",A1:CV300,34,FALSE)/HLOOKUP("Mins",A1:CV300,34,FALSE)* 90)</f>
        <v>0.24456521739130435</v>
      </c>
      <c r="BP34" s="20816">
        <f>IF(HLOOKUP("Mins",A1:CV300,34,FALSE)=0,0,HLOOKUP("ICT Index",A1:CV300,34,FALSE)/HLOOKUP("Mins",A1:CV300,34,FALSE)* 90)</f>
        <v>7.491847826086957</v>
      </c>
      <c r="BQ34" s="20817">
        <f>IF(HLOOKUP("Mins",A1:CV300,34,FALSE)=0,0,(0.036*(HLOOKUP("Shots",A1:CV300,34,FALSE)-HLOOKUP("SIB",A1:CV300,34,FALSE))+0.142*(HLOOKUP("SIB",A1:CV300,34,FALSE)-(HLOOKUP("PK Gs",A1:CV300,34,FALSE)+HLOOKUP("PK Miss",A1:CV300,34,FALSE)))+0.75*(HLOOKUP("PK Gs",A1:CV300,34,FALSE)+HLOOKUP("PK Miss",A1:CV300,34,FALSE)))/HLOOKUP("Mins",A1:CV300,34,FALSE)*90)</f>
        <v>0.26967391304347826</v>
      </c>
      <c r="BR34" s="20818">
        <f>0.0885*HLOOKUP("KP/90",A1:CV300,34,FALSE)</f>
        <v>0.11543478260869565</v>
      </c>
      <c r="BS34" s="20819">
        <f>5*HLOOKUP("xG/90",A1:CV300,34,FALSE)+3*HLOOKUP("xA/90",A1:CV300,34,FALSE)</f>
        <v>1.6946739130434783</v>
      </c>
      <c r="BT34" s="20820">
        <f>HLOOKUP("xPts/90",A1:CV300,34,FALSE)-(5*0.75*(HLOOKUP("PK Gs",A1:CV300,34,FALSE)+HLOOKUP("PK Miss",A1:CV300,34,FALSE))*90/HLOOKUP("Mins",A1:CV300,34,FALSE))</f>
        <v>1.6946739130434783</v>
      </c>
      <c r="BU34" s="20821">
        <f>IF(HLOOKUP("Mins",A1:CV300,34,FALSE)=0,0,HLOOKUP("fsXG",A1:CV300,34,FALSE)/HLOOKUP("Mins",A1:CV300,34,FALSE)* 90)</f>
        <v>0.33505434782608701</v>
      </c>
      <c r="BV34" s="20822">
        <f>IF(HLOOKUP("Mins",A1:CV300,34,FALSE)=0,0,HLOOKUP("fsXA",A1:CV300,34,FALSE)/HLOOKUP("Mins",A1:CV300,34,FALSE)* 90)</f>
        <v>0.10027173913043477</v>
      </c>
      <c r="BW34" s="20823">
        <f>5*HLOOKUP("fsXG/90",A1:CV300,34,FALSE)+3*HLOOKUP("fsXA/90",A1:CV300,34,FALSE)</f>
        <v>1.9760869565217394</v>
      </c>
      <c r="BX34" s="20824">
        <v>0.30771389603614807</v>
      </c>
      <c r="BY34" s="20825">
        <v>8.4782853722572327E-2</v>
      </c>
      <c r="BZ34" s="20826">
        <f>5*HLOOKUP("uXG/90",A1:CV300,34,FALSE)+3*HLOOKUP("uXA/90",A1:CV300,34,FALSE)</f>
        <v>1.7929180413484573</v>
      </c>
    </row>
    <row r="35" spans="1:78" x14ac:dyDescent="0.3">
      <c r="A35" s="20827" t="s">
        <v>362</v>
      </c>
      <c r="B35" s="20828" t="s">
        <v>118</v>
      </c>
      <c r="C35" s="20829">
        <v>5.3000001907348633</v>
      </c>
      <c r="D35" s="20830">
        <v>1098</v>
      </c>
      <c r="E35" s="20831">
        <v>16</v>
      </c>
      <c r="F35" s="20832">
        <v>36</v>
      </c>
      <c r="G35" s="20833">
        <v>1</v>
      </c>
      <c r="H35" s="20834">
        <v>3</v>
      </c>
      <c r="I35" s="20835">
        <v>130</v>
      </c>
      <c r="J35" s="20836">
        <f>HLOOKUP("BPS",A1:CV300,35,FALSE)-((-6*HLOOKUP("OG",A1:CV300,35,FALSE))+(-6*HLOOKUP("PK Miss",A1:CV300,35,FALSE))+(9*HLOOKUP("FPL As",A1:CV300,35,FALSE))+(0*HLOOKUP("CS",A1:CV300,35,FALSE))+(18*HLOOKUP("Gs",A1:CV300,35,FALSE)))</f>
        <v>103</v>
      </c>
      <c r="K35" s="20837">
        <v>0</v>
      </c>
      <c r="L35" s="20838">
        <v>3</v>
      </c>
      <c r="M35" s="20839">
        <v>22</v>
      </c>
      <c r="N35" s="20840">
        <v>11</v>
      </c>
      <c r="O35" s="20841">
        <v>7</v>
      </c>
      <c r="P35" s="20842">
        <f>IF(HLOOKUP("Shots",A1:CV300,35,FALSE)=0,0,HLOOKUP("SIB",A1:CV300,35,FALSE)/HLOOKUP("Shots",A1:CV300,35,FALSE))</f>
        <v>0.63636363636363635</v>
      </c>
      <c r="Q35" s="20843">
        <v>3</v>
      </c>
      <c r="R35" s="20844">
        <f>IF(HLOOKUP("Shots",A1:CV300,35,FALSE)=0,0,HLOOKUP("S6YD",A1:CV300,35,FALSE)/HLOOKUP("Shots",A1:CV300,35,FALSE))</f>
        <v>0.27272727272727271</v>
      </c>
      <c r="S35" s="20845">
        <v>5</v>
      </c>
      <c r="T35" s="20846">
        <f>IF(HLOOKUP("Shots",A1:CV300,35,FALSE)=0,0,HLOOKUP("Headers",A1:CV300,35,FALSE)/HLOOKUP("Shots",A1:CV300,35,FALSE))</f>
        <v>0.45454545454545453</v>
      </c>
      <c r="U35" s="20847">
        <v>5</v>
      </c>
      <c r="V35" s="20848">
        <f>IF(HLOOKUP("Shots",A1:CV300,35,FALSE)=0,0,HLOOKUP("SOT",A1:CV300,35,FALSE)/HLOOKUP("Shots",A1:CV300,35,FALSE))</f>
        <v>0.45454545454545453</v>
      </c>
      <c r="W35" s="20849">
        <f>IF(HLOOKUP("Shots",A1:CV300,35,FALSE)=0,0,HLOOKUP("Gs",A1:CV300,35,FALSE)/HLOOKUP("Shots",A1:CV300,35,FALSE))</f>
        <v>9.0909090909090912E-2</v>
      </c>
      <c r="X35" s="20850">
        <v>0</v>
      </c>
      <c r="Y35" s="20851">
        <v>1</v>
      </c>
      <c r="Z35" s="20852">
        <v>3</v>
      </c>
      <c r="AA35" s="20853">
        <f>IF(HLOOKUP("KP",A1:CV300,35,FALSE)=0,0,HLOOKUP("As",A1:CV300,35,FALSE)/HLOOKUP("KP",A1:CV300,35,FALSE))</f>
        <v>0</v>
      </c>
      <c r="AB35" s="20854">
        <v>42.6</v>
      </c>
      <c r="AC35" s="20855">
        <v>13</v>
      </c>
      <c r="AD35" s="20856">
        <v>0</v>
      </c>
      <c r="AE35" s="20857">
        <v>2</v>
      </c>
      <c r="AF35" s="20858">
        <v>1</v>
      </c>
      <c r="AG35" s="20859">
        <f>IF(HLOOKUP("BC",A1:CV300,35,FALSE)=0,0,HLOOKUP("Gs - BC",A1:CV300,35,FALSE)/HLOOKUP("BC",A1:CV300,35,FALSE))</f>
        <v>0.5</v>
      </c>
      <c r="AH35" s="20860">
        <f>HLOOKUP("BC",A1:CV300,35,FALSE) - HLOOKUP("BC Miss",A1:CV300,35,FALSE)</f>
        <v>1</v>
      </c>
      <c r="AI35" s="20861">
        <f>IF(HLOOKUP("Gs",A1:CV300,35,FALSE)=0,0,HLOOKUP("Gs - BC",A1:CV300,35,FALSE)/HLOOKUP("Gs",A1:CV300,35,FALSE))</f>
        <v>1</v>
      </c>
      <c r="AJ35" s="20862">
        <v>0</v>
      </c>
      <c r="AK35" s="20863">
        <v>0</v>
      </c>
      <c r="AL35" s="20864">
        <f>HLOOKUP("BC",A1:CV300,35,FALSE) - (HLOOKUP("PK Gs",A1:CV300,35,FALSE) + HLOOKUP("PK Miss",A1:CV300,35,FALSE))</f>
        <v>2</v>
      </c>
      <c r="AM35" s="20865">
        <f>HLOOKUP("BC Miss",A1:CV300,35,FALSE) - HLOOKUP("PK Miss",A1:CV300,35,FALSE)</f>
        <v>1</v>
      </c>
      <c r="AN35" s="20866">
        <f>IF(HLOOKUP("BC - Open",A1:CV300,35,FALSE)=0,0,HLOOKUP("BC - Open Miss",A1:CV300,35,FALSE)/HLOOKUP("BC - Open",A1:CV300,35,FALSE))</f>
        <v>0.5</v>
      </c>
      <c r="AO35" s="20867">
        <v>1</v>
      </c>
      <c r="AP35" s="20868">
        <f>IF(HLOOKUP("Gs",A1:CV300,35,FALSE)=0,0,HLOOKUP("GIB",A1:CV300,35,FALSE)/HLOOKUP("Gs",A1:CV300,35,FALSE))</f>
        <v>1</v>
      </c>
      <c r="AQ35" s="20869">
        <v>0</v>
      </c>
      <c r="AR35" s="20870">
        <f>IF(HLOOKUP("Gs",A1:CV300,35,FALSE)=0,0,HLOOKUP("Gs - Open",A1:CV300,35,FALSE)/HLOOKUP("Gs",A1:CV300,35,FALSE))</f>
        <v>0</v>
      </c>
      <c r="AS35" s="20871">
        <v>0.93</v>
      </c>
      <c r="AT35" s="20872">
        <v>0.68</v>
      </c>
      <c r="AU35" s="20873">
        <f>IF(HLOOKUP("Mins",A1:CV300,35,FALSE)=0,0,HLOOKUP("Pts",A1:CV300,35,FALSE)/HLOOKUP("Mins",A1:CV300,35,FALSE)* 90)</f>
        <v>2.9508196721311477</v>
      </c>
      <c r="AV35" s="20874">
        <f>IF(HLOOKUP("Apps",A1:CV300,35,FALSE)=0,0,HLOOKUP("Pts",A1:CV300,35,FALSE)/HLOOKUP("Apps",A1:CV300,35,FALSE)* 1)</f>
        <v>2.25</v>
      </c>
      <c r="AW35" s="20875">
        <f>IF(HLOOKUP("Mins",A1:CV300,35,FALSE)=0,0,HLOOKUP("Gs",A1:CV300,35,FALSE)/HLOOKUP("Mins",A1:CV300,35,FALSE)* 90)</f>
        <v>8.1967213114754092E-2</v>
      </c>
      <c r="AX35" s="20876">
        <f>IF(HLOOKUP("Mins",A1:CV300,35,FALSE)=0,0,HLOOKUP("Bonus",A1:CV300,35,FALSE)/HLOOKUP("Mins",A1:CV300,35,FALSE)* 90)</f>
        <v>0.24590163934426229</v>
      </c>
      <c r="AY35" s="20877">
        <f>IF(HLOOKUP("Mins",A1:CV300,35,FALSE)=0,0,HLOOKUP("BPS",A1:CV300,35,FALSE)/HLOOKUP("Mins",A1:CV300,35,FALSE)* 90)</f>
        <v>10.655737704918032</v>
      </c>
      <c r="AZ35" s="20878">
        <f>IF(HLOOKUP("Mins",A1:CV300,35,FALSE)=0,0,HLOOKUP("Base BPS",A1:CV300,35,FALSE)/HLOOKUP("Mins",A1:CV300,35,FALSE)* 90)</f>
        <v>8.442622950819672</v>
      </c>
      <c r="BA35" s="20879">
        <f>IF(HLOOKUP("Mins",A1:CV300,35,FALSE)=0,0,HLOOKUP("PenTchs",A1:CV300,35,FALSE)/HLOOKUP("Mins",A1:CV300,35,FALSE)* 90)</f>
        <v>1.8032786885245902</v>
      </c>
      <c r="BB35" s="20880">
        <f>IF(HLOOKUP("Mins",A1:CV300,35,FALSE)=0,0,HLOOKUP("Shots",A1:CV300,35,FALSE)/HLOOKUP("Mins",A1:CV300,35,FALSE)* 90)</f>
        <v>0.90163934426229508</v>
      </c>
      <c r="BC35" s="20881">
        <f>IF(HLOOKUP("Mins",A1:CV300,35,FALSE)=0,0,HLOOKUP("SIB",A1:CV300,35,FALSE)/HLOOKUP("Mins",A1:CV300,35,FALSE)* 90)</f>
        <v>0.57377049180327877</v>
      </c>
      <c r="BD35" s="20882">
        <f>IF(HLOOKUP("Mins",A1:CV300,35,FALSE)=0,0,HLOOKUP("S6YD",A1:CV300,35,FALSE)/HLOOKUP("Mins",A1:CV300,35,FALSE)* 90)</f>
        <v>0.24590163934426229</v>
      </c>
      <c r="BE35" s="20883">
        <f>IF(HLOOKUP("Mins",A1:CV300,35,FALSE)=0,0,HLOOKUP("Headers",A1:CV300,35,FALSE)/HLOOKUP("Mins",A1:CV300,35,FALSE)* 90)</f>
        <v>0.4098360655737705</v>
      </c>
      <c r="BF35" s="20884">
        <f>IF(HLOOKUP("Mins",A1:CV300,35,FALSE)=0,0,HLOOKUP("SOT",A1:CV300,35,FALSE)/HLOOKUP("Mins",A1:CV300,35,FALSE)* 90)</f>
        <v>0.4098360655737705</v>
      </c>
      <c r="BG35" s="20885">
        <f>IF(HLOOKUP("Mins",A1:CV300,35,FALSE)=0,0,HLOOKUP("As",A1:CV300,35,FALSE)/HLOOKUP("Mins",A1:CV300,35,FALSE)* 90)</f>
        <v>0</v>
      </c>
      <c r="BH35" s="20886">
        <f>IF(HLOOKUP("Mins",A1:CV300,35,FALSE)=0,0,HLOOKUP("FPL As",A1:CV300,35,FALSE)/HLOOKUP("Mins",A1:CV300,35,FALSE)* 90)</f>
        <v>8.1967213114754092E-2</v>
      </c>
      <c r="BI35" s="20887">
        <f>IF(HLOOKUP("Mins",A1:CV300,35,FALSE)=0,0,HLOOKUP("BC Created",A1:CV300,35,FALSE)/HLOOKUP("Mins",A1:CV300,35,FALSE)* 90)</f>
        <v>0</v>
      </c>
      <c r="BJ35" s="20888">
        <f>IF(HLOOKUP("Mins",A1:CV300,35,FALSE)=0,0,HLOOKUP("KP",A1:CV300,35,FALSE)/HLOOKUP("Mins",A1:CV300,35,FALSE)* 90)</f>
        <v>0.24590163934426229</v>
      </c>
      <c r="BK35" s="20889">
        <f>IF(HLOOKUP("Mins",A1:CV300,35,FALSE)=0,0,HLOOKUP("BC",A1:CV300,35,FALSE)/HLOOKUP("Mins",A1:CV300,35,FALSE)* 90)</f>
        <v>0.16393442622950818</v>
      </c>
      <c r="BL35" s="20890">
        <f>IF(HLOOKUP("Mins",A1:CV300,35,FALSE)=0,0,HLOOKUP("BC Miss",A1:CV300,35,FALSE)/HLOOKUP("Mins",A1:CV300,35,FALSE)* 90)</f>
        <v>8.1967213114754092E-2</v>
      </c>
      <c r="BM35" s="20891">
        <f>IF(HLOOKUP("Mins",A1:CV300,35,FALSE)=0,0,HLOOKUP("Gs - BC",A1:CV300,35,FALSE)/HLOOKUP("Mins",A1:CV300,35,FALSE)* 90)</f>
        <v>8.1967213114754092E-2</v>
      </c>
      <c r="BN35" s="20892">
        <f>IF(HLOOKUP("Mins",A1:CV300,35,FALSE)=0,0,HLOOKUP("GIB",A1:CV300,35,FALSE)/HLOOKUP("Mins",A1:CV300,35,FALSE)* 90)</f>
        <v>8.1967213114754092E-2</v>
      </c>
      <c r="BO35" s="20893">
        <f>IF(HLOOKUP("Mins",A1:CV300,35,FALSE)=0,0,HLOOKUP("Gs - Open",A1:CV300,35,FALSE)/HLOOKUP("Mins",A1:CV300,35,FALSE)* 90)</f>
        <v>0</v>
      </c>
      <c r="BP35" s="20894">
        <f>IF(HLOOKUP("Mins",A1:CV300,35,FALSE)=0,0,HLOOKUP("ICT Index",A1:CV300,35,FALSE)/HLOOKUP("Mins",A1:CV300,35,FALSE)* 90)</f>
        <v>3.4918032786885247</v>
      </c>
      <c r="BQ35" s="20895">
        <f>IF(HLOOKUP("Mins",A1:CV300,35,FALSE)=0,0,(0.036*(HLOOKUP("Shots",A1:CV300,35,FALSE)-HLOOKUP("SIB",A1:CV300,35,FALSE))+0.142*(HLOOKUP("SIB",A1:CV300,35,FALSE)-(HLOOKUP("PK Gs",A1:CV300,35,FALSE)+HLOOKUP("PK Miss",A1:CV300,35,FALSE)))+0.75*(HLOOKUP("PK Gs",A1:CV300,35,FALSE)+HLOOKUP("PK Miss",A1:CV300,35,FALSE)))/HLOOKUP("Mins",A1:CV300,35,FALSE)*90)</f>
        <v>9.3278688524590148E-2</v>
      </c>
      <c r="BR35" s="20896">
        <f>0.0885*HLOOKUP("KP/90",A1:CV300,35,FALSE)</f>
        <v>2.1762295081967212E-2</v>
      </c>
      <c r="BS35" s="20897">
        <f>5*HLOOKUP("xG/90",A1:CV300,35,FALSE)+3*HLOOKUP("xA/90",A1:CV300,35,FALSE)</f>
        <v>0.53168032786885233</v>
      </c>
      <c r="BT35" s="20898">
        <f>HLOOKUP("xPts/90",A1:CV300,35,FALSE)-(5*0.75*(HLOOKUP("PK Gs",A1:CV300,35,FALSE)+HLOOKUP("PK Miss",A1:CV300,35,FALSE))*90/HLOOKUP("Mins",A1:CV300,35,FALSE))</f>
        <v>0.53168032786885233</v>
      </c>
      <c r="BU35" s="20899">
        <f>IF(HLOOKUP("Mins",A1:CV300,35,FALSE)=0,0,HLOOKUP("fsXG",A1:CV300,35,FALSE)/HLOOKUP("Mins",A1:CV300,35,FALSE)* 90)</f>
        <v>7.6229508196721307E-2</v>
      </c>
      <c r="BV35" s="20900">
        <f>IF(HLOOKUP("Mins",A1:CV300,35,FALSE)=0,0,HLOOKUP("fsXA",A1:CV300,35,FALSE)/HLOOKUP("Mins",A1:CV300,35,FALSE)* 90)</f>
        <v>5.5737704918032788E-2</v>
      </c>
      <c r="BW35" s="20901">
        <f>5*HLOOKUP("fsXG/90",A1:CV300,35,FALSE)+3*HLOOKUP("fsXA/90",A1:CV300,35,FALSE)</f>
        <v>0.54836065573770487</v>
      </c>
      <c r="BX35" s="20902">
        <v>0.10554307699203491</v>
      </c>
      <c r="BY35" s="20903">
        <v>2.325008437037468E-2</v>
      </c>
      <c r="BZ35" s="20904">
        <f>5*HLOOKUP("uXG/90",A1:CV300,35,FALSE)+3*HLOOKUP("uXA/90",A1:CV300,35,FALSE)</f>
        <v>0.5974656380712986</v>
      </c>
    </row>
    <row r="36" spans="1:78" x14ac:dyDescent="0.3">
      <c r="A36" s="20905" t="s">
        <v>363</v>
      </c>
      <c r="B36" s="20906" t="s">
        <v>84</v>
      </c>
      <c r="C36" s="20907">
        <v>4.6999998092651367</v>
      </c>
      <c r="D36" s="20908">
        <v>51</v>
      </c>
      <c r="E36" s="20909">
        <v>4</v>
      </c>
      <c r="F36" s="20910">
        <v>4</v>
      </c>
      <c r="G36" s="20911">
        <v>0</v>
      </c>
      <c r="H36" s="20912">
        <v>0</v>
      </c>
      <c r="I36" s="20913">
        <v>17</v>
      </c>
      <c r="J36" s="20914">
        <f>HLOOKUP("BPS",A1:CV300,36,FALSE)-((-6*HLOOKUP("OG",A1:CV300,36,FALSE))+(-6*HLOOKUP("PK Miss",A1:CV300,36,FALSE))+(9*HLOOKUP("FPL As",A1:CV300,36,FALSE))+(0*HLOOKUP("CS",A1:CV300,36,FALSE))+(18*HLOOKUP("Gs",A1:CV300,36,FALSE)))</f>
        <v>17</v>
      </c>
      <c r="K36" s="20915">
        <v>0</v>
      </c>
      <c r="L36" s="20916">
        <v>0</v>
      </c>
      <c r="M36" s="20917">
        <v>2</v>
      </c>
      <c r="N36" s="20918">
        <v>0</v>
      </c>
      <c r="O36" s="20919">
        <v>0</v>
      </c>
      <c r="P36" s="20920">
        <f>IF(HLOOKUP("Shots",A1:CV300,36,FALSE)=0,0,HLOOKUP("SIB",A1:CV300,36,FALSE)/HLOOKUP("Shots",A1:CV300,36,FALSE))</f>
        <v>0</v>
      </c>
      <c r="Q36" s="20921">
        <v>0</v>
      </c>
      <c r="R36" s="20922">
        <f>IF(HLOOKUP("Shots",A1:CV300,36,FALSE)=0,0,HLOOKUP("S6YD",A1:CV300,36,FALSE)/HLOOKUP("Shots",A1:CV300,36,FALSE))</f>
        <v>0</v>
      </c>
      <c r="S36" s="20923">
        <v>0</v>
      </c>
      <c r="T36" s="20924">
        <f>IF(HLOOKUP("Shots",A1:CV300,36,FALSE)=0,0,HLOOKUP("Headers",A1:CV300,36,FALSE)/HLOOKUP("Shots",A1:CV300,36,FALSE))</f>
        <v>0</v>
      </c>
      <c r="U36" s="20925">
        <v>0</v>
      </c>
      <c r="V36" s="20926">
        <f>IF(HLOOKUP("Shots",A1:CV300,36,FALSE)=0,0,HLOOKUP("SOT",A1:CV300,36,FALSE)/HLOOKUP("Shots",A1:CV300,36,FALSE))</f>
        <v>0</v>
      </c>
      <c r="W36" s="20927">
        <f>IF(HLOOKUP("Shots",A1:CV300,36,FALSE)=0,0,HLOOKUP("Gs",A1:CV300,36,FALSE)/HLOOKUP("Shots",A1:CV300,36,FALSE))</f>
        <v>0</v>
      </c>
      <c r="X36" s="20928">
        <v>0</v>
      </c>
      <c r="Y36" s="20929">
        <v>0</v>
      </c>
      <c r="Z36" s="20930">
        <v>2</v>
      </c>
      <c r="AA36" s="20931">
        <f>IF(HLOOKUP("KP",A1:CV300,36,FALSE)=0,0,HLOOKUP("As",A1:CV300,36,FALSE)/HLOOKUP("KP",A1:CV300,36,FALSE))</f>
        <v>0</v>
      </c>
      <c r="AB36" s="20932">
        <v>3.7</v>
      </c>
      <c r="AC36" s="20933">
        <v>0</v>
      </c>
      <c r="AD36" s="20934">
        <v>1</v>
      </c>
      <c r="AE36" s="20935">
        <v>0</v>
      </c>
      <c r="AF36" s="20936">
        <v>0</v>
      </c>
      <c r="AG36" s="20937">
        <f>IF(HLOOKUP("BC",A1:CV300,36,FALSE)=0,0,HLOOKUP("Gs - BC",A1:CV300,36,FALSE)/HLOOKUP("BC",A1:CV300,36,FALSE))</f>
        <v>0</v>
      </c>
      <c r="AH36" s="20938">
        <f>HLOOKUP("BC",A1:CV300,36,FALSE) - HLOOKUP("BC Miss",A1:CV300,36,FALSE)</f>
        <v>0</v>
      </c>
      <c r="AI36" s="20939">
        <f>IF(HLOOKUP("Gs",A1:CV300,36,FALSE)=0,0,HLOOKUP("Gs - BC",A1:CV300,36,FALSE)/HLOOKUP("Gs",A1:CV300,36,FALSE))</f>
        <v>0</v>
      </c>
      <c r="AJ36" s="20940">
        <v>0</v>
      </c>
      <c r="AK36" s="20941">
        <v>0</v>
      </c>
      <c r="AL36" s="20942">
        <f>HLOOKUP("BC",A1:CV300,36,FALSE) - (HLOOKUP("PK Gs",A1:CV300,36,FALSE) + HLOOKUP("PK Miss",A1:CV300,36,FALSE))</f>
        <v>0</v>
      </c>
      <c r="AM36" s="20943">
        <f>HLOOKUP("BC Miss",A1:CV300,36,FALSE) - HLOOKUP("PK Miss",A1:CV300,36,FALSE)</f>
        <v>0</v>
      </c>
      <c r="AN36" s="20944">
        <f>IF(HLOOKUP("BC - Open",A1:CV300,36,FALSE)=0,0,HLOOKUP("BC - Open Miss",A1:CV300,36,FALSE)/HLOOKUP("BC - Open",A1:CV300,36,FALSE))</f>
        <v>0</v>
      </c>
      <c r="AO36" s="20945">
        <v>0</v>
      </c>
      <c r="AP36" s="20946">
        <f>IF(HLOOKUP("Gs",A1:CV300,36,FALSE)=0,0,HLOOKUP("GIB",A1:CV300,36,FALSE)/HLOOKUP("Gs",A1:CV300,36,FALSE))</f>
        <v>0</v>
      </c>
      <c r="AQ36" s="20947">
        <v>0</v>
      </c>
      <c r="AR36" s="20948">
        <f>IF(HLOOKUP("Gs",A1:CV300,36,FALSE)=0,0,HLOOKUP("Gs - Open",A1:CV300,36,FALSE)/HLOOKUP("Gs",A1:CV300,36,FALSE))</f>
        <v>0</v>
      </c>
      <c r="AS36" s="20949">
        <v>7.0000000000000007E-2</v>
      </c>
      <c r="AT36" s="20950">
        <v>0.16</v>
      </c>
      <c r="AU36" s="20951">
        <f>IF(HLOOKUP("Mins",A1:CV300,36,FALSE)=0,0,HLOOKUP("Pts",A1:CV300,36,FALSE)/HLOOKUP("Mins",A1:CV300,36,FALSE)* 90)</f>
        <v>7.0588235294117645</v>
      </c>
      <c r="AV36" s="20952">
        <f>IF(HLOOKUP("Apps",A1:CV300,36,FALSE)=0,0,HLOOKUP("Pts",A1:CV300,36,FALSE)/HLOOKUP("Apps",A1:CV300,36,FALSE)* 1)</f>
        <v>1</v>
      </c>
      <c r="AW36" s="20953">
        <f>IF(HLOOKUP("Mins",A1:CV300,36,FALSE)=0,0,HLOOKUP("Gs",A1:CV300,36,FALSE)/HLOOKUP("Mins",A1:CV300,36,FALSE)* 90)</f>
        <v>0</v>
      </c>
      <c r="AX36" s="20954">
        <f>IF(HLOOKUP("Mins",A1:CV300,36,FALSE)=0,0,HLOOKUP("Bonus",A1:CV300,36,FALSE)/HLOOKUP("Mins",A1:CV300,36,FALSE)* 90)</f>
        <v>0</v>
      </c>
      <c r="AY36" s="20955">
        <f>IF(HLOOKUP("Mins",A1:CV300,36,FALSE)=0,0,HLOOKUP("BPS",A1:CV300,36,FALSE)/HLOOKUP("Mins",A1:CV300,36,FALSE)* 90)</f>
        <v>30</v>
      </c>
      <c r="AZ36" s="20956">
        <f>IF(HLOOKUP("Mins",A1:CV300,36,FALSE)=0,0,HLOOKUP("Base BPS",A1:CV300,36,FALSE)/HLOOKUP("Mins",A1:CV300,36,FALSE)* 90)</f>
        <v>30</v>
      </c>
      <c r="BA36" s="20957">
        <f>IF(HLOOKUP("Mins",A1:CV300,36,FALSE)=0,0,HLOOKUP("PenTchs",A1:CV300,36,FALSE)/HLOOKUP("Mins",A1:CV300,36,FALSE)* 90)</f>
        <v>3.5294117647058822</v>
      </c>
      <c r="BB36" s="20958">
        <f>IF(HLOOKUP("Mins",A1:CV300,36,FALSE)=0,0,HLOOKUP("Shots",A1:CV300,36,FALSE)/HLOOKUP("Mins",A1:CV300,36,FALSE)* 90)</f>
        <v>0</v>
      </c>
      <c r="BC36" s="20959">
        <f>IF(HLOOKUP("Mins",A1:CV300,36,FALSE)=0,0,HLOOKUP("SIB",A1:CV300,36,FALSE)/HLOOKUP("Mins",A1:CV300,36,FALSE)* 90)</f>
        <v>0</v>
      </c>
      <c r="BD36" s="20960">
        <f>IF(HLOOKUP("Mins",A1:CV300,36,FALSE)=0,0,HLOOKUP("S6YD",A1:CV300,36,FALSE)/HLOOKUP("Mins",A1:CV300,36,FALSE)* 90)</f>
        <v>0</v>
      </c>
      <c r="BE36" s="20961">
        <f>IF(HLOOKUP("Mins",A1:CV300,36,FALSE)=0,0,HLOOKUP("Headers",A1:CV300,36,FALSE)/HLOOKUP("Mins",A1:CV300,36,FALSE)* 90)</f>
        <v>0</v>
      </c>
      <c r="BF36" s="20962">
        <f>IF(HLOOKUP("Mins",A1:CV300,36,FALSE)=0,0,HLOOKUP("SOT",A1:CV300,36,FALSE)/HLOOKUP("Mins",A1:CV300,36,FALSE)* 90)</f>
        <v>0</v>
      </c>
      <c r="BG36" s="20963">
        <f>IF(HLOOKUP("Mins",A1:CV300,36,FALSE)=0,0,HLOOKUP("As",A1:CV300,36,FALSE)/HLOOKUP("Mins",A1:CV300,36,FALSE)* 90)</f>
        <v>0</v>
      </c>
      <c r="BH36" s="20964">
        <f>IF(HLOOKUP("Mins",A1:CV300,36,FALSE)=0,0,HLOOKUP("FPL As",A1:CV300,36,FALSE)/HLOOKUP("Mins",A1:CV300,36,FALSE)* 90)</f>
        <v>0</v>
      </c>
      <c r="BI36" s="20965">
        <f>IF(HLOOKUP("Mins",A1:CV300,36,FALSE)=0,0,HLOOKUP("BC Created",A1:CV300,36,FALSE)/HLOOKUP("Mins",A1:CV300,36,FALSE)* 90)</f>
        <v>1.7647058823529411</v>
      </c>
      <c r="BJ36" s="20966">
        <f>IF(HLOOKUP("Mins",A1:CV300,36,FALSE)=0,0,HLOOKUP("KP",A1:CV300,36,FALSE)/HLOOKUP("Mins",A1:CV300,36,FALSE)* 90)</f>
        <v>3.5294117647058822</v>
      </c>
      <c r="BK36" s="20967">
        <f>IF(HLOOKUP("Mins",A1:CV300,36,FALSE)=0,0,HLOOKUP("BC",A1:CV300,36,FALSE)/HLOOKUP("Mins",A1:CV300,36,FALSE)* 90)</f>
        <v>0</v>
      </c>
      <c r="BL36" s="20968">
        <f>IF(HLOOKUP("Mins",A1:CV300,36,FALSE)=0,0,HLOOKUP("BC Miss",A1:CV300,36,FALSE)/HLOOKUP("Mins",A1:CV300,36,FALSE)* 90)</f>
        <v>0</v>
      </c>
      <c r="BM36" s="20969">
        <f>IF(HLOOKUP("Mins",A1:CV300,36,FALSE)=0,0,HLOOKUP("Gs - BC",A1:CV300,36,FALSE)/HLOOKUP("Mins",A1:CV300,36,FALSE)* 90)</f>
        <v>0</v>
      </c>
      <c r="BN36" s="20970">
        <f>IF(HLOOKUP("Mins",A1:CV300,36,FALSE)=0,0,HLOOKUP("GIB",A1:CV300,36,FALSE)/HLOOKUP("Mins",A1:CV300,36,FALSE)* 90)</f>
        <v>0</v>
      </c>
      <c r="BO36" s="20971">
        <f>IF(HLOOKUP("Mins",A1:CV300,36,FALSE)=0,0,HLOOKUP("Gs - Open",A1:CV300,36,FALSE)/HLOOKUP("Mins",A1:CV300,36,FALSE)* 90)</f>
        <v>0</v>
      </c>
      <c r="BP36" s="20972">
        <f>IF(HLOOKUP("Mins",A1:CV300,36,FALSE)=0,0,HLOOKUP("ICT Index",A1:CV300,36,FALSE)/HLOOKUP("Mins",A1:CV300,36,FALSE)* 90)</f>
        <v>6.5294117647058831</v>
      </c>
      <c r="BQ36" s="20973">
        <f>IF(HLOOKUP("Mins",A1:CV300,36,FALSE)=0,0,(0.036*(HLOOKUP("Shots",A1:CV300,36,FALSE)-HLOOKUP("SIB",A1:CV300,36,FALSE))+0.142*(HLOOKUP("SIB",A1:CV300,36,FALSE)-(HLOOKUP("PK Gs",A1:CV300,36,FALSE)+HLOOKUP("PK Miss",A1:CV300,36,FALSE)))+0.75*(HLOOKUP("PK Gs",A1:CV300,36,FALSE)+HLOOKUP("PK Miss",A1:CV300,36,FALSE)))/HLOOKUP("Mins",A1:CV300,36,FALSE)*90)</f>
        <v>0</v>
      </c>
      <c r="BR36" s="20974">
        <f>0.0885*HLOOKUP("KP/90",A1:CV300,36,FALSE)</f>
        <v>0.31235294117647056</v>
      </c>
      <c r="BS36" s="20975">
        <f>5*HLOOKUP("xG/90",A1:CV300,36,FALSE)+3*HLOOKUP("xA/90",A1:CV300,36,FALSE)</f>
        <v>0.93705882352941172</v>
      </c>
      <c r="BT36" s="20976">
        <f>HLOOKUP("xPts/90",A1:CV300,36,FALSE)-(5*0.75*(HLOOKUP("PK Gs",A1:CV300,36,FALSE)+HLOOKUP("PK Miss",A1:CV300,36,FALSE))*90/HLOOKUP("Mins",A1:CV300,36,FALSE))</f>
        <v>0.93705882352941172</v>
      </c>
      <c r="BU36" s="20977">
        <f>IF(HLOOKUP("Mins",A1:CV300,36,FALSE)=0,0,HLOOKUP("fsXG",A1:CV300,36,FALSE)/HLOOKUP("Mins",A1:CV300,36,FALSE)* 90)</f>
        <v>0.12352941176470589</v>
      </c>
      <c r="BV36" s="20978">
        <f>IF(HLOOKUP("Mins",A1:CV300,36,FALSE)=0,0,HLOOKUP("fsXA",A1:CV300,36,FALSE)/HLOOKUP("Mins",A1:CV300,36,FALSE)* 90)</f>
        <v>0.28235294117647058</v>
      </c>
      <c r="BW36" s="20979">
        <f>5*HLOOKUP("fsXG/90",A1:CV300,36,FALSE)+3*HLOOKUP("fsXA/90",A1:CV300,36,FALSE)</f>
        <v>1.4647058823529413</v>
      </c>
      <c r="BX36" s="20980">
        <v>0</v>
      </c>
      <c r="BY36" s="20981">
        <v>1.0279507637023926</v>
      </c>
      <c r="BZ36" s="20982">
        <f>5*HLOOKUP("uXG/90",A1:CV300,36,FALSE)+3*HLOOKUP("uXA/90",A1:CV300,36,FALSE)</f>
        <v>3.0838522911071777</v>
      </c>
    </row>
    <row r="37" spans="1:78" x14ac:dyDescent="0.3">
      <c r="A37" s="20983" t="s">
        <v>364</v>
      </c>
      <c r="B37" s="20984" t="s">
        <v>96</v>
      </c>
      <c r="C37" s="20985">
        <v>5.5</v>
      </c>
      <c r="D37" s="20986">
        <v>399</v>
      </c>
      <c r="E37" s="20987">
        <v>13</v>
      </c>
      <c r="F37" s="20988">
        <v>28</v>
      </c>
      <c r="G37" s="20989">
        <v>1</v>
      </c>
      <c r="H37" s="20990">
        <v>0</v>
      </c>
      <c r="I37" s="20991">
        <v>99</v>
      </c>
      <c r="J37" s="20992">
        <f>HLOOKUP("BPS",A1:CV300,37,FALSE)-((-6*HLOOKUP("OG",A1:CV300,37,FALSE))+(-6*HLOOKUP("PK Miss",A1:CV300,37,FALSE))+(9*HLOOKUP("FPL As",A1:CV300,37,FALSE))+(0*HLOOKUP("CS",A1:CV300,37,FALSE))+(18*HLOOKUP("Gs",A1:CV300,37,FALSE)))</f>
        <v>63</v>
      </c>
      <c r="K37" s="20993">
        <v>0</v>
      </c>
      <c r="L37" s="20994">
        <v>1</v>
      </c>
      <c r="M37" s="20995">
        <v>8</v>
      </c>
      <c r="N37" s="20996">
        <v>8</v>
      </c>
      <c r="O37" s="20997">
        <v>5</v>
      </c>
      <c r="P37" s="20998">
        <f>IF(HLOOKUP("Shots",A1:CV300,37,FALSE)=0,0,HLOOKUP("SIB",A1:CV300,37,FALSE)/HLOOKUP("Shots",A1:CV300,37,FALSE))</f>
        <v>0.625</v>
      </c>
      <c r="Q37" s="20999">
        <v>1</v>
      </c>
      <c r="R37" s="21000">
        <f>IF(HLOOKUP("Shots",A1:CV300,37,FALSE)=0,0,HLOOKUP("S6YD",A1:CV300,37,FALSE)/HLOOKUP("Shots",A1:CV300,37,FALSE))</f>
        <v>0.125</v>
      </c>
      <c r="S37" s="21001">
        <v>3</v>
      </c>
      <c r="T37" s="21002">
        <f>IF(HLOOKUP("Shots",A1:CV300,37,FALSE)=0,0,HLOOKUP("Headers",A1:CV300,37,FALSE)/HLOOKUP("Shots",A1:CV300,37,FALSE))</f>
        <v>0.375</v>
      </c>
      <c r="U37" s="21003">
        <v>1</v>
      </c>
      <c r="V37" s="21004">
        <f>IF(HLOOKUP("Shots",A1:CV300,37,FALSE)=0,0,HLOOKUP("SOT",A1:CV300,37,FALSE)/HLOOKUP("Shots",A1:CV300,37,FALSE))</f>
        <v>0.125</v>
      </c>
      <c r="W37" s="21005">
        <f>IF(HLOOKUP("Shots",A1:CV300,37,FALSE)=0,0,HLOOKUP("Gs",A1:CV300,37,FALSE)/HLOOKUP("Shots",A1:CV300,37,FALSE))</f>
        <v>0.125</v>
      </c>
      <c r="X37" s="21006">
        <v>2</v>
      </c>
      <c r="Y37" s="21007">
        <v>2</v>
      </c>
      <c r="Z37" s="21008">
        <v>7</v>
      </c>
      <c r="AA37" s="21009">
        <f>IF(HLOOKUP("KP",A1:CV300,37,FALSE)=0,0,HLOOKUP("As",A1:CV300,37,FALSE)/HLOOKUP("KP",A1:CV300,37,FALSE))</f>
        <v>0.2857142857142857</v>
      </c>
      <c r="AB37" s="21010">
        <v>27.6</v>
      </c>
      <c r="AC37" s="21011">
        <v>60</v>
      </c>
      <c r="AD37" s="21012">
        <v>1</v>
      </c>
      <c r="AE37" s="21013">
        <v>1</v>
      </c>
      <c r="AF37" s="21014">
        <v>1</v>
      </c>
      <c r="AG37" s="21015">
        <f>IF(HLOOKUP("BC",A1:CV300,37,FALSE)=0,0,HLOOKUP("Gs - BC",A1:CV300,37,FALSE)/HLOOKUP("BC",A1:CV300,37,FALSE))</f>
        <v>0</v>
      </c>
      <c r="AH37" s="21016">
        <f>HLOOKUP("BC",A1:CV300,37,FALSE) - HLOOKUP("BC Miss",A1:CV300,37,FALSE)</f>
        <v>0</v>
      </c>
      <c r="AI37" s="21017">
        <f>IF(HLOOKUP("Gs",A1:CV300,37,FALSE)=0,0,HLOOKUP("Gs - BC",A1:CV300,37,FALSE)/HLOOKUP("Gs",A1:CV300,37,FALSE))</f>
        <v>0</v>
      </c>
      <c r="AJ37" s="21018">
        <v>0</v>
      </c>
      <c r="AK37" s="21019">
        <v>0</v>
      </c>
      <c r="AL37" s="21020">
        <f>HLOOKUP("BC",A1:CV300,37,FALSE) - (HLOOKUP("PK Gs",A1:CV300,37,FALSE) + HLOOKUP("PK Miss",A1:CV300,37,FALSE))</f>
        <v>1</v>
      </c>
      <c r="AM37" s="21021">
        <f>HLOOKUP("BC Miss",A1:CV300,37,FALSE) - HLOOKUP("PK Miss",A1:CV300,37,FALSE)</f>
        <v>1</v>
      </c>
      <c r="AN37" s="21022">
        <f>IF(HLOOKUP("BC - Open",A1:CV300,37,FALSE)=0,0,HLOOKUP("BC - Open Miss",A1:CV300,37,FALSE)/HLOOKUP("BC - Open",A1:CV300,37,FALSE))</f>
        <v>1</v>
      </c>
      <c r="AO37" s="21023">
        <v>1</v>
      </c>
      <c r="AP37" s="21024">
        <f>IF(HLOOKUP("Gs",A1:CV300,37,FALSE)=0,0,HLOOKUP("GIB",A1:CV300,37,FALSE)/HLOOKUP("Gs",A1:CV300,37,FALSE))</f>
        <v>1</v>
      </c>
      <c r="AQ37" s="21025">
        <v>1</v>
      </c>
      <c r="AR37" s="21026">
        <f>IF(HLOOKUP("Gs",A1:CV300,37,FALSE)=0,0,HLOOKUP("Gs - Open",A1:CV300,37,FALSE)/HLOOKUP("Gs",A1:CV300,37,FALSE))</f>
        <v>1</v>
      </c>
      <c r="AS37" s="21027">
        <v>0.91</v>
      </c>
      <c r="AT37" s="21028">
        <v>0.42</v>
      </c>
      <c r="AU37" s="21029">
        <f>IF(HLOOKUP("Mins",A1:CV300,37,FALSE)=0,0,HLOOKUP("Pts",A1:CV300,37,FALSE)/HLOOKUP("Mins",A1:CV300,37,FALSE)* 90)</f>
        <v>6.3157894736842106</v>
      </c>
      <c r="AV37" s="21030">
        <f>IF(HLOOKUP("Apps",A1:CV300,37,FALSE)=0,0,HLOOKUP("Pts",A1:CV300,37,FALSE)/HLOOKUP("Apps",A1:CV300,37,FALSE)* 1)</f>
        <v>2.1538461538461537</v>
      </c>
      <c r="AW37" s="21031">
        <f>IF(HLOOKUP("Mins",A1:CV300,37,FALSE)=0,0,HLOOKUP("Gs",A1:CV300,37,FALSE)/HLOOKUP("Mins",A1:CV300,37,FALSE)* 90)</f>
        <v>0.22556390977443608</v>
      </c>
      <c r="AX37" s="21032">
        <f>IF(HLOOKUP("Mins",A1:CV300,37,FALSE)=0,0,HLOOKUP("Bonus",A1:CV300,37,FALSE)/HLOOKUP("Mins",A1:CV300,37,FALSE)* 90)</f>
        <v>0</v>
      </c>
      <c r="AY37" s="21033">
        <f>IF(HLOOKUP("Mins",A1:CV300,37,FALSE)=0,0,HLOOKUP("BPS",A1:CV300,37,FALSE)/HLOOKUP("Mins",A1:CV300,37,FALSE)* 90)</f>
        <v>22.330827067669173</v>
      </c>
      <c r="AZ37" s="21034">
        <f>IF(HLOOKUP("Mins",A1:CV300,37,FALSE)=0,0,HLOOKUP("Base BPS",A1:CV300,37,FALSE)/HLOOKUP("Mins",A1:CV300,37,FALSE)* 90)</f>
        <v>14.210526315789473</v>
      </c>
      <c r="BA37" s="21035">
        <f>IF(HLOOKUP("Mins",A1:CV300,37,FALSE)=0,0,HLOOKUP("PenTchs",A1:CV300,37,FALSE)/HLOOKUP("Mins",A1:CV300,37,FALSE)* 90)</f>
        <v>1.8045112781954886</v>
      </c>
      <c r="BB37" s="21036">
        <f>IF(HLOOKUP("Mins",A1:CV300,37,FALSE)=0,0,HLOOKUP("Shots",A1:CV300,37,FALSE)/HLOOKUP("Mins",A1:CV300,37,FALSE)* 90)</f>
        <v>1.8045112781954886</v>
      </c>
      <c r="BC37" s="21037">
        <f>IF(HLOOKUP("Mins",A1:CV300,37,FALSE)=0,0,HLOOKUP("SIB",A1:CV300,37,FALSE)/HLOOKUP("Mins",A1:CV300,37,FALSE)* 90)</f>
        <v>1.1278195488721803</v>
      </c>
      <c r="BD37" s="21038">
        <f>IF(HLOOKUP("Mins",A1:CV300,37,FALSE)=0,0,HLOOKUP("S6YD",A1:CV300,37,FALSE)/HLOOKUP("Mins",A1:CV300,37,FALSE)* 90)</f>
        <v>0.22556390977443608</v>
      </c>
      <c r="BE37" s="21039">
        <f>IF(HLOOKUP("Mins",A1:CV300,37,FALSE)=0,0,HLOOKUP("Headers",A1:CV300,37,FALSE)/HLOOKUP("Mins",A1:CV300,37,FALSE)* 90)</f>
        <v>0.67669172932330823</v>
      </c>
      <c r="BF37" s="21040">
        <f>IF(HLOOKUP("Mins",A1:CV300,37,FALSE)=0,0,HLOOKUP("SOT",A1:CV300,37,FALSE)/HLOOKUP("Mins",A1:CV300,37,FALSE)* 90)</f>
        <v>0.22556390977443608</v>
      </c>
      <c r="BG37" s="21041">
        <f>IF(HLOOKUP("Mins",A1:CV300,37,FALSE)=0,0,HLOOKUP("As",A1:CV300,37,FALSE)/HLOOKUP("Mins",A1:CV300,37,FALSE)* 90)</f>
        <v>0.45112781954887216</v>
      </c>
      <c r="BH37" s="21042">
        <f>IF(HLOOKUP("Mins",A1:CV300,37,FALSE)=0,0,HLOOKUP("FPL As",A1:CV300,37,FALSE)/HLOOKUP("Mins",A1:CV300,37,FALSE)* 90)</f>
        <v>0.45112781954887216</v>
      </c>
      <c r="BI37" s="21043">
        <f>IF(HLOOKUP("Mins",A1:CV300,37,FALSE)=0,0,HLOOKUP("BC Created",A1:CV300,37,FALSE)/HLOOKUP("Mins",A1:CV300,37,FALSE)* 90)</f>
        <v>0.22556390977443608</v>
      </c>
      <c r="BJ37" s="21044">
        <f>IF(HLOOKUP("Mins",A1:CV300,37,FALSE)=0,0,HLOOKUP("KP",A1:CV300,37,FALSE)/HLOOKUP("Mins",A1:CV300,37,FALSE)* 90)</f>
        <v>1.5789473684210527</v>
      </c>
      <c r="BK37" s="21045">
        <f>IF(HLOOKUP("Mins",A1:CV300,37,FALSE)=0,0,HLOOKUP("BC",A1:CV300,37,FALSE)/HLOOKUP("Mins",A1:CV300,37,FALSE)* 90)</f>
        <v>0.22556390977443608</v>
      </c>
      <c r="BL37" s="21046">
        <f>IF(HLOOKUP("Mins",A1:CV300,37,FALSE)=0,0,HLOOKUP("BC Miss",A1:CV300,37,FALSE)/HLOOKUP("Mins",A1:CV300,37,FALSE)* 90)</f>
        <v>0.22556390977443608</v>
      </c>
      <c r="BM37" s="21047">
        <f>IF(HLOOKUP("Mins",A1:CV300,37,FALSE)=0,0,HLOOKUP("Gs - BC",A1:CV300,37,FALSE)/HLOOKUP("Mins",A1:CV300,37,FALSE)* 90)</f>
        <v>0</v>
      </c>
      <c r="BN37" s="21048">
        <f>IF(HLOOKUP("Mins",A1:CV300,37,FALSE)=0,0,HLOOKUP("GIB",A1:CV300,37,FALSE)/HLOOKUP("Mins",A1:CV300,37,FALSE)* 90)</f>
        <v>0.22556390977443608</v>
      </c>
      <c r="BO37" s="21049">
        <f>IF(HLOOKUP("Mins",A1:CV300,37,FALSE)=0,0,HLOOKUP("Gs - Open",A1:CV300,37,FALSE)/HLOOKUP("Mins",A1:CV300,37,FALSE)* 90)</f>
        <v>0.22556390977443608</v>
      </c>
      <c r="BP37" s="21050">
        <f>IF(HLOOKUP("Mins",A1:CV300,37,FALSE)=0,0,HLOOKUP("ICT Index",A1:CV300,37,FALSE)/HLOOKUP("Mins",A1:CV300,37,FALSE)* 90)</f>
        <v>6.2255639097744364</v>
      </c>
      <c r="BQ37" s="21051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  <v>0.18451127819548871</v>
      </c>
      <c r="BR37" s="21052">
        <f>0.0885*HLOOKUP("KP/90",A1:CV300,37,FALSE)</f>
        <v>0.13973684210526316</v>
      </c>
      <c r="BS37" s="21053">
        <f>5*HLOOKUP("xG/90",A1:CV300,37,FALSE)+3*HLOOKUP("xA/90",A1:CV300,37,FALSE)</f>
        <v>1.3417669172932332</v>
      </c>
      <c r="BT37" s="21054">
        <f>HLOOKUP("xPts/90",A1:CV300,37,FALSE)-(5*0.75*(HLOOKUP("PK Gs",A1:CV300,37,FALSE)+HLOOKUP("PK Miss",A1:CV300,37,FALSE))*90/HLOOKUP("Mins",A1:CV300,37,FALSE))</f>
        <v>1.3417669172932332</v>
      </c>
      <c r="BU37" s="21055">
        <f>IF(HLOOKUP("Mins",A1:CV300,37,FALSE)=0,0,HLOOKUP("fsXG",A1:CV300,37,FALSE)/HLOOKUP("Mins",A1:CV300,37,FALSE)* 90)</f>
        <v>0.20526315789473687</v>
      </c>
      <c r="BV37" s="21056">
        <f>IF(HLOOKUP("Mins",A1:CV300,37,FALSE)=0,0,HLOOKUP("fsXA",A1:CV300,37,FALSE)/HLOOKUP("Mins",A1:CV300,37,FALSE)* 90)</f>
        <v>9.4736842105263161E-2</v>
      </c>
      <c r="BW37" s="21057">
        <f>5*HLOOKUP("fsXG/90",A1:CV300,37,FALSE)+3*HLOOKUP("fsXA/90",A1:CV300,37,FALSE)</f>
        <v>1.3105263157894738</v>
      </c>
      <c r="BX37" s="21058">
        <v>0.19066792726516724</v>
      </c>
      <c r="BY37" s="21059">
        <v>5.387699231505394E-2</v>
      </c>
      <c r="BZ37" s="21060">
        <f>5*HLOOKUP("uXG/90",A1:CV300,37,FALSE)+3*HLOOKUP("uXA/90",A1:CV300,37,FALSE)</f>
        <v>1.114970613270998</v>
      </c>
    </row>
    <row r="38" spans="1:78" x14ac:dyDescent="0.3">
      <c r="A38" s="21061" t="s">
        <v>365</v>
      </c>
      <c r="B38" s="21062" t="s">
        <v>84</v>
      </c>
      <c r="C38" s="21063">
        <v>4.9000000953674316</v>
      </c>
      <c r="D38" s="21064">
        <v>1842</v>
      </c>
      <c r="E38" s="21065">
        <v>22</v>
      </c>
      <c r="F38" s="21066">
        <v>60</v>
      </c>
      <c r="G38" s="21067">
        <v>1</v>
      </c>
      <c r="H38" s="21068">
        <v>4</v>
      </c>
      <c r="I38" s="21069">
        <v>363</v>
      </c>
      <c r="J38" s="21070">
        <f>HLOOKUP("BPS",A1:CV300,38,FALSE)-((-6*HLOOKUP("OG",A1:CV300,38,FALSE))+(-6*HLOOKUP("PK Miss",A1:CV300,38,FALSE))+(9*HLOOKUP("FPL As",A1:CV300,38,FALSE))+(0*HLOOKUP("CS",A1:CV300,38,FALSE))+(18*HLOOKUP("Gs",A1:CV300,38,FALSE)))</f>
        <v>336</v>
      </c>
      <c r="K38" s="21071">
        <v>0</v>
      </c>
      <c r="L38" s="21072">
        <v>8</v>
      </c>
      <c r="M38" s="21073">
        <v>2</v>
      </c>
      <c r="N38" s="21074">
        <v>13</v>
      </c>
      <c r="O38" s="21075">
        <v>1</v>
      </c>
      <c r="P38" s="21076">
        <f>IF(HLOOKUP("Shots",A1:CV300,38,FALSE)=0,0,HLOOKUP("SIB",A1:CV300,38,FALSE)/HLOOKUP("Shots",A1:CV300,38,FALSE))</f>
        <v>7.6923076923076927E-2</v>
      </c>
      <c r="Q38" s="21077">
        <v>0</v>
      </c>
      <c r="R38" s="21078">
        <f>IF(HLOOKUP("Shots",A1:CV300,38,FALSE)=0,0,HLOOKUP("S6YD",A1:CV300,38,FALSE)/HLOOKUP("Shots",A1:CV300,38,FALSE))</f>
        <v>0</v>
      </c>
      <c r="S38" s="21079">
        <v>0</v>
      </c>
      <c r="T38" s="21080">
        <f>IF(HLOOKUP("Shots",A1:CV300,38,FALSE)=0,0,HLOOKUP("Headers",A1:CV300,38,FALSE)/HLOOKUP("Shots",A1:CV300,38,FALSE))</f>
        <v>0</v>
      </c>
      <c r="U38" s="21081">
        <v>5</v>
      </c>
      <c r="V38" s="21082">
        <f>IF(HLOOKUP("Shots",A1:CV300,38,FALSE)=0,0,HLOOKUP("SOT",A1:CV300,38,FALSE)/HLOOKUP("Shots",A1:CV300,38,FALSE))</f>
        <v>0.38461538461538464</v>
      </c>
      <c r="W38" s="21083">
        <f>IF(HLOOKUP("Shots",A1:CV300,38,FALSE)=0,0,HLOOKUP("Gs",A1:CV300,38,FALSE)/HLOOKUP("Shots",A1:CV300,38,FALSE))</f>
        <v>7.6923076923076927E-2</v>
      </c>
      <c r="X38" s="21084">
        <v>0</v>
      </c>
      <c r="Y38" s="21085">
        <v>1</v>
      </c>
      <c r="Z38" s="21086">
        <v>32</v>
      </c>
      <c r="AA38" s="21087">
        <f>IF(HLOOKUP("KP",A1:CV300,38,FALSE)=0,0,HLOOKUP("As",A1:CV300,38,FALSE)/HLOOKUP("KP",A1:CV300,38,FALSE))</f>
        <v>0</v>
      </c>
      <c r="AB38" s="21088">
        <v>101.5</v>
      </c>
      <c r="AC38" s="21089">
        <v>9</v>
      </c>
      <c r="AD38" s="21090">
        <v>6</v>
      </c>
      <c r="AE38" s="21091">
        <v>1</v>
      </c>
      <c r="AF38" s="21092">
        <v>0</v>
      </c>
      <c r="AG38" s="21093">
        <f>IF(HLOOKUP("BC",A1:CV300,38,FALSE)=0,0,HLOOKUP("Gs - BC",A1:CV300,38,FALSE)/HLOOKUP("BC",A1:CV300,38,FALSE))</f>
        <v>1</v>
      </c>
      <c r="AH38" s="21094">
        <f>HLOOKUP("BC",A1:CV300,38,FALSE) - HLOOKUP("BC Miss",A1:CV300,38,FALSE)</f>
        <v>1</v>
      </c>
      <c r="AI38" s="21095">
        <f>IF(HLOOKUP("Gs",A1:CV300,38,FALSE)=0,0,HLOOKUP("Gs - BC",A1:CV300,38,FALSE)/HLOOKUP("Gs",A1:CV300,38,FALSE))</f>
        <v>1</v>
      </c>
      <c r="AJ38" s="21096">
        <v>1</v>
      </c>
      <c r="AK38" s="21097">
        <v>0</v>
      </c>
      <c r="AL38" s="21098">
        <f>HLOOKUP("BC",A1:CV300,38,FALSE) - (HLOOKUP("PK Gs",A1:CV300,38,FALSE) + HLOOKUP("PK Miss",A1:CV300,38,FALSE))</f>
        <v>0</v>
      </c>
      <c r="AM38" s="21099">
        <f>HLOOKUP("BC Miss",A1:CV300,38,FALSE) - HLOOKUP("PK Miss",A1:CV300,38,FALSE)</f>
        <v>0</v>
      </c>
      <c r="AN38" s="21100">
        <f>IF(HLOOKUP("BC - Open",A1:CV300,38,FALSE)=0,0,HLOOKUP("BC - Open Miss",A1:CV300,38,FALSE)/HLOOKUP("BC - Open",A1:CV300,38,FALSE))</f>
        <v>0</v>
      </c>
      <c r="AO38" s="21101">
        <v>1</v>
      </c>
      <c r="AP38" s="21102">
        <f>IF(HLOOKUP("Gs",A1:CV300,38,FALSE)=0,0,HLOOKUP("GIB",A1:CV300,38,FALSE)/HLOOKUP("Gs",A1:CV300,38,FALSE))</f>
        <v>1</v>
      </c>
      <c r="AQ38" s="21103">
        <v>0</v>
      </c>
      <c r="AR38" s="21104">
        <f>IF(HLOOKUP("Gs",A1:CV300,38,FALSE)=0,0,HLOOKUP("Gs - Open",A1:CV300,38,FALSE)/HLOOKUP("Gs",A1:CV300,38,FALSE))</f>
        <v>0</v>
      </c>
      <c r="AS38" s="21105">
        <v>1.29</v>
      </c>
      <c r="AT38" s="21106">
        <v>2.68</v>
      </c>
      <c r="AU38" s="21107">
        <f>IF(HLOOKUP("Mins",A1:CV300,38,FALSE)=0,0,HLOOKUP("Pts",A1:CV300,38,FALSE)/HLOOKUP("Mins",A1:CV300,38,FALSE)* 90)</f>
        <v>2.9315960912052117</v>
      </c>
      <c r="AV38" s="21108">
        <f>IF(HLOOKUP("Apps",A1:CV300,38,FALSE)=0,0,HLOOKUP("Pts",A1:CV300,38,FALSE)/HLOOKUP("Apps",A1:CV300,38,FALSE)* 1)</f>
        <v>2.7272727272727271</v>
      </c>
      <c r="AW38" s="21109">
        <f>IF(HLOOKUP("Mins",A1:CV300,38,FALSE)=0,0,HLOOKUP("Gs",A1:CV300,38,FALSE)/HLOOKUP("Mins",A1:CV300,38,FALSE)* 90)</f>
        <v>4.8859934853420196E-2</v>
      </c>
      <c r="AX38" s="21110">
        <f>IF(HLOOKUP("Mins",A1:CV300,38,FALSE)=0,0,HLOOKUP("Bonus",A1:CV300,38,FALSE)/HLOOKUP("Mins",A1:CV300,38,FALSE)* 90)</f>
        <v>0.19543973941368079</v>
      </c>
      <c r="AY38" s="21111">
        <f>IF(HLOOKUP("Mins",A1:CV300,38,FALSE)=0,0,HLOOKUP("BPS",A1:CV300,38,FALSE)/HLOOKUP("Mins",A1:CV300,38,FALSE)* 90)</f>
        <v>17.736156351791532</v>
      </c>
      <c r="AZ38" s="21112">
        <f>IF(HLOOKUP("Mins",A1:CV300,38,FALSE)=0,0,HLOOKUP("Base BPS",A1:CV300,38,FALSE)/HLOOKUP("Mins",A1:CV300,38,FALSE)* 90)</f>
        <v>16.416938110749186</v>
      </c>
      <c r="BA38" s="21113">
        <f>IF(HLOOKUP("Mins",A1:CV300,38,FALSE)=0,0,HLOOKUP("PenTchs",A1:CV300,38,FALSE)/HLOOKUP("Mins",A1:CV300,38,FALSE)* 90)</f>
        <v>9.7719869706840393E-2</v>
      </c>
      <c r="BB38" s="21114">
        <f>IF(HLOOKUP("Mins",A1:CV300,38,FALSE)=0,0,HLOOKUP("Shots",A1:CV300,38,FALSE)/HLOOKUP("Mins",A1:CV300,38,FALSE)* 90)</f>
        <v>0.63517915309446249</v>
      </c>
      <c r="BC38" s="21115">
        <f>IF(HLOOKUP("Mins",A1:CV300,38,FALSE)=0,0,HLOOKUP("SIB",A1:CV300,38,FALSE)/HLOOKUP("Mins",A1:CV300,38,FALSE)* 90)</f>
        <v>4.8859934853420196E-2</v>
      </c>
      <c r="BD38" s="21116">
        <f>IF(HLOOKUP("Mins",A1:CV300,38,FALSE)=0,0,HLOOKUP("S6YD",A1:CV300,38,FALSE)/HLOOKUP("Mins",A1:CV300,38,FALSE)* 90)</f>
        <v>0</v>
      </c>
      <c r="BE38" s="21117">
        <f>IF(HLOOKUP("Mins",A1:CV300,38,FALSE)=0,0,HLOOKUP("Headers",A1:CV300,38,FALSE)/HLOOKUP("Mins",A1:CV300,38,FALSE)* 90)</f>
        <v>0</v>
      </c>
      <c r="BF38" s="21118">
        <f>IF(HLOOKUP("Mins",A1:CV300,38,FALSE)=0,0,HLOOKUP("SOT",A1:CV300,38,FALSE)/HLOOKUP("Mins",A1:CV300,38,FALSE)* 90)</f>
        <v>0.24429967426710097</v>
      </c>
      <c r="BG38" s="21119">
        <f>IF(HLOOKUP("Mins",A1:CV300,38,FALSE)=0,0,HLOOKUP("As",A1:CV300,38,FALSE)/HLOOKUP("Mins",A1:CV300,38,FALSE)* 90)</f>
        <v>0</v>
      </c>
      <c r="BH38" s="21120">
        <f>IF(HLOOKUP("Mins",A1:CV300,38,FALSE)=0,0,HLOOKUP("FPL As",A1:CV300,38,FALSE)/HLOOKUP("Mins",A1:CV300,38,FALSE)* 90)</f>
        <v>4.8859934853420196E-2</v>
      </c>
      <c r="BI38" s="21121">
        <f>IF(HLOOKUP("Mins",A1:CV300,38,FALSE)=0,0,HLOOKUP("BC Created",A1:CV300,38,FALSE)/HLOOKUP("Mins",A1:CV300,38,FALSE)* 90)</f>
        <v>0.29315960912052119</v>
      </c>
      <c r="BJ38" s="21122">
        <f>IF(HLOOKUP("Mins",A1:CV300,38,FALSE)=0,0,HLOOKUP("KP",A1:CV300,38,FALSE)/HLOOKUP("Mins",A1:CV300,38,FALSE)* 90)</f>
        <v>1.5635179153094463</v>
      </c>
      <c r="BK38" s="21123">
        <f>IF(HLOOKUP("Mins",A1:CV300,38,FALSE)=0,0,HLOOKUP("BC",A1:CV300,38,FALSE)/HLOOKUP("Mins",A1:CV300,38,FALSE)* 90)</f>
        <v>4.8859934853420196E-2</v>
      </c>
      <c r="BL38" s="21124">
        <f>IF(HLOOKUP("Mins",A1:CV300,38,FALSE)=0,0,HLOOKUP("BC Miss",A1:CV300,38,FALSE)/HLOOKUP("Mins",A1:CV300,38,FALSE)* 90)</f>
        <v>0</v>
      </c>
      <c r="BM38" s="21125">
        <f>IF(HLOOKUP("Mins",A1:CV300,38,FALSE)=0,0,HLOOKUP("Gs - BC",A1:CV300,38,FALSE)/HLOOKUP("Mins",A1:CV300,38,FALSE)* 90)</f>
        <v>4.8859934853420196E-2</v>
      </c>
      <c r="BN38" s="21126">
        <f>IF(HLOOKUP("Mins",A1:CV300,38,FALSE)=0,0,HLOOKUP("GIB",A1:CV300,38,FALSE)/HLOOKUP("Mins",A1:CV300,38,FALSE)* 90)</f>
        <v>4.8859934853420196E-2</v>
      </c>
      <c r="BO38" s="21127">
        <f>IF(HLOOKUP("Mins",A1:CV300,38,FALSE)=0,0,HLOOKUP("Gs - Open",A1:CV300,38,FALSE)/HLOOKUP("Mins",A1:CV300,38,FALSE)* 90)</f>
        <v>0</v>
      </c>
      <c r="BP38" s="21128">
        <f>IF(HLOOKUP("Mins",A1:CV300,38,FALSE)=0,0,HLOOKUP("ICT Index",A1:CV300,38,FALSE)/HLOOKUP("Mins",A1:CV300,38,FALSE)* 90)</f>
        <v>4.9592833876221496</v>
      </c>
      <c r="BQ38" s="21129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  <v>5.7752442996742669E-2</v>
      </c>
      <c r="BR38" s="21130">
        <f>0.0885*HLOOKUP("KP/90",A1:CV300,38,FALSE)</f>
        <v>0.13837133550488598</v>
      </c>
      <c r="BS38" s="21131">
        <f>5*HLOOKUP("xG/90",A1:CV300,38,FALSE)+3*HLOOKUP("xA/90",A1:CV300,38,FALSE)</f>
        <v>0.70387622149837126</v>
      </c>
      <c r="BT38" s="21132">
        <f>HLOOKUP("xPts/90",A1:CV300,38,FALSE)-(5*0.75*(HLOOKUP("PK Gs",A1:CV300,38,FALSE)+HLOOKUP("PK Miss",A1:CV300,38,FALSE))*90/HLOOKUP("Mins",A1:CV300,38,FALSE))</f>
        <v>0.52065146579804555</v>
      </c>
      <c r="BU38" s="21133">
        <f>IF(HLOOKUP("Mins",A1:CV300,38,FALSE)=0,0,HLOOKUP("fsXG",A1:CV300,38,FALSE)/HLOOKUP("Mins",A1:CV300,38,FALSE)* 90)</f>
        <v>6.3029315960912061E-2</v>
      </c>
      <c r="BV38" s="21134">
        <f>IF(HLOOKUP("Mins",A1:CV300,38,FALSE)=0,0,HLOOKUP("fsXA",A1:CV300,38,FALSE)/HLOOKUP("Mins",A1:CV300,38,FALSE)* 90)</f>
        <v>0.13094462540716614</v>
      </c>
      <c r="BW38" s="21135">
        <f>5*HLOOKUP("fsXG/90",A1:CV300,38,FALSE)+3*HLOOKUP("fsXA/90",A1:CV300,38,FALSE)</f>
        <v>0.70798045602605875</v>
      </c>
      <c r="BX38" s="21136">
        <v>5.7801887392997742E-2</v>
      </c>
      <c r="BY38" s="21137">
        <v>0.15022885799407959</v>
      </c>
      <c r="BZ38" s="21138">
        <f>5*HLOOKUP("uXG/90",A1:CV300,38,FALSE)+3*HLOOKUP("uXA/90",A1:CV300,38,FALSE)</f>
        <v>0.73969601094722748</v>
      </c>
    </row>
    <row r="39" spans="1:78" x14ac:dyDescent="0.3">
      <c r="A39" s="21139" t="s">
        <v>366</v>
      </c>
      <c r="B39" s="21140" t="s">
        <v>81</v>
      </c>
      <c r="C39" s="21141">
        <v>5.3000001907348633</v>
      </c>
      <c r="D39" s="21142">
        <v>638</v>
      </c>
      <c r="E39" s="21143">
        <v>15</v>
      </c>
      <c r="F39" s="21144">
        <v>36</v>
      </c>
      <c r="G39" s="21145">
        <v>1</v>
      </c>
      <c r="H39" s="21146">
        <v>3</v>
      </c>
      <c r="I39" s="21147">
        <v>136</v>
      </c>
      <c r="J39" s="21148">
        <f>HLOOKUP("BPS",A1:CV300,39,FALSE)-((-6*HLOOKUP("OG",A1:CV300,39,FALSE))+(-6*HLOOKUP("PK Miss",A1:CV300,39,FALSE))+(9*HLOOKUP("FPL As",A1:CV300,39,FALSE))+(0*HLOOKUP("CS",A1:CV300,39,FALSE))+(18*HLOOKUP("Gs",A1:CV300,39,FALSE)))</f>
        <v>100</v>
      </c>
      <c r="K39" s="21149">
        <v>0</v>
      </c>
      <c r="L39" s="21150">
        <v>1</v>
      </c>
      <c r="M39" s="21151">
        <v>11</v>
      </c>
      <c r="N39" s="21152">
        <v>8</v>
      </c>
      <c r="O39" s="21153">
        <v>5</v>
      </c>
      <c r="P39" s="21154">
        <f>IF(HLOOKUP("Shots",A1:CV300,39,FALSE)=0,0,HLOOKUP("SIB",A1:CV300,39,FALSE)/HLOOKUP("Shots",A1:CV300,39,FALSE))</f>
        <v>0.625</v>
      </c>
      <c r="Q39" s="21155">
        <v>1</v>
      </c>
      <c r="R39" s="21156">
        <f>IF(HLOOKUP("Shots",A1:CV300,39,FALSE)=0,0,HLOOKUP("S6YD",A1:CV300,39,FALSE)/HLOOKUP("Shots",A1:CV300,39,FALSE))</f>
        <v>0.125</v>
      </c>
      <c r="S39" s="21157">
        <v>0</v>
      </c>
      <c r="T39" s="21158">
        <f>IF(HLOOKUP("Shots",A1:CV300,39,FALSE)=0,0,HLOOKUP("Headers",A1:CV300,39,FALSE)/HLOOKUP("Shots",A1:CV300,39,FALSE))</f>
        <v>0</v>
      </c>
      <c r="U39" s="21159">
        <v>1</v>
      </c>
      <c r="V39" s="21160">
        <f>IF(HLOOKUP("Shots",A1:CV300,39,FALSE)=0,0,HLOOKUP("SOT",A1:CV300,39,FALSE)/HLOOKUP("Shots",A1:CV300,39,FALSE))</f>
        <v>0.125</v>
      </c>
      <c r="W39" s="21161">
        <f>IF(HLOOKUP("Shots",A1:CV300,39,FALSE)=0,0,HLOOKUP("Gs",A1:CV300,39,FALSE)/HLOOKUP("Shots",A1:CV300,39,FALSE))</f>
        <v>0.125</v>
      </c>
      <c r="X39" s="21162">
        <v>1</v>
      </c>
      <c r="Y39" s="21163">
        <v>2</v>
      </c>
      <c r="Z39" s="21164">
        <v>5</v>
      </c>
      <c r="AA39" s="21165">
        <f>IF(HLOOKUP("KP",A1:CV300,39,FALSE)=0,0,HLOOKUP("As",A1:CV300,39,FALSE)/HLOOKUP("KP",A1:CV300,39,FALSE))</f>
        <v>0.2</v>
      </c>
      <c r="AB39" s="21166">
        <v>33.9</v>
      </c>
      <c r="AC39" s="21167">
        <v>17</v>
      </c>
      <c r="AD39" s="21168">
        <v>2</v>
      </c>
      <c r="AE39" s="21169">
        <v>1</v>
      </c>
      <c r="AF39" s="21170">
        <v>0</v>
      </c>
      <c r="AG39" s="21171">
        <f>IF(HLOOKUP("BC",A1:CV300,39,FALSE)=0,0,HLOOKUP("Gs - BC",A1:CV300,39,FALSE)/HLOOKUP("BC",A1:CV300,39,FALSE))</f>
        <v>1</v>
      </c>
      <c r="AH39" s="21172">
        <f>HLOOKUP("BC",A1:CV300,39,FALSE) - HLOOKUP("BC Miss",A1:CV300,39,FALSE)</f>
        <v>1</v>
      </c>
      <c r="AI39" s="21173">
        <f>IF(HLOOKUP("Gs",A1:CV300,39,FALSE)=0,0,HLOOKUP("Gs - BC",A1:CV300,39,FALSE)/HLOOKUP("Gs",A1:CV300,39,FALSE))</f>
        <v>1</v>
      </c>
      <c r="AJ39" s="21174">
        <v>0</v>
      </c>
      <c r="AK39" s="21175">
        <v>0</v>
      </c>
      <c r="AL39" s="21176">
        <f>HLOOKUP("BC",A1:CV300,39,FALSE) - (HLOOKUP("PK Gs",A1:CV300,39,FALSE) + HLOOKUP("PK Miss",A1:CV300,39,FALSE))</f>
        <v>1</v>
      </c>
      <c r="AM39" s="21177">
        <f>HLOOKUP("BC Miss",A1:CV300,39,FALSE) - HLOOKUP("PK Miss",A1:CV300,39,FALSE)</f>
        <v>0</v>
      </c>
      <c r="AN39" s="21178">
        <f>IF(HLOOKUP("BC - Open",A1:CV300,39,FALSE)=0,0,HLOOKUP("BC - Open Miss",A1:CV300,39,FALSE)/HLOOKUP("BC - Open",A1:CV300,39,FALSE))</f>
        <v>0</v>
      </c>
      <c r="AO39" s="21179">
        <v>1</v>
      </c>
      <c r="AP39" s="21180">
        <f>IF(HLOOKUP("Gs",A1:CV300,39,FALSE)=0,0,HLOOKUP("GIB",A1:CV300,39,FALSE)/HLOOKUP("Gs",A1:CV300,39,FALSE))</f>
        <v>1</v>
      </c>
      <c r="AQ39" s="21181">
        <v>0</v>
      </c>
      <c r="AR39" s="21182">
        <f>IF(HLOOKUP("Gs",A1:CV300,39,FALSE)=0,0,HLOOKUP("Gs - Open",A1:CV300,39,FALSE)/HLOOKUP("Gs",A1:CV300,39,FALSE))</f>
        <v>0</v>
      </c>
      <c r="AS39" s="21183">
        <v>0.51</v>
      </c>
      <c r="AT39" s="21184">
        <v>0.37</v>
      </c>
      <c r="AU39" s="21185">
        <f>IF(HLOOKUP("Mins",A1:CV300,39,FALSE)=0,0,HLOOKUP("Pts",A1:CV300,39,FALSE)/HLOOKUP("Mins",A1:CV300,39,FALSE)* 90)</f>
        <v>5.0783699059561132</v>
      </c>
      <c r="AV39" s="21186">
        <f>IF(HLOOKUP("Apps",A1:CV300,39,FALSE)=0,0,HLOOKUP("Pts",A1:CV300,39,FALSE)/HLOOKUP("Apps",A1:CV300,39,FALSE)* 1)</f>
        <v>2.4</v>
      </c>
      <c r="AW39" s="21187">
        <f>IF(HLOOKUP("Mins",A1:CV300,39,FALSE)=0,0,HLOOKUP("Gs",A1:CV300,39,FALSE)/HLOOKUP("Mins",A1:CV300,39,FALSE)* 90)</f>
        <v>0.14106583072100312</v>
      </c>
      <c r="AX39" s="21188">
        <f>IF(HLOOKUP("Mins",A1:CV300,39,FALSE)=0,0,HLOOKUP("Bonus",A1:CV300,39,FALSE)/HLOOKUP("Mins",A1:CV300,39,FALSE)* 90)</f>
        <v>0.42319749216300945</v>
      </c>
      <c r="AY39" s="21189">
        <f>IF(HLOOKUP("Mins",A1:CV300,39,FALSE)=0,0,HLOOKUP("BPS",A1:CV300,39,FALSE)/HLOOKUP("Mins",A1:CV300,39,FALSE)* 90)</f>
        <v>19.184952978056426</v>
      </c>
      <c r="AZ39" s="21190">
        <f>IF(HLOOKUP("Mins",A1:CV300,39,FALSE)=0,0,HLOOKUP("Base BPS",A1:CV300,39,FALSE)/HLOOKUP("Mins",A1:CV300,39,FALSE)* 90)</f>
        <v>14.106583072100314</v>
      </c>
      <c r="BA39" s="21191">
        <f>IF(HLOOKUP("Mins",A1:CV300,39,FALSE)=0,0,HLOOKUP("PenTchs",A1:CV300,39,FALSE)/HLOOKUP("Mins",A1:CV300,39,FALSE)* 90)</f>
        <v>1.5517241379310345</v>
      </c>
      <c r="BB39" s="21192">
        <f>IF(HLOOKUP("Mins",A1:CV300,39,FALSE)=0,0,HLOOKUP("Shots",A1:CV300,39,FALSE)/HLOOKUP("Mins",A1:CV300,39,FALSE)* 90)</f>
        <v>1.128526645768025</v>
      </c>
      <c r="BC39" s="21193">
        <f>IF(HLOOKUP("Mins",A1:CV300,39,FALSE)=0,0,HLOOKUP("SIB",A1:CV300,39,FALSE)/HLOOKUP("Mins",A1:CV300,39,FALSE)* 90)</f>
        <v>0.70532915360501558</v>
      </c>
      <c r="BD39" s="21194">
        <f>IF(HLOOKUP("Mins",A1:CV300,39,FALSE)=0,0,HLOOKUP("S6YD",A1:CV300,39,FALSE)/HLOOKUP("Mins",A1:CV300,39,FALSE)* 90)</f>
        <v>0.14106583072100312</v>
      </c>
      <c r="BE39" s="21195">
        <f>IF(HLOOKUP("Mins",A1:CV300,39,FALSE)=0,0,HLOOKUP("Headers",A1:CV300,39,FALSE)/HLOOKUP("Mins",A1:CV300,39,FALSE)* 90)</f>
        <v>0</v>
      </c>
      <c r="BF39" s="21196">
        <f>IF(HLOOKUP("Mins",A1:CV300,39,FALSE)=0,0,HLOOKUP("SOT",A1:CV300,39,FALSE)/HLOOKUP("Mins",A1:CV300,39,FALSE)* 90)</f>
        <v>0.14106583072100312</v>
      </c>
      <c r="BG39" s="21197">
        <f>IF(HLOOKUP("Mins",A1:CV300,39,FALSE)=0,0,HLOOKUP("As",A1:CV300,39,FALSE)/HLOOKUP("Mins",A1:CV300,39,FALSE)* 90)</f>
        <v>0.14106583072100312</v>
      </c>
      <c r="BH39" s="21198">
        <f>IF(HLOOKUP("Mins",A1:CV300,39,FALSE)=0,0,HLOOKUP("FPL As",A1:CV300,39,FALSE)/HLOOKUP("Mins",A1:CV300,39,FALSE)* 90)</f>
        <v>0.28213166144200624</v>
      </c>
      <c r="BI39" s="21199">
        <f>IF(HLOOKUP("Mins",A1:CV300,39,FALSE)=0,0,HLOOKUP("BC Created",A1:CV300,39,FALSE)/HLOOKUP("Mins",A1:CV300,39,FALSE)* 90)</f>
        <v>0.28213166144200624</v>
      </c>
      <c r="BJ39" s="21200">
        <f>IF(HLOOKUP("Mins",A1:CV300,39,FALSE)=0,0,HLOOKUP("KP",A1:CV300,39,FALSE)/HLOOKUP("Mins",A1:CV300,39,FALSE)* 90)</f>
        <v>0.70532915360501558</v>
      </c>
      <c r="BK39" s="21201">
        <f>IF(HLOOKUP("Mins",A1:CV300,39,FALSE)=0,0,HLOOKUP("BC",A1:CV300,39,FALSE)/HLOOKUP("Mins",A1:CV300,39,FALSE)* 90)</f>
        <v>0.14106583072100312</v>
      </c>
      <c r="BL39" s="21202">
        <f>IF(HLOOKUP("Mins",A1:CV300,39,FALSE)=0,0,HLOOKUP("BC Miss",A1:CV300,39,FALSE)/HLOOKUP("Mins",A1:CV300,39,FALSE)* 90)</f>
        <v>0</v>
      </c>
      <c r="BM39" s="21203">
        <f>IF(HLOOKUP("Mins",A1:CV300,39,FALSE)=0,0,HLOOKUP("Gs - BC",A1:CV300,39,FALSE)/HLOOKUP("Mins",A1:CV300,39,FALSE)* 90)</f>
        <v>0.14106583072100312</v>
      </c>
      <c r="BN39" s="21204">
        <f>IF(HLOOKUP("Mins",A1:CV300,39,FALSE)=0,0,HLOOKUP("GIB",A1:CV300,39,FALSE)/HLOOKUP("Mins",A1:CV300,39,FALSE)* 90)</f>
        <v>0.14106583072100312</v>
      </c>
      <c r="BO39" s="21205">
        <f>IF(HLOOKUP("Mins",A1:CV300,39,FALSE)=0,0,HLOOKUP("Gs - Open",A1:CV300,39,FALSE)/HLOOKUP("Mins",A1:CV300,39,FALSE)* 90)</f>
        <v>0</v>
      </c>
      <c r="BP39" s="21206">
        <f>IF(HLOOKUP("Mins",A1:CV300,39,FALSE)=0,0,HLOOKUP("ICT Index",A1:CV300,39,FALSE)/HLOOKUP("Mins",A1:CV300,39,FALSE)* 90)</f>
        <v>4.7821316614420057</v>
      </c>
      <c r="BQ39" s="21207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  <v>0.11539184952978056</v>
      </c>
      <c r="BR39" s="21208">
        <f>0.0885*HLOOKUP("KP/90",A1:CV300,39,FALSE)</f>
        <v>6.2421630094043876E-2</v>
      </c>
      <c r="BS39" s="21209">
        <f>5*HLOOKUP("xG/90",A1:CV300,39,FALSE)+3*HLOOKUP("xA/90",A1:CV300,39,FALSE)</f>
        <v>0.76422413793103439</v>
      </c>
      <c r="BT39" s="21210">
        <f>HLOOKUP("xPts/90",A1:CV300,39,FALSE)-(5*0.75*(HLOOKUP("PK Gs",A1:CV300,39,FALSE)+HLOOKUP("PK Miss",A1:CV300,39,FALSE))*90/HLOOKUP("Mins",A1:CV300,39,FALSE))</f>
        <v>0.76422413793103439</v>
      </c>
      <c r="BU39" s="21211">
        <f>IF(HLOOKUP("Mins",A1:CV300,39,FALSE)=0,0,HLOOKUP("fsXG",A1:CV300,39,FALSE)/HLOOKUP("Mins",A1:CV300,39,FALSE)* 90)</f>
        <v>7.1943573667711591E-2</v>
      </c>
      <c r="BV39" s="21212">
        <f>IF(HLOOKUP("Mins",A1:CV300,39,FALSE)=0,0,HLOOKUP("fsXA",A1:CV300,39,FALSE)/HLOOKUP("Mins",A1:CV300,39,FALSE)* 90)</f>
        <v>5.2194357366771166E-2</v>
      </c>
      <c r="BW39" s="21213">
        <f>5*HLOOKUP("fsXG/90",A1:CV300,39,FALSE)+3*HLOOKUP("fsXA/90",A1:CV300,39,FALSE)</f>
        <v>0.51630094043887143</v>
      </c>
      <c r="BX39" s="21214">
        <v>0.11142484843730927</v>
      </c>
      <c r="BY39" s="21215">
        <v>0.12934887409210205</v>
      </c>
      <c r="BZ39" s="21216">
        <f>5*HLOOKUP("uXG/90",A1:CV300,39,FALSE)+3*HLOOKUP("uXA/90",A1:CV300,39,FALSE)</f>
        <v>0.94517086446285248</v>
      </c>
    </row>
    <row r="40" spans="1:78" x14ac:dyDescent="0.3">
      <c r="A40" s="21217" t="s">
        <v>367</v>
      </c>
      <c r="B40" s="21218" t="s">
        <v>79</v>
      </c>
      <c r="C40" s="21219">
        <v>4.5</v>
      </c>
      <c r="D40" s="21220">
        <v>697</v>
      </c>
      <c r="E40" s="21221">
        <v>12</v>
      </c>
      <c r="F40" s="21222">
        <v>20</v>
      </c>
      <c r="G40" s="21223">
        <v>0</v>
      </c>
      <c r="H40" s="21224">
        <v>0</v>
      </c>
      <c r="I40" s="21225">
        <v>82</v>
      </c>
      <c r="J40" s="21226">
        <f>HLOOKUP("BPS",A1:CV300,40,FALSE)-((-6*HLOOKUP("OG",A1:CV300,40,FALSE))+(-6*HLOOKUP("PK Miss",A1:CV300,40,FALSE))+(9*HLOOKUP("FPL As",A1:CV300,40,FALSE))+(0*HLOOKUP("CS",A1:CV300,40,FALSE))+(18*HLOOKUP("Gs",A1:CV300,40,FALSE)))</f>
        <v>73</v>
      </c>
      <c r="K40" s="21227">
        <v>0</v>
      </c>
      <c r="L40" s="21228">
        <v>2</v>
      </c>
      <c r="M40" s="21229">
        <v>31</v>
      </c>
      <c r="N40" s="21230">
        <v>5</v>
      </c>
      <c r="O40" s="21231">
        <v>4</v>
      </c>
      <c r="P40" s="21232">
        <f>IF(HLOOKUP("Shots",A1:CV300,40,FALSE)=0,0,HLOOKUP("SIB",A1:CV300,40,FALSE)/HLOOKUP("Shots",A1:CV300,40,FALSE))</f>
        <v>0.8</v>
      </c>
      <c r="Q40" s="21233">
        <v>0</v>
      </c>
      <c r="R40" s="21234">
        <f>IF(HLOOKUP("Shots",A1:CV300,40,FALSE)=0,0,HLOOKUP("S6YD",A1:CV300,40,FALSE)/HLOOKUP("Shots",A1:CV300,40,FALSE))</f>
        <v>0</v>
      </c>
      <c r="S40" s="21235">
        <v>0</v>
      </c>
      <c r="T40" s="21236">
        <f>IF(HLOOKUP("Shots",A1:CV300,40,FALSE)=0,0,HLOOKUP("Headers",A1:CV300,40,FALSE)/HLOOKUP("Shots",A1:CV300,40,FALSE))</f>
        <v>0</v>
      </c>
      <c r="U40" s="21237">
        <v>2</v>
      </c>
      <c r="V40" s="21238">
        <f>IF(HLOOKUP("Shots",A1:CV300,40,FALSE)=0,0,HLOOKUP("SOT",A1:CV300,40,FALSE)/HLOOKUP("Shots",A1:CV300,40,FALSE))</f>
        <v>0.4</v>
      </c>
      <c r="W40" s="21239">
        <f>IF(HLOOKUP("Shots",A1:CV300,40,FALSE)=0,0,HLOOKUP("Gs",A1:CV300,40,FALSE)/HLOOKUP("Shots",A1:CV300,40,FALSE))</f>
        <v>0</v>
      </c>
      <c r="X40" s="21240">
        <v>1</v>
      </c>
      <c r="Y40" s="21241">
        <v>1</v>
      </c>
      <c r="Z40" s="21242">
        <v>7</v>
      </c>
      <c r="AA40" s="21243">
        <f>IF(HLOOKUP("KP",A1:CV300,40,FALSE)=0,0,HLOOKUP("As",A1:CV300,40,FALSE)/HLOOKUP("KP",A1:CV300,40,FALSE))</f>
        <v>0.14285714285714285</v>
      </c>
      <c r="AB40" s="21244">
        <v>36.799999999999997</v>
      </c>
      <c r="AC40" s="21245">
        <v>25</v>
      </c>
      <c r="AD40" s="21246">
        <v>2</v>
      </c>
      <c r="AE40" s="21247">
        <v>1</v>
      </c>
      <c r="AF40" s="21248">
        <v>1</v>
      </c>
      <c r="AG40" s="21249">
        <f>IF(HLOOKUP("BC",A1:CV300,40,FALSE)=0,0,HLOOKUP("Gs - BC",A1:CV300,40,FALSE)/HLOOKUP("BC",A1:CV300,40,FALSE))</f>
        <v>0</v>
      </c>
      <c r="AH40" s="21250">
        <f>HLOOKUP("BC",A1:CV300,40,FALSE) - HLOOKUP("BC Miss",A1:CV300,40,FALSE)</f>
        <v>0</v>
      </c>
      <c r="AI40" s="21251">
        <f>IF(HLOOKUP("Gs",A1:CV300,40,FALSE)=0,0,HLOOKUP("Gs - BC",A1:CV300,40,FALSE)/HLOOKUP("Gs",A1:CV300,40,FALSE))</f>
        <v>0</v>
      </c>
      <c r="AJ40" s="21252">
        <v>0</v>
      </c>
      <c r="AK40" s="21253">
        <v>0</v>
      </c>
      <c r="AL40" s="21254">
        <f>HLOOKUP("BC",A1:CV300,40,FALSE) - (HLOOKUP("PK Gs",A1:CV300,40,FALSE) + HLOOKUP("PK Miss",A1:CV300,40,FALSE))</f>
        <v>1</v>
      </c>
      <c r="AM40" s="21255">
        <f>HLOOKUP("BC Miss",A1:CV300,40,FALSE) - HLOOKUP("PK Miss",A1:CV300,40,FALSE)</f>
        <v>1</v>
      </c>
      <c r="AN40" s="21256">
        <f>IF(HLOOKUP("BC - Open",A1:CV300,40,FALSE)=0,0,HLOOKUP("BC - Open Miss",A1:CV300,40,FALSE)/HLOOKUP("BC - Open",A1:CV300,40,FALSE))</f>
        <v>1</v>
      </c>
      <c r="AO40" s="21257">
        <v>0</v>
      </c>
      <c r="AP40" s="21258">
        <f>IF(HLOOKUP("Gs",A1:CV300,40,FALSE)=0,0,HLOOKUP("GIB",A1:CV300,40,FALSE)/HLOOKUP("Gs",A1:CV300,40,FALSE))</f>
        <v>0</v>
      </c>
      <c r="AQ40" s="21259">
        <v>0</v>
      </c>
      <c r="AR40" s="21260">
        <f>IF(HLOOKUP("Gs",A1:CV300,40,FALSE)=0,0,HLOOKUP("Gs - Open",A1:CV300,40,FALSE)/HLOOKUP("Gs",A1:CV300,40,FALSE))</f>
        <v>0</v>
      </c>
      <c r="AS40" s="21261">
        <v>0.57999999999999996</v>
      </c>
      <c r="AT40" s="21262">
        <v>0.56000000000000005</v>
      </c>
      <c r="AU40" s="21263">
        <f>IF(HLOOKUP("Mins",A1:CV300,40,FALSE)=0,0,HLOOKUP("Pts",A1:CV300,40,FALSE)/HLOOKUP("Mins",A1:CV300,40,FALSE)* 90)</f>
        <v>2.5824964131994261</v>
      </c>
      <c r="AV40" s="21264">
        <f>IF(HLOOKUP("Apps",A1:CV300,40,FALSE)=0,0,HLOOKUP("Pts",A1:CV300,40,FALSE)/HLOOKUP("Apps",A1:CV300,40,FALSE)* 1)</f>
        <v>1.6666666666666667</v>
      </c>
      <c r="AW40" s="21265">
        <f>IF(HLOOKUP("Mins",A1:CV300,40,FALSE)=0,0,HLOOKUP("Gs",A1:CV300,40,FALSE)/HLOOKUP("Mins",A1:CV300,40,FALSE)* 90)</f>
        <v>0</v>
      </c>
      <c r="AX40" s="21266">
        <f>IF(HLOOKUP("Mins",A1:CV300,40,FALSE)=0,0,HLOOKUP("Bonus",A1:CV300,40,FALSE)/HLOOKUP("Mins",A1:CV300,40,FALSE)* 90)</f>
        <v>0</v>
      </c>
      <c r="AY40" s="21267">
        <f>IF(HLOOKUP("Mins",A1:CV300,40,FALSE)=0,0,HLOOKUP("BPS",A1:CV300,40,FALSE)/HLOOKUP("Mins",A1:CV300,40,FALSE)* 90)</f>
        <v>10.588235294117647</v>
      </c>
      <c r="AZ40" s="21268">
        <f>IF(HLOOKUP("Mins",A1:CV300,40,FALSE)=0,0,HLOOKUP("Base BPS",A1:CV300,40,FALSE)/HLOOKUP("Mins",A1:CV300,40,FALSE)* 90)</f>
        <v>9.426111908177905</v>
      </c>
      <c r="BA40" s="21269">
        <f>IF(HLOOKUP("Mins",A1:CV300,40,FALSE)=0,0,HLOOKUP("PenTchs",A1:CV300,40,FALSE)/HLOOKUP("Mins",A1:CV300,40,FALSE)* 90)</f>
        <v>4.0028694404591105</v>
      </c>
      <c r="BB40" s="21270">
        <f>IF(HLOOKUP("Mins",A1:CV300,40,FALSE)=0,0,HLOOKUP("Shots",A1:CV300,40,FALSE)/HLOOKUP("Mins",A1:CV300,40,FALSE)* 90)</f>
        <v>0.64562410329985653</v>
      </c>
      <c r="BC40" s="21271">
        <f>IF(HLOOKUP("Mins",A1:CV300,40,FALSE)=0,0,HLOOKUP("SIB",A1:CV300,40,FALSE)/HLOOKUP("Mins",A1:CV300,40,FALSE)* 90)</f>
        <v>0.5164992826398852</v>
      </c>
      <c r="BD40" s="21272">
        <f>IF(HLOOKUP("Mins",A1:CV300,40,FALSE)=0,0,HLOOKUP("S6YD",A1:CV300,40,FALSE)/HLOOKUP("Mins",A1:CV300,40,FALSE)* 90)</f>
        <v>0</v>
      </c>
      <c r="BE40" s="21273">
        <f>IF(HLOOKUP("Mins",A1:CV300,40,FALSE)=0,0,HLOOKUP("Headers",A1:CV300,40,FALSE)/HLOOKUP("Mins",A1:CV300,40,FALSE)* 90)</f>
        <v>0</v>
      </c>
      <c r="BF40" s="21274">
        <f>IF(HLOOKUP("Mins",A1:CV300,40,FALSE)=0,0,HLOOKUP("SOT",A1:CV300,40,FALSE)/HLOOKUP("Mins",A1:CV300,40,FALSE)* 90)</f>
        <v>0.2582496413199426</v>
      </c>
      <c r="BG40" s="21275">
        <f>IF(HLOOKUP("Mins",A1:CV300,40,FALSE)=0,0,HLOOKUP("As",A1:CV300,40,FALSE)/HLOOKUP("Mins",A1:CV300,40,FALSE)* 90)</f>
        <v>0.1291248206599713</v>
      </c>
      <c r="BH40" s="21276">
        <f>IF(HLOOKUP("Mins",A1:CV300,40,FALSE)=0,0,HLOOKUP("FPL As",A1:CV300,40,FALSE)/HLOOKUP("Mins",A1:CV300,40,FALSE)* 90)</f>
        <v>0.1291248206599713</v>
      </c>
      <c r="BI40" s="21277">
        <f>IF(HLOOKUP("Mins",A1:CV300,40,FALSE)=0,0,HLOOKUP("BC Created",A1:CV300,40,FALSE)/HLOOKUP("Mins",A1:CV300,40,FALSE)* 90)</f>
        <v>0.2582496413199426</v>
      </c>
      <c r="BJ40" s="21278">
        <f>IF(HLOOKUP("Mins",A1:CV300,40,FALSE)=0,0,HLOOKUP("KP",A1:CV300,40,FALSE)/HLOOKUP("Mins",A1:CV300,40,FALSE)* 90)</f>
        <v>0.90387374461979908</v>
      </c>
      <c r="BK40" s="21279">
        <f>IF(HLOOKUP("Mins",A1:CV300,40,FALSE)=0,0,HLOOKUP("BC",A1:CV300,40,FALSE)/HLOOKUP("Mins",A1:CV300,40,FALSE)* 90)</f>
        <v>0.1291248206599713</v>
      </c>
      <c r="BL40" s="21280">
        <f>IF(HLOOKUP("Mins",A1:CV300,40,FALSE)=0,0,HLOOKUP("BC Miss",A1:CV300,40,FALSE)/HLOOKUP("Mins",A1:CV300,40,FALSE)* 90)</f>
        <v>0.1291248206599713</v>
      </c>
      <c r="BM40" s="21281">
        <f>IF(HLOOKUP("Mins",A1:CV300,40,FALSE)=0,0,HLOOKUP("Gs - BC",A1:CV300,40,FALSE)/HLOOKUP("Mins",A1:CV300,40,FALSE)* 90)</f>
        <v>0</v>
      </c>
      <c r="BN40" s="21282">
        <f>IF(HLOOKUP("Mins",A1:CV300,40,FALSE)=0,0,HLOOKUP("GIB",A1:CV300,40,FALSE)/HLOOKUP("Mins",A1:CV300,40,FALSE)* 90)</f>
        <v>0</v>
      </c>
      <c r="BO40" s="21283">
        <f>IF(HLOOKUP("Mins",A1:CV300,40,FALSE)=0,0,HLOOKUP("Gs - Open",A1:CV300,40,FALSE)/HLOOKUP("Mins",A1:CV300,40,FALSE)* 90)</f>
        <v>0</v>
      </c>
      <c r="BP40" s="21284">
        <f>IF(HLOOKUP("Mins",A1:CV300,40,FALSE)=0,0,HLOOKUP("ICT Index",A1:CV300,40,FALSE)/HLOOKUP("Mins",A1:CV300,40,FALSE)* 90)</f>
        <v>4.7517934002869442</v>
      </c>
      <c r="BQ40" s="21285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  <v>7.7991391678622665E-2</v>
      </c>
      <c r="BR40" s="21286">
        <f>0.0885*HLOOKUP("KP/90",A1:CV300,40,FALSE)</f>
        <v>7.9992826398852218E-2</v>
      </c>
      <c r="BS40" s="21287">
        <f>5*HLOOKUP("xG/90",A1:CV300,40,FALSE)+3*HLOOKUP("xA/90",A1:CV300,40,FALSE)</f>
        <v>0.62993543758966997</v>
      </c>
      <c r="BT40" s="21288">
        <f>HLOOKUP("xPts/90",A1:CV300,40,FALSE)-(5*0.75*(HLOOKUP("PK Gs",A1:CV300,40,FALSE)+HLOOKUP("PK Miss",A1:CV300,40,FALSE))*90/HLOOKUP("Mins",A1:CV300,40,FALSE))</f>
        <v>0.62993543758966997</v>
      </c>
      <c r="BU40" s="21289">
        <f>IF(HLOOKUP("Mins",A1:CV300,40,FALSE)=0,0,HLOOKUP("fsXG",A1:CV300,40,FALSE)/HLOOKUP("Mins",A1:CV300,40,FALSE)* 90)</f>
        <v>7.4892395982783355E-2</v>
      </c>
      <c r="BV40" s="21290">
        <f>IF(HLOOKUP("Mins",A1:CV300,40,FALSE)=0,0,HLOOKUP("fsXA",A1:CV300,40,FALSE)/HLOOKUP("Mins",A1:CV300,40,FALSE)* 90)</f>
        <v>7.2309899569583932E-2</v>
      </c>
      <c r="BW40" s="21291">
        <f>5*HLOOKUP("fsXG/90",A1:CV300,40,FALSE)+3*HLOOKUP("fsXA/90",A1:CV300,40,FALSE)</f>
        <v>0.5913916786226685</v>
      </c>
      <c r="BX40" s="21292">
        <v>9.7282707691192627E-2</v>
      </c>
      <c r="BY40" s="21293">
        <v>0.13720415532588959</v>
      </c>
      <c r="BZ40" s="21294">
        <f>5*HLOOKUP("uXG/90",A1:CV300,40,FALSE)+3*HLOOKUP("uXA/90",A1:CV300,40,FALSE)</f>
        <v>0.8980260044336319</v>
      </c>
    </row>
    <row r="41" spans="1:78" x14ac:dyDescent="0.3">
      <c r="A41" s="21295" t="s">
        <v>368</v>
      </c>
      <c r="B41" s="21296" t="s">
        <v>91</v>
      </c>
      <c r="C41" s="21297">
        <v>5.3000001907348633</v>
      </c>
      <c r="D41" s="21298">
        <v>745</v>
      </c>
      <c r="E41" s="21299">
        <v>15</v>
      </c>
      <c r="F41" s="21300">
        <v>31</v>
      </c>
      <c r="G41" s="21301">
        <v>1</v>
      </c>
      <c r="H41" s="21302">
        <v>0</v>
      </c>
      <c r="I41" s="21303">
        <v>101</v>
      </c>
      <c r="J41" s="21304">
        <f>HLOOKUP("BPS",A1:CV300,41,FALSE)-((-6*HLOOKUP("OG",A1:CV300,41,FALSE))+(-6*HLOOKUP("PK Miss",A1:CV300,41,FALSE))+(9*HLOOKUP("FPL As",A1:CV300,41,FALSE))+(0*HLOOKUP("CS",A1:CV300,41,FALSE))+(18*HLOOKUP("Gs",A1:CV300,41,FALSE)))</f>
        <v>74</v>
      </c>
      <c r="K41" s="21305">
        <v>0</v>
      </c>
      <c r="L41" s="21306">
        <v>1</v>
      </c>
      <c r="M41" s="21307">
        <v>47</v>
      </c>
      <c r="N41" s="21308">
        <v>15</v>
      </c>
      <c r="O41" s="21309">
        <v>10</v>
      </c>
      <c r="P41" s="21310">
        <f>IF(HLOOKUP("Shots",A1:CV300,41,FALSE)=0,0,HLOOKUP("SIB",A1:CV300,41,FALSE)/HLOOKUP("Shots",A1:CV300,41,FALSE))</f>
        <v>0.66666666666666663</v>
      </c>
      <c r="Q41" s="21311">
        <v>0</v>
      </c>
      <c r="R41" s="21312">
        <f>IF(HLOOKUP("Shots",A1:CV300,41,FALSE)=0,0,HLOOKUP("S6YD",A1:CV300,41,FALSE)/HLOOKUP("Shots",A1:CV300,41,FALSE))</f>
        <v>0</v>
      </c>
      <c r="S41" s="21313">
        <v>0</v>
      </c>
      <c r="T41" s="21314">
        <f>IF(HLOOKUP("Shots",A1:CV300,41,FALSE)=0,0,HLOOKUP("Headers",A1:CV300,41,FALSE)/HLOOKUP("Shots",A1:CV300,41,FALSE))</f>
        <v>0</v>
      </c>
      <c r="U41" s="21315">
        <v>5</v>
      </c>
      <c r="V41" s="21316">
        <f>IF(HLOOKUP("Shots",A1:CV300,41,FALSE)=0,0,HLOOKUP("SOT",A1:CV300,41,FALSE)/HLOOKUP("Shots",A1:CV300,41,FALSE))</f>
        <v>0.33333333333333331</v>
      </c>
      <c r="W41" s="21317">
        <f>IF(HLOOKUP("Shots",A1:CV300,41,FALSE)=0,0,HLOOKUP("Gs",A1:CV300,41,FALSE)/HLOOKUP("Shots",A1:CV300,41,FALSE))</f>
        <v>6.6666666666666666E-2</v>
      </c>
      <c r="X41" s="21318">
        <v>1</v>
      </c>
      <c r="Y41" s="21319">
        <v>1</v>
      </c>
      <c r="Z41" s="21320">
        <v>11</v>
      </c>
      <c r="AA41" s="21321">
        <f>IF(HLOOKUP("KP",A1:CV300,41,FALSE)=0,0,HLOOKUP("As",A1:CV300,41,FALSE)/HLOOKUP("KP",A1:CV300,41,FALSE))</f>
        <v>9.0909090909090912E-2</v>
      </c>
      <c r="AB41" s="21322">
        <v>53.5</v>
      </c>
      <c r="AC41" s="21323">
        <v>22</v>
      </c>
      <c r="AD41" s="21324">
        <v>0</v>
      </c>
      <c r="AE41" s="21325">
        <v>1</v>
      </c>
      <c r="AF41" s="21326">
        <v>1</v>
      </c>
      <c r="AG41" s="21327">
        <f>IF(HLOOKUP("BC",A1:CV300,41,FALSE)=0,0,HLOOKUP("Gs - BC",A1:CV300,41,FALSE)/HLOOKUP("BC",A1:CV300,41,FALSE))</f>
        <v>0</v>
      </c>
      <c r="AH41" s="21328">
        <f>HLOOKUP("BC",A1:CV300,41,FALSE) - HLOOKUP("BC Miss",A1:CV300,41,FALSE)</f>
        <v>0</v>
      </c>
      <c r="AI41" s="21329">
        <f>IF(HLOOKUP("Gs",A1:CV300,41,FALSE)=0,0,HLOOKUP("Gs - BC",A1:CV300,41,FALSE)/HLOOKUP("Gs",A1:CV300,41,FALSE))</f>
        <v>0</v>
      </c>
      <c r="AJ41" s="21330">
        <v>0</v>
      </c>
      <c r="AK41" s="21331">
        <v>0</v>
      </c>
      <c r="AL41" s="21332">
        <f>HLOOKUP("BC",A1:CV300,41,FALSE) - (HLOOKUP("PK Gs",A1:CV300,41,FALSE) + HLOOKUP("PK Miss",A1:CV300,41,FALSE))</f>
        <v>1</v>
      </c>
      <c r="AM41" s="21333">
        <f>HLOOKUP("BC Miss",A1:CV300,41,FALSE) - HLOOKUP("PK Miss",A1:CV300,41,FALSE)</f>
        <v>1</v>
      </c>
      <c r="AN41" s="21334">
        <f>IF(HLOOKUP("BC - Open",A1:CV300,41,FALSE)=0,0,HLOOKUP("BC - Open Miss",A1:CV300,41,FALSE)/HLOOKUP("BC - Open",A1:CV300,41,FALSE))</f>
        <v>1</v>
      </c>
      <c r="AO41" s="21335">
        <v>1</v>
      </c>
      <c r="AP41" s="21336">
        <f>IF(HLOOKUP("Gs",A1:CV300,41,FALSE)=0,0,HLOOKUP("GIB",A1:CV300,41,FALSE)/HLOOKUP("Gs",A1:CV300,41,FALSE))</f>
        <v>1</v>
      </c>
      <c r="AQ41" s="21337">
        <v>1</v>
      </c>
      <c r="AR41" s="21338">
        <f>IF(HLOOKUP("Gs",A1:CV300,41,FALSE)=0,0,HLOOKUP("Gs - Open",A1:CV300,41,FALSE)/HLOOKUP("Gs",A1:CV300,41,FALSE))</f>
        <v>1</v>
      </c>
      <c r="AS41" s="21339">
        <v>1.07</v>
      </c>
      <c r="AT41" s="21340">
        <v>0.53</v>
      </c>
      <c r="AU41" s="21341">
        <f>IF(HLOOKUP("Mins",A1:CV300,41,FALSE)=0,0,HLOOKUP("Pts",A1:CV300,41,FALSE)/HLOOKUP("Mins",A1:CV300,41,FALSE)* 90)</f>
        <v>3.7449664429530203</v>
      </c>
      <c r="AV41" s="21342">
        <f>IF(HLOOKUP("Apps",A1:CV300,41,FALSE)=0,0,HLOOKUP("Pts",A1:CV300,41,FALSE)/HLOOKUP("Apps",A1:CV300,41,FALSE)* 1)</f>
        <v>2.0666666666666669</v>
      </c>
      <c r="AW41" s="21343">
        <f>IF(HLOOKUP("Mins",A1:CV300,41,FALSE)=0,0,HLOOKUP("Gs",A1:CV300,41,FALSE)/HLOOKUP("Mins",A1:CV300,41,FALSE)* 90)</f>
        <v>0.12080536912751677</v>
      </c>
      <c r="AX41" s="21344">
        <f>IF(HLOOKUP("Mins",A1:CV300,41,FALSE)=0,0,HLOOKUP("Bonus",A1:CV300,41,FALSE)/HLOOKUP("Mins",A1:CV300,41,FALSE)* 90)</f>
        <v>0</v>
      </c>
      <c r="AY41" s="21345">
        <f>IF(HLOOKUP("Mins",A1:CV300,41,FALSE)=0,0,HLOOKUP("BPS",A1:CV300,41,FALSE)/HLOOKUP("Mins",A1:CV300,41,FALSE)* 90)</f>
        <v>12.201342281879196</v>
      </c>
      <c r="AZ41" s="21346">
        <f>IF(HLOOKUP("Mins",A1:CV300,41,FALSE)=0,0,HLOOKUP("Base BPS",A1:CV300,41,FALSE)/HLOOKUP("Mins",A1:CV300,41,FALSE)* 90)</f>
        <v>8.9395973154362416</v>
      </c>
      <c r="BA41" s="21347">
        <f>IF(HLOOKUP("Mins",A1:CV300,41,FALSE)=0,0,HLOOKUP("PenTchs",A1:CV300,41,FALSE)/HLOOKUP("Mins",A1:CV300,41,FALSE)* 90)</f>
        <v>5.6778523489932891</v>
      </c>
      <c r="BB41" s="21348">
        <f>IF(HLOOKUP("Mins",A1:CV300,41,FALSE)=0,0,HLOOKUP("Shots",A1:CV300,41,FALSE)/HLOOKUP("Mins",A1:CV300,41,FALSE)* 90)</f>
        <v>1.8120805369127515</v>
      </c>
      <c r="BC41" s="21349">
        <f>IF(HLOOKUP("Mins",A1:CV300,41,FALSE)=0,0,HLOOKUP("SIB",A1:CV300,41,FALSE)/HLOOKUP("Mins",A1:CV300,41,FALSE)* 90)</f>
        <v>1.2080536912751678</v>
      </c>
      <c r="BD41" s="21350">
        <f>IF(HLOOKUP("Mins",A1:CV300,41,FALSE)=0,0,HLOOKUP("S6YD",A1:CV300,41,FALSE)/HLOOKUP("Mins",A1:CV300,41,FALSE)* 90)</f>
        <v>0</v>
      </c>
      <c r="BE41" s="21351">
        <f>IF(HLOOKUP("Mins",A1:CV300,41,FALSE)=0,0,HLOOKUP("Headers",A1:CV300,41,FALSE)/HLOOKUP("Mins",A1:CV300,41,FALSE)* 90)</f>
        <v>0</v>
      </c>
      <c r="BF41" s="21352">
        <f>IF(HLOOKUP("Mins",A1:CV300,41,FALSE)=0,0,HLOOKUP("SOT",A1:CV300,41,FALSE)/HLOOKUP("Mins",A1:CV300,41,FALSE)* 90)</f>
        <v>0.60402684563758391</v>
      </c>
      <c r="BG41" s="21353">
        <f>IF(HLOOKUP("Mins",A1:CV300,41,FALSE)=0,0,HLOOKUP("As",A1:CV300,41,FALSE)/HLOOKUP("Mins",A1:CV300,41,FALSE)* 90)</f>
        <v>0.12080536912751677</v>
      </c>
      <c r="BH41" s="21354">
        <f>IF(HLOOKUP("Mins",A1:CV300,41,FALSE)=0,0,HLOOKUP("FPL As",A1:CV300,41,FALSE)/HLOOKUP("Mins",A1:CV300,41,FALSE)* 90)</f>
        <v>0.12080536912751677</v>
      </c>
      <c r="BI41" s="21355">
        <f>IF(HLOOKUP("Mins",A1:CV300,41,FALSE)=0,0,HLOOKUP("BC Created",A1:CV300,41,FALSE)/HLOOKUP("Mins",A1:CV300,41,FALSE)* 90)</f>
        <v>0</v>
      </c>
      <c r="BJ41" s="21356">
        <f>IF(HLOOKUP("Mins",A1:CV300,41,FALSE)=0,0,HLOOKUP("KP",A1:CV300,41,FALSE)/HLOOKUP("Mins",A1:CV300,41,FALSE)* 90)</f>
        <v>1.3288590604026846</v>
      </c>
      <c r="BK41" s="21357">
        <f>IF(HLOOKUP("Mins",A1:CV300,41,FALSE)=0,0,HLOOKUP("BC",A1:CV300,41,FALSE)/HLOOKUP("Mins",A1:CV300,41,FALSE)* 90)</f>
        <v>0.12080536912751677</v>
      </c>
      <c r="BL41" s="21358">
        <f>IF(HLOOKUP("Mins",A1:CV300,41,FALSE)=0,0,HLOOKUP("BC Miss",A1:CV300,41,FALSE)/HLOOKUP("Mins",A1:CV300,41,FALSE)* 90)</f>
        <v>0.12080536912751677</v>
      </c>
      <c r="BM41" s="21359">
        <f>IF(HLOOKUP("Mins",A1:CV300,41,FALSE)=0,0,HLOOKUP("Gs - BC",A1:CV300,41,FALSE)/HLOOKUP("Mins",A1:CV300,41,FALSE)* 90)</f>
        <v>0</v>
      </c>
      <c r="BN41" s="21360">
        <f>IF(HLOOKUP("Mins",A1:CV300,41,FALSE)=0,0,HLOOKUP("GIB",A1:CV300,41,FALSE)/HLOOKUP("Mins",A1:CV300,41,FALSE)* 90)</f>
        <v>0.12080536912751677</v>
      </c>
      <c r="BO41" s="21361">
        <f>IF(HLOOKUP("Mins",A1:CV300,41,FALSE)=0,0,HLOOKUP("Gs - Open",A1:CV300,41,FALSE)/HLOOKUP("Mins",A1:CV300,41,FALSE)* 90)</f>
        <v>0.12080536912751677</v>
      </c>
      <c r="BP41" s="21362">
        <f>IF(HLOOKUP("Mins",A1:CV300,41,FALSE)=0,0,HLOOKUP("ICT Index",A1:CV300,41,FALSE)/HLOOKUP("Mins",A1:CV300,41,FALSE)* 90)</f>
        <v>6.4630872483221475</v>
      </c>
      <c r="BQ41" s="21363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  <v>0.19328859060402684</v>
      </c>
      <c r="BR41" s="21364">
        <f>0.0885*HLOOKUP("KP/90",A1:CV300,41,FALSE)</f>
        <v>0.11760402684563759</v>
      </c>
      <c r="BS41" s="21365">
        <f>5*HLOOKUP("xG/90",A1:CV300,41,FALSE)+3*HLOOKUP("xA/90",A1:CV300,41,FALSE)</f>
        <v>1.319255033557047</v>
      </c>
      <c r="BT41" s="21366">
        <f>HLOOKUP("xPts/90",A1:CV300,41,FALSE)-(5*0.75*(HLOOKUP("PK Gs",A1:CV300,41,FALSE)+HLOOKUP("PK Miss",A1:CV300,41,FALSE))*90/HLOOKUP("Mins",A1:CV300,41,FALSE))</f>
        <v>1.319255033557047</v>
      </c>
      <c r="BU41" s="21367">
        <f>IF(HLOOKUP("Mins",A1:CV300,41,FALSE)=0,0,HLOOKUP("fsXG",A1:CV300,41,FALSE)/HLOOKUP("Mins",A1:CV300,41,FALSE)* 90)</f>
        <v>0.12926174496644297</v>
      </c>
      <c r="BV41" s="21368">
        <f>IF(HLOOKUP("Mins",A1:CV300,41,FALSE)=0,0,HLOOKUP("fsXA",A1:CV300,41,FALSE)/HLOOKUP("Mins",A1:CV300,41,FALSE)* 90)</f>
        <v>6.4026845637583901E-2</v>
      </c>
      <c r="BW41" s="21369">
        <f>5*HLOOKUP("fsXG/90",A1:CV300,41,FALSE)+3*HLOOKUP("fsXA/90",A1:CV300,41,FALSE)</f>
        <v>0.83838926174496653</v>
      </c>
      <c r="BX41" s="21370">
        <v>9.5072656869888306E-2</v>
      </c>
      <c r="BY41" s="21371">
        <v>6.9790929555892944E-2</v>
      </c>
      <c r="BZ41" s="21372">
        <f>5*HLOOKUP("uXG/90",A1:CV300,41,FALSE)+3*HLOOKUP("uXA/90",A1:CV300,41,FALSE)</f>
        <v>0.68473607301712036</v>
      </c>
    </row>
    <row r="42" spans="1:78" x14ac:dyDescent="0.3">
      <c r="A42" s="21373" t="s">
        <v>369</v>
      </c>
      <c r="B42" s="21374" t="s">
        <v>98</v>
      </c>
      <c r="C42" s="21375">
        <v>5.8000001907348633</v>
      </c>
      <c r="D42" s="21376">
        <v>1980</v>
      </c>
      <c r="E42" s="21377">
        <v>22</v>
      </c>
      <c r="F42" s="21378">
        <v>73</v>
      </c>
      <c r="G42" s="21379">
        <v>4</v>
      </c>
      <c r="H42" s="21380">
        <v>6</v>
      </c>
      <c r="I42" s="21381">
        <v>339</v>
      </c>
      <c r="J42" s="21382">
        <f>HLOOKUP("BPS",A1:CV300,42,FALSE)-((-6*HLOOKUP("OG",A1:CV300,42,FALSE))+(-6*HLOOKUP("PK Miss",A1:CV300,42,FALSE))+(9*HLOOKUP("FPL As",A1:CV300,42,FALSE))+(0*HLOOKUP("CS",A1:CV300,42,FALSE))+(18*HLOOKUP("Gs",A1:CV300,42,FALSE)))</f>
        <v>255</v>
      </c>
      <c r="K42" s="21383">
        <v>0</v>
      </c>
      <c r="L42" s="21384">
        <v>4</v>
      </c>
      <c r="M42" s="21385">
        <v>26</v>
      </c>
      <c r="N42" s="21386">
        <v>35</v>
      </c>
      <c r="O42" s="21387">
        <v>10</v>
      </c>
      <c r="P42" s="21388">
        <f>IF(HLOOKUP("Shots",A1:CV300,42,FALSE)=0,0,HLOOKUP("SIB",A1:CV300,42,FALSE)/HLOOKUP("Shots",A1:CV300,42,FALSE))</f>
        <v>0.2857142857142857</v>
      </c>
      <c r="Q42" s="21389">
        <v>3</v>
      </c>
      <c r="R42" s="21390">
        <f>IF(HLOOKUP("Shots",A1:CV300,42,FALSE)=0,0,HLOOKUP("S6YD",A1:CV300,42,FALSE)/HLOOKUP("Shots",A1:CV300,42,FALSE))</f>
        <v>8.5714285714285715E-2</v>
      </c>
      <c r="S42" s="21391">
        <v>1</v>
      </c>
      <c r="T42" s="21392">
        <f>IF(HLOOKUP("Shots",A1:CV300,42,FALSE)=0,0,HLOOKUP("Headers",A1:CV300,42,FALSE)/HLOOKUP("Shots",A1:CV300,42,FALSE))</f>
        <v>2.8571428571428571E-2</v>
      </c>
      <c r="U42" s="21393">
        <v>16</v>
      </c>
      <c r="V42" s="21394">
        <f>IF(HLOOKUP("Shots",A1:CV300,42,FALSE)=0,0,HLOOKUP("SOT",A1:CV300,42,FALSE)/HLOOKUP("Shots",A1:CV300,42,FALSE))</f>
        <v>0.45714285714285713</v>
      </c>
      <c r="W42" s="21395">
        <f>IF(HLOOKUP("Shots",A1:CV300,42,FALSE)=0,0,HLOOKUP("Gs",A1:CV300,42,FALSE)/HLOOKUP("Shots",A1:CV300,42,FALSE))</f>
        <v>0.11428571428571428</v>
      </c>
      <c r="X42" s="21396">
        <v>2</v>
      </c>
      <c r="Y42" s="21397">
        <v>2</v>
      </c>
      <c r="Z42" s="21398">
        <v>33</v>
      </c>
      <c r="AA42" s="21399">
        <f>IF(HLOOKUP("KP",A1:CV300,42,FALSE)=0,0,HLOOKUP("As",A1:CV300,42,FALSE)/HLOOKUP("KP",A1:CV300,42,FALSE))</f>
        <v>6.0606060606060608E-2</v>
      </c>
      <c r="AB42" s="21400">
        <v>138.4</v>
      </c>
      <c r="AC42" s="21401">
        <v>22</v>
      </c>
      <c r="AD42" s="21402">
        <v>5</v>
      </c>
      <c r="AE42" s="21403">
        <v>4</v>
      </c>
      <c r="AF42" s="21404">
        <v>1</v>
      </c>
      <c r="AG42" s="21405">
        <f>IF(HLOOKUP("BC",A1:CV300,42,FALSE)=0,0,HLOOKUP("Gs - BC",A1:CV300,42,FALSE)/HLOOKUP("BC",A1:CV300,42,FALSE))</f>
        <v>0.75</v>
      </c>
      <c r="AH42" s="21406">
        <f>HLOOKUP("BC",A1:CV300,42,FALSE) - HLOOKUP("BC Miss",A1:CV300,42,FALSE)</f>
        <v>3</v>
      </c>
      <c r="AI42" s="21407">
        <f>IF(HLOOKUP("Gs",A1:CV300,42,FALSE)=0,0,HLOOKUP("Gs - BC",A1:CV300,42,FALSE)/HLOOKUP("Gs",A1:CV300,42,FALSE))</f>
        <v>0.75</v>
      </c>
      <c r="AJ42" s="21408">
        <v>1</v>
      </c>
      <c r="AK42" s="21409">
        <v>1</v>
      </c>
      <c r="AL42" s="21410">
        <f>HLOOKUP("BC",A1:CV300,42,FALSE) - (HLOOKUP("PK Gs",A1:CV300,42,FALSE) + HLOOKUP("PK Miss",A1:CV300,42,FALSE))</f>
        <v>2</v>
      </c>
      <c r="AM42" s="21411">
        <f>HLOOKUP("BC Miss",A1:CV300,42,FALSE) - HLOOKUP("PK Miss",A1:CV300,42,FALSE)</f>
        <v>0</v>
      </c>
      <c r="AN42" s="21412">
        <f>IF(HLOOKUP("BC - Open",A1:CV300,42,FALSE)=0,0,HLOOKUP("BC - Open Miss",A1:CV300,42,FALSE)/HLOOKUP("BC - Open",A1:CV300,42,FALSE))</f>
        <v>0</v>
      </c>
      <c r="AO42" s="21413">
        <v>3</v>
      </c>
      <c r="AP42" s="21414">
        <f>IF(HLOOKUP("Gs",A1:CV300,42,FALSE)=0,0,HLOOKUP("GIB",A1:CV300,42,FALSE)/HLOOKUP("Gs",A1:CV300,42,FALSE))</f>
        <v>0.75</v>
      </c>
      <c r="AQ42" s="21415">
        <v>1</v>
      </c>
      <c r="AR42" s="21416">
        <f>IF(HLOOKUP("Gs",A1:CV300,42,FALSE)=0,0,HLOOKUP("Gs - Open",A1:CV300,42,FALSE)/HLOOKUP("Gs",A1:CV300,42,FALSE))</f>
        <v>0.25</v>
      </c>
      <c r="AS42" s="21417">
        <v>4.8099999999999996</v>
      </c>
      <c r="AT42" s="21418">
        <v>4.0999999999999996</v>
      </c>
      <c r="AU42" s="21419">
        <f>IF(HLOOKUP("Mins",A1:CV300,42,FALSE)=0,0,HLOOKUP("Pts",A1:CV300,42,FALSE)/HLOOKUP("Mins",A1:CV300,42,FALSE)* 90)</f>
        <v>3.3181818181818183</v>
      </c>
      <c r="AV42" s="21420">
        <f>IF(HLOOKUP("Apps",A1:CV300,42,FALSE)=0,0,HLOOKUP("Pts",A1:CV300,42,FALSE)/HLOOKUP("Apps",A1:CV300,42,FALSE)* 1)</f>
        <v>3.3181818181818183</v>
      </c>
      <c r="AW42" s="21421">
        <f>IF(HLOOKUP("Mins",A1:CV300,42,FALSE)=0,0,HLOOKUP("Gs",A1:CV300,42,FALSE)/HLOOKUP("Mins",A1:CV300,42,FALSE)* 90)</f>
        <v>0.18181818181818182</v>
      </c>
      <c r="AX42" s="21422">
        <f>IF(HLOOKUP("Mins",A1:CV300,42,FALSE)=0,0,HLOOKUP("Bonus",A1:CV300,42,FALSE)/HLOOKUP("Mins",A1:CV300,42,FALSE)* 90)</f>
        <v>0.27272727272727271</v>
      </c>
      <c r="AY42" s="21423">
        <f>IF(HLOOKUP("Mins",A1:CV300,42,FALSE)=0,0,HLOOKUP("BPS",A1:CV300,42,FALSE)/HLOOKUP("Mins",A1:CV300,42,FALSE)* 90)</f>
        <v>15.409090909090908</v>
      </c>
      <c r="AZ42" s="21424">
        <f>IF(HLOOKUP("Mins",A1:CV300,42,FALSE)=0,0,HLOOKUP("Base BPS",A1:CV300,42,FALSE)/HLOOKUP("Mins",A1:CV300,42,FALSE)* 90)</f>
        <v>11.59090909090909</v>
      </c>
      <c r="BA42" s="21425">
        <f>IF(HLOOKUP("Mins",A1:CV300,42,FALSE)=0,0,HLOOKUP("PenTchs",A1:CV300,42,FALSE)/HLOOKUP("Mins",A1:CV300,42,FALSE)* 90)</f>
        <v>1.1818181818181819</v>
      </c>
      <c r="BB42" s="21426">
        <f>IF(HLOOKUP("Mins",A1:CV300,42,FALSE)=0,0,HLOOKUP("Shots",A1:CV300,42,FALSE)/HLOOKUP("Mins",A1:CV300,42,FALSE)* 90)</f>
        <v>1.5909090909090908</v>
      </c>
      <c r="BC42" s="21427">
        <f>IF(HLOOKUP("Mins",A1:CV300,42,FALSE)=0,0,HLOOKUP("SIB",A1:CV300,42,FALSE)/HLOOKUP("Mins",A1:CV300,42,FALSE)* 90)</f>
        <v>0.45454545454545459</v>
      </c>
      <c r="BD42" s="21428">
        <f>IF(HLOOKUP("Mins",A1:CV300,42,FALSE)=0,0,HLOOKUP("S6YD",A1:CV300,42,FALSE)/HLOOKUP("Mins",A1:CV300,42,FALSE)* 90)</f>
        <v>0.13636363636363635</v>
      </c>
      <c r="BE42" s="21429">
        <f>IF(HLOOKUP("Mins",A1:CV300,42,FALSE)=0,0,HLOOKUP("Headers",A1:CV300,42,FALSE)/HLOOKUP("Mins",A1:CV300,42,FALSE)* 90)</f>
        <v>4.5454545454545456E-2</v>
      </c>
      <c r="BF42" s="21430">
        <f>IF(HLOOKUP("Mins",A1:CV300,42,FALSE)=0,0,HLOOKUP("SOT",A1:CV300,42,FALSE)/HLOOKUP("Mins",A1:CV300,42,FALSE)* 90)</f>
        <v>0.72727272727272729</v>
      </c>
      <c r="BG42" s="21431">
        <f>IF(HLOOKUP("Mins",A1:CV300,42,FALSE)=0,0,HLOOKUP("As",A1:CV300,42,FALSE)/HLOOKUP("Mins",A1:CV300,42,FALSE)* 90)</f>
        <v>9.0909090909090912E-2</v>
      </c>
      <c r="BH42" s="21432">
        <f>IF(HLOOKUP("Mins",A1:CV300,42,FALSE)=0,0,HLOOKUP("FPL As",A1:CV300,42,FALSE)/HLOOKUP("Mins",A1:CV300,42,FALSE)* 90)</f>
        <v>9.0909090909090912E-2</v>
      </c>
      <c r="BI42" s="21433">
        <f>IF(HLOOKUP("Mins",A1:CV300,42,FALSE)=0,0,HLOOKUP("BC Created",A1:CV300,42,FALSE)/HLOOKUP("Mins",A1:CV300,42,FALSE)* 90)</f>
        <v>0.22727272727272729</v>
      </c>
      <c r="BJ42" s="21434">
        <f>IF(HLOOKUP("Mins",A1:CV300,42,FALSE)=0,0,HLOOKUP("KP",A1:CV300,42,FALSE)/HLOOKUP("Mins",A1:CV300,42,FALSE)* 90)</f>
        <v>1.5</v>
      </c>
      <c r="BK42" s="21435">
        <f>IF(HLOOKUP("Mins",A1:CV300,42,FALSE)=0,0,HLOOKUP("BC",A1:CV300,42,FALSE)/HLOOKUP("Mins",A1:CV300,42,FALSE)* 90)</f>
        <v>0.18181818181818182</v>
      </c>
      <c r="BL42" s="21436">
        <f>IF(HLOOKUP("Mins",A1:CV300,42,FALSE)=0,0,HLOOKUP("BC Miss",A1:CV300,42,FALSE)/HLOOKUP("Mins",A1:CV300,42,FALSE)* 90)</f>
        <v>4.5454545454545456E-2</v>
      </c>
      <c r="BM42" s="21437">
        <f>IF(HLOOKUP("Mins",A1:CV300,42,FALSE)=0,0,HLOOKUP("Gs - BC",A1:CV300,42,FALSE)/HLOOKUP("Mins",A1:CV300,42,FALSE)* 90)</f>
        <v>0.13636363636363635</v>
      </c>
      <c r="BN42" s="21438">
        <f>IF(HLOOKUP("Mins",A1:CV300,42,FALSE)=0,0,HLOOKUP("GIB",A1:CV300,42,FALSE)/HLOOKUP("Mins",A1:CV300,42,FALSE)* 90)</f>
        <v>0.13636363636363635</v>
      </c>
      <c r="BO42" s="21439">
        <f>IF(HLOOKUP("Mins",A1:CV300,42,FALSE)=0,0,HLOOKUP("Gs - Open",A1:CV300,42,FALSE)/HLOOKUP("Mins",A1:CV300,42,FALSE)* 90)</f>
        <v>4.5454545454545456E-2</v>
      </c>
      <c r="BP42" s="21440">
        <f>IF(HLOOKUP("Mins",A1:CV300,42,FALSE)=0,0,HLOOKUP("ICT Index",A1:CV300,42,FALSE)/HLOOKUP("Mins",A1:CV300,42,FALSE)* 90)</f>
        <v>6.290909090909091</v>
      </c>
      <c r="BQ42" s="21441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  <v>0.16072727272727269</v>
      </c>
      <c r="BR42" s="21442">
        <f>0.0885*HLOOKUP("KP/90",A1:CV300,42,FALSE)</f>
        <v>0.13274999999999998</v>
      </c>
      <c r="BS42" s="21443">
        <f>5*HLOOKUP("xG/90",A1:CV300,42,FALSE)+3*HLOOKUP("xA/90",A1:CV300,42,FALSE)</f>
        <v>1.2018863636363635</v>
      </c>
      <c r="BT42" s="21444">
        <f>HLOOKUP("xPts/90",A1:CV300,42,FALSE)-(5*0.75*(HLOOKUP("PK Gs",A1:CV300,42,FALSE)+HLOOKUP("PK Miss",A1:CV300,42,FALSE))*90/HLOOKUP("Mins",A1:CV300,42,FALSE))</f>
        <v>0.86097727272727265</v>
      </c>
      <c r="BU42" s="21445">
        <f>IF(HLOOKUP("Mins",A1:CV300,42,FALSE)=0,0,HLOOKUP("fsXG",A1:CV300,42,FALSE)/HLOOKUP("Mins",A1:CV300,42,FALSE)* 90)</f>
        <v>0.21863636363636363</v>
      </c>
      <c r="BV42" s="21446">
        <f>IF(HLOOKUP("Mins",A1:CV300,42,FALSE)=0,0,HLOOKUP("fsXA",A1:CV300,42,FALSE)/HLOOKUP("Mins",A1:CV300,42,FALSE)* 90)</f>
        <v>0.18636363636363634</v>
      </c>
      <c r="BW42" s="21447">
        <f>5*HLOOKUP("fsXG/90",A1:CV300,42,FALSE)+3*HLOOKUP("fsXA/90",A1:CV300,42,FALSE)</f>
        <v>1.6522727272727273</v>
      </c>
      <c r="BX42" s="21448">
        <v>0.21509169042110443</v>
      </c>
      <c r="BY42" s="21449">
        <v>0.15705189108848572</v>
      </c>
      <c r="BZ42" s="21450">
        <f>5*HLOOKUP("uXG/90",A1:CV300,42,FALSE)+3*HLOOKUP("uXA/90",A1:CV300,42,FALSE)</f>
        <v>1.5466141253709793</v>
      </c>
    </row>
    <row r="43" spans="1:78" x14ac:dyDescent="0.3">
      <c r="A43" s="21451" t="s">
        <v>370</v>
      </c>
      <c r="B43" s="21452" t="s">
        <v>147</v>
      </c>
      <c r="C43" s="21453">
        <v>4.9000000953674316</v>
      </c>
      <c r="D43" s="21454">
        <v>1518</v>
      </c>
      <c r="E43" s="21455">
        <v>20</v>
      </c>
      <c r="F43" s="21456">
        <v>63</v>
      </c>
      <c r="G43" s="21457">
        <v>3</v>
      </c>
      <c r="H43" s="21458">
        <v>6</v>
      </c>
      <c r="I43" s="21459">
        <v>360</v>
      </c>
      <c r="J43" s="21460">
        <f>HLOOKUP("BPS",A1:CV300,43,FALSE)-((-6*HLOOKUP("OG",A1:CV300,43,FALSE))+(-6*HLOOKUP("PK Miss",A1:CV300,43,FALSE))+(9*HLOOKUP("FPL As",A1:CV300,43,FALSE))+(0*HLOOKUP("CS",A1:CV300,43,FALSE))+(18*HLOOKUP("Gs",A1:CV300,43,FALSE)))</f>
        <v>279</v>
      </c>
      <c r="K43" s="21461">
        <v>0</v>
      </c>
      <c r="L43" s="21462">
        <v>4</v>
      </c>
      <c r="M43" s="21463">
        <v>6</v>
      </c>
      <c r="N43" s="21464">
        <v>9</v>
      </c>
      <c r="O43" s="21465">
        <v>3</v>
      </c>
      <c r="P43" s="21466">
        <f>IF(HLOOKUP("Shots",A1:CV300,43,FALSE)=0,0,HLOOKUP("SIB",A1:CV300,43,FALSE)/HLOOKUP("Shots",A1:CV300,43,FALSE))</f>
        <v>0.33333333333333331</v>
      </c>
      <c r="Q43" s="21467">
        <v>1</v>
      </c>
      <c r="R43" s="21468">
        <f>IF(HLOOKUP("Shots",A1:CV300,43,FALSE)=0,0,HLOOKUP("S6YD",A1:CV300,43,FALSE)/HLOOKUP("Shots",A1:CV300,43,FALSE))</f>
        <v>0.1111111111111111</v>
      </c>
      <c r="S43" s="21469">
        <v>0</v>
      </c>
      <c r="T43" s="21470">
        <f>IF(HLOOKUP("Shots",A1:CV300,43,FALSE)=0,0,HLOOKUP("Headers",A1:CV300,43,FALSE)/HLOOKUP("Shots",A1:CV300,43,FALSE))</f>
        <v>0</v>
      </c>
      <c r="U43" s="21471">
        <v>3</v>
      </c>
      <c r="V43" s="21472">
        <f>IF(HLOOKUP("Shots",A1:CV300,43,FALSE)=0,0,HLOOKUP("SOT",A1:CV300,43,FALSE)/HLOOKUP("Shots",A1:CV300,43,FALSE))</f>
        <v>0.33333333333333331</v>
      </c>
      <c r="W43" s="21473">
        <f>IF(HLOOKUP("Shots",A1:CV300,43,FALSE)=0,0,HLOOKUP("Gs",A1:CV300,43,FALSE)/HLOOKUP("Shots",A1:CV300,43,FALSE))</f>
        <v>0.33333333333333331</v>
      </c>
      <c r="X43" s="21474">
        <v>2</v>
      </c>
      <c r="Y43" s="21475">
        <v>3</v>
      </c>
      <c r="Z43" s="21476">
        <v>15</v>
      </c>
      <c r="AA43" s="21477">
        <f>IF(HLOOKUP("KP",A1:CV300,43,FALSE)=0,0,HLOOKUP("As",A1:CV300,43,FALSE)/HLOOKUP("KP",A1:CV300,43,FALSE))</f>
        <v>0.13333333333333333</v>
      </c>
      <c r="AB43" s="21478">
        <v>77.400000000000006</v>
      </c>
      <c r="AC43" s="21479">
        <v>19</v>
      </c>
      <c r="AD43" s="21480">
        <v>5</v>
      </c>
      <c r="AE43" s="21481">
        <v>3</v>
      </c>
      <c r="AF43" s="21482">
        <v>0</v>
      </c>
      <c r="AG43" s="21483">
        <f>IF(HLOOKUP("BC",A1:CV300,43,FALSE)=0,0,HLOOKUP("Gs - BC",A1:CV300,43,FALSE)/HLOOKUP("BC",A1:CV300,43,FALSE))</f>
        <v>1</v>
      </c>
      <c r="AH43" s="21484">
        <f>HLOOKUP("BC",A1:CV300,43,FALSE) - HLOOKUP("BC Miss",A1:CV300,43,FALSE)</f>
        <v>3</v>
      </c>
      <c r="AI43" s="21485">
        <f>IF(HLOOKUP("Gs",A1:CV300,43,FALSE)=0,0,HLOOKUP("Gs - BC",A1:CV300,43,FALSE)/HLOOKUP("Gs",A1:CV300,43,FALSE))</f>
        <v>1</v>
      </c>
      <c r="AJ43" s="21486">
        <v>2</v>
      </c>
      <c r="AK43" s="21487">
        <v>0</v>
      </c>
      <c r="AL43" s="21488">
        <f>HLOOKUP("BC",A1:CV300,43,FALSE) - (HLOOKUP("PK Gs",A1:CV300,43,FALSE) + HLOOKUP("PK Miss",A1:CV300,43,FALSE))</f>
        <v>1</v>
      </c>
      <c r="AM43" s="21489">
        <f>HLOOKUP("BC Miss",A1:CV300,43,FALSE) - HLOOKUP("PK Miss",A1:CV300,43,FALSE)</f>
        <v>0</v>
      </c>
      <c r="AN43" s="21490">
        <f>IF(HLOOKUP("BC - Open",A1:CV300,43,FALSE)=0,0,HLOOKUP("BC - Open Miss",A1:CV300,43,FALSE)/HLOOKUP("BC - Open",A1:CV300,43,FALSE))</f>
        <v>0</v>
      </c>
      <c r="AO43" s="21491">
        <v>3</v>
      </c>
      <c r="AP43" s="21492">
        <f>IF(HLOOKUP("Gs",A1:CV300,43,FALSE)=0,0,HLOOKUP("GIB",A1:CV300,43,FALSE)/HLOOKUP("Gs",A1:CV300,43,FALSE))</f>
        <v>1</v>
      </c>
      <c r="AQ43" s="21493">
        <v>0</v>
      </c>
      <c r="AR43" s="21494">
        <f>IF(HLOOKUP("Gs",A1:CV300,43,FALSE)=0,0,HLOOKUP("Gs - Open",A1:CV300,43,FALSE)/HLOOKUP("Gs",A1:CV300,43,FALSE))</f>
        <v>0</v>
      </c>
      <c r="AS43" s="21495">
        <v>2.31</v>
      </c>
      <c r="AT43" s="21496">
        <v>1.35</v>
      </c>
      <c r="AU43" s="21497">
        <f>IF(HLOOKUP("Mins",A1:CV300,43,FALSE)=0,0,HLOOKUP("Pts",A1:CV300,43,FALSE)/HLOOKUP("Mins",A1:CV300,43,FALSE)* 90)</f>
        <v>3.7351778656126484</v>
      </c>
      <c r="AV43" s="21498">
        <f>IF(HLOOKUP("Apps",A1:CV300,43,FALSE)=0,0,HLOOKUP("Pts",A1:CV300,43,FALSE)/HLOOKUP("Apps",A1:CV300,43,FALSE)* 1)</f>
        <v>3.15</v>
      </c>
      <c r="AW43" s="21499">
        <f>IF(HLOOKUP("Mins",A1:CV300,43,FALSE)=0,0,HLOOKUP("Gs",A1:CV300,43,FALSE)/HLOOKUP("Mins",A1:CV300,43,FALSE)* 90)</f>
        <v>0.17786561264822134</v>
      </c>
      <c r="AX43" s="21500">
        <f>IF(HLOOKUP("Mins",A1:CV300,43,FALSE)=0,0,HLOOKUP("Bonus",A1:CV300,43,FALSE)/HLOOKUP("Mins",A1:CV300,43,FALSE)* 90)</f>
        <v>0.35573122529644269</v>
      </c>
      <c r="AY43" s="21501">
        <f>IF(HLOOKUP("Mins",A1:CV300,43,FALSE)=0,0,HLOOKUP("BPS",A1:CV300,43,FALSE)/HLOOKUP("Mins",A1:CV300,43,FALSE)* 90)</f>
        <v>21.343873517786559</v>
      </c>
      <c r="AZ43" s="21502">
        <f>IF(HLOOKUP("Mins",A1:CV300,43,FALSE)=0,0,HLOOKUP("Base BPS",A1:CV300,43,FALSE)/HLOOKUP("Mins",A1:CV300,43,FALSE)* 90)</f>
        <v>16.541501976284586</v>
      </c>
      <c r="BA43" s="21503">
        <f>IF(HLOOKUP("Mins",A1:CV300,43,FALSE)=0,0,HLOOKUP("PenTchs",A1:CV300,43,FALSE)/HLOOKUP("Mins",A1:CV300,43,FALSE)* 90)</f>
        <v>0.35573122529644269</v>
      </c>
      <c r="BB43" s="21504">
        <f>IF(HLOOKUP("Mins",A1:CV300,43,FALSE)=0,0,HLOOKUP("Shots",A1:CV300,43,FALSE)/HLOOKUP("Mins",A1:CV300,43,FALSE)* 90)</f>
        <v>0.53359683794466395</v>
      </c>
      <c r="BC43" s="21505">
        <f>IF(HLOOKUP("Mins",A1:CV300,43,FALSE)=0,0,HLOOKUP("SIB",A1:CV300,43,FALSE)/HLOOKUP("Mins",A1:CV300,43,FALSE)* 90)</f>
        <v>0.17786561264822134</v>
      </c>
      <c r="BD43" s="21506">
        <f>IF(HLOOKUP("Mins",A1:CV300,43,FALSE)=0,0,HLOOKUP("S6YD",A1:CV300,43,FALSE)/HLOOKUP("Mins",A1:CV300,43,FALSE)* 90)</f>
        <v>5.9288537549407119E-2</v>
      </c>
      <c r="BE43" s="21507">
        <f>IF(HLOOKUP("Mins",A1:CV300,43,FALSE)=0,0,HLOOKUP("Headers",A1:CV300,43,FALSE)/HLOOKUP("Mins",A1:CV300,43,FALSE)* 90)</f>
        <v>0</v>
      </c>
      <c r="BF43" s="21508">
        <f>IF(HLOOKUP("Mins",A1:CV300,43,FALSE)=0,0,HLOOKUP("SOT",A1:CV300,43,FALSE)/HLOOKUP("Mins",A1:CV300,43,FALSE)* 90)</f>
        <v>0.17786561264822134</v>
      </c>
      <c r="BG43" s="21509">
        <f>IF(HLOOKUP("Mins",A1:CV300,43,FALSE)=0,0,HLOOKUP("As",A1:CV300,43,FALSE)/HLOOKUP("Mins",A1:CV300,43,FALSE)* 90)</f>
        <v>0.11857707509881424</v>
      </c>
      <c r="BH43" s="21510">
        <f>IF(HLOOKUP("Mins",A1:CV300,43,FALSE)=0,0,HLOOKUP("FPL As",A1:CV300,43,FALSE)/HLOOKUP("Mins",A1:CV300,43,FALSE)* 90)</f>
        <v>0.17786561264822134</v>
      </c>
      <c r="BI43" s="21511">
        <f>IF(HLOOKUP("Mins",A1:CV300,43,FALSE)=0,0,HLOOKUP("BC Created",A1:CV300,43,FALSE)/HLOOKUP("Mins",A1:CV300,43,FALSE)* 90)</f>
        <v>0.29644268774703558</v>
      </c>
      <c r="BJ43" s="21512">
        <f>IF(HLOOKUP("Mins",A1:CV300,43,FALSE)=0,0,HLOOKUP("KP",A1:CV300,43,FALSE)/HLOOKUP("Mins",A1:CV300,43,FALSE)* 90)</f>
        <v>0.88932806324110669</v>
      </c>
      <c r="BK43" s="21513">
        <f>IF(HLOOKUP("Mins",A1:CV300,43,FALSE)=0,0,HLOOKUP("BC",A1:CV300,43,FALSE)/HLOOKUP("Mins",A1:CV300,43,FALSE)* 90)</f>
        <v>0.17786561264822134</v>
      </c>
      <c r="BL43" s="21514">
        <f>IF(HLOOKUP("Mins",A1:CV300,43,FALSE)=0,0,HLOOKUP("BC Miss",A1:CV300,43,FALSE)/HLOOKUP("Mins",A1:CV300,43,FALSE)* 90)</f>
        <v>0</v>
      </c>
      <c r="BM43" s="21515">
        <f>IF(HLOOKUP("Mins",A1:CV300,43,FALSE)=0,0,HLOOKUP("Gs - BC",A1:CV300,43,FALSE)/HLOOKUP("Mins",A1:CV300,43,FALSE)* 90)</f>
        <v>0.17786561264822134</v>
      </c>
      <c r="BN43" s="21516">
        <f>IF(HLOOKUP("Mins",A1:CV300,43,FALSE)=0,0,HLOOKUP("GIB",A1:CV300,43,FALSE)/HLOOKUP("Mins",A1:CV300,43,FALSE)* 90)</f>
        <v>0.17786561264822134</v>
      </c>
      <c r="BO43" s="21517">
        <f>IF(HLOOKUP("Mins",A1:CV300,43,FALSE)=0,0,HLOOKUP("Gs - Open",A1:CV300,43,FALSE)/HLOOKUP("Mins",A1:CV300,43,FALSE)* 90)</f>
        <v>0</v>
      </c>
      <c r="BP43" s="21518">
        <f>IF(HLOOKUP("Mins",A1:CV300,43,FALSE)=0,0,HLOOKUP("ICT Index",A1:CV300,43,FALSE)/HLOOKUP("Mins",A1:CV300,43,FALSE)* 90)</f>
        <v>4.5889328063241113</v>
      </c>
      <c r="BQ43" s="21519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  <v>0.11015810276679842</v>
      </c>
      <c r="BR43" s="21520">
        <f>0.0885*HLOOKUP("KP/90",A1:CV300,43,FALSE)</f>
        <v>7.8705533596837934E-2</v>
      </c>
      <c r="BS43" s="21521">
        <f>5*HLOOKUP("xG/90",A1:CV300,43,FALSE)+3*HLOOKUP("xA/90",A1:CV300,43,FALSE)</f>
        <v>0.78690711462450591</v>
      </c>
      <c r="BT43" s="21522">
        <f>HLOOKUP("xPts/90",A1:CV300,43,FALSE)-(5*0.75*(HLOOKUP("PK Gs",A1:CV300,43,FALSE)+HLOOKUP("PK Miss",A1:CV300,43,FALSE))*90/HLOOKUP("Mins",A1:CV300,43,FALSE))</f>
        <v>0.34224308300395256</v>
      </c>
      <c r="BU43" s="21523">
        <f>IF(HLOOKUP("Mins",A1:CV300,43,FALSE)=0,0,HLOOKUP("fsXG",A1:CV300,43,FALSE)/HLOOKUP("Mins",A1:CV300,43,FALSE)* 90)</f>
        <v>0.13695652173913042</v>
      </c>
      <c r="BV43" s="21524">
        <f>IF(HLOOKUP("Mins",A1:CV300,43,FALSE)=0,0,HLOOKUP("fsXA",A1:CV300,43,FALSE)/HLOOKUP("Mins",A1:CV300,43,FALSE)* 90)</f>
        <v>8.0039525691699615E-2</v>
      </c>
      <c r="BW43" s="21525">
        <f>5*HLOOKUP("fsXG/90",A1:CV300,43,FALSE)+3*HLOOKUP("fsXA/90",A1:CV300,43,FALSE)</f>
        <v>0.92490118577075098</v>
      </c>
      <c r="BX43" s="21526">
        <v>0.1341397613286972</v>
      </c>
      <c r="BY43" s="21527">
        <v>0.13121068477630615</v>
      </c>
      <c r="BZ43" s="21528">
        <f>5*HLOOKUP("uXG/90",A1:CV300,43,FALSE)+3*HLOOKUP("uXA/90",A1:CV300,43,FALSE)</f>
        <v>1.0643308609724045</v>
      </c>
    </row>
    <row r="44" spans="1:78" x14ac:dyDescent="0.3">
      <c r="A44" s="21529" t="s">
        <v>371</v>
      </c>
      <c r="B44" s="21530" t="s">
        <v>100</v>
      </c>
      <c r="C44" s="21531">
        <v>4.6999998092651367</v>
      </c>
      <c r="D44" s="21532">
        <v>120</v>
      </c>
      <c r="E44" s="21533">
        <v>3</v>
      </c>
      <c r="F44" s="21534">
        <v>7</v>
      </c>
      <c r="G44" s="21535">
        <v>0</v>
      </c>
      <c r="H44" s="21536">
        <v>0</v>
      </c>
      <c r="I44" s="21537">
        <v>28</v>
      </c>
      <c r="J44" s="21538">
        <f>HLOOKUP("BPS",A1:CV300,44,FALSE)-((-6*HLOOKUP("OG",A1:CV300,44,FALSE))+(-6*HLOOKUP("PK Miss",A1:CV300,44,FALSE))+(9*HLOOKUP("FPL As",A1:CV300,44,FALSE))+(0*HLOOKUP("CS",A1:CV300,44,FALSE))+(18*HLOOKUP("Gs",A1:CV300,44,FALSE)))</f>
        <v>19</v>
      </c>
      <c r="K44" s="21539">
        <v>0</v>
      </c>
      <c r="L44" s="21540">
        <v>0</v>
      </c>
      <c r="M44" s="21541">
        <v>4</v>
      </c>
      <c r="N44" s="21542">
        <v>2</v>
      </c>
      <c r="O44" s="21543">
        <v>2</v>
      </c>
      <c r="P44" s="21544">
        <f>IF(HLOOKUP("Shots",A1:CV300,44,FALSE)=0,0,HLOOKUP("SIB",A1:CV300,44,FALSE)/HLOOKUP("Shots",A1:CV300,44,FALSE))</f>
        <v>1</v>
      </c>
      <c r="Q44" s="21545">
        <v>0</v>
      </c>
      <c r="R44" s="21546">
        <f>IF(HLOOKUP("Shots",A1:CV300,44,FALSE)=0,0,HLOOKUP("S6YD",A1:CV300,44,FALSE)/HLOOKUP("Shots",A1:CV300,44,FALSE))</f>
        <v>0</v>
      </c>
      <c r="S44" s="21547">
        <v>1</v>
      </c>
      <c r="T44" s="21548">
        <f>IF(HLOOKUP("Shots",A1:CV300,44,FALSE)=0,0,HLOOKUP("Headers",A1:CV300,44,FALSE)/HLOOKUP("Shots",A1:CV300,44,FALSE))</f>
        <v>0.5</v>
      </c>
      <c r="U44" s="21549">
        <v>0</v>
      </c>
      <c r="V44" s="21550">
        <f>IF(HLOOKUP("Shots",A1:CV300,44,FALSE)=0,0,HLOOKUP("SOT",A1:CV300,44,FALSE)/HLOOKUP("Shots",A1:CV300,44,FALSE))</f>
        <v>0</v>
      </c>
      <c r="W44" s="21551">
        <f>IF(HLOOKUP("Shots",A1:CV300,44,FALSE)=0,0,HLOOKUP("Gs",A1:CV300,44,FALSE)/HLOOKUP("Shots",A1:CV300,44,FALSE))</f>
        <v>0</v>
      </c>
      <c r="X44" s="21552">
        <v>0</v>
      </c>
      <c r="Y44" s="21553">
        <v>1</v>
      </c>
      <c r="Z44" s="21554">
        <v>3</v>
      </c>
      <c r="AA44" s="21555">
        <f>IF(HLOOKUP("KP",A1:CV300,44,FALSE)=0,0,HLOOKUP("As",A1:CV300,44,FALSE)/HLOOKUP("KP",A1:CV300,44,FALSE))</f>
        <v>0</v>
      </c>
      <c r="AB44" s="21556">
        <v>6.1</v>
      </c>
      <c r="AC44" s="21557">
        <v>50</v>
      </c>
      <c r="AD44" s="21558">
        <v>0</v>
      </c>
      <c r="AE44" s="21559">
        <v>0</v>
      </c>
      <c r="AF44" s="21560">
        <v>0</v>
      </c>
      <c r="AG44" s="21561">
        <f>IF(HLOOKUP("BC",A1:CV300,44,FALSE)=0,0,HLOOKUP("Gs - BC",A1:CV300,44,FALSE)/HLOOKUP("BC",A1:CV300,44,FALSE))</f>
        <v>0</v>
      </c>
      <c r="AH44" s="21562">
        <f>HLOOKUP("BC",A1:CV300,44,FALSE) - HLOOKUP("BC Miss",A1:CV300,44,FALSE)</f>
        <v>0</v>
      </c>
      <c r="AI44" s="21563">
        <f>IF(HLOOKUP("Gs",A1:CV300,44,FALSE)=0,0,HLOOKUP("Gs - BC",A1:CV300,44,FALSE)/HLOOKUP("Gs",A1:CV300,44,FALSE))</f>
        <v>0</v>
      </c>
      <c r="AJ44" s="21564">
        <v>0</v>
      </c>
      <c r="AK44" s="21565">
        <v>0</v>
      </c>
      <c r="AL44" s="21566">
        <f>HLOOKUP("BC",A1:CV300,44,FALSE) - (HLOOKUP("PK Gs",A1:CV300,44,FALSE) + HLOOKUP("PK Miss",A1:CV300,44,FALSE))</f>
        <v>0</v>
      </c>
      <c r="AM44" s="21567">
        <f>HLOOKUP("BC Miss",A1:CV300,44,FALSE) - HLOOKUP("PK Miss",A1:CV300,44,FALSE)</f>
        <v>0</v>
      </c>
      <c r="AN44" s="21568">
        <f>IF(HLOOKUP("BC - Open",A1:CV300,44,FALSE)=0,0,HLOOKUP("BC - Open Miss",A1:CV300,44,FALSE)/HLOOKUP("BC - Open",A1:CV300,44,FALSE))</f>
        <v>0</v>
      </c>
      <c r="AO44" s="21569">
        <v>0</v>
      </c>
      <c r="AP44" s="21570">
        <f>IF(HLOOKUP("Gs",A1:CV300,44,FALSE)=0,0,HLOOKUP("GIB",A1:CV300,44,FALSE)/HLOOKUP("Gs",A1:CV300,44,FALSE))</f>
        <v>0</v>
      </c>
      <c r="AQ44" s="21571">
        <v>0</v>
      </c>
      <c r="AR44" s="21572">
        <f>IF(HLOOKUP("Gs",A1:CV300,44,FALSE)=0,0,HLOOKUP("Gs - Open",A1:CV300,44,FALSE)/HLOOKUP("Gs",A1:CV300,44,FALSE))</f>
        <v>0</v>
      </c>
      <c r="AS44" s="21573">
        <v>0.09</v>
      </c>
      <c r="AT44" s="21574">
        <v>7.0000000000000007E-2</v>
      </c>
      <c r="AU44" s="21575">
        <f>IF(HLOOKUP("Mins",A1:CV300,44,FALSE)=0,0,HLOOKUP("Pts",A1:CV300,44,FALSE)/HLOOKUP("Mins",A1:CV300,44,FALSE)* 90)</f>
        <v>5.25</v>
      </c>
      <c r="AV44" s="21576">
        <f>IF(HLOOKUP("Apps",A1:CV300,44,FALSE)=0,0,HLOOKUP("Pts",A1:CV300,44,FALSE)/HLOOKUP("Apps",A1:CV300,44,FALSE)* 1)</f>
        <v>2.3333333333333335</v>
      </c>
      <c r="AW44" s="21577">
        <f>IF(HLOOKUP("Mins",A1:CV300,44,FALSE)=0,0,HLOOKUP("Gs",A1:CV300,44,FALSE)/HLOOKUP("Mins",A1:CV300,44,FALSE)* 90)</f>
        <v>0</v>
      </c>
      <c r="AX44" s="21578">
        <f>IF(HLOOKUP("Mins",A1:CV300,44,FALSE)=0,0,HLOOKUP("Bonus",A1:CV300,44,FALSE)/HLOOKUP("Mins",A1:CV300,44,FALSE)* 90)</f>
        <v>0</v>
      </c>
      <c r="AY44" s="21579">
        <f>IF(HLOOKUP("Mins",A1:CV300,44,FALSE)=0,0,HLOOKUP("BPS",A1:CV300,44,FALSE)/HLOOKUP("Mins",A1:CV300,44,FALSE)* 90)</f>
        <v>21</v>
      </c>
      <c r="AZ44" s="21580">
        <f>IF(HLOOKUP("Mins",A1:CV300,44,FALSE)=0,0,HLOOKUP("Base BPS",A1:CV300,44,FALSE)/HLOOKUP("Mins",A1:CV300,44,FALSE)* 90)</f>
        <v>14.25</v>
      </c>
      <c r="BA44" s="21581">
        <f>IF(HLOOKUP("Mins",A1:CV300,44,FALSE)=0,0,HLOOKUP("PenTchs",A1:CV300,44,FALSE)/HLOOKUP("Mins",A1:CV300,44,FALSE)* 90)</f>
        <v>3</v>
      </c>
      <c r="BB44" s="21582">
        <f>IF(HLOOKUP("Mins",A1:CV300,44,FALSE)=0,0,HLOOKUP("Shots",A1:CV300,44,FALSE)/HLOOKUP("Mins",A1:CV300,44,FALSE)* 90)</f>
        <v>1.5</v>
      </c>
      <c r="BC44" s="21583">
        <f>IF(HLOOKUP("Mins",A1:CV300,44,FALSE)=0,0,HLOOKUP("SIB",A1:CV300,44,FALSE)/HLOOKUP("Mins",A1:CV300,44,FALSE)* 90)</f>
        <v>1.5</v>
      </c>
      <c r="BD44" s="21584">
        <f>IF(HLOOKUP("Mins",A1:CV300,44,FALSE)=0,0,HLOOKUP("S6YD",A1:CV300,44,FALSE)/HLOOKUP("Mins",A1:CV300,44,FALSE)* 90)</f>
        <v>0</v>
      </c>
      <c r="BE44" s="21585">
        <f>IF(HLOOKUP("Mins",A1:CV300,44,FALSE)=0,0,HLOOKUP("Headers",A1:CV300,44,FALSE)/HLOOKUP("Mins",A1:CV300,44,FALSE)* 90)</f>
        <v>0.75</v>
      </c>
      <c r="BF44" s="21586">
        <f>IF(HLOOKUP("Mins",A1:CV300,44,FALSE)=0,0,HLOOKUP("SOT",A1:CV300,44,FALSE)/HLOOKUP("Mins",A1:CV300,44,FALSE)* 90)</f>
        <v>0</v>
      </c>
      <c r="BG44" s="21587">
        <f>IF(HLOOKUP("Mins",A1:CV300,44,FALSE)=0,0,HLOOKUP("As",A1:CV300,44,FALSE)/HLOOKUP("Mins",A1:CV300,44,FALSE)* 90)</f>
        <v>0</v>
      </c>
      <c r="BH44" s="21588">
        <f>IF(HLOOKUP("Mins",A1:CV300,44,FALSE)=0,0,HLOOKUP("FPL As",A1:CV300,44,FALSE)/HLOOKUP("Mins",A1:CV300,44,FALSE)* 90)</f>
        <v>0.75</v>
      </c>
      <c r="BI44" s="21589">
        <f>IF(HLOOKUP("Mins",A1:CV300,44,FALSE)=0,0,HLOOKUP("BC Created",A1:CV300,44,FALSE)/HLOOKUP("Mins",A1:CV300,44,FALSE)* 90)</f>
        <v>0</v>
      </c>
      <c r="BJ44" s="21590">
        <f>IF(HLOOKUP("Mins",A1:CV300,44,FALSE)=0,0,HLOOKUP("KP",A1:CV300,44,FALSE)/HLOOKUP("Mins",A1:CV300,44,FALSE)* 90)</f>
        <v>2.25</v>
      </c>
      <c r="BK44" s="21591">
        <f>IF(HLOOKUP("Mins",A1:CV300,44,FALSE)=0,0,HLOOKUP("BC",A1:CV300,44,FALSE)/HLOOKUP("Mins",A1:CV300,44,FALSE)* 90)</f>
        <v>0</v>
      </c>
      <c r="BL44" s="21592">
        <f>IF(HLOOKUP("Mins",A1:CV300,44,FALSE)=0,0,HLOOKUP("BC Miss",A1:CV300,44,FALSE)/HLOOKUP("Mins",A1:CV300,44,FALSE)* 90)</f>
        <v>0</v>
      </c>
      <c r="BM44" s="21593">
        <f>IF(HLOOKUP("Mins",A1:CV300,44,FALSE)=0,0,HLOOKUP("Gs - BC",A1:CV300,44,FALSE)/HLOOKUP("Mins",A1:CV300,44,FALSE)* 90)</f>
        <v>0</v>
      </c>
      <c r="BN44" s="21594">
        <f>IF(HLOOKUP("Mins",A1:CV300,44,FALSE)=0,0,HLOOKUP("GIB",A1:CV300,44,FALSE)/HLOOKUP("Mins",A1:CV300,44,FALSE)* 90)</f>
        <v>0</v>
      </c>
      <c r="BO44" s="21595">
        <f>IF(HLOOKUP("Mins",A1:CV300,44,FALSE)=0,0,HLOOKUP("Gs - Open",A1:CV300,44,FALSE)/HLOOKUP("Mins",A1:CV300,44,FALSE)* 90)</f>
        <v>0</v>
      </c>
      <c r="BP44" s="21596">
        <f>IF(HLOOKUP("Mins",A1:CV300,44,FALSE)=0,0,HLOOKUP("ICT Index",A1:CV300,44,FALSE)/HLOOKUP("Mins",A1:CV300,44,FALSE)* 90)</f>
        <v>4.5749999999999993</v>
      </c>
      <c r="BQ44" s="21597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  <v>0.21299999999999999</v>
      </c>
      <c r="BR44" s="21598">
        <f>0.0885*HLOOKUP("KP/90",A1:CV300,44,FALSE)</f>
        <v>0.199125</v>
      </c>
      <c r="BS44" s="21599">
        <f>5*HLOOKUP("xG/90",A1:CV300,44,FALSE)+3*HLOOKUP("xA/90",A1:CV300,44,FALSE)</f>
        <v>1.6623749999999999</v>
      </c>
      <c r="BT44" s="21600">
        <f>HLOOKUP("xPts/90",A1:CV300,44,FALSE)-(5*0.75*(HLOOKUP("PK Gs",A1:CV300,44,FALSE)+HLOOKUP("PK Miss",A1:CV300,44,FALSE))*90/HLOOKUP("Mins",A1:CV300,44,FALSE))</f>
        <v>1.6623749999999999</v>
      </c>
      <c r="BU44" s="21601">
        <f>IF(HLOOKUP("Mins",A1:CV300,44,FALSE)=0,0,HLOOKUP("fsXG",A1:CV300,44,FALSE)/HLOOKUP("Mins",A1:CV300,44,FALSE)* 90)</f>
        <v>6.7500000000000004E-2</v>
      </c>
      <c r="BV44" s="21602">
        <f>IF(HLOOKUP("Mins",A1:CV300,44,FALSE)=0,0,HLOOKUP("fsXA",A1:CV300,44,FALSE)/HLOOKUP("Mins",A1:CV300,44,FALSE)* 90)</f>
        <v>5.2500000000000005E-2</v>
      </c>
      <c r="BW44" s="21603">
        <f>5*HLOOKUP("fsXG/90",A1:CV300,44,FALSE)+3*HLOOKUP("fsXA/90",A1:CV300,44,FALSE)</f>
        <v>0.49500000000000005</v>
      </c>
      <c r="BX44" s="21604">
        <v>5.6234341114759445E-2</v>
      </c>
      <c r="BY44" s="21605">
        <v>5.5468246340751648E-2</v>
      </c>
      <c r="BZ44" s="21606">
        <f>5*HLOOKUP("uXG/90",A1:CV300,44,FALSE)+3*HLOOKUP("uXA/90",A1:CV300,44,FALSE)</f>
        <v>0.44757644459605217</v>
      </c>
    </row>
    <row r="45" spans="1:78" x14ac:dyDescent="0.3">
      <c r="A45" s="21607" t="s">
        <v>372</v>
      </c>
      <c r="B45" s="21608" t="s">
        <v>81</v>
      </c>
      <c r="C45" s="21609">
        <v>5</v>
      </c>
      <c r="D45" s="21610">
        <v>1730</v>
      </c>
      <c r="E45" s="21611">
        <v>20</v>
      </c>
      <c r="F45" s="21612">
        <v>62</v>
      </c>
      <c r="G45" s="21613">
        <v>2</v>
      </c>
      <c r="H45" s="21614">
        <v>5</v>
      </c>
      <c r="I45" s="21615">
        <v>328</v>
      </c>
      <c r="J45" s="21616">
        <f>HLOOKUP("BPS",A1:CV300,45,FALSE)-((-6*HLOOKUP("OG",A1:CV300,45,FALSE))+(-6*HLOOKUP("PK Miss",A1:CV300,45,FALSE))+(9*HLOOKUP("FPL As",A1:CV300,45,FALSE))+(0*HLOOKUP("CS",A1:CV300,45,FALSE))+(18*HLOOKUP("Gs",A1:CV300,45,FALSE)))</f>
        <v>283</v>
      </c>
      <c r="K45" s="21617">
        <v>0</v>
      </c>
      <c r="L45" s="21618">
        <v>8</v>
      </c>
      <c r="M45" s="21619">
        <v>15</v>
      </c>
      <c r="N45" s="21620">
        <v>16</v>
      </c>
      <c r="O45" s="21621">
        <v>10</v>
      </c>
      <c r="P45" s="21622">
        <f>IF(HLOOKUP("Shots",A1:CV300,45,FALSE)=0,0,HLOOKUP("SIB",A1:CV300,45,FALSE)/HLOOKUP("Shots",A1:CV300,45,FALSE))</f>
        <v>0.625</v>
      </c>
      <c r="Q45" s="21623">
        <v>1</v>
      </c>
      <c r="R45" s="21624">
        <f>IF(HLOOKUP("Shots",A1:CV300,45,FALSE)=0,0,HLOOKUP("S6YD",A1:CV300,45,FALSE)/HLOOKUP("Shots",A1:CV300,45,FALSE))</f>
        <v>6.25E-2</v>
      </c>
      <c r="S45" s="21625">
        <v>6</v>
      </c>
      <c r="T45" s="21626">
        <f>IF(HLOOKUP("Shots",A1:CV300,45,FALSE)=0,0,HLOOKUP("Headers",A1:CV300,45,FALSE)/HLOOKUP("Shots",A1:CV300,45,FALSE))</f>
        <v>0.375</v>
      </c>
      <c r="U45" s="21627">
        <v>3</v>
      </c>
      <c r="V45" s="21628">
        <f>IF(HLOOKUP("Shots",A1:CV300,45,FALSE)=0,0,HLOOKUP("SOT",A1:CV300,45,FALSE)/HLOOKUP("Shots",A1:CV300,45,FALSE))</f>
        <v>0.1875</v>
      </c>
      <c r="W45" s="21629">
        <f>IF(HLOOKUP("Shots",A1:CV300,45,FALSE)=0,0,HLOOKUP("Gs",A1:CV300,45,FALSE)/HLOOKUP("Shots",A1:CV300,45,FALSE))</f>
        <v>0.125</v>
      </c>
      <c r="X45" s="21630">
        <v>1</v>
      </c>
      <c r="Y45" s="21631">
        <v>1</v>
      </c>
      <c r="Z45" s="21632">
        <v>12</v>
      </c>
      <c r="AA45" s="21633">
        <f>IF(HLOOKUP("KP",A1:CV300,45,FALSE)=0,0,HLOOKUP("As",A1:CV300,45,FALSE)/HLOOKUP("KP",A1:CV300,45,FALSE))</f>
        <v>8.3333333333333329E-2</v>
      </c>
      <c r="AB45" s="21634">
        <v>79.599999999999994</v>
      </c>
      <c r="AC45" s="21635">
        <v>7</v>
      </c>
      <c r="AD45" s="21636">
        <v>0</v>
      </c>
      <c r="AE45" s="21637">
        <v>1</v>
      </c>
      <c r="AF45" s="21638">
        <v>0</v>
      </c>
      <c r="AG45" s="21639">
        <f>IF(HLOOKUP("BC",A1:CV300,45,FALSE)=0,0,HLOOKUP("Gs - BC",A1:CV300,45,FALSE)/HLOOKUP("BC",A1:CV300,45,FALSE))</f>
        <v>1</v>
      </c>
      <c r="AH45" s="21640">
        <f>HLOOKUP("BC",A1:CV300,45,FALSE) - HLOOKUP("BC Miss",A1:CV300,45,FALSE)</f>
        <v>1</v>
      </c>
      <c r="AI45" s="21641">
        <f>IF(HLOOKUP("Gs",A1:CV300,45,FALSE)=0,0,HLOOKUP("Gs - BC",A1:CV300,45,FALSE)/HLOOKUP("Gs",A1:CV300,45,FALSE))</f>
        <v>0.5</v>
      </c>
      <c r="AJ45" s="21642">
        <v>0</v>
      </c>
      <c r="AK45" s="21643">
        <v>0</v>
      </c>
      <c r="AL45" s="21644">
        <f>HLOOKUP("BC",A1:CV300,45,FALSE) - (HLOOKUP("PK Gs",A1:CV300,45,FALSE) + HLOOKUP("PK Miss",A1:CV300,45,FALSE))</f>
        <v>1</v>
      </c>
      <c r="AM45" s="21645">
        <f>HLOOKUP("BC Miss",A1:CV300,45,FALSE) - HLOOKUP("PK Miss",A1:CV300,45,FALSE)</f>
        <v>0</v>
      </c>
      <c r="AN45" s="21646">
        <f>IF(HLOOKUP("BC - Open",A1:CV300,45,FALSE)=0,0,HLOOKUP("BC - Open Miss",A1:CV300,45,FALSE)/HLOOKUP("BC - Open",A1:CV300,45,FALSE))</f>
        <v>0</v>
      </c>
      <c r="AO45" s="21647">
        <v>2</v>
      </c>
      <c r="AP45" s="21648">
        <f>IF(HLOOKUP("Gs",A1:CV300,45,FALSE)=0,0,HLOOKUP("GIB",A1:CV300,45,FALSE)/HLOOKUP("Gs",A1:CV300,45,FALSE))</f>
        <v>1</v>
      </c>
      <c r="AQ45" s="21649">
        <v>1</v>
      </c>
      <c r="AR45" s="21650">
        <f>IF(HLOOKUP("Gs",A1:CV300,45,FALSE)=0,0,HLOOKUP("Gs - Open",A1:CV300,45,FALSE)/HLOOKUP("Gs",A1:CV300,45,FALSE))</f>
        <v>0.5</v>
      </c>
      <c r="AS45" s="21651">
        <v>1.05</v>
      </c>
      <c r="AT45" s="21652">
        <v>0.36</v>
      </c>
      <c r="AU45" s="21653">
        <f>IF(HLOOKUP("Mins",A1:CV300,45,FALSE)=0,0,HLOOKUP("Pts",A1:CV300,45,FALSE)/HLOOKUP("Mins",A1:CV300,45,FALSE)* 90)</f>
        <v>3.2254335260115607</v>
      </c>
      <c r="AV45" s="21654">
        <f>IF(HLOOKUP("Apps",A1:CV300,45,FALSE)=0,0,HLOOKUP("Pts",A1:CV300,45,FALSE)/HLOOKUP("Apps",A1:CV300,45,FALSE)* 1)</f>
        <v>3.1</v>
      </c>
      <c r="AW45" s="21655">
        <f>IF(HLOOKUP("Mins",A1:CV300,45,FALSE)=0,0,HLOOKUP("Gs",A1:CV300,45,FALSE)/HLOOKUP("Mins",A1:CV300,45,FALSE)* 90)</f>
        <v>0.10404624277456648</v>
      </c>
      <c r="AX45" s="21656">
        <f>IF(HLOOKUP("Mins",A1:CV300,45,FALSE)=0,0,HLOOKUP("Bonus",A1:CV300,45,FALSE)/HLOOKUP("Mins",A1:CV300,45,FALSE)* 90)</f>
        <v>0.26011560693641617</v>
      </c>
      <c r="AY45" s="21657">
        <f>IF(HLOOKUP("Mins",A1:CV300,45,FALSE)=0,0,HLOOKUP("BPS",A1:CV300,45,FALSE)/HLOOKUP("Mins",A1:CV300,45,FALSE)* 90)</f>
        <v>17.063583815028899</v>
      </c>
      <c r="AZ45" s="21658">
        <f>IF(HLOOKUP("Mins",A1:CV300,45,FALSE)=0,0,HLOOKUP("Base BPS",A1:CV300,45,FALSE)/HLOOKUP("Mins",A1:CV300,45,FALSE)* 90)</f>
        <v>14.722543352601157</v>
      </c>
      <c r="BA45" s="21659">
        <f>IF(HLOOKUP("Mins",A1:CV300,45,FALSE)=0,0,HLOOKUP("PenTchs",A1:CV300,45,FALSE)/HLOOKUP("Mins",A1:CV300,45,FALSE)* 90)</f>
        <v>0.78034682080924844</v>
      </c>
      <c r="BB45" s="21660">
        <f>IF(HLOOKUP("Mins",A1:CV300,45,FALSE)=0,0,HLOOKUP("Shots",A1:CV300,45,FALSE)/HLOOKUP("Mins",A1:CV300,45,FALSE)* 90)</f>
        <v>0.83236994219653182</v>
      </c>
      <c r="BC45" s="21661">
        <f>IF(HLOOKUP("Mins",A1:CV300,45,FALSE)=0,0,HLOOKUP("SIB",A1:CV300,45,FALSE)/HLOOKUP("Mins",A1:CV300,45,FALSE)* 90)</f>
        <v>0.52023121387283233</v>
      </c>
      <c r="BD45" s="21662">
        <f>IF(HLOOKUP("Mins",A1:CV300,45,FALSE)=0,0,HLOOKUP("S6YD",A1:CV300,45,FALSE)/HLOOKUP("Mins",A1:CV300,45,FALSE)* 90)</f>
        <v>5.2023121387283239E-2</v>
      </c>
      <c r="BE45" s="21663">
        <f>IF(HLOOKUP("Mins",A1:CV300,45,FALSE)=0,0,HLOOKUP("Headers",A1:CV300,45,FALSE)/HLOOKUP("Mins",A1:CV300,45,FALSE)* 90)</f>
        <v>0.31213872832369943</v>
      </c>
      <c r="BF45" s="21664">
        <f>IF(HLOOKUP("Mins",A1:CV300,45,FALSE)=0,0,HLOOKUP("SOT",A1:CV300,45,FALSE)/HLOOKUP("Mins",A1:CV300,45,FALSE)* 90)</f>
        <v>0.15606936416184972</v>
      </c>
      <c r="BG45" s="21665">
        <f>IF(HLOOKUP("Mins",A1:CV300,45,FALSE)=0,0,HLOOKUP("As",A1:CV300,45,FALSE)/HLOOKUP("Mins",A1:CV300,45,FALSE)* 90)</f>
        <v>5.2023121387283239E-2</v>
      </c>
      <c r="BH45" s="21666">
        <f>IF(HLOOKUP("Mins",A1:CV300,45,FALSE)=0,0,HLOOKUP("FPL As",A1:CV300,45,FALSE)/HLOOKUP("Mins",A1:CV300,45,FALSE)* 90)</f>
        <v>5.2023121387283239E-2</v>
      </c>
      <c r="BI45" s="21667">
        <f>IF(HLOOKUP("Mins",A1:CV300,45,FALSE)=0,0,HLOOKUP("BC Created",A1:CV300,45,FALSE)/HLOOKUP("Mins",A1:CV300,45,FALSE)* 90)</f>
        <v>0</v>
      </c>
      <c r="BJ45" s="21668">
        <f>IF(HLOOKUP("Mins",A1:CV300,45,FALSE)=0,0,HLOOKUP("KP",A1:CV300,45,FALSE)/HLOOKUP("Mins",A1:CV300,45,FALSE)* 90)</f>
        <v>0.62427745664739887</v>
      </c>
      <c r="BK45" s="21669">
        <f>IF(HLOOKUP("Mins",A1:CV300,45,FALSE)=0,0,HLOOKUP("BC",A1:CV300,45,FALSE)/HLOOKUP("Mins",A1:CV300,45,FALSE)* 90)</f>
        <v>5.2023121387283239E-2</v>
      </c>
      <c r="BL45" s="21670">
        <f>IF(HLOOKUP("Mins",A1:CV300,45,FALSE)=0,0,HLOOKUP("BC Miss",A1:CV300,45,FALSE)/HLOOKUP("Mins",A1:CV300,45,FALSE)* 90)</f>
        <v>0</v>
      </c>
      <c r="BM45" s="21671">
        <f>IF(HLOOKUP("Mins",A1:CV300,45,FALSE)=0,0,HLOOKUP("Gs - BC",A1:CV300,45,FALSE)/HLOOKUP("Mins",A1:CV300,45,FALSE)* 90)</f>
        <v>5.2023121387283239E-2</v>
      </c>
      <c r="BN45" s="21672">
        <f>IF(HLOOKUP("Mins",A1:CV300,45,FALSE)=0,0,HLOOKUP("GIB",A1:CV300,45,FALSE)/HLOOKUP("Mins",A1:CV300,45,FALSE)* 90)</f>
        <v>0.10404624277456648</v>
      </c>
      <c r="BO45" s="21673">
        <f>IF(HLOOKUP("Mins",A1:CV300,45,FALSE)=0,0,HLOOKUP("Gs - Open",A1:CV300,45,FALSE)/HLOOKUP("Mins",A1:CV300,45,FALSE)* 90)</f>
        <v>5.2023121387283239E-2</v>
      </c>
      <c r="BP45" s="21674">
        <f>IF(HLOOKUP("Mins",A1:CV300,45,FALSE)=0,0,HLOOKUP("ICT Index",A1:CV300,45,FALSE)/HLOOKUP("Mins",A1:CV300,45,FALSE)* 90)</f>
        <v>4.1410404624277453</v>
      </c>
      <c r="BQ45" s="21675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  <v>8.5109826589595372E-2</v>
      </c>
      <c r="BR45" s="21676">
        <f>0.0885*HLOOKUP("KP/90",A1:CV300,45,FALSE)</f>
        <v>5.5248554913294799E-2</v>
      </c>
      <c r="BS45" s="21677">
        <f>5*HLOOKUP("xG/90",A1:CV300,45,FALSE)+3*HLOOKUP("xA/90",A1:CV300,45,FALSE)</f>
        <v>0.59129479768786131</v>
      </c>
      <c r="BT45" s="21678">
        <f>HLOOKUP("xPts/90",A1:CV300,45,FALSE)-(5*0.75*(HLOOKUP("PK Gs",A1:CV300,45,FALSE)+HLOOKUP("PK Miss",A1:CV300,45,FALSE))*90/HLOOKUP("Mins",A1:CV300,45,FALSE))</f>
        <v>0.59129479768786131</v>
      </c>
      <c r="BU45" s="21679">
        <f>IF(HLOOKUP("Mins",A1:CV300,45,FALSE)=0,0,HLOOKUP("fsXG",A1:CV300,45,FALSE)/HLOOKUP("Mins",A1:CV300,45,FALSE)* 90)</f>
        <v>5.4624277456647399E-2</v>
      </c>
      <c r="BV45" s="21680">
        <f>IF(HLOOKUP("Mins",A1:CV300,45,FALSE)=0,0,HLOOKUP("fsXA",A1:CV300,45,FALSE)/HLOOKUP("Mins",A1:CV300,45,FALSE)* 90)</f>
        <v>1.8728323699421963E-2</v>
      </c>
      <c r="BW45" s="21681">
        <f>5*HLOOKUP("fsXG/90",A1:CV300,45,FALSE)+3*HLOOKUP("fsXA/90",A1:CV300,45,FALSE)</f>
        <v>0.32930635838150285</v>
      </c>
      <c r="BX45" s="21682">
        <v>5.3056545555591583E-2</v>
      </c>
      <c r="BY45" s="21683">
        <v>2.7949081733822823E-2</v>
      </c>
      <c r="BZ45" s="21684">
        <f>5*HLOOKUP("uXG/90",A1:CV300,45,FALSE)+3*HLOOKUP("uXA/90",A1:CV300,45,FALSE)</f>
        <v>0.34912997297942638</v>
      </c>
    </row>
    <row r="46" spans="1:78" x14ac:dyDescent="0.3">
      <c r="A46" s="21685" t="s">
        <v>373</v>
      </c>
      <c r="B46" s="21686" t="s">
        <v>81</v>
      </c>
      <c r="C46" s="21687">
        <v>5.0999999046325684</v>
      </c>
      <c r="D46" s="21688">
        <v>411</v>
      </c>
      <c r="E46" s="21689">
        <v>14</v>
      </c>
      <c r="F46" s="21690">
        <v>24</v>
      </c>
      <c r="G46" s="21691">
        <v>1</v>
      </c>
      <c r="H46" s="21692">
        <v>0</v>
      </c>
      <c r="I46" s="21693">
        <v>80</v>
      </c>
      <c r="J46" s="21694">
        <f>HLOOKUP("BPS",A1:CV300,46,FALSE)-((-6*HLOOKUP("OG",A1:CV300,46,FALSE))+(-6*HLOOKUP("PK Miss",A1:CV300,46,FALSE))+(9*HLOOKUP("FPL As",A1:CV300,46,FALSE))+(0*HLOOKUP("CS",A1:CV300,46,FALSE))+(18*HLOOKUP("Gs",A1:CV300,46,FALSE)))</f>
        <v>50</v>
      </c>
      <c r="K46" s="21695">
        <v>0</v>
      </c>
      <c r="L46" s="21696">
        <v>0</v>
      </c>
      <c r="M46" s="21697">
        <v>29</v>
      </c>
      <c r="N46" s="21698">
        <v>12</v>
      </c>
      <c r="O46" s="21699">
        <v>9</v>
      </c>
      <c r="P46" s="21700">
        <f>IF(HLOOKUP("Shots",A1:CV300,46,FALSE)=0,0,HLOOKUP("SIB",A1:CV300,46,FALSE)/HLOOKUP("Shots",A1:CV300,46,FALSE))</f>
        <v>0.75</v>
      </c>
      <c r="Q46" s="21701">
        <v>1</v>
      </c>
      <c r="R46" s="21702">
        <f>IF(HLOOKUP("Shots",A1:CV300,46,FALSE)=0,0,HLOOKUP("S6YD",A1:CV300,46,FALSE)/HLOOKUP("Shots",A1:CV300,46,FALSE))</f>
        <v>8.3333333333333329E-2</v>
      </c>
      <c r="S46" s="21703">
        <v>0</v>
      </c>
      <c r="T46" s="21704">
        <f>IF(HLOOKUP("Shots",A1:CV300,46,FALSE)=0,0,HLOOKUP("Headers",A1:CV300,46,FALSE)/HLOOKUP("Shots",A1:CV300,46,FALSE))</f>
        <v>0</v>
      </c>
      <c r="U46" s="21705">
        <v>6</v>
      </c>
      <c r="V46" s="21706">
        <f>IF(HLOOKUP("Shots",A1:CV300,46,FALSE)=0,0,HLOOKUP("SOT",A1:CV300,46,FALSE)/HLOOKUP("Shots",A1:CV300,46,FALSE))</f>
        <v>0.5</v>
      </c>
      <c r="W46" s="21707">
        <f>IF(HLOOKUP("Shots",A1:CV300,46,FALSE)=0,0,HLOOKUP("Gs",A1:CV300,46,FALSE)/HLOOKUP("Shots",A1:CV300,46,FALSE))</f>
        <v>8.3333333333333329E-2</v>
      </c>
      <c r="X46" s="21708">
        <v>1</v>
      </c>
      <c r="Y46" s="21709">
        <v>2</v>
      </c>
      <c r="Z46" s="21710">
        <v>7</v>
      </c>
      <c r="AA46" s="21711">
        <f>IF(HLOOKUP("KP",A1:CV300,46,FALSE)=0,0,HLOOKUP("As",A1:CV300,46,FALSE)/HLOOKUP("KP",A1:CV300,46,FALSE))</f>
        <v>0.14285714285714285</v>
      </c>
      <c r="AB46" s="21712">
        <v>41</v>
      </c>
      <c r="AC46" s="21713">
        <v>23</v>
      </c>
      <c r="AD46" s="21714">
        <v>3</v>
      </c>
      <c r="AE46" s="21715">
        <v>2</v>
      </c>
      <c r="AF46" s="21716">
        <v>1</v>
      </c>
      <c r="AG46" s="21717">
        <f>IF(HLOOKUP("BC",A1:CV300,46,FALSE)=0,0,HLOOKUP("Gs - BC",A1:CV300,46,FALSE)/HLOOKUP("BC",A1:CV300,46,FALSE))</f>
        <v>0.5</v>
      </c>
      <c r="AH46" s="21718">
        <f>HLOOKUP("BC",A1:CV300,46,FALSE) - HLOOKUP("BC Miss",A1:CV300,46,FALSE)</f>
        <v>1</v>
      </c>
      <c r="AI46" s="21719">
        <f>IF(HLOOKUP("Gs",A1:CV300,46,FALSE)=0,0,HLOOKUP("Gs - BC",A1:CV300,46,FALSE)/HLOOKUP("Gs",A1:CV300,46,FALSE))</f>
        <v>1</v>
      </c>
      <c r="AJ46" s="21720">
        <v>0</v>
      </c>
      <c r="AK46" s="21721">
        <v>1</v>
      </c>
      <c r="AL46" s="21722">
        <f>HLOOKUP("BC",A1:CV300,46,FALSE) - (HLOOKUP("PK Gs",A1:CV300,46,FALSE) + HLOOKUP("PK Miss",A1:CV300,46,FALSE))</f>
        <v>1</v>
      </c>
      <c r="AM46" s="21723">
        <f>HLOOKUP("BC Miss",A1:CV300,46,FALSE) - HLOOKUP("PK Miss",A1:CV300,46,FALSE)</f>
        <v>0</v>
      </c>
      <c r="AN46" s="21724">
        <f>IF(HLOOKUP("BC - Open",A1:CV300,46,FALSE)=0,0,HLOOKUP("BC - Open Miss",A1:CV300,46,FALSE)/HLOOKUP("BC - Open",A1:CV300,46,FALSE))</f>
        <v>0</v>
      </c>
      <c r="AO46" s="21725">
        <v>1</v>
      </c>
      <c r="AP46" s="21726">
        <f>IF(HLOOKUP("Gs",A1:CV300,46,FALSE)=0,0,HLOOKUP("GIB",A1:CV300,46,FALSE)/HLOOKUP("Gs",A1:CV300,46,FALSE))</f>
        <v>1</v>
      </c>
      <c r="AQ46" s="21727">
        <v>1</v>
      </c>
      <c r="AR46" s="21728">
        <f>IF(HLOOKUP("Gs",A1:CV300,46,FALSE)=0,0,HLOOKUP("Gs - Open",A1:CV300,46,FALSE)/HLOOKUP("Gs",A1:CV300,46,FALSE))</f>
        <v>1</v>
      </c>
      <c r="AS46" s="21729">
        <v>1.97</v>
      </c>
      <c r="AT46" s="21730">
        <v>0.97</v>
      </c>
      <c r="AU46" s="21731">
        <f>IF(HLOOKUP("Mins",A1:CV300,46,FALSE)=0,0,HLOOKUP("Pts",A1:CV300,46,FALSE)/HLOOKUP("Mins",A1:CV300,46,FALSE)* 90)</f>
        <v>5.2554744525547443</v>
      </c>
      <c r="AV46" s="21732">
        <f>IF(HLOOKUP("Apps",A1:CV300,46,FALSE)=0,0,HLOOKUP("Pts",A1:CV300,46,FALSE)/HLOOKUP("Apps",A1:CV300,46,FALSE)* 1)</f>
        <v>1.7142857142857142</v>
      </c>
      <c r="AW46" s="21733">
        <f>IF(HLOOKUP("Mins",A1:CV300,46,FALSE)=0,0,HLOOKUP("Gs",A1:CV300,46,FALSE)/HLOOKUP("Mins",A1:CV300,46,FALSE)* 90)</f>
        <v>0.21897810218978103</v>
      </c>
      <c r="AX46" s="21734">
        <f>IF(HLOOKUP("Mins",A1:CV300,46,FALSE)=0,0,HLOOKUP("Bonus",A1:CV300,46,FALSE)/HLOOKUP("Mins",A1:CV300,46,FALSE)* 90)</f>
        <v>0</v>
      </c>
      <c r="AY46" s="21735">
        <f>IF(HLOOKUP("Mins",A1:CV300,46,FALSE)=0,0,HLOOKUP("BPS",A1:CV300,46,FALSE)/HLOOKUP("Mins",A1:CV300,46,FALSE)* 90)</f>
        <v>17.518248175182482</v>
      </c>
      <c r="AZ46" s="21736">
        <f>IF(HLOOKUP("Mins",A1:CV300,46,FALSE)=0,0,HLOOKUP("Base BPS",A1:CV300,46,FALSE)/HLOOKUP("Mins",A1:CV300,46,FALSE)* 90)</f>
        <v>10.948905109489051</v>
      </c>
      <c r="BA46" s="21737">
        <f>IF(HLOOKUP("Mins",A1:CV300,46,FALSE)=0,0,HLOOKUP("PenTchs",A1:CV300,46,FALSE)/HLOOKUP("Mins",A1:CV300,46,FALSE)* 90)</f>
        <v>6.3503649635036492</v>
      </c>
      <c r="BB46" s="21738">
        <f>IF(HLOOKUP("Mins",A1:CV300,46,FALSE)=0,0,HLOOKUP("Shots",A1:CV300,46,FALSE)/HLOOKUP("Mins",A1:CV300,46,FALSE)* 90)</f>
        <v>2.6277372262773722</v>
      </c>
      <c r="BC46" s="21739">
        <f>IF(HLOOKUP("Mins",A1:CV300,46,FALSE)=0,0,HLOOKUP("SIB",A1:CV300,46,FALSE)/HLOOKUP("Mins",A1:CV300,46,FALSE)* 90)</f>
        <v>1.9708029197080292</v>
      </c>
      <c r="BD46" s="21740">
        <f>IF(HLOOKUP("Mins",A1:CV300,46,FALSE)=0,0,HLOOKUP("S6YD",A1:CV300,46,FALSE)/HLOOKUP("Mins",A1:CV300,46,FALSE)* 90)</f>
        <v>0.21897810218978103</v>
      </c>
      <c r="BE46" s="21741">
        <f>IF(HLOOKUP("Mins",A1:CV300,46,FALSE)=0,0,HLOOKUP("Headers",A1:CV300,46,FALSE)/HLOOKUP("Mins",A1:CV300,46,FALSE)* 90)</f>
        <v>0</v>
      </c>
      <c r="BF46" s="21742">
        <f>IF(HLOOKUP("Mins",A1:CV300,46,FALSE)=0,0,HLOOKUP("SOT",A1:CV300,46,FALSE)/HLOOKUP("Mins",A1:CV300,46,FALSE)* 90)</f>
        <v>1.3138686131386861</v>
      </c>
      <c r="BG46" s="21743">
        <f>IF(HLOOKUP("Mins",A1:CV300,46,FALSE)=0,0,HLOOKUP("As",A1:CV300,46,FALSE)/HLOOKUP("Mins",A1:CV300,46,FALSE)* 90)</f>
        <v>0.21897810218978103</v>
      </c>
      <c r="BH46" s="21744">
        <f>IF(HLOOKUP("Mins",A1:CV300,46,FALSE)=0,0,HLOOKUP("FPL As",A1:CV300,46,FALSE)/HLOOKUP("Mins",A1:CV300,46,FALSE)* 90)</f>
        <v>0.43795620437956206</v>
      </c>
      <c r="BI46" s="21745">
        <f>IF(HLOOKUP("Mins",A1:CV300,46,FALSE)=0,0,HLOOKUP("BC Created",A1:CV300,46,FALSE)/HLOOKUP("Mins",A1:CV300,46,FALSE)* 90)</f>
        <v>0.65693430656934304</v>
      </c>
      <c r="BJ46" s="21746">
        <f>IF(HLOOKUP("Mins",A1:CV300,46,FALSE)=0,0,HLOOKUP("KP",A1:CV300,46,FALSE)/HLOOKUP("Mins",A1:CV300,46,FALSE)* 90)</f>
        <v>1.5328467153284671</v>
      </c>
      <c r="BK46" s="21747">
        <f>IF(HLOOKUP("Mins",A1:CV300,46,FALSE)=0,0,HLOOKUP("BC",A1:CV300,46,FALSE)/HLOOKUP("Mins",A1:CV300,46,FALSE)* 90)</f>
        <v>0.43795620437956206</v>
      </c>
      <c r="BL46" s="21748">
        <f>IF(HLOOKUP("Mins",A1:CV300,46,FALSE)=0,0,HLOOKUP("BC Miss",A1:CV300,46,FALSE)/HLOOKUP("Mins",A1:CV300,46,FALSE)* 90)</f>
        <v>0.21897810218978103</v>
      </c>
      <c r="BM46" s="21749">
        <f>IF(HLOOKUP("Mins",A1:CV300,46,FALSE)=0,0,HLOOKUP("Gs - BC",A1:CV300,46,FALSE)/HLOOKUP("Mins",A1:CV300,46,FALSE)* 90)</f>
        <v>0.21897810218978103</v>
      </c>
      <c r="BN46" s="21750">
        <f>IF(HLOOKUP("Mins",A1:CV300,46,FALSE)=0,0,HLOOKUP("GIB",A1:CV300,46,FALSE)/HLOOKUP("Mins",A1:CV300,46,FALSE)* 90)</f>
        <v>0.21897810218978103</v>
      </c>
      <c r="BO46" s="21751">
        <f>IF(HLOOKUP("Mins",A1:CV300,46,FALSE)=0,0,HLOOKUP("Gs - Open",A1:CV300,46,FALSE)/HLOOKUP("Mins",A1:CV300,46,FALSE)* 90)</f>
        <v>0.21897810218978103</v>
      </c>
      <c r="BP46" s="21752">
        <f>IF(HLOOKUP("Mins",A1:CV300,46,FALSE)=0,0,HLOOKUP("ICT Index",A1:CV300,46,FALSE)/HLOOKUP("Mins",A1:CV300,46,FALSE)* 90)</f>
        <v>8.9781021897810227</v>
      </c>
      <c r="BQ46" s="21753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  <v>0.43664233576642331</v>
      </c>
      <c r="BR46" s="21754">
        <f>0.0885*HLOOKUP("KP/90",A1:CV300,46,FALSE)</f>
        <v>0.13565693430656933</v>
      </c>
      <c r="BS46" s="21755">
        <f>5*HLOOKUP("xG/90",A1:CV300,46,FALSE)+3*HLOOKUP("xA/90",A1:CV300,46,FALSE)</f>
        <v>2.5901824817518246</v>
      </c>
      <c r="BT46" s="21756">
        <f>HLOOKUP("xPts/90",A1:CV300,46,FALSE)-(5*0.75*(HLOOKUP("PK Gs",A1:CV300,46,FALSE)+HLOOKUP("PK Miss",A1:CV300,46,FALSE))*90/HLOOKUP("Mins",A1:CV300,46,FALSE))</f>
        <v>1.7690145985401458</v>
      </c>
      <c r="BU46" s="21757">
        <f>IF(HLOOKUP("Mins",A1:CV300,46,FALSE)=0,0,HLOOKUP("fsXG",A1:CV300,46,FALSE)/HLOOKUP("Mins",A1:CV300,46,FALSE)* 90)</f>
        <v>0.43138686131386861</v>
      </c>
      <c r="BV46" s="21758">
        <f>IF(HLOOKUP("Mins",A1:CV300,46,FALSE)=0,0,HLOOKUP("fsXA",A1:CV300,46,FALSE)/HLOOKUP("Mins",A1:CV300,46,FALSE)* 90)</f>
        <v>0.21240875912408758</v>
      </c>
      <c r="BW46" s="21759">
        <f>5*HLOOKUP("fsXG/90",A1:CV300,46,FALSE)+3*HLOOKUP("fsXA/90",A1:CV300,46,FALSE)</f>
        <v>2.7941605839416059</v>
      </c>
      <c r="BX46" s="21760">
        <v>0.43837085366249084</v>
      </c>
      <c r="BY46" s="21761">
        <v>0.31187373399734497</v>
      </c>
      <c r="BZ46" s="21762">
        <f>5*HLOOKUP("uXG/90",A1:CV300,46,FALSE)+3*HLOOKUP("uXA/90",A1:CV300,46,FALSE)</f>
        <v>3.1274754703044891</v>
      </c>
    </row>
    <row r="47" spans="1:78" x14ac:dyDescent="0.3">
      <c r="A47" s="21763" t="s">
        <v>374</v>
      </c>
      <c r="B47" s="21764" t="s">
        <v>132</v>
      </c>
      <c r="C47" s="21765">
        <v>5.4000000953674316</v>
      </c>
      <c r="D47" s="21766">
        <v>1680</v>
      </c>
      <c r="E47" s="21767">
        <v>20</v>
      </c>
      <c r="F47" s="21768">
        <v>60</v>
      </c>
      <c r="G47" s="21769">
        <v>2</v>
      </c>
      <c r="H47" s="21770">
        <v>3</v>
      </c>
      <c r="I47" s="21771">
        <v>267</v>
      </c>
      <c r="J47" s="21772">
        <f>HLOOKUP("BPS",A1:CV300,47,FALSE)-((-6*HLOOKUP("OG",A1:CV300,47,FALSE))+(-6*HLOOKUP("PK Miss",A1:CV300,47,FALSE))+(9*HLOOKUP("FPL As",A1:CV300,47,FALSE))+(0*HLOOKUP("CS",A1:CV300,47,FALSE))+(18*HLOOKUP("Gs",A1:CV300,47,FALSE)))</f>
        <v>231</v>
      </c>
      <c r="K47" s="21773">
        <v>0</v>
      </c>
      <c r="L47" s="21774">
        <v>8</v>
      </c>
      <c r="M47" s="21775">
        <v>34</v>
      </c>
      <c r="N47" s="21776">
        <v>25</v>
      </c>
      <c r="O47" s="21777">
        <v>15</v>
      </c>
      <c r="P47" s="21778">
        <f>IF(HLOOKUP("Shots",A1:CV300,47,FALSE)=0,0,HLOOKUP("SIB",A1:CV300,47,FALSE)/HLOOKUP("Shots",A1:CV300,47,FALSE))</f>
        <v>0.6</v>
      </c>
      <c r="Q47" s="21779">
        <v>0</v>
      </c>
      <c r="R47" s="21780">
        <f>IF(HLOOKUP("Shots",A1:CV300,47,FALSE)=0,0,HLOOKUP("S6YD",A1:CV300,47,FALSE)/HLOOKUP("Shots",A1:CV300,47,FALSE))</f>
        <v>0</v>
      </c>
      <c r="S47" s="21781">
        <v>5</v>
      </c>
      <c r="T47" s="21782">
        <f>IF(HLOOKUP("Shots",A1:CV300,47,FALSE)=0,0,HLOOKUP("Headers",A1:CV300,47,FALSE)/HLOOKUP("Shots",A1:CV300,47,FALSE))</f>
        <v>0.2</v>
      </c>
      <c r="U47" s="21783">
        <v>10</v>
      </c>
      <c r="V47" s="21784">
        <f>IF(HLOOKUP("Shots",A1:CV300,47,FALSE)=0,0,HLOOKUP("SOT",A1:CV300,47,FALSE)/HLOOKUP("Shots",A1:CV300,47,FALSE))</f>
        <v>0.4</v>
      </c>
      <c r="W47" s="21785">
        <f>IF(HLOOKUP("Shots",A1:CV300,47,FALSE)=0,0,HLOOKUP("Gs",A1:CV300,47,FALSE)/HLOOKUP("Shots",A1:CV300,47,FALSE))</f>
        <v>0.08</v>
      </c>
      <c r="X47" s="21786">
        <v>0</v>
      </c>
      <c r="Y47" s="21787">
        <v>0</v>
      </c>
      <c r="Z47" s="21788">
        <v>5</v>
      </c>
      <c r="AA47" s="21789">
        <f>IF(HLOOKUP("KP",A1:CV300,47,FALSE)=0,0,HLOOKUP("As",A1:CV300,47,FALSE)/HLOOKUP("KP",A1:CV300,47,FALSE))</f>
        <v>0</v>
      </c>
      <c r="AB47" s="21790">
        <v>61.1</v>
      </c>
      <c r="AC47" s="21791">
        <v>5</v>
      </c>
      <c r="AD47" s="21792">
        <v>0</v>
      </c>
      <c r="AE47" s="21793">
        <v>2</v>
      </c>
      <c r="AF47" s="21794">
        <v>2</v>
      </c>
      <c r="AG47" s="21795">
        <f>IF(HLOOKUP("BC",A1:CV300,47,FALSE)=0,0,HLOOKUP("Gs - BC",A1:CV300,47,FALSE)/HLOOKUP("BC",A1:CV300,47,FALSE))</f>
        <v>0</v>
      </c>
      <c r="AH47" s="21796">
        <f>HLOOKUP("BC",A1:CV300,47,FALSE) - HLOOKUP("BC Miss",A1:CV300,47,FALSE)</f>
        <v>0</v>
      </c>
      <c r="AI47" s="21797">
        <f>IF(HLOOKUP("Gs",A1:CV300,47,FALSE)=0,0,HLOOKUP("Gs - BC",A1:CV300,47,FALSE)/HLOOKUP("Gs",A1:CV300,47,FALSE))</f>
        <v>0</v>
      </c>
      <c r="AJ47" s="21798">
        <v>0</v>
      </c>
      <c r="AK47" s="21799">
        <v>0</v>
      </c>
      <c r="AL47" s="21800">
        <f>HLOOKUP("BC",A1:CV300,47,FALSE) - (HLOOKUP("PK Gs",A1:CV300,47,FALSE) + HLOOKUP("PK Miss",A1:CV300,47,FALSE))</f>
        <v>2</v>
      </c>
      <c r="AM47" s="21801">
        <f>HLOOKUP("BC Miss",A1:CV300,47,FALSE) - HLOOKUP("PK Miss",A1:CV300,47,FALSE)</f>
        <v>2</v>
      </c>
      <c r="AN47" s="21802">
        <f>IF(HLOOKUP("BC - Open",A1:CV300,47,FALSE)=0,0,HLOOKUP("BC - Open Miss",A1:CV300,47,FALSE)/HLOOKUP("BC - Open",A1:CV300,47,FALSE))</f>
        <v>1</v>
      </c>
      <c r="AO47" s="21803">
        <v>1</v>
      </c>
      <c r="AP47" s="21804">
        <f>IF(HLOOKUP("Gs",A1:CV300,47,FALSE)=0,0,HLOOKUP("GIB",A1:CV300,47,FALSE)/HLOOKUP("Gs",A1:CV300,47,FALSE))</f>
        <v>0.5</v>
      </c>
      <c r="AQ47" s="21805">
        <v>2</v>
      </c>
      <c r="AR47" s="21806">
        <f>IF(HLOOKUP("Gs",A1:CV300,47,FALSE)=0,0,HLOOKUP("Gs - Open",A1:CV300,47,FALSE)/HLOOKUP("Gs",A1:CV300,47,FALSE))</f>
        <v>1</v>
      </c>
      <c r="AS47" s="21807">
        <v>1.24</v>
      </c>
      <c r="AT47" s="21808">
        <v>0.79</v>
      </c>
      <c r="AU47" s="21809">
        <f>IF(HLOOKUP("Mins",A1:CV300,47,FALSE)=0,0,HLOOKUP("Pts",A1:CV300,47,FALSE)/HLOOKUP("Mins",A1:CV300,47,FALSE)* 90)</f>
        <v>3.214285714285714</v>
      </c>
      <c r="AV47" s="21810">
        <f>IF(HLOOKUP("Apps",A1:CV300,47,FALSE)=0,0,HLOOKUP("Pts",A1:CV300,47,FALSE)/HLOOKUP("Apps",A1:CV300,47,FALSE)* 1)</f>
        <v>3</v>
      </c>
      <c r="AW47" s="21811">
        <f>IF(HLOOKUP("Mins",A1:CV300,47,FALSE)=0,0,HLOOKUP("Gs",A1:CV300,47,FALSE)/HLOOKUP("Mins",A1:CV300,47,FALSE)* 90)</f>
        <v>0.10714285714285715</v>
      </c>
      <c r="AX47" s="21812">
        <f>IF(HLOOKUP("Mins",A1:CV300,47,FALSE)=0,0,HLOOKUP("Bonus",A1:CV300,47,FALSE)/HLOOKUP("Mins",A1:CV300,47,FALSE)* 90)</f>
        <v>0.1607142857142857</v>
      </c>
      <c r="AY47" s="21813">
        <f>IF(HLOOKUP("Mins",A1:CV300,47,FALSE)=0,0,HLOOKUP("BPS",A1:CV300,47,FALSE)/HLOOKUP("Mins",A1:CV300,47,FALSE)* 90)</f>
        <v>14.303571428571427</v>
      </c>
      <c r="AZ47" s="21814">
        <f>IF(HLOOKUP("Mins",A1:CV300,47,FALSE)=0,0,HLOOKUP("Base BPS",A1:CV300,47,FALSE)/HLOOKUP("Mins",A1:CV300,47,FALSE)* 90)</f>
        <v>12.375000000000002</v>
      </c>
      <c r="BA47" s="21815">
        <f>IF(HLOOKUP("Mins",A1:CV300,47,FALSE)=0,0,HLOOKUP("PenTchs",A1:CV300,47,FALSE)/HLOOKUP("Mins",A1:CV300,47,FALSE)* 90)</f>
        <v>1.8214285714285716</v>
      </c>
      <c r="BB47" s="21816">
        <f>IF(HLOOKUP("Mins",A1:CV300,47,FALSE)=0,0,HLOOKUP("Shots",A1:CV300,47,FALSE)/HLOOKUP("Mins",A1:CV300,47,FALSE)* 90)</f>
        <v>1.3392857142857142</v>
      </c>
      <c r="BC47" s="21817">
        <f>IF(HLOOKUP("Mins",A1:CV300,47,FALSE)=0,0,HLOOKUP("SIB",A1:CV300,47,FALSE)/HLOOKUP("Mins",A1:CV300,47,FALSE)* 90)</f>
        <v>0.80357142857142849</v>
      </c>
      <c r="BD47" s="21818">
        <f>IF(HLOOKUP("Mins",A1:CV300,47,FALSE)=0,0,HLOOKUP("S6YD",A1:CV300,47,FALSE)/HLOOKUP("Mins",A1:CV300,47,FALSE)* 90)</f>
        <v>0</v>
      </c>
      <c r="BE47" s="21819">
        <f>IF(HLOOKUP("Mins",A1:CV300,47,FALSE)=0,0,HLOOKUP("Headers",A1:CV300,47,FALSE)/HLOOKUP("Mins",A1:CV300,47,FALSE)* 90)</f>
        <v>0.26785714285714285</v>
      </c>
      <c r="BF47" s="21820">
        <f>IF(HLOOKUP("Mins",A1:CV300,47,FALSE)=0,0,HLOOKUP("SOT",A1:CV300,47,FALSE)/HLOOKUP("Mins",A1:CV300,47,FALSE)* 90)</f>
        <v>0.5357142857142857</v>
      </c>
      <c r="BG47" s="21821">
        <f>IF(HLOOKUP("Mins",A1:CV300,47,FALSE)=0,0,HLOOKUP("As",A1:CV300,47,FALSE)/HLOOKUP("Mins",A1:CV300,47,FALSE)* 90)</f>
        <v>0</v>
      </c>
      <c r="BH47" s="21822">
        <f>IF(HLOOKUP("Mins",A1:CV300,47,FALSE)=0,0,HLOOKUP("FPL As",A1:CV300,47,FALSE)/HLOOKUP("Mins",A1:CV300,47,FALSE)* 90)</f>
        <v>0</v>
      </c>
      <c r="BI47" s="21823">
        <f>IF(HLOOKUP("Mins",A1:CV300,47,FALSE)=0,0,HLOOKUP("BC Created",A1:CV300,47,FALSE)/HLOOKUP("Mins",A1:CV300,47,FALSE)* 90)</f>
        <v>0</v>
      </c>
      <c r="BJ47" s="21824">
        <f>IF(HLOOKUP("Mins",A1:CV300,47,FALSE)=0,0,HLOOKUP("KP",A1:CV300,47,FALSE)/HLOOKUP("Mins",A1:CV300,47,FALSE)* 90)</f>
        <v>0.26785714285714285</v>
      </c>
      <c r="BK47" s="21825">
        <f>IF(HLOOKUP("Mins",A1:CV300,47,FALSE)=0,0,HLOOKUP("BC",A1:CV300,47,FALSE)/HLOOKUP("Mins",A1:CV300,47,FALSE)* 90)</f>
        <v>0.10714285714285715</v>
      </c>
      <c r="BL47" s="21826">
        <f>IF(HLOOKUP("Mins",A1:CV300,47,FALSE)=0,0,HLOOKUP("BC Miss",A1:CV300,47,FALSE)/HLOOKUP("Mins",A1:CV300,47,FALSE)* 90)</f>
        <v>0.10714285714285715</v>
      </c>
      <c r="BM47" s="21827">
        <f>IF(HLOOKUP("Mins",A1:CV300,47,FALSE)=0,0,HLOOKUP("Gs - BC",A1:CV300,47,FALSE)/HLOOKUP("Mins",A1:CV300,47,FALSE)* 90)</f>
        <v>0</v>
      </c>
      <c r="BN47" s="21828">
        <f>IF(HLOOKUP("Mins",A1:CV300,47,FALSE)=0,0,HLOOKUP("GIB",A1:CV300,47,FALSE)/HLOOKUP("Mins",A1:CV300,47,FALSE)* 90)</f>
        <v>5.3571428571428575E-2</v>
      </c>
      <c r="BO47" s="21829">
        <f>IF(HLOOKUP("Mins",A1:CV300,47,FALSE)=0,0,HLOOKUP("Gs - Open",A1:CV300,47,FALSE)/HLOOKUP("Mins",A1:CV300,47,FALSE)* 90)</f>
        <v>0.10714285714285715</v>
      </c>
      <c r="BP47" s="21830">
        <f>IF(HLOOKUP("Mins",A1:CV300,47,FALSE)=0,0,HLOOKUP("ICT Index",A1:CV300,47,FALSE)/HLOOKUP("Mins",A1:CV300,47,FALSE)* 90)</f>
        <v>3.2732142857142859</v>
      </c>
      <c r="BQ47" s="21831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  <v>0.13339285714285712</v>
      </c>
      <c r="BR47" s="21832">
        <f>0.0885*HLOOKUP("KP/90",A1:CV300,47,FALSE)</f>
        <v>2.3705357142857143E-2</v>
      </c>
      <c r="BS47" s="21833">
        <f>5*HLOOKUP("xG/90",A1:CV300,47,FALSE)+3*HLOOKUP("xA/90",A1:CV300,47,FALSE)</f>
        <v>0.73808035714285702</v>
      </c>
      <c r="BT47" s="21834">
        <f>HLOOKUP("xPts/90",A1:CV300,47,FALSE)-(5*0.75*(HLOOKUP("PK Gs",A1:CV300,47,FALSE)+HLOOKUP("PK Miss",A1:CV300,47,FALSE))*90/HLOOKUP("Mins",A1:CV300,47,FALSE))</f>
        <v>0.73808035714285702</v>
      </c>
      <c r="BU47" s="21835">
        <f>IF(HLOOKUP("Mins",A1:CV300,47,FALSE)=0,0,HLOOKUP("fsXG",A1:CV300,47,FALSE)/HLOOKUP("Mins",A1:CV300,47,FALSE)* 90)</f>
        <v>6.6428571428571434E-2</v>
      </c>
      <c r="BV47" s="21836">
        <f>IF(HLOOKUP("Mins",A1:CV300,47,FALSE)=0,0,HLOOKUP("fsXA",A1:CV300,47,FALSE)/HLOOKUP("Mins",A1:CV300,47,FALSE)* 90)</f>
        <v>4.2321428571428572E-2</v>
      </c>
      <c r="BW47" s="21837">
        <f>5*HLOOKUP("fsXG/90",A1:CV300,47,FALSE)+3*HLOOKUP("fsXA/90",A1:CV300,47,FALSE)</f>
        <v>0.45910714285714294</v>
      </c>
      <c r="BX47" s="21838">
        <v>6.9046400487422943E-2</v>
      </c>
      <c r="BY47" s="21839">
        <v>1.4396579936146736E-2</v>
      </c>
      <c r="BZ47" s="21840">
        <f>5*HLOOKUP("uXG/90",A1:CV300,47,FALSE)+3*HLOOKUP("uXA/90",A1:CV300,47,FALSE)</f>
        <v>0.38842174224555492</v>
      </c>
    </row>
    <row r="48" spans="1:78" x14ac:dyDescent="0.3">
      <c r="A48" s="21841" t="s">
        <v>375</v>
      </c>
      <c r="B48" s="21842" t="s">
        <v>132</v>
      </c>
      <c r="C48" s="21843">
        <v>4.5</v>
      </c>
      <c r="D48" s="21844">
        <v>14</v>
      </c>
      <c r="E48" s="21845">
        <v>1</v>
      </c>
      <c r="F48" s="21846">
        <v>1</v>
      </c>
      <c r="G48" s="21847">
        <v>0</v>
      </c>
      <c r="H48" s="21848">
        <v>0</v>
      </c>
      <c r="I48" s="21849">
        <v>1</v>
      </c>
      <c r="J48" s="21850">
        <f>HLOOKUP("BPS",A1:CV300,48,FALSE)-((-6*HLOOKUP("OG",A1:CV300,48,FALSE))+(-6*HLOOKUP("PK Miss",A1:CV300,48,FALSE))+(9*HLOOKUP("FPL As",A1:CV300,48,FALSE))+(0*HLOOKUP("CS",A1:CV300,48,FALSE))+(18*HLOOKUP("Gs",A1:CV300,48,FALSE)))</f>
        <v>1</v>
      </c>
      <c r="K48" s="21851">
        <v>0</v>
      </c>
      <c r="L48" s="21852">
        <v>0</v>
      </c>
      <c r="M48" s="21853">
        <v>1</v>
      </c>
      <c r="N48" s="21854">
        <v>1</v>
      </c>
      <c r="O48" s="21855">
        <v>1</v>
      </c>
      <c r="P48" s="21856">
        <f>IF(HLOOKUP("Shots",A1:CV300,48,FALSE)=0,0,HLOOKUP("SIB",A1:CV300,48,FALSE)/HLOOKUP("Shots",A1:CV300,48,FALSE))</f>
        <v>1</v>
      </c>
      <c r="Q48" s="21857">
        <v>0</v>
      </c>
      <c r="R48" s="21858">
        <f>IF(HLOOKUP("Shots",A1:CV300,48,FALSE)=0,0,HLOOKUP("S6YD",A1:CV300,48,FALSE)/HLOOKUP("Shots",A1:CV300,48,FALSE))</f>
        <v>0</v>
      </c>
      <c r="S48" s="21859">
        <v>0</v>
      </c>
      <c r="T48" s="21860">
        <f>IF(HLOOKUP("Shots",A1:CV300,48,FALSE)=0,0,HLOOKUP("Headers",A1:CV300,48,FALSE)/HLOOKUP("Shots",A1:CV300,48,FALSE))</f>
        <v>0</v>
      </c>
      <c r="U48" s="21861">
        <v>0</v>
      </c>
      <c r="V48" s="21862">
        <f>IF(HLOOKUP("Shots",A1:CV300,48,FALSE)=0,0,HLOOKUP("SOT",A1:CV300,48,FALSE)/HLOOKUP("Shots",A1:CV300,48,FALSE))</f>
        <v>0</v>
      </c>
      <c r="W48" s="21863">
        <f>IF(HLOOKUP("Shots",A1:CV300,48,FALSE)=0,0,HLOOKUP("Gs",A1:CV300,48,FALSE)/HLOOKUP("Shots",A1:CV300,48,FALSE))</f>
        <v>0</v>
      </c>
      <c r="X48" s="21864">
        <v>0</v>
      </c>
      <c r="Y48" s="21865">
        <v>0</v>
      </c>
      <c r="Z48" s="21866">
        <v>0</v>
      </c>
      <c r="AA48" s="21867">
        <f>IF(HLOOKUP("KP",A1:CV300,48,FALSE)=0,0,HLOOKUP("As",A1:CV300,48,FALSE)/HLOOKUP("KP",A1:CV300,48,FALSE))</f>
        <v>0</v>
      </c>
      <c r="AB48" s="21868">
        <v>0.5</v>
      </c>
      <c r="AC48" s="21869">
        <v>0</v>
      </c>
      <c r="AD48" s="21870">
        <v>0</v>
      </c>
      <c r="AE48" s="21871">
        <v>0</v>
      </c>
      <c r="AF48" s="21872">
        <v>0</v>
      </c>
      <c r="AG48" s="21873">
        <f>IF(HLOOKUP("BC",A1:CV300,48,FALSE)=0,0,HLOOKUP("Gs - BC",A1:CV300,48,FALSE)/HLOOKUP("BC",A1:CV300,48,FALSE))</f>
        <v>0</v>
      </c>
      <c r="AH48" s="21874">
        <f>HLOOKUP("BC",A1:CV300,48,FALSE) - HLOOKUP("BC Miss",A1:CV300,48,FALSE)</f>
        <v>0</v>
      </c>
      <c r="AI48" s="21875">
        <f>IF(HLOOKUP("Gs",A1:CV300,48,FALSE)=0,0,HLOOKUP("Gs - BC",A1:CV300,48,FALSE)/HLOOKUP("Gs",A1:CV300,48,FALSE))</f>
        <v>0</v>
      </c>
      <c r="AJ48" s="21876">
        <v>0</v>
      </c>
      <c r="AK48" s="21877">
        <v>0</v>
      </c>
      <c r="AL48" s="21878">
        <f>HLOOKUP("BC",A1:CV300,48,FALSE) - (HLOOKUP("PK Gs",A1:CV300,48,FALSE) + HLOOKUP("PK Miss",A1:CV300,48,FALSE))</f>
        <v>0</v>
      </c>
      <c r="AM48" s="21879">
        <f>HLOOKUP("BC Miss",A1:CV300,48,FALSE) - HLOOKUP("PK Miss",A1:CV300,48,FALSE)</f>
        <v>0</v>
      </c>
      <c r="AN48" s="21880">
        <f>IF(HLOOKUP("BC - Open",A1:CV300,48,FALSE)=0,0,HLOOKUP("BC - Open Miss",A1:CV300,48,FALSE)/HLOOKUP("BC - Open",A1:CV300,48,FALSE))</f>
        <v>0</v>
      </c>
      <c r="AO48" s="21881">
        <v>0</v>
      </c>
      <c r="AP48" s="21882">
        <f>IF(HLOOKUP("Gs",A1:CV300,48,FALSE)=0,0,HLOOKUP("GIB",A1:CV300,48,FALSE)/HLOOKUP("Gs",A1:CV300,48,FALSE))</f>
        <v>0</v>
      </c>
      <c r="AQ48" s="21883">
        <v>0</v>
      </c>
      <c r="AR48" s="21884">
        <f>IF(HLOOKUP("Gs",A1:CV300,48,FALSE)=0,0,HLOOKUP("Gs - Open",A1:CV300,48,FALSE)/HLOOKUP("Gs",A1:CV300,48,FALSE))</f>
        <v>0</v>
      </c>
      <c r="AS48" s="21885">
        <v>0.06</v>
      </c>
      <c r="AT48" s="21886">
        <v>0.02</v>
      </c>
      <c r="AU48" s="21887">
        <f>IF(HLOOKUP("Mins",A1:CV300,48,FALSE)=0,0,HLOOKUP("Pts",A1:CV300,48,FALSE)/HLOOKUP("Mins",A1:CV300,48,FALSE)* 90)</f>
        <v>6.4285714285714279</v>
      </c>
      <c r="AV48" s="21888">
        <f>IF(HLOOKUP("Apps",A1:CV300,48,FALSE)=0,0,HLOOKUP("Pts",A1:CV300,48,FALSE)/HLOOKUP("Apps",A1:CV300,48,FALSE)* 1)</f>
        <v>1</v>
      </c>
      <c r="AW48" s="21889">
        <f>IF(HLOOKUP("Mins",A1:CV300,48,FALSE)=0,0,HLOOKUP("Gs",A1:CV300,48,FALSE)/HLOOKUP("Mins",A1:CV300,48,FALSE)* 90)</f>
        <v>0</v>
      </c>
      <c r="AX48" s="21890">
        <f>IF(HLOOKUP("Mins",A1:CV300,48,FALSE)=0,0,HLOOKUP("Bonus",A1:CV300,48,FALSE)/HLOOKUP("Mins",A1:CV300,48,FALSE)* 90)</f>
        <v>0</v>
      </c>
      <c r="AY48" s="21891">
        <f>IF(HLOOKUP("Mins",A1:CV300,48,FALSE)=0,0,HLOOKUP("BPS",A1:CV300,48,FALSE)/HLOOKUP("Mins",A1:CV300,48,FALSE)* 90)</f>
        <v>6.4285714285714279</v>
      </c>
      <c r="AZ48" s="21892">
        <f>IF(HLOOKUP("Mins",A1:CV300,48,FALSE)=0,0,HLOOKUP("Base BPS",A1:CV300,48,FALSE)/HLOOKUP("Mins",A1:CV300,48,FALSE)* 90)</f>
        <v>6.4285714285714279</v>
      </c>
      <c r="BA48" s="21893">
        <f>IF(HLOOKUP("Mins",A1:CV300,48,FALSE)=0,0,HLOOKUP("PenTchs",A1:CV300,48,FALSE)/HLOOKUP("Mins",A1:CV300,48,FALSE)* 90)</f>
        <v>6.4285714285714279</v>
      </c>
      <c r="BB48" s="21894">
        <f>IF(HLOOKUP("Mins",A1:CV300,48,FALSE)=0,0,HLOOKUP("Shots",A1:CV300,48,FALSE)/HLOOKUP("Mins",A1:CV300,48,FALSE)* 90)</f>
        <v>6.4285714285714279</v>
      </c>
      <c r="BC48" s="21895">
        <f>IF(HLOOKUP("Mins",A1:CV300,48,FALSE)=0,0,HLOOKUP("SIB",A1:CV300,48,FALSE)/HLOOKUP("Mins",A1:CV300,48,FALSE)* 90)</f>
        <v>6.4285714285714279</v>
      </c>
      <c r="BD48" s="21896">
        <f>IF(HLOOKUP("Mins",A1:CV300,48,FALSE)=0,0,HLOOKUP("S6YD",A1:CV300,48,FALSE)/HLOOKUP("Mins",A1:CV300,48,FALSE)* 90)</f>
        <v>0</v>
      </c>
      <c r="BE48" s="21897">
        <f>IF(HLOOKUP("Mins",A1:CV300,48,FALSE)=0,0,HLOOKUP("Headers",A1:CV300,48,FALSE)/HLOOKUP("Mins",A1:CV300,48,FALSE)* 90)</f>
        <v>0</v>
      </c>
      <c r="BF48" s="21898">
        <f>IF(HLOOKUP("Mins",A1:CV300,48,FALSE)=0,0,HLOOKUP("SOT",A1:CV300,48,FALSE)/HLOOKUP("Mins",A1:CV300,48,FALSE)* 90)</f>
        <v>0</v>
      </c>
      <c r="BG48" s="21899">
        <f>IF(HLOOKUP("Mins",A1:CV300,48,FALSE)=0,0,HLOOKUP("As",A1:CV300,48,FALSE)/HLOOKUP("Mins",A1:CV300,48,FALSE)* 90)</f>
        <v>0</v>
      </c>
      <c r="BH48" s="21900">
        <f>IF(HLOOKUP("Mins",A1:CV300,48,FALSE)=0,0,HLOOKUP("FPL As",A1:CV300,48,FALSE)/HLOOKUP("Mins",A1:CV300,48,FALSE)* 90)</f>
        <v>0</v>
      </c>
      <c r="BI48" s="21901">
        <f>IF(HLOOKUP("Mins",A1:CV300,48,FALSE)=0,0,HLOOKUP("BC Created",A1:CV300,48,FALSE)/HLOOKUP("Mins",A1:CV300,48,FALSE)* 90)</f>
        <v>0</v>
      </c>
      <c r="BJ48" s="21902">
        <f>IF(HLOOKUP("Mins",A1:CV300,48,FALSE)=0,0,HLOOKUP("KP",A1:CV300,48,FALSE)/HLOOKUP("Mins",A1:CV300,48,FALSE)* 90)</f>
        <v>0</v>
      </c>
      <c r="BK48" s="21903">
        <f>IF(HLOOKUP("Mins",A1:CV300,48,FALSE)=0,0,HLOOKUP("BC",A1:CV300,48,FALSE)/HLOOKUP("Mins",A1:CV300,48,FALSE)* 90)</f>
        <v>0</v>
      </c>
      <c r="BL48" s="21904">
        <f>IF(HLOOKUP("Mins",A1:CV300,48,FALSE)=0,0,HLOOKUP("BC Miss",A1:CV300,48,FALSE)/HLOOKUP("Mins",A1:CV300,48,FALSE)* 90)</f>
        <v>0</v>
      </c>
      <c r="BM48" s="21905">
        <f>IF(HLOOKUP("Mins",A1:CV300,48,FALSE)=0,0,HLOOKUP("Gs - BC",A1:CV300,48,FALSE)/HLOOKUP("Mins",A1:CV300,48,FALSE)* 90)</f>
        <v>0</v>
      </c>
      <c r="BN48" s="21906">
        <f>IF(HLOOKUP("Mins",A1:CV300,48,FALSE)=0,0,HLOOKUP("GIB",A1:CV300,48,FALSE)/HLOOKUP("Mins",A1:CV300,48,FALSE)* 90)</f>
        <v>0</v>
      </c>
      <c r="BO48" s="21907">
        <f>IF(HLOOKUP("Mins",A1:CV300,48,FALSE)=0,0,HLOOKUP("Gs - Open",A1:CV300,48,FALSE)/HLOOKUP("Mins",A1:CV300,48,FALSE)* 90)</f>
        <v>0</v>
      </c>
      <c r="BP48" s="21908">
        <f>IF(HLOOKUP("Mins",A1:CV300,48,FALSE)=0,0,HLOOKUP("ICT Index",A1:CV300,48,FALSE)/HLOOKUP("Mins",A1:CV300,48,FALSE)* 90)</f>
        <v>3.214285714285714</v>
      </c>
      <c r="BQ48" s="21909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  <v>0.91285714285714281</v>
      </c>
      <c r="BR48" s="21910">
        <f>0.0885*HLOOKUP("KP/90",A1:CV300,48,FALSE)</f>
        <v>0</v>
      </c>
      <c r="BS48" s="21911">
        <f>5*HLOOKUP("xG/90",A1:CV300,48,FALSE)+3*HLOOKUP("xA/90",A1:CV300,48,FALSE)</f>
        <v>4.5642857142857141</v>
      </c>
      <c r="BT48" s="21912">
        <f>HLOOKUP("xPts/90",A1:CV300,48,FALSE)-(5*0.75*(HLOOKUP("PK Gs",A1:CV300,48,FALSE)+HLOOKUP("PK Miss",A1:CV300,48,FALSE))*90/HLOOKUP("Mins",A1:CV300,48,FALSE))</f>
        <v>4.5642857142857141</v>
      </c>
      <c r="BU48" s="21913">
        <f>IF(HLOOKUP("Mins",A1:CV300,48,FALSE)=0,0,HLOOKUP("fsXG",A1:CV300,48,FALSE)/HLOOKUP("Mins",A1:CV300,48,FALSE)* 90)</f>
        <v>0.38571428571428573</v>
      </c>
      <c r="BV48" s="21914">
        <f>IF(HLOOKUP("Mins",A1:CV300,48,FALSE)=0,0,HLOOKUP("fsXA",A1:CV300,48,FALSE)/HLOOKUP("Mins",A1:CV300,48,FALSE)* 90)</f>
        <v>0.12857142857142856</v>
      </c>
      <c r="BW48" s="21915">
        <f>5*HLOOKUP("fsXG/90",A1:CV300,48,FALSE)+3*HLOOKUP("fsXA/90",A1:CV300,48,FALSE)</f>
        <v>2.3142857142857141</v>
      </c>
      <c r="BX48" s="21916">
        <v>0.65151423215866089</v>
      </c>
      <c r="BY48" s="21917">
        <v>0</v>
      </c>
      <c r="BZ48" s="21918">
        <f>5*HLOOKUP("uXG/90",A1:CV300,48,FALSE)+3*HLOOKUP("uXA/90",A1:CV300,48,FALSE)</f>
        <v>3.2575711607933044</v>
      </c>
    </row>
    <row r="49" spans="1:78" x14ac:dyDescent="0.3">
      <c r="A49" s="21919" t="s">
        <v>376</v>
      </c>
      <c r="B49" s="21920" t="s">
        <v>147</v>
      </c>
      <c r="C49" s="21921">
        <v>7.1999998092651367</v>
      </c>
      <c r="D49" s="21922">
        <v>1542</v>
      </c>
      <c r="E49" s="21923">
        <v>21</v>
      </c>
      <c r="F49" s="21924">
        <v>92</v>
      </c>
      <c r="G49" s="21925">
        <v>4</v>
      </c>
      <c r="H49" s="21926">
        <v>14</v>
      </c>
      <c r="I49" s="21927">
        <v>396</v>
      </c>
      <c r="J49" s="21928">
        <f>HLOOKUP("BPS",A1:CV300,49,FALSE)-((-6*HLOOKUP("OG",A1:CV300,49,FALSE))+(-6*HLOOKUP("PK Miss",A1:CV300,49,FALSE))+(9*HLOOKUP("FPL As",A1:CV300,49,FALSE))+(0*HLOOKUP("CS",A1:CV300,49,FALSE))+(18*HLOOKUP("Gs",A1:CV300,49,FALSE)))</f>
        <v>279</v>
      </c>
      <c r="K49" s="21929">
        <v>0</v>
      </c>
      <c r="L49" s="21930">
        <v>7</v>
      </c>
      <c r="M49" s="21931">
        <v>68</v>
      </c>
      <c r="N49" s="21932">
        <v>43</v>
      </c>
      <c r="O49" s="21933">
        <v>27</v>
      </c>
      <c r="P49" s="21934">
        <f>IF(HLOOKUP("Shots",A1:CV300,49,FALSE)=0,0,HLOOKUP("SIB",A1:CV300,49,FALSE)/HLOOKUP("Shots",A1:CV300,49,FALSE))</f>
        <v>0.62790697674418605</v>
      </c>
      <c r="Q49" s="21935">
        <v>0</v>
      </c>
      <c r="R49" s="21936">
        <f>IF(HLOOKUP("Shots",A1:CV300,49,FALSE)=0,0,HLOOKUP("S6YD",A1:CV300,49,FALSE)/HLOOKUP("Shots",A1:CV300,49,FALSE))</f>
        <v>0</v>
      </c>
      <c r="S49" s="21937">
        <v>1</v>
      </c>
      <c r="T49" s="21938">
        <f>IF(HLOOKUP("Shots",A1:CV300,49,FALSE)=0,0,HLOOKUP("Headers",A1:CV300,49,FALSE)/HLOOKUP("Shots",A1:CV300,49,FALSE))</f>
        <v>2.3255813953488372E-2</v>
      </c>
      <c r="U49" s="21939">
        <v>13</v>
      </c>
      <c r="V49" s="21940">
        <f>IF(HLOOKUP("Shots",A1:CV300,49,FALSE)=0,0,HLOOKUP("SOT",A1:CV300,49,FALSE)/HLOOKUP("Shots",A1:CV300,49,FALSE))</f>
        <v>0.30232558139534882</v>
      </c>
      <c r="W49" s="21941">
        <f>IF(HLOOKUP("Shots",A1:CV300,49,FALSE)=0,0,HLOOKUP("Gs",A1:CV300,49,FALSE)/HLOOKUP("Shots",A1:CV300,49,FALSE))</f>
        <v>9.3023255813953487E-2</v>
      </c>
      <c r="X49" s="21942">
        <v>4</v>
      </c>
      <c r="Y49" s="21943">
        <v>5</v>
      </c>
      <c r="Z49" s="21944">
        <v>42</v>
      </c>
      <c r="AA49" s="21945">
        <f>IF(HLOOKUP("KP",A1:CV300,49,FALSE)=0,0,HLOOKUP("As",A1:CV300,49,FALSE)/HLOOKUP("KP",A1:CV300,49,FALSE))</f>
        <v>9.5238095238095233E-2</v>
      </c>
      <c r="AB49" s="21946">
        <v>162.30000000000001</v>
      </c>
      <c r="AC49" s="21947">
        <v>27</v>
      </c>
      <c r="AD49" s="21948">
        <v>6</v>
      </c>
      <c r="AE49" s="21949">
        <v>4</v>
      </c>
      <c r="AF49" s="21950">
        <v>3</v>
      </c>
      <c r="AG49" s="21951">
        <f>IF(HLOOKUP("BC",A1:CV300,49,FALSE)=0,0,HLOOKUP("Gs - BC",A1:CV300,49,FALSE)/HLOOKUP("BC",A1:CV300,49,FALSE))</f>
        <v>0.25</v>
      </c>
      <c r="AH49" s="21952">
        <f>HLOOKUP("BC",A1:CV300,49,FALSE) - HLOOKUP("BC Miss",A1:CV300,49,FALSE)</f>
        <v>1</v>
      </c>
      <c r="AI49" s="21953">
        <f>IF(HLOOKUP("Gs",A1:CV300,49,FALSE)=0,0,HLOOKUP("Gs - BC",A1:CV300,49,FALSE)/HLOOKUP("Gs",A1:CV300,49,FALSE))</f>
        <v>0.25</v>
      </c>
      <c r="AJ49" s="21954">
        <v>1</v>
      </c>
      <c r="AK49" s="21955">
        <v>0</v>
      </c>
      <c r="AL49" s="21956">
        <f>HLOOKUP("BC",A1:CV300,49,FALSE) - (HLOOKUP("PK Gs",A1:CV300,49,FALSE) + HLOOKUP("PK Miss",A1:CV300,49,FALSE))</f>
        <v>3</v>
      </c>
      <c r="AM49" s="21957">
        <f>HLOOKUP("BC Miss",A1:CV300,49,FALSE) - HLOOKUP("PK Miss",A1:CV300,49,FALSE)</f>
        <v>3</v>
      </c>
      <c r="AN49" s="21958">
        <f>IF(HLOOKUP("BC - Open",A1:CV300,49,FALSE)=0,0,HLOOKUP("BC - Open Miss",A1:CV300,49,FALSE)/HLOOKUP("BC - Open",A1:CV300,49,FALSE))</f>
        <v>1</v>
      </c>
      <c r="AO49" s="21959">
        <v>4</v>
      </c>
      <c r="AP49" s="21960">
        <f>IF(HLOOKUP("Gs",A1:CV300,49,FALSE)=0,0,HLOOKUP("GIB",A1:CV300,49,FALSE)/HLOOKUP("Gs",A1:CV300,49,FALSE))</f>
        <v>1</v>
      </c>
      <c r="AQ49" s="21961">
        <v>1</v>
      </c>
      <c r="AR49" s="21962">
        <f>IF(HLOOKUP("Gs",A1:CV300,49,FALSE)=0,0,HLOOKUP("Gs - Open",A1:CV300,49,FALSE)/HLOOKUP("Gs",A1:CV300,49,FALSE))</f>
        <v>0.25</v>
      </c>
      <c r="AS49" s="21963">
        <v>3.42</v>
      </c>
      <c r="AT49" s="21964">
        <v>3.01</v>
      </c>
      <c r="AU49" s="21965">
        <f>IF(HLOOKUP("Mins",A1:CV300,49,FALSE)=0,0,HLOOKUP("Pts",A1:CV300,49,FALSE)/HLOOKUP("Mins",A1:CV300,49,FALSE)* 90)</f>
        <v>5.3696498054474713</v>
      </c>
      <c r="AV49" s="21966">
        <f>IF(HLOOKUP("Apps",A1:CV300,49,FALSE)=0,0,HLOOKUP("Pts",A1:CV300,49,FALSE)/HLOOKUP("Apps",A1:CV300,49,FALSE)* 1)</f>
        <v>4.3809523809523814</v>
      </c>
      <c r="AW49" s="21967">
        <f>IF(HLOOKUP("Mins",A1:CV300,49,FALSE)=0,0,HLOOKUP("Gs",A1:CV300,49,FALSE)/HLOOKUP("Mins",A1:CV300,49,FALSE)* 90)</f>
        <v>0.23346303501945526</v>
      </c>
      <c r="AX49" s="21968">
        <f>IF(HLOOKUP("Mins",A1:CV300,49,FALSE)=0,0,HLOOKUP("Bonus",A1:CV300,49,FALSE)/HLOOKUP("Mins",A1:CV300,49,FALSE)* 90)</f>
        <v>0.81712062256809348</v>
      </c>
      <c r="AY49" s="21969">
        <f>IF(HLOOKUP("Mins",A1:CV300,49,FALSE)=0,0,HLOOKUP("BPS",A1:CV300,49,FALSE)/HLOOKUP("Mins",A1:CV300,49,FALSE)* 90)</f>
        <v>23.112840466926066</v>
      </c>
      <c r="AZ49" s="21970">
        <f>IF(HLOOKUP("Mins",A1:CV300,49,FALSE)=0,0,HLOOKUP("Base BPS",A1:CV300,49,FALSE)/HLOOKUP("Mins",A1:CV300,49,FALSE)* 90)</f>
        <v>16.284046692607003</v>
      </c>
      <c r="BA49" s="21971">
        <f>IF(HLOOKUP("Mins",A1:CV300,49,FALSE)=0,0,HLOOKUP("PenTchs",A1:CV300,49,FALSE)/HLOOKUP("Mins",A1:CV300,49,FALSE)* 90)</f>
        <v>3.9688715953307394</v>
      </c>
      <c r="BB49" s="21972">
        <f>IF(HLOOKUP("Mins",A1:CV300,49,FALSE)=0,0,HLOOKUP("Shots",A1:CV300,49,FALSE)/HLOOKUP("Mins",A1:CV300,49,FALSE)* 90)</f>
        <v>2.5097276264591439</v>
      </c>
      <c r="BC49" s="21973">
        <f>IF(HLOOKUP("Mins",A1:CV300,49,FALSE)=0,0,HLOOKUP("SIB",A1:CV300,49,FALSE)/HLOOKUP("Mins",A1:CV300,49,FALSE)* 90)</f>
        <v>1.5758754863813229</v>
      </c>
      <c r="BD49" s="21974">
        <f>IF(HLOOKUP("Mins",A1:CV300,49,FALSE)=0,0,HLOOKUP("S6YD",A1:CV300,49,FALSE)/HLOOKUP("Mins",A1:CV300,49,FALSE)* 90)</f>
        <v>0</v>
      </c>
      <c r="BE49" s="21975">
        <f>IF(HLOOKUP("Mins",A1:CV300,49,FALSE)=0,0,HLOOKUP("Headers",A1:CV300,49,FALSE)/HLOOKUP("Mins",A1:CV300,49,FALSE)* 90)</f>
        <v>5.8365758754863814E-2</v>
      </c>
      <c r="BF49" s="21976">
        <f>IF(HLOOKUP("Mins",A1:CV300,49,FALSE)=0,0,HLOOKUP("SOT",A1:CV300,49,FALSE)/HLOOKUP("Mins",A1:CV300,49,FALSE)* 90)</f>
        <v>0.75875486381322954</v>
      </c>
      <c r="BG49" s="21977">
        <f>IF(HLOOKUP("Mins",A1:CV300,49,FALSE)=0,0,HLOOKUP("As",A1:CV300,49,FALSE)/HLOOKUP("Mins",A1:CV300,49,FALSE)* 90)</f>
        <v>0.23346303501945526</v>
      </c>
      <c r="BH49" s="21978">
        <f>IF(HLOOKUP("Mins",A1:CV300,49,FALSE)=0,0,HLOOKUP("FPL As",A1:CV300,49,FALSE)/HLOOKUP("Mins",A1:CV300,49,FALSE)* 90)</f>
        <v>0.29182879377431908</v>
      </c>
      <c r="BI49" s="21979">
        <f>IF(HLOOKUP("Mins",A1:CV300,49,FALSE)=0,0,HLOOKUP("BC Created",A1:CV300,49,FALSE)/HLOOKUP("Mins",A1:CV300,49,FALSE)* 90)</f>
        <v>0.35019455252918286</v>
      </c>
      <c r="BJ49" s="21980">
        <f>IF(HLOOKUP("Mins",A1:CV300,49,FALSE)=0,0,HLOOKUP("KP",A1:CV300,49,FALSE)/HLOOKUP("Mins",A1:CV300,49,FALSE)* 90)</f>
        <v>2.4513618677042803</v>
      </c>
      <c r="BK49" s="21981">
        <f>IF(HLOOKUP("Mins",A1:CV300,49,FALSE)=0,0,HLOOKUP("BC",A1:CV300,49,FALSE)/HLOOKUP("Mins",A1:CV300,49,FALSE)* 90)</f>
        <v>0.23346303501945526</v>
      </c>
      <c r="BL49" s="21982">
        <f>IF(HLOOKUP("Mins",A1:CV300,49,FALSE)=0,0,HLOOKUP("BC Miss",A1:CV300,49,FALSE)/HLOOKUP("Mins",A1:CV300,49,FALSE)* 90)</f>
        <v>0.17509727626459143</v>
      </c>
      <c r="BM49" s="21983">
        <f>IF(HLOOKUP("Mins",A1:CV300,49,FALSE)=0,0,HLOOKUP("Gs - BC",A1:CV300,49,FALSE)/HLOOKUP("Mins",A1:CV300,49,FALSE)* 90)</f>
        <v>5.8365758754863814E-2</v>
      </c>
      <c r="BN49" s="21984">
        <f>IF(HLOOKUP("Mins",A1:CV300,49,FALSE)=0,0,HLOOKUP("GIB",A1:CV300,49,FALSE)/HLOOKUP("Mins",A1:CV300,49,FALSE)* 90)</f>
        <v>0.23346303501945526</v>
      </c>
      <c r="BO49" s="21985">
        <f>IF(HLOOKUP("Mins",A1:CV300,49,FALSE)=0,0,HLOOKUP("Gs - Open",A1:CV300,49,FALSE)/HLOOKUP("Mins",A1:CV300,49,FALSE)* 90)</f>
        <v>5.8365758754863814E-2</v>
      </c>
      <c r="BP49" s="21986">
        <f>IF(HLOOKUP("Mins",A1:CV300,49,FALSE)=0,0,HLOOKUP("ICT Index",A1:CV300,49,FALSE)/HLOOKUP("Mins",A1:CV300,49,FALSE)* 90)</f>
        <v>9.472762645914397</v>
      </c>
      <c r="BQ49" s="21987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  <v>0.29287937743190656</v>
      </c>
      <c r="BR49" s="21988">
        <f>0.0885*HLOOKUP("KP/90",A1:CV300,49,FALSE)</f>
        <v>0.21694552529182881</v>
      </c>
      <c r="BS49" s="21989">
        <f>5*HLOOKUP("xG/90",A1:CV300,49,FALSE)+3*HLOOKUP("xA/90",A1:CV300,49,FALSE)</f>
        <v>2.1152334630350191</v>
      </c>
      <c r="BT49" s="21990">
        <f>HLOOKUP("xPts/90",A1:CV300,49,FALSE)-(5*0.75*(HLOOKUP("PK Gs",A1:CV300,49,FALSE)+HLOOKUP("PK Miss",A1:CV300,49,FALSE))*90/HLOOKUP("Mins",A1:CV300,49,FALSE))</f>
        <v>1.8963618677042797</v>
      </c>
      <c r="BU49" s="21991">
        <f>IF(HLOOKUP("Mins",A1:CV300,49,FALSE)=0,0,HLOOKUP("fsXG",A1:CV300,49,FALSE)/HLOOKUP("Mins",A1:CV300,49,FALSE)* 90)</f>
        <v>0.19961089494163425</v>
      </c>
      <c r="BV49" s="21992">
        <f>IF(HLOOKUP("Mins",A1:CV300,49,FALSE)=0,0,HLOOKUP("fsXA",A1:CV300,49,FALSE)/HLOOKUP("Mins",A1:CV300,49,FALSE)* 90)</f>
        <v>0.17568093385214006</v>
      </c>
      <c r="BW49" s="21993">
        <f>5*HLOOKUP("fsXG/90",A1:CV300,49,FALSE)+3*HLOOKUP("fsXA/90",A1:CV300,49,FALSE)</f>
        <v>1.5250972762645914</v>
      </c>
      <c r="BX49" s="21994">
        <v>0.22073481976985931</v>
      </c>
      <c r="BY49" s="21995">
        <v>0.28709805011749268</v>
      </c>
      <c r="BZ49" s="21996">
        <f>5*HLOOKUP("uXG/90",A1:CV300,49,FALSE)+3*HLOOKUP("uXA/90",A1:CV300,49,FALSE)</f>
        <v>1.9649682492017746</v>
      </c>
    </row>
    <row r="50" spans="1:78" x14ac:dyDescent="0.3">
      <c r="A50" s="21997" t="s">
        <v>377</v>
      </c>
      <c r="B50" s="21998" t="s">
        <v>86</v>
      </c>
      <c r="C50" s="21999">
        <v>4.4000000953674316</v>
      </c>
      <c r="D50" s="22000">
        <v>1298</v>
      </c>
      <c r="E50" s="22001">
        <v>20</v>
      </c>
      <c r="F50" s="22002">
        <v>54</v>
      </c>
      <c r="G50" s="22003">
        <v>2</v>
      </c>
      <c r="H50" s="22004">
        <v>4</v>
      </c>
      <c r="I50" s="22005">
        <v>221</v>
      </c>
      <c r="J50" s="22006">
        <f>HLOOKUP("BPS",A1:CV300,50,FALSE)-((-6*HLOOKUP("OG",A1:CV300,50,FALSE))+(-6*HLOOKUP("PK Miss",A1:CV300,50,FALSE))+(9*HLOOKUP("FPL As",A1:CV300,50,FALSE))+(0*HLOOKUP("CS",A1:CV300,50,FALSE))+(18*HLOOKUP("Gs",A1:CV300,50,FALSE)))</f>
        <v>176</v>
      </c>
      <c r="K50" s="22007">
        <v>0</v>
      </c>
      <c r="L50" s="22008">
        <v>5</v>
      </c>
      <c r="M50" s="22009">
        <v>20</v>
      </c>
      <c r="N50" s="22010">
        <v>29</v>
      </c>
      <c r="O50" s="22011">
        <v>8</v>
      </c>
      <c r="P50" s="22012">
        <f>IF(HLOOKUP("Shots",A1:CV300,50,FALSE)=0,0,HLOOKUP("SIB",A1:CV300,50,FALSE)/HLOOKUP("Shots",A1:CV300,50,FALSE))</f>
        <v>0.27586206896551724</v>
      </c>
      <c r="Q50" s="22013">
        <v>0</v>
      </c>
      <c r="R50" s="22014">
        <f>IF(HLOOKUP("Shots",A1:CV300,50,FALSE)=0,0,HLOOKUP("S6YD",A1:CV300,50,FALSE)/HLOOKUP("Shots",A1:CV300,50,FALSE))</f>
        <v>0</v>
      </c>
      <c r="S50" s="22015">
        <v>3</v>
      </c>
      <c r="T50" s="22016">
        <f>IF(HLOOKUP("Shots",A1:CV300,50,FALSE)=0,0,HLOOKUP("Headers",A1:CV300,50,FALSE)/HLOOKUP("Shots",A1:CV300,50,FALSE))</f>
        <v>0.10344827586206896</v>
      </c>
      <c r="U50" s="22017">
        <v>9</v>
      </c>
      <c r="V50" s="22018">
        <f>IF(HLOOKUP("Shots",A1:CV300,50,FALSE)=0,0,HLOOKUP("SOT",A1:CV300,50,FALSE)/HLOOKUP("Shots",A1:CV300,50,FALSE))</f>
        <v>0.31034482758620691</v>
      </c>
      <c r="W50" s="22019">
        <f>IF(HLOOKUP("Shots",A1:CV300,50,FALSE)=0,0,HLOOKUP("Gs",A1:CV300,50,FALSE)/HLOOKUP("Shots",A1:CV300,50,FALSE))</f>
        <v>6.8965517241379309E-2</v>
      </c>
      <c r="X50" s="22020">
        <v>1</v>
      </c>
      <c r="Y50" s="22021">
        <v>1</v>
      </c>
      <c r="Z50" s="22022">
        <v>7</v>
      </c>
      <c r="AA50" s="22023">
        <f>IF(HLOOKUP("KP",A1:CV300,50,FALSE)=0,0,HLOOKUP("As",A1:CV300,50,FALSE)/HLOOKUP("KP",A1:CV300,50,FALSE))</f>
        <v>0.14285714285714285</v>
      </c>
      <c r="AB50" s="22024">
        <v>66</v>
      </c>
      <c r="AC50" s="22025">
        <v>19</v>
      </c>
      <c r="AD50" s="22026">
        <v>2</v>
      </c>
      <c r="AE50" s="22027">
        <v>1</v>
      </c>
      <c r="AF50" s="22028">
        <v>1</v>
      </c>
      <c r="AG50" s="22029">
        <f>IF(HLOOKUP("BC",A1:CV300,50,FALSE)=0,0,HLOOKUP("Gs - BC",A1:CV300,50,FALSE)/HLOOKUP("BC",A1:CV300,50,FALSE))</f>
        <v>0</v>
      </c>
      <c r="AH50" s="22030">
        <f>HLOOKUP("BC",A1:CV300,50,FALSE) - HLOOKUP("BC Miss",A1:CV300,50,FALSE)</f>
        <v>0</v>
      </c>
      <c r="AI50" s="22031">
        <f>IF(HLOOKUP("Gs",A1:CV300,50,FALSE)=0,0,HLOOKUP("Gs - BC",A1:CV300,50,FALSE)/HLOOKUP("Gs",A1:CV300,50,FALSE))</f>
        <v>0</v>
      </c>
      <c r="AJ50" s="22032">
        <v>0</v>
      </c>
      <c r="AK50" s="22033">
        <v>0</v>
      </c>
      <c r="AL50" s="22034">
        <f>HLOOKUP("BC",A1:CV300,50,FALSE) - (HLOOKUP("PK Gs",A1:CV300,50,FALSE) + HLOOKUP("PK Miss",A1:CV300,50,FALSE))</f>
        <v>1</v>
      </c>
      <c r="AM50" s="22035">
        <f>HLOOKUP("BC Miss",A1:CV300,50,FALSE) - HLOOKUP("PK Miss",A1:CV300,50,FALSE)</f>
        <v>1</v>
      </c>
      <c r="AN50" s="22036">
        <f>IF(HLOOKUP("BC - Open",A1:CV300,50,FALSE)=0,0,HLOOKUP("BC - Open Miss",A1:CV300,50,FALSE)/HLOOKUP("BC - Open",A1:CV300,50,FALSE))</f>
        <v>1</v>
      </c>
      <c r="AO50" s="22037">
        <v>0</v>
      </c>
      <c r="AP50" s="22038">
        <f>IF(HLOOKUP("Gs",A1:CV300,50,FALSE)=0,0,HLOOKUP("GIB",A1:CV300,50,FALSE)/HLOOKUP("Gs",A1:CV300,50,FALSE))</f>
        <v>0</v>
      </c>
      <c r="AQ50" s="22039">
        <v>1</v>
      </c>
      <c r="AR50" s="22040">
        <f>IF(HLOOKUP("Gs",A1:CV300,50,FALSE)=0,0,HLOOKUP("Gs - Open",A1:CV300,50,FALSE)/HLOOKUP("Gs",A1:CV300,50,FALSE))</f>
        <v>0.5</v>
      </c>
      <c r="AS50" s="22041">
        <v>1.38</v>
      </c>
      <c r="AT50" s="22042">
        <v>0.71</v>
      </c>
      <c r="AU50" s="22043">
        <f>IF(HLOOKUP("Mins",A1:CV300,50,FALSE)=0,0,HLOOKUP("Pts",A1:CV300,50,FALSE)/HLOOKUP("Mins",A1:CV300,50,FALSE)* 90)</f>
        <v>3.7442218798151004</v>
      </c>
      <c r="AV50" s="22044">
        <f>IF(HLOOKUP("Apps",A1:CV300,50,FALSE)=0,0,HLOOKUP("Pts",A1:CV300,50,FALSE)/HLOOKUP("Apps",A1:CV300,50,FALSE)* 1)</f>
        <v>2.7</v>
      </c>
      <c r="AW50" s="22045">
        <f>IF(HLOOKUP("Mins",A1:CV300,50,FALSE)=0,0,HLOOKUP("Gs",A1:CV300,50,FALSE)/HLOOKUP("Mins",A1:CV300,50,FALSE)* 90)</f>
        <v>0.13867488443759632</v>
      </c>
      <c r="AX50" s="22046">
        <f>IF(HLOOKUP("Mins",A1:CV300,50,FALSE)=0,0,HLOOKUP("Bonus",A1:CV300,50,FALSE)/HLOOKUP("Mins",A1:CV300,50,FALSE)* 90)</f>
        <v>0.27734976887519264</v>
      </c>
      <c r="AY50" s="22047">
        <f>IF(HLOOKUP("Mins",A1:CV300,50,FALSE)=0,0,HLOOKUP("BPS",A1:CV300,50,FALSE)/HLOOKUP("Mins",A1:CV300,50,FALSE)* 90)</f>
        <v>15.323574730354393</v>
      </c>
      <c r="AZ50" s="22048">
        <f>IF(HLOOKUP("Mins",A1:CV300,50,FALSE)=0,0,HLOOKUP("Base BPS",A1:CV300,50,FALSE)/HLOOKUP("Mins",A1:CV300,50,FALSE)* 90)</f>
        <v>12.203389830508474</v>
      </c>
      <c r="BA50" s="22049">
        <f>IF(HLOOKUP("Mins",A1:CV300,50,FALSE)=0,0,HLOOKUP("PenTchs",A1:CV300,50,FALSE)/HLOOKUP("Mins",A1:CV300,50,FALSE)* 90)</f>
        <v>1.386748844375963</v>
      </c>
      <c r="BB50" s="22050">
        <f>IF(HLOOKUP("Mins",A1:CV300,50,FALSE)=0,0,HLOOKUP("Shots",A1:CV300,50,FALSE)/HLOOKUP("Mins",A1:CV300,50,FALSE)* 90)</f>
        <v>2.0107858243451462</v>
      </c>
      <c r="BC50" s="22051">
        <f>IF(HLOOKUP("Mins",A1:CV300,50,FALSE)=0,0,HLOOKUP("SIB",A1:CV300,50,FALSE)/HLOOKUP("Mins",A1:CV300,50,FALSE)* 90)</f>
        <v>0.55469953775038527</v>
      </c>
      <c r="BD50" s="22052">
        <f>IF(HLOOKUP("Mins",A1:CV300,50,FALSE)=0,0,HLOOKUP("S6YD",A1:CV300,50,FALSE)/HLOOKUP("Mins",A1:CV300,50,FALSE)* 90)</f>
        <v>0</v>
      </c>
      <c r="BE50" s="22053">
        <f>IF(HLOOKUP("Mins",A1:CV300,50,FALSE)=0,0,HLOOKUP("Headers",A1:CV300,50,FALSE)/HLOOKUP("Mins",A1:CV300,50,FALSE)* 90)</f>
        <v>0.20801232665639446</v>
      </c>
      <c r="BF50" s="22054">
        <f>IF(HLOOKUP("Mins",A1:CV300,50,FALSE)=0,0,HLOOKUP("SOT",A1:CV300,50,FALSE)/HLOOKUP("Mins",A1:CV300,50,FALSE)* 90)</f>
        <v>0.62403697996918339</v>
      </c>
      <c r="BG50" s="22055">
        <f>IF(HLOOKUP("Mins",A1:CV300,50,FALSE)=0,0,HLOOKUP("As",A1:CV300,50,FALSE)/HLOOKUP("Mins",A1:CV300,50,FALSE)* 90)</f>
        <v>6.9337442218798159E-2</v>
      </c>
      <c r="BH50" s="22056">
        <f>IF(HLOOKUP("Mins",A1:CV300,50,FALSE)=0,0,HLOOKUP("FPL As",A1:CV300,50,FALSE)/HLOOKUP("Mins",A1:CV300,50,FALSE)* 90)</f>
        <v>6.9337442218798159E-2</v>
      </c>
      <c r="BI50" s="22057">
        <f>IF(HLOOKUP("Mins",A1:CV300,50,FALSE)=0,0,HLOOKUP("BC Created",A1:CV300,50,FALSE)/HLOOKUP("Mins",A1:CV300,50,FALSE)* 90)</f>
        <v>0.13867488443759632</v>
      </c>
      <c r="BJ50" s="22058">
        <f>IF(HLOOKUP("Mins",A1:CV300,50,FALSE)=0,0,HLOOKUP("KP",A1:CV300,50,FALSE)/HLOOKUP("Mins",A1:CV300,50,FALSE)* 90)</f>
        <v>0.4853620955315871</v>
      </c>
      <c r="BK50" s="22059">
        <f>IF(HLOOKUP("Mins",A1:CV300,50,FALSE)=0,0,HLOOKUP("BC",A1:CV300,50,FALSE)/HLOOKUP("Mins",A1:CV300,50,FALSE)* 90)</f>
        <v>6.9337442218798159E-2</v>
      </c>
      <c r="BL50" s="22060">
        <f>IF(HLOOKUP("Mins",A1:CV300,50,FALSE)=0,0,HLOOKUP("BC Miss",A1:CV300,50,FALSE)/HLOOKUP("Mins",A1:CV300,50,FALSE)* 90)</f>
        <v>6.9337442218798159E-2</v>
      </c>
      <c r="BM50" s="22061">
        <f>IF(HLOOKUP("Mins",A1:CV300,50,FALSE)=0,0,HLOOKUP("Gs - BC",A1:CV300,50,FALSE)/HLOOKUP("Mins",A1:CV300,50,FALSE)* 90)</f>
        <v>0</v>
      </c>
      <c r="BN50" s="22062">
        <f>IF(HLOOKUP("Mins",A1:CV300,50,FALSE)=0,0,HLOOKUP("GIB",A1:CV300,50,FALSE)/HLOOKUP("Mins",A1:CV300,50,FALSE)* 90)</f>
        <v>0</v>
      </c>
      <c r="BO50" s="22063">
        <f>IF(HLOOKUP("Mins",A1:CV300,50,FALSE)=0,0,HLOOKUP("Gs - Open",A1:CV300,50,FALSE)/HLOOKUP("Mins",A1:CV300,50,FALSE)* 90)</f>
        <v>6.9337442218798159E-2</v>
      </c>
      <c r="BP50" s="22064">
        <f>IF(HLOOKUP("Mins",A1:CV300,50,FALSE)=0,0,HLOOKUP("ICT Index",A1:CV300,50,FALSE)/HLOOKUP("Mins",A1:CV300,50,FALSE)* 90)</f>
        <v>4.5762711864406782</v>
      </c>
      <c r="BQ50" s="22065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  <v>0.13118644067796609</v>
      </c>
      <c r="BR50" s="22066">
        <f>0.0885*HLOOKUP("KP/90",A1:CV300,50,FALSE)</f>
        <v>4.2954545454545454E-2</v>
      </c>
      <c r="BS50" s="22067">
        <f>5*HLOOKUP("xG/90",A1:CV300,50,FALSE)+3*HLOOKUP("xA/90",A1:CV300,50,FALSE)</f>
        <v>0.7847958397534669</v>
      </c>
      <c r="BT50" s="22068">
        <f>HLOOKUP("xPts/90",A1:CV300,50,FALSE)-(5*0.75*(HLOOKUP("PK Gs",A1:CV300,50,FALSE)+HLOOKUP("PK Miss",A1:CV300,50,FALSE))*90/HLOOKUP("Mins",A1:CV300,50,FALSE))</f>
        <v>0.7847958397534669</v>
      </c>
      <c r="BU50" s="22069">
        <f>IF(HLOOKUP("Mins",A1:CV300,50,FALSE)=0,0,HLOOKUP("fsXG",A1:CV300,50,FALSE)/HLOOKUP("Mins",A1:CV300,50,FALSE)* 90)</f>
        <v>9.5685670261941441E-2</v>
      </c>
      <c r="BV50" s="22070">
        <f>IF(HLOOKUP("Mins",A1:CV300,50,FALSE)=0,0,HLOOKUP("fsXA",A1:CV300,50,FALSE)/HLOOKUP("Mins",A1:CV300,50,FALSE)* 90)</f>
        <v>4.9229583975346686E-2</v>
      </c>
      <c r="BW50" s="22071">
        <f>5*HLOOKUP("fsXG/90",A1:CV300,50,FALSE)+3*HLOOKUP("fsXA/90",A1:CV300,50,FALSE)</f>
        <v>0.62611710323574721</v>
      </c>
      <c r="BX50" s="22072">
        <v>8.1733867526054382E-2</v>
      </c>
      <c r="BY50" s="22073">
        <v>7.5134731829166412E-2</v>
      </c>
      <c r="BZ50" s="22074">
        <f>5*HLOOKUP("uXG/90",A1:CV300,50,FALSE)+3*HLOOKUP("uXA/90",A1:CV300,50,FALSE)</f>
        <v>0.63407353311777115</v>
      </c>
    </row>
    <row r="51" spans="1:78" x14ac:dyDescent="0.3">
      <c r="A51" s="22075" t="s">
        <v>378</v>
      </c>
      <c r="B51" s="22076" t="s">
        <v>102</v>
      </c>
      <c r="C51" s="22077">
        <v>5.8000001907348633</v>
      </c>
      <c r="D51" s="22078">
        <v>1768</v>
      </c>
      <c r="E51" s="22079">
        <v>21</v>
      </c>
      <c r="F51" s="22080">
        <v>62</v>
      </c>
      <c r="G51" s="22081">
        <v>2</v>
      </c>
      <c r="H51" s="22082">
        <v>5</v>
      </c>
      <c r="I51" s="22083">
        <v>195</v>
      </c>
      <c r="J51" s="22084">
        <f>HLOOKUP("BPS",A1:CV300,51,FALSE)-((-6*HLOOKUP("OG",A1:CV300,51,FALSE))+(-6*HLOOKUP("PK Miss",A1:CV300,51,FALSE))+(9*HLOOKUP("FPL As",A1:CV300,51,FALSE))+(0*HLOOKUP("CS",A1:CV300,51,FALSE))+(18*HLOOKUP("Gs",A1:CV300,51,FALSE)))</f>
        <v>150</v>
      </c>
      <c r="K51" s="22085">
        <v>0</v>
      </c>
      <c r="L51" s="22086">
        <v>6</v>
      </c>
      <c r="M51" s="22087">
        <v>49</v>
      </c>
      <c r="N51" s="22088">
        <v>37</v>
      </c>
      <c r="O51" s="22089">
        <v>25</v>
      </c>
      <c r="P51" s="22090">
        <f>IF(HLOOKUP("Shots",A1:CV300,51,FALSE)=0,0,HLOOKUP("SIB",A1:CV300,51,FALSE)/HLOOKUP("Shots",A1:CV300,51,FALSE))</f>
        <v>0.67567567567567566</v>
      </c>
      <c r="Q51" s="22091">
        <v>1</v>
      </c>
      <c r="R51" s="22092">
        <f>IF(HLOOKUP("Shots",A1:CV300,51,FALSE)=0,0,HLOOKUP("S6YD",A1:CV300,51,FALSE)/HLOOKUP("Shots",A1:CV300,51,FALSE))</f>
        <v>2.7027027027027029E-2</v>
      </c>
      <c r="S51" s="22093">
        <v>1</v>
      </c>
      <c r="T51" s="22094">
        <f>IF(HLOOKUP("Shots",A1:CV300,51,FALSE)=0,0,HLOOKUP("Headers",A1:CV300,51,FALSE)/HLOOKUP("Shots",A1:CV300,51,FALSE))</f>
        <v>2.7027027027027029E-2</v>
      </c>
      <c r="U51" s="22095">
        <v>9</v>
      </c>
      <c r="V51" s="22096">
        <f>IF(HLOOKUP("Shots",A1:CV300,51,FALSE)=0,0,HLOOKUP("SOT",A1:CV300,51,FALSE)/HLOOKUP("Shots",A1:CV300,51,FALSE))</f>
        <v>0.24324324324324326</v>
      </c>
      <c r="W51" s="22097">
        <f>IF(HLOOKUP("Shots",A1:CV300,51,FALSE)=0,0,HLOOKUP("Gs",A1:CV300,51,FALSE)/HLOOKUP("Shots",A1:CV300,51,FALSE))</f>
        <v>5.4054054054054057E-2</v>
      </c>
      <c r="X51" s="22098">
        <v>1</v>
      </c>
      <c r="Y51" s="22099">
        <v>1</v>
      </c>
      <c r="Z51" s="22100">
        <v>12</v>
      </c>
      <c r="AA51" s="22101">
        <f>IF(HLOOKUP("KP",A1:CV300,51,FALSE)=0,0,HLOOKUP("As",A1:CV300,51,FALSE)/HLOOKUP("KP",A1:CV300,51,FALSE))</f>
        <v>8.3333333333333329E-2</v>
      </c>
      <c r="AB51" s="22102">
        <v>84.3</v>
      </c>
      <c r="AC51" s="22103">
        <v>15</v>
      </c>
      <c r="AD51" s="22104">
        <v>0</v>
      </c>
      <c r="AE51" s="22105">
        <v>6</v>
      </c>
      <c r="AF51" s="22106">
        <v>5</v>
      </c>
      <c r="AG51" s="22107">
        <f>IF(HLOOKUP("BC",A1:CV300,51,FALSE)=0,0,HLOOKUP("Gs - BC",A1:CV300,51,FALSE)/HLOOKUP("BC",A1:CV300,51,FALSE))</f>
        <v>0.16666666666666666</v>
      </c>
      <c r="AH51" s="22108">
        <f>HLOOKUP("BC",A1:CV300,51,FALSE) - HLOOKUP("BC Miss",A1:CV300,51,FALSE)</f>
        <v>1</v>
      </c>
      <c r="AI51" s="22109">
        <f>IF(HLOOKUP("Gs",A1:CV300,51,FALSE)=0,0,HLOOKUP("Gs - BC",A1:CV300,51,FALSE)/HLOOKUP("Gs",A1:CV300,51,FALSE))</f>
        <v>0.5</v>
      </c>
      <c r="AJ51" s="22110">
        <v>0</v>
      </c>
      <c r="AK51" s="22111">
        <v>0</v>
      </c>
      <c r="AL51" s="22112">
        <f>HLOOKUP("BC",A1:CV300,51,FALSE) - (HLOOKUP("PK Gs",A1:CV300,51,FALSE) + HLOOKUP("PK Miss",A1:CV300,51,FALSE))</f>
        <v>6</v>
      </c>
      <c r="AM51" s="22113">
        <f>HLOOKUP("BC Miss",A1:CV300,51,FALSE) - HLOOKUP("PK Miss",A1:CV300,51,FALSE)</f>
        <v>5</v>
      </c>
      <c r="AN51" s="22114">
        <f>IF(HLOOKUP("BC - Open",A1:CV300,51,FALSE)=0,0,HLOOKUP("BC - Open Miss",A1:CV300,51,FALSE)/HLOOKUP("BC - Open",A1:CV300,51,FALSE))</f>
        <v>0.83333333333333337</v>
      </c>
      <c r="AO51" s="22115">
        <v>2</v>
      </c>
      <c r="AP51" s="22116">
        <f>IF(HLOOKUP("Gs",A1:CV300,51,FALSE)=0,0,HLOOKUP("GIB",A1:CV300,51,FALSE)/HLOOKUP("Gs",A1:CV300,51,FALSE))</f>
        <v>1</v>
      </c>
      <c r="AQ51" s="22117">
        <v>1</v>
      </c>
      <c r="AR51" s="22118">
        <f>IF(HLOOKUP("Gs",A1:CV300,51,FALSE)=0,0,HLOOKUP("Gs - Open",A1:CV300,51,FALSE)/HLOOKUP("Gs",A1:CV300,51,FALSE))</f>
        <v>0.5</v>
      </c>
      <c r="AS51" s="22119">
        <v>3.67</v>
      </c>
      <c r="AT51" s="22120">
        <v>0.59</v>
      </c>
      <c r="AU51" s="22121">
        <f>IF(HLOOKUP("Mins",A1:CV300,51,FALSE)=0,0,HLOOKUP("Pts",A1:CV300,51,FALSE)/HLOOKUP("Mins",A1:CV300,51,FALSE)* 90)</f>
        <v>3.1561085972850678</v>
      </c>
      <c r="AV51" s="22122">
        <f>IF(HLOOKUP("Apps",A1:CV300,51,FALSE)=0,0,HLOOKUP("Pts",A1:CV300,51,FALSE)/HLOOKUP("Apps",A1:CV300,51,FALSE)* 1)</f>
        <v>2.9523809523809526</v>
      </c>
      <c r="AW51" s="22123">
        <f>IF(HLOOKUP("Mins",A1:CV300,51,FALSE)=0,0,HLOOKUP("Gs",A1:CV300,51,FALSE)/HLOOKUP("Mins",A1:CV300,51,FALSE)* 90)</f>
        <v>0.10180995475113123</v>
      </c>
      <c r="AX51" s="22124">
        <f>IF(HLOOKUP("Mins",A1:CV300,51,FALSE)=0,0,HLOOKUP("Bonus",A1:CV300,51,FALSE)/HLOOKUP("Mins",A1:CV300,51,FALSE)* 90)</f>
        <v>0.25452488687782804</v>
      </c>
      <c r="AY51" s="22125">
        <f>IF(HLOOKUP("Mins",A1:CV300,51,FALSE)=0,0,HLOOKUP("BPS",A1:CV300,51,FALSE)/HLOOKUP("Mins",A1:CV300,51,FALSE)* 90)</f>
        <v>9.9264705882352935</v>
      </c>
      <c r="AZ51" s="22126">
        <f>IF(HLOOKUP("Mins",A1:CV300,51,FALSE)=0,0,HLOOKUP("Base BPS",A1:CV300,51,FALSE)/HLOOKUP("Mins",A1:CV300,51,FALSE)* 90)</f>
        <v>7.635746606334842</v>
      </c>
      <c r="BA51" s="22127">
        <f>IF(HLOOKUP("Mins",A1:CV300,51,FALSE)=0,0,HLOOKUP("PenTchs",A1:CV300,51,FALSE)/HLOOKUP("Mins",A1:CV300,51,FALSE)* 90)</f>
        <v>2.494343891402715</v>
      </c>
      <c r="BB51" s="22128">
        <f>IF(HLOOKUP("Mins",A1:CV300,51,FALSE)=0,0,HLOOKUP("Shots",A1:CV300,51,FALSE)/HLOOKUP("Mins",A1:CV300,51,FALSE)* 90)</f>
        <v>1.8834841628959276</v>
      </c>
      <c r="BC51" s="22129">
        <f>IF(HLOOKUP("Mins",A1:CV300,51,FALSE)=0,0,HLOOKUP("SIB",A1:CV300,51,FALSE)/HLOOKUP("Mins",A1:CV300,51,FALSE)* 90)</f>
        <v>1.2726244343891402</v>
      </c>
      <c r="BD51" s="22130">
        <f>IF(HLOOKUP("Mins",A1:CV300,51,FALSE)=0,0,HLOOKUP("S6YD",A1:CV300,51,FALSE)/HLOOKUP("Mins",A1:CV300,51,FALSE)* 90)</f>
        <v>5.0904977375565617E-2</v>
      </c>
      <c r="BE51" s="22131">
        <f>IF(HLOOKUP("Mins",A1:CV300,51,FALSE)=0,0,HLOOKUP("Headers",A1:CV300,51,FALSE)/HLOOKUP("Mins",A1:CV300,51,FALSE)* 90)</f>
        <v>5.0904977375565617E-2</v>
      </c>
      <c r="BF51" s="22132">
        <f>IF(HLOOKUP("Mins",A1:CV300,51,FALSE)=0,0,HLOOKUP("SOT",A1:CV300,51,FALSE)/HLOOKUP("Mins",A1:CV300,51,FALSE)* 90)</f>
        <v>0.45814479638009054</v>
      </c>
      <c r="BG51" s="22133">
        <f>IF(HLOOKUP("Mins",A1:CV300,51,FALSE)=0,0,HLOOKUP("As",A1:CV300,51,FALSE)/HLOOKUP("Mins",A1:CV300,51,FALSE)* 90)</f>
        <v>5.0904977375565617E-2</v>
      </c>
      <c r="BH51" s="22134">
        <f>IF(HLOOKUP("Mins",A1:CV300,51,FALSE)=0,0,HLOOKUP("FPL As",A1:CV300,51,FALSE)/HLOOKUP("Mins",A1:CV300,51,FALSE)* 90)</f>
        <v>5.0904977375565617E-2</v>
      </c>
      <c r="BI51" s="22135">
        <f>IF(HLOOKUP("Mins",A1:CV300,51,FALSE)=0,0,HLOOKUP("BC Created",A1:CV300,51,FALSE)/HLOOKUP("Mins",A1:CV300,51,FALSE)* 90)</f>
        <v>0</v>
      </c>
      <c r="BJ51" s="22136">
        <f>IF(HLOOKUP("Mins",A1:CV300,51,FALSE)=0,0,HLOOKUP("KP",A1:CV300,51,FALSE)/HLOOKUP("Mins",A1:CV300,51,FALSE)* 90)</f>
        <v>0.61085972850678738</v>
      </c>
      <c r="BK51" s="22137">
        <f>IF(HLOOKUP("Mins",A1:CV300,51,FALSE)=0,0,HLOOKUP("BC",A1:CV300,51,FALSE)/HLOOKUP("Mins",A1:CV300,51,FALSE)* 90)</f>
        <v>0.30542986425339369</v>
      </c>
      <c r="BL51" s="22138">
        <f>IF(HLOOKUP("Mins",A1:CV300,51,FALSE)=0,0,HLOOKUP("BC Miss",A1:CV300,51,FALSE)/HLOOKUP("Mins",A1:CV300,51,FALSE)* 90)</f>
        <v>0.25452488687782804</v>
      </c>
      <c r="BM51" s="22139">
        <f>IF(HLOOKUP("Mins",A1:CV300,51,FALSE)=0,0,HLOOKUP("Gs - BC",A1:CV300,51,FALSE)/HLOOKUP("Mins",A1:CV300,51,FALSE)* 90)</f>
        <v>5.0904977375565617E-2</v>
      </c>
      <c r="BN51" s="22140">
        <f>IF(HLOOKUP("Mins",A1:CV300,51,FALSE)=0,0,HLOOKUP("GIB",A1:CV300,51,FALSE)/HLOOKUP("Mins",A1:CV300,51,FALSE)* 90)</f>
        <v>0.10180995475113123</v>
      </c>
      <c r="BO51" s="22141">
        <f>IF(HLOOKUP("Mins",A1:CV300,51,FALSE)=0,0,HLOOKUP("Gs - Open",A1:CV300,51,FALSE)/HLOOKUP("Mins",A1:CV300,51,FALSE)* 90)</f>
        <v>5.0904977375565617E-2</v>
      </c>
      <c r="BP51" s="22142">
        <f>IF(HLOOKUP("Mins",A1:CV300,51,FALSE)=0,0,HLOOKUP("ICT Index",A1:CV300,51,FALSE)/HLOOKUP("Mins",A1:CV300,51,FALSE)* 90)</f>
        <v>4.2912895927601804</v>
      </c>
      <c r="BQ51" s="22143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  <v>0.20270361990950223</v>
      </c>
      <c r="BR51" s="22144">
        <f>0.0885*HLOOKUP("KP/90",A1:CV300,51,FALSE)</f>
        <v>5.4061085972850684E-2</v>
      </c>
      <c r="BS51" s="22145">
        <f>5*HLOOKUP("xG/90",A1:CV300,51,FALSE)+3*HLOOKUP("xA/90",A1:CV300,51,FALSE)</f>
        <v>1.1757013574660631</v>
      </c>
      <c r="BT51" s="22146">
        <f>HLOOKUP("xPts/90",A1:CV300,51,FALSE)-(5*0.75*(HLOOKUP("PK Gs",A1:CV300,51,FALSE)+HLOOKUP("PK Miss",A1:CV300,51,FALSE))*90/HLOOKUP("Mins",A1:CV300,51,FALSE))</f>
        <v>1.1757013574660631</v>
      </c>
      <c r="BU51" s="22147">
        <f>IF(HLOOKUP("Mins",A1:CV300,51,FALSE)=0,0,HLOOKUP("fsXG",A1:CV300,51,FALSE)/HLOOKUP("Mins",A1:CV300,51,FALSE)* 90)</f>
        <v>0.18682126696832577</v>
      </c>
      <c r="BV51" s="22148">
        <f>IF(HLOOKUP("Mins",A1:CV300,51,FALSE)=0,0,HLOOKUP("fsXA",A1:CV300,51,FALSE)/HLOOKUP("Mins",A1:CV300,51,FALSE)* 90)</f>
        <v>3.0033936651583708E-2</v>
      </c>
      <c r="BW51" s="22149">
        <f>5*HLOOKUP("fsXG/90",A1:CV300,51,FALSE)+3*HLOOKUP("fsXA/90",A1:CV300,51,FALSE)</f>
        <v>1.02420814479638</v>
      </c>
      <c r="BX51" s="22150">
        <v>0.21370279788970947</v>
      </c>
      <c r="BY51" s="22151">
        <v>2.3738980293273926E-2</v>
      </c>
      <c r="BZ51" s="22152">
        <f>5*HLOOKUP("uXG/90",A1:CV300,51,FALSE)+3*HLOOKUP("uXA/90",A1:CV300,51,FALSE)</f>
        <v>1.1397309303283691</v>
      </c>
    </row>
    <row r="52" spans="1:78" x14ac:dyDescent="0.3">
      <c r="A52" s="22153" t="s">
        <v>379</v>
      </c>
      <c r="B52" s="22154" t="s">
        <v>118</v>
      </c>
      <c r="C52" s="22155">
        <v>5.5999999046325684</v>
      </c>
      <c r="D52" s="22156">
        <v>1045</v>
      </c>
      <c r="E52" s="22157">
        <v>16</v>
      </c>
      <c r="F52" s="22158">
        <v>35</v>
      </c>
      <c r="G52" s="22159">
        <v>1</v>
      </c>
      <c r="H52" s="22160">
        <v>2</v>
      </c>
      <c r="I52" s="22161">
        <v>155</v>
      </c>
      <c r="J52" s="22162">
        <f>HLOOKUP("BPS",A1:CV300,52,FALSE)-((-6*HLOOKUP("OG",A1:CV300,52,FALSE))+(-6*HLOOKUP("PK Miss",A1:CV300,52,FALSE))+(9*HLOOKUP("FPL As",A1:CV300,52,FALSE))+(0*HLOOKUP("CS",A1:CV300,52,FALSE))+(18*HLOOKUP("Gs",A1:CV300,52,FALSE)))</f>
        <v>137</v>
      </c>
      <c r="K52" s="22163">
        <v>0</v>
      </c>
      <c r="L52" s="22164">
        <v>1</v>
      </c>
      <c r="M52" s="22165">
        <v>34</v>
      </c>
      <c r="N52" s="22166">
        <v>19</v>
      </c>
      <c r="O52" s="22167">
        <v>12</v>
      </c>
      <c r="P52" s="22168">
        <f>IF(HLOOKUP("Shots",A1:CV300,52,FALSE)=0,0,HLOOKUP("SIB",A1:CV300,52,FALSE)/HLOOKUP("Shots",A1:CV300,52,FALSE))</f>
        <v>0.63157894736842102</v>
      </c>
      <c r="Q52" s="22169">
        <v>1</v>
      </c>
      <c r="R52" s="22170">
        <f>IF(HLOOKUP("Shots",A1:CV300,52,FALSE)=0,0,HLOOKUP("S6YD",A1:CV300,52,FALSE)/HLOOKUP("Shots",A1:CV300,52,FALSE))</f>
        <v>5.2631578947368418E-2</v>
      </c>
      <c r="S52" s="22171">
        <v>2</v>
      </c>
      <c r="T52" s="22172">
        <f>IF(HLOOKUP("Shots",A1:CV300,52,FALSE)=0,0,HLOOKUP("Headers",A1:CV300,52,FALSE)/HLOOKUP("Shots",A1:CV300,52,FALSE))</f>
        <v>0.10526315789473684</v>
      </c>
      <c r="U52" s="22173">
        <v>9</v>
      </c>
      <c r="V52" s="22174">
        <f>IF(HLOOKUP("Shots",A1:CV300,52,FALSE)=0,0,HLOOKUP("SOT",A1:CV300,52,FALSE)/HLOOKUP("Shots",A1:CV300,52,FALSE))</f>
        <v>0.47368421052631576</v>
      </c>
      <c r="W52" s="22175">
        <f>IF(HLOOKUP("Shots",A1:CV300,52,FALSE)=0,0,HLOOKUP("Gs",A1:CV300,52,FALSE)/HLOOKUP("Shots",A1:CV300,52,FALSE))</f>
        <v>5.2631578947368418E-2</v>
      </c>
      <c r="X52" s="22176">
        <v>0</v>
      </c>
      <c r="Y52" s="22177">
        <v>0</v>
      </c>
      <c r="Z52" s="22178">
        <v>16</v>
      </c>
      <c r="AA52" s="22179">
        <f>IF(HLOOKUP("KP",A1:CV300,52,FALSE)=0,0,HLOOKUP("As",A1:CV300,52,FALSE)/HLOOKUP("KP",A1:CV300,52,FALSE))</f>
        <v>0</v>
      </c>
      <c r="AB52" s="22180">
        <v>71.8</v>
      </c>
      <c r="AC52" s="22181">
        <v>7</v>
      </c>
      <c r="AD52" s="22182">
        <v>2</v>
      </c>
      <c r="AE52" s="22183">
        <v>3</v>
      </c>
      <c r="AF52" s="22184">
        <v>2</v>
      </c>
      <c r="AG52" s="22185">
        <f>IF(HLOOKUP("BC",A1:CV300,52,FALSE)=0,0,HLOOKUP("Gs - BC",A1:CV300,52,FALSE)/HLOOKUP("BC",A1:CV300,52,FALSE))</f>
        <v>0.33333333333333331</v>
      </c>
      <c r="AH52" s="22186">
        <f>HLOOKUP("BC",A1:CV300,52,FALSE) - HLOOKUP("BC Miss",A1:CV300,52,FALSE)</f>
        <v>1</v>
      </c>
      <c r="AI52" s="22187">
        <f>IF(HLOOKUP("Gs",A1:CV300,52,FALSE)=0,0,HLOOKUP("Gs - BC",A1:CV300,52,FALSE)/HLOOKUP("Gs",A1:CV300,52,FALSE))</f>
        <v>1</v>
      </c>
      <c r="AJ52" s="22188">
        <v>0</v>
      </c>
      <c r="AK52" s="22189">
        <v>0</v>
      </c>
      <c r="AL52" s="22190">
        <f>HLOOKUP("BC",A1:CV300,52,FALSE) - (HLOOKUP("PK Gs",A1:CV300,52,FALSE) + HLOOKUP("PK Miss",A1:CV300,52,FALSE))</f>
        <v>3</v>
      </c>
      <c r="AM52" s="22191">
        <f>HLOOKUP("BC Miss",A1:CV300,52,FALSE) - HLOOKUP("PK Miss",A1:CV300,52,FALSE)</f>
        <v>2</v>
      </c>
      <c r="AN52" s="22192">
        <f>IF(HLOOKUP("BC - Open",A1:CV300,52,FALSE)=0,0,HLOOKUP("BC - Open Miss",A1:CV300,52,FALSE)/HLOOKUP("BC - Open",A1:CV300,52,FALSE))</f>
        <v>0.66666666666666663</v>
      </c>
      <c r="AO52" s="22193">
        <v>1</v>
      </c>
      <c r="AP52" s="22194">
        <f>IF(HLOOKUP("Gs",A1:CV300,52,FALSE)=0,0,HLOOKUP("GIB",A1:CV300,52,FALSE)/HLOOKUP("Gs",A1:CV300,52,FALSE))</f>
        <v>1</v>
      </c>
      <c r="AQ52" s="22195">
        <v>1</v>
      </c>
      <c r="AR52" s="22196">
        <f>IF(HLOOKUP("Gs",A1:CV300,52,FALSE)=0,0,HLOOKUP("Gs - Open",A1:CV300,52,FALSE)/HLOOKUP("Gs",A1:CV300,52,FALSE))</f>
        <v>1</v>
      </c>
      <c r="AS52" s="22197">
        <v>2.0099999999999998</v>
      </c>
      <c r="AT52" s="22198">
        <v>1.91</v>
      </c>
      <c r="AU52" s="22199">
        <f>IF(HLOOKUP("Mins",A1:CV300,52,FALSE)=0,0,HLOOKUP("Pts",A1:CV300,52,FALSE)/HLOOKUP("Mins",A1:CV300,52,FALSE)* 90)</f>
        <v>3.0143540669856459</v>
      </c>
      <c r="AV52" s="22200">
        <f>IF(HLOOKUP("Apps",A1:CV300,52,FALSE)=0,0,HLOOKUP("Pts",A1:CV300,52,FALSE)/HLOOKUP("Apps",A1:CV300,52,FALSE)* 1)</f>
        <v>2.1875</v>
      </c>
      <c r="AW52" s="22201">
        <f>IF(HLOOKUP("Mins",A1:CV300,52,FALSE)=0,0,HLOOKUP("Gs",A1:CV300,52,FALSE)/HLOOKUP("Mins",A1:CV300,52,FALSE)* 90)</f>
        <v>8.6124401913875603E-2</v>
      </c>
      <c r="AX52" s="22202">
        <f>IF(HLOOKUP("Mins",A1:CV300,52,FALSE)=0,0,HLOOKUP("Bonus",A1:CV300,52,FALSE)/HLOOKUP("Mins",A1:CV300,52,FALSE)* 90)</f>
        <v>0.17224880382775121</v>
      </c>
      <c r="AY52" s="22203">
        <f>IF(HLOOKUP("Mins",A1:CV300,52,FALSE)=0,0,HLOOKUP("BPS",A1:CV300,52,FALSE)/HLOOKUP("Mins",A1:CV300,52,FALSE)* 90)</f>
        <v>13.349282296650717</v>
      </c>
      <c r="AZ52" s="22204">
        <f>IF(HLOOKUP("Mins",A1:CV300,52,FALSE)=0,0,HLOOKUP("Base BPS",A1:CV300,52,FALSE)/HLOOKUP("Mins",A1:CV300,52,FALSE)* 90)</f>
        <v>11.799043062200957</v>
      </c>
      <c r="BA52" s="22205">
        <f>IF(HLOOKUP("Mins",A1:CV300,52,FALSE)=0,0,HLOOKUP("PenTchs",A1:CV300,52,FALSE)/HLOOKUP("Mins",A1:CV300,52,FALSE)* 90)</f>
        <v>2.9282296650717701</v>
      </c>
      <c r="BB52" s="22206">
        <f>IF(HLOOKUP("Mins",A1:CV300,52,FALSE)=0,0,HLOOKUP("Shots",A1:CV300,52,FALSE)/HLOOKUP("Mins",A1:CV300,52,FALSE)* 90)</f>
        <v>1.6363636363636362</v>
      </c>
      <c r="BC52" s="22207">
        <f>IF(HLOOKUP("Mins",A1:CV300,52,FALSE)=0,0,HLOOKUP("SIB",A1:CV300,52,FALSE)/HLOOKUP("Mins",A1:CV300,52,FALSE)* 90)</f>
        <v>1.0334928229665072</v>
      </c>
      <c r="BD52" s="22208">
        <f>IF(HLOOKUP("Mins",A1:CV300,52,FALSE)=0,0,HLOOKUP("S6YD",A1:CV300,52,FALSE)/HLOOKUP("Mins",A1:CV300,52,FALSE)* 90)</f>
        <v>8.6124401913875603E-2</v>
      </c>
      <c r="BE52" s="22209">
        <f>IF(HLOOKUP("Mins",A1:CV300,52,FALSE)=0,0,HLOOKUP("Headers",A1:CV300,52,FALSE)/HLOOKUP("Mins",A1:CV300,52,FALSE)* 90)</f>
        <v>0.17224880382775121</v>
      </c>
      <c r="BF52" s="22210">
        <f>IF(HLOOKUP("Mins",A1:CV300,52,FALSE)=0,0,HLOOKUP("SOT",A1:CV300,52,FALSE)/HLOOKUP("Mins",A1:CV300,52,FALSE)* 90)</f>
        <v>0.77511961722488032</v>
      </c>
      <c r="BG52" s="22211">
        <f>IF(HLOOKUP("Mins",A1:CV300,52,FALSE)=0,0,HLOOKUP("As",A1:CV300,52,FALSE)/HLOOKUP("Mins",A1:CV300,52,FALSE)* 90)</f>
        <v>0</v>
      </c>
      <c r="BH52" s="22212">
        <f>IF(HLOOKUP("Mins",A1:CV300,52,FALSE)=0,0,HLOOKUP("FPL As",A1:CV300,52,FALSE)/HLOOKUP("Mins",A1:CV300,52,FALSE)* 90)</f>
        <v>0</v>
      </c>
      <c r="BI52" s="22213">
        <f>IF(HLOOKUP("Mins",A1:CV300,52,FALSE)=0,0,HLOOKUP("BC Created",A1:CV300,52,FALSE)/HLOOKUP("Mins",A1:CV300,52,FALSE)* 90)</f>
        <v>0.17224880382775121</v>
      </c>
      <c r="BJ52" s="22214">
        <f>IF(HLOOKUP("Mins",A1:CV300,52,FALSE)=0,0,HLOOKUP("KP",A1:CV300,52,FALSE)/HLOOKUP("Mins",A1:CV300,52,FALSE)* 90)</f>
        <v>1.3779904306220097</v>
      </c>
      <c r="BK52" s="22215">
        <f>IF(HLOOKUP("Mins",A1:CV300,52,FALSE)=0,0,HLOOKUP("BC",A1:CV300,52,FALSE)/HLOOKUP("Mins",A1:CV300,52,FALSE)* 90)</f>
        <v>0.25837320574162681</v>
      </c>
      <c r="BL52" s="22216">
        <f>IF(HLOOKUP("Mins",A1:CV300,52,FALSE)=0,0,HLOOKUP("BC Miss",A1:CV300,52,FALSE)/HLOOKUP("Mins",A1:CV300,52,FALSE)* 90)</f>
        <v>0.17224880382775121</v>
      </c>
      <c r="BM52" s="22217">
        <f>IF(HLOOKUP("Mins",A1:CV300,52,FALSE)=0,0,HLOOKUP("Gs - BC",A1:CV300,52,FALSE)/HLOOKUP("Mins",A1:CV300,52,FALSE)* 90)</f>
        <v>8.6124401913875603E-2</v>
      </c>
      <c r="BN52" s="22218">
        <f>IF(HLOOKUP("Mins",A1:CV300,52,FALSE)=0,0,HLOOKUP("GIB",A1:CV300,52,FALSE)/HLOOKUP("Mins",A1:CV300,52,FALSE)* 90)</f>
        <v>8.6124401913875603E-2</v>
      </c>
      <c r="BO52" s="22219">
        <f>IF(HLOOKUP("Mins",A1:CV300,52,FALSE)=0,0,HLOOKUP("Gs - Open",A1:CV300,52,FALSE)/HLOOKUP("Mins",A1:CV300,52,FALSE)* 90)</f>
        <v>8.6124401913875603E-2</v>
      </c>
      <c r="BP52" s="22220">
        <f>IF(HLOOKUP("Mins",A1:CV300,52,FALSE)=0,0,HLOOKUP("ICT Index",A1:CV300,52,FALSE)/HLOOKUP("Mins",A1:CV300,52,FALSE)* 90)</f>
        <v>6.1837320574162673</v>
      </c>
      <c r="BQ52" s="22221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  <v>0.16845933014354064</v>
      </c>
      <c r="BR52" s="22222">
        <f>0.0885*HLOOKUP("KP/90",A1:CV300,52,FALSE)</f>
        <v>0.12195215311004785</v>
      </c>
      <c r="BS52" s="22223">
        <f>5*HLOOKUP("xG/90",A1:CV300,52,FALSE)+3*HLOOKUP("xA/90",A1:CV300,52,FALSE)</f>
        <v>1.2081531100478466</v>
      </c>
      <c r="BT52" s="22224">
        <f>HLOOKUP("xPts/90",A1:CV300,52,FALSE)-(5*0.75*(HLOOKUP("PK Gs",A1:CV300,52,FALSE)+HLOOKUP("PK Miss",A1:CV300,52,FALSE))*90/HLOOKUP("Mins",A1:CV300,52,FALSE))</f>
        <v>1.2081531100478466</v>
      </c>
      <c r="BU52" s="22225">
        <f>IF(HLOOKUP("Mins",A1:CV300,52,FALSE)=0,0,HLOOKUP("fsXG",A1:CV300,52,FALSE)/HLOOKUP("Mins",A1:CV300,52,FALSE)* 90)</f>
        <v>0.17311004784688994</v>
      </c>
      <c r="BV52" s="22226">
        <f>IF(HLOOKUP("Mins",A1:CV300,52,FALSE)=0,0,HLOOKUP("fsXA",A1:CV300,52,FALSE)/HLOOKUP("Mins",A1:CV300,52,FALSE)* 90)</f>
        <v>0.16449760765550239</v>
      </c>
      <c r="BW52" s="22227">
        <f>5*HLOOKUP("fsXG/90",A1:CV300,52,FALSE)+3*HLOOKUP("fsXA/90",A1:CV300,52,FALSE)</f>
        <v>1.3590430622009568</v>
      </c>
      <c r="BX52" s="22228">
        <v>0.18624928593635559</v>
      </c>
      <c r="BY52" s="22229">
        <v>0.14210793375968933</v>
      </c>
      <c r="BZ52" s="22230">
        <f>5*HLOOKUP("uXG/90",A1:CV300,52,FALSE)+3*HLOOKUP("uXA/90",A1:CV300,52,FALSE)</f>
        <v>1.3575702309608459</v>
      </c>
    </row>
    <row r="53" spans="1:78" x14ac:dyDescent="0.3">
      <c r="A53" s="22231" t="s">
        <v>380</v>
      </c>
      <c r="B53" s="22232" t="s">
        <v>102</v>
      </c>
      <c r="C53" s="22233">
        <v>5</v>
      </c>
      <c r="D53" s="22234">
        <v>1077</v>
      </c>
      <c r="E53" s="22235">
        <v>14</v>
      </c>
      <c r="F53" s="22236">
        <v>61</v>
      </c>
      <c r="G53" s="22237">
        <v>5</v>
      </c>
      <c r="H53" s="22238">
        <v>9</v>
      </c>
      <c r="I53" s="22239">
        <v>241</v>
      </c>
      <c r="J53" s="22240">
        <f>HLOOKUP("BPS",A1:CV300,53,FALSE)-((-6*HLOOKUP("OG",A1:CV300,53,FALSE))+(-6*HLOOKUP("PK Miss",A1:CV300,53,FALSE))+(9*HLOOKUP("FPL As",A1:CV300,53,FALSE))+(0*HLOOKUP("CS",A1:CV300,53,FALSE))+(18*HLOOKUP("Gs",A1:CV300,53,FALSE)))</f>
        <v>151</v>
      </c>
      <c r="K53" s="22241">
        <v>0</v>
      </c>
      <c r="L53" s="22242">
        <v>3</v>
      </c>
      <c r="M53" s="22243">
        <v>9</v>
      </c>
      <c r="N53" s="22244">
        <v>24</v>
      </c>
      <c r="O53" s="22245">
        <v>5</v>
      </c>
      <c r="P53" s="22246">
        <f>IF(HLOOKUP("Shots",A1:CV300,53,FALSE)=0,0,HLOOKUP("SIB",A1:CV300,53,FALSE)/HLOOKUP("Shots",A1:CV300,53,FALSE))</f>
        <v>0.20833333333333334</v>
      </c>
      <c r="Q53" s="22247">
        <v>0</v>
      </c>
      <c r="R53" s="22248">
        <f>IF(HLOOKUP("Shots",A1:CV300,53,FALSE)=0,0,HLOOKUP("S6YD",A1:CV300,53,FALSE)/HLOOKUP("Shots",A1:CV300,53,FALSE))</f>
        <v>0</v>
      </c>
      <c r="S53" s="22249">
        <v>2</v>
      </c>
      <c r="T53" s="22250">
        <f>IF(HLOOKUP("Shots",A1:CV300,53,FALSE)=0,0,HLOOKUP("Headers",A1:CV300,53,FALSE)/HLOOKUP("Shots",A1:CV300,53,FALSE))</f>
        <v>8.3333333333333329E-2</v>
      </c>
      <c r="U53" s="22251">
        <v>8</v>
      </c>
      <c r="V53" s="22252">
        <f>IF(HLOOKUP("Shots",A1:CV300,53,FALSE)=0,0,HLOOKUP("SOT",A1:CV300,53,FALSE)/HLOOKUP("Shots",A1:CV300,53,FALSE))</f>
        <v>0.33333333333333331</v>
      </c>
      <c r="W53" s="22253">
        <f>IF(HLOOKUP("Shots",A1:CV300,53,FALSE)=0,0,HLOOKUP("Gs",A1:CV300,53,FALSE)/HLOOKUP("Shots",A1:CV300,53,FALSE))</f>
        <v>0.20833333333333334</v>
      </c>
      <c r="X53" s="22254">
        <v>0</v>
      </c>
      <c r="Y53" s="22255">
        <v>0</v>
      </c>
      <c r="Z53" s="22256">
        <v>24</v>
      </c>
      <c r="AA53" s="22257">
        <f>IF(HLOOKUP("KP",A1:CV300,53,FALSE)=0,0,HLOOKUP("As",A1:CV300,53,FALSE)/HLOOKUP("KP",A1:CV300,53,FALSE))</f>
        <v>0</v>
      </c>
      <c r="AB53" s="22258">
        <v>82.7</v>
      </c>
      <c r="AC53" s="22259">
        <v>33</v>
      </c>
      <c r="AD53" s="22260">
        <v>4</v>
      </c>
      <c r="AE53" s="22261">
        <v>1</v>
      </c>
      <c r="AF53" s="22262">
        <v>0</v>
      </c>
      <c r="AG53" s="22263">
        <f>IF(HLOOKUP("BC",A1:CV300,53,FALSE)=0,0,HLOOKUP("Gs - BC",A1:CV300,53,FALSE)/HLOOKUP("BC",A1:CV300,53,FALSE))</f>
        <v>1</v>
      </c>
      <c r="AH53" s="22264">
        <f>HLOOKUP("BC",A1:CV300,53,FALSE) - HLOOKUP("BC Miss",A1:CV300,53,FALSE)</f>
        <v>1</v>
      </c>
      <c r="AI53" s="22265">
        <f>IF(HLOOKUP("Gs",A1:CV300,53,FALSE)=0,0,HLOOKUP("Gs - BC",A1:CV300,53,FALSE)/HLOOKUP("Gs",A1:CV300,53,FALSE))</f>
        <v>0.2</v>
      </c>
      <c r="AJ53" s="22266">
        <v>0</v>
      </c>
      <c r="AK53" s="22267">
        <v>0</v>
      </c>
      <c r="AL53" s="22268">
        <f>HLOOKUP("BC",A1:CV300,53,FALSE) - (HLOOKUP("PK Gs",A1:CV300,53,FALSE) + HLOOKUP("PK Miss",A1:CV300,53,FALSE))</f>
        <v>1</v>
      </c>
      <c r="AM53" s="22269">
        <f>HLOOKUP("BC Miss",A1:CV300,53,FALSE) - HLOOKUP("PK Miss",A1:CV300,53,FALSE)</f>
        <v>0</v>
      </c>
      <c r="AN53" s="22270">
        <f>IF(HLOOKUP("BC - Open",A1:CV300,53,FALSE)=0,0,HLOOKUP("BC - Open Miss",A1:CV300,53,FALSE)/HLOOKUP("BC - Open",A1:CV300,53,FALSE))</f>
        <v>0</v>
      </c>
      <c r="AO53" s="22271">
        <v>3</v>
      </c>
      <c r="AP53" s="22272">
        <f>IF(HLOOKUP("Gs",A1:CV300,53,FALSE)=0,0,HLOOKUP("GIB",A1:CV300,53,FALSE)/HLOOKUP("Gs",A1:CV300,53,FALSE))</f>
        <v>0.6</v>
      </c>
      <c r="AQ53" s="22273">
        <v>2</v>
      </c>
      <c r="AR53" s="22274">
        <f>IF(HLOOKUP("Gs",A1:CV300,53,FALSE)=0,0,HLOOKUP("Gs - Open",A1:CV300,53,FALSE)/HLOOKUP("Gs",A1:CV300,53,FALSE))</f>
        <v>0.4</v>
      </c>
      <c r="AS53" s="22275">
        <v>1.25</v>
      </c>
      <c r="AT53" s="22276">
        <v>1.32</v>
      </c>
      <c r="AU53" s="22277">
        <f>IF(HLOOKUP("Mins",A1:CV300,53,FALSE)=0,0,HLOOKUP("Pts",A1:CV300,53,FALSE)/HLOOKUP("Mins",A1:CV300,53,FALSE)* 90)</f>
        <v>5.0974930362116995</v>
      </c>
      <c r="AV53" s="22278">
        <f>IF(HLOOKUP("Apps",A1:CV300,53,FALSE)=0,0,HLOOKUP("Pts",A1:CV300,53,FALSE)/HLOOKUP("Apps",A1:CV300,53,FALSE)* 1)</f>
        <v>4.3571428571428568</v>
      </c>
      <c r="AW53" s="22279">
        <f>IF(HLOOKUP("Mins",A1:CV300,53,FALSE)=0,0,HLOOKUP("Gs",A1:CV300,53,FALSE)/HLOOKUP("Mins",A1:CV300,53,FALSE)* 90)</f>
        <v>0.41782729805013924</v>
      </c>
      <c r="AX53" s="22280">
        <f>IF(HLOOKUP("Mins",A1:CV300,53,FALSE)=0,0,HLOOKUP("Bonus",A1:CV300,53,FALSE)/HLOOKUP("Mins",A1:CV300,53,FALSE)* 90)</f>
        <v>0.75208913649025078</v>
      </c>
      <c r="AY53" s="22281">
        <f>IF(HLOOKUP("Mins",A1:CV300,53,FALSE)=0,0,HLOOKUP("BPS",A1:CV300,53,FALSE)/HLOOKUP("Mins",A1:CV300,53,FALSE)* 90)</f>
        <v>20.139275766016713</v>
      </c>
      <c r="AZ53" s="22282">
        <f>IF(HLOOKUP("Mins",A1:CV300,53,FALSE)=0,0,HLOOKUP("Base BPS",A1:CV300,53,FALSE)/HLOOKUP("Mins",A1:CV300,53,FALSE)* 90)</f>
        <v>12.618384401114206</v>
      </c>
      <c r="BA53" s="22283">
        <f>IF(HLOOKUP("Mins",A1:CV300,53,FALSE)=0,0,HLOOKUP("PenTchs",A1:CV300,53,FALSE)/HLOOKUP("Mins",A1:CV300,53,FALSE)* 90)</f>
        <v>0.75208913649025078</v>
      </c>
      <c r="BB53" s="22284">
        <f>IF(HLOOKUP("Mins",A1:CV300,53,FALSE)=0,0,HLOOKUP("Shots",A1:CV300,53,FALSE)/HLOOKUP("Mins",A1:CV300,53,FALSE)* 90)</f>
        <v>2.0055710306406684</v>
      </c>
      <c r="BC53" s="22285">
        <f>IF(HLOOKUP("Mins",A1:CV300,53,FALSE)=0,0,HLOOKUP("SIB",A1:CV300,53,FALSE)/HLOOKUP("Mins",A1:CV300,53,FALSE)* 90)</f>
        <v>0.41782729805013924</v>
      </c>
      <c r="BD53" s="22286">
        <f>IF(HLOOKUP("Mins",A1:CV300,53,FALSE)=0,0,HLOOKUP("S6YD",A1:CV300,53,FALSE)/HLOOKUP("Mins",A1:CV300,53,FALSE)* 90)</f>
        <v>0</v>
      </c>
      <c r="BE53" s="22287">
        <f>IF(HLOOKUP("Mins",A1:CV300,53,FALSE)=0,0,HLOOKUP("Headers",A1:CV300,53,FALSE)/HLOOKUP("Mins",A1:CV300,53,FALSE)* 90)</f>
        <v>0.16713091922005571</v>
      </c>
      <c r="BF53" s="22288">
        <f>IF(HLOOKUP("Mins",A1:CV300,53,FALSE)=0,0,HLOOKUP("SOT",A1:CV300,53,FALSE)/HLOOKUP("Mins",A1:CV300,53,FALSE)* 90)</f>
        <v>0.66852367688022285</v>
      </c>
      <c r="BG53" s="22289">
        <f>IF(HLOOKUP("Mins",A1:CV300,53,FALSE)=0,0,HLOOKUP("As",A1:CV300,53,FALSE)/HLOOKUP("Mins",A1:CV300,53,FALSE)* 90)</f>
        <v>0</v>
      </c>
      <c r="BH53" s="22290">
        <f>IF(HLOOKUP("Mins",A1:CV300,53,FALSE)=0,0,HLOOKUP("FPL As",A1:CV300,53,FALSE)/HLOOKUP("Mins",A1:CV300,53,FALSE)* 90)</f>
        <v>0</v>
      </c>
      <c r="BI53" s="22291">
        <f>IF(HLOOKUP("Mins",A1:CV300,53,FALSE)=0,0,HLOOKUP("BC Created",A1:CV300,53,FALSE)/HLOOKUP("Mins",A1:CV300,53,FALSE)* 90)</f>
        <v>0.33426183844011143</v>
      </c>
      <c r="BJ53" s="22292">
        <f>IF(HLOOKUP("Mins",A1:CV300,53,FALSE)=0,0,HLOOKUP("KP",A1:CV300,53,FALSE)/HLOOKUP("Mins",A1:CV300,53,FALSE)* 90)</f>
        <v>2.0055710306406684</v>
      </c>
      <c r="BK53" s="22293">
        <f>IF(HLOOKUP("Mins",A1:CV300,53,FALSE)=0,0,HLOOKUP("BC",A1:CV300,53,FALSE)/HLOOKUP("Mins",A1:CV300,53,FALSE)* 90)</f>
        <v>8.3565459610027856E-2</v>
      </c>
      <c r="BL53" s="22294">
        <f>IF(HLOOKUP("Mins",A1:CV300,53,FALSE)=0,0,HLOOKUP("BC Miss",A1:CV300,53,FALSE)/HLOOKUP("Mins",A1:CV300,53,FALSE)* 90)</f>
        <v>0</v>
      </c>
      <c r="BM53" s="22295">
        <f>IF(HLOOKUP("Mins",A1:CV300,53,FALSE)=0,0,HLOOKUP("Gs - BC",A1:CV300,53,FALSE)/HLOOKUP("Mins",A1:CV300,53,FALSE)* 90)</f>
        <v>8.3565459610027856E-2</v>
      </c>
      <c r="BN53" s="22296">
        <f>IF(HLOOKUP("Mins",A1:CV300,53,FALSE)=0,0,HLOOKUP("GIB",A1:CV300,53,FALSE)/HLOOKUP("Mins",A1:CV300,53,FALSE)* 90)</f>
        <v>0.25069637883008355</v>
      </c>
      <c r="BO53" s="22297">
        <f>IF(HLOOKUP("Mins",A1:CV300,53,FALSE)=0,0,HLOOKUP("Gs - Open",A1:CV300,53,FALSE)/HLOOKUP("Mins",A1:CV300,53,FALSE)* 90)</f>
        <v>0.16713091922005571</v>
      </c>
      <c r="BP53" s="22298">
        <f>IF(HLOOKUP("Mins",A1:CV300,53,FALSE)=0,0,HLOOKUP("ICT Index",A1:CV300,53,FALSE)/HLOOKUP("Mins",A1:CV300,53,FALSE)* 90)</f>
        <v>6.9108635097493032</v>
      </c>
      <c r="BQ53" s="22299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  <v>0.11649025069637883</v>
      </c>
      <c r="BR53" s="22300">
        <f>0.0885*HLOOKUP("KP/90",A1:CV300,53,FALSE)</f>
        <v>0.17749303621169915</v>
      </c>
      <c r="BS53" s="22301">
        <f>5*HLOOKUP("xG/90",A1:CV300,53,FALSE)+3*HLOOKUP("xA/90",A1:CV300,53,FALSE)</f>
        <v>1.1149303621169917</v>
      </c>
      <c r="BT53" s="22302">
        <f>HLOOKUP("xPts/90",A1:CV300,53,FALSE)-(5*0.75*(HLOOKUP("PK Gs",A1:CV300,53,FALSE)+HLOOKUP("PK Miss",A1:CV300,53,FALSE))*90/HLOOKUP("Mins",A1:CV300,53,FALSE))</f>
        <v>1.1149303621169917</v>
      </c>
      <c r="BU53" s="22303">
        <f>IF(HLOOKUP("Mins",A1:CV300,53,FALSE)=0,0,HLOOKUP("fsXG",A1:CV300,53,FALSE)/HLOOKUP("Mins",A1:CV300,53,FALSE)* 90)</f>
        <v>0.10445682451253481</v>
      </c>
      <c r="BV53" s="22304">
        <f>IF(HLOOKUP("Mins",A1:CV300,53,FALSE)=0,0,HLOOKUP("fsXA",A1:CV300,53,FALSE)/HLOOKUP("Mins",A1:CV300,53,FALSE)* 90)</f>
        <v>0.11030640668523677</v>
      </c>
      <c r="BW53" s="22305">
        <f>5*HLOOKUP("fsXG/90",A1:CV300,53,FALSE)+3*HLOOKUP("fsXA/90",A1:CV300,53,FALSE)</f>
        <v>0.85320334261838437</v>
      </c>
      <c r="BX53" s="22306">
        <v>8.8365636765956879E-2</v>
      </c>
      <c r="BY53" s="22307">
        <v>0.18478977680206299</v>
      </c>
      <c r="BZ53" s="22308">
        <f>5*HLOOKUP("uXG/90",A1:CV300,53,FALSE)+3*HLOOKUP("uXA/90",A1:CV300,53,FALSE)</f>
        <v>0.99619751423597336</v>
      </c>
    </row>
    <row r="54" spans="1:78" x14ac:dyDescent="0.3">
      <c r="A54" s="22309" t="s">
        <v>381</v>
      </c>
      <c r="B54" s="22310" t="s">
        <v>132</v>
      </c>
      <c r="C54" s="22311">
        <v>5.8000001907348633</v>
      </c>
      <c r="D54" s="22312">
        <v>197</v>
      </c>
      <c r="E54" s="22313">
        <v>5</v>
      </c>
      <c r="F54" s="22314">
        <v>20</v>
      </c>
      <c r="G54" s="22315">
        <v>1</v>
      </c>
      <c r="H54" s="22316">
        <v>3</v>
      </c>
      <c r="I54" s="22317">
        <v>78</v>
      </c>
      <c r="J54" s="22318">
        <f>HLOOKUP("BPS",A1:CV300,54,FALSE)-((-6*HLOOKUP("OG",A1:CV300,54,FALSE))+(-6*HLOOKUP("PK Miss",A1:CV300,54,FALSE))+(9*HLOOKUP("FPL As",A1:CV300,54,FALSE))+(0*HLOOKUP("CS",A1:CV300,54,FALSE))+(18*HLOOKUP("Gs",A1:CV300,54,FALSE)))</f>
        <v>51</v>
      </c>
      <c r="K54" s="22319">
        <v>0</v>
      </c>
      <c r="L54" s="22320">
        <v>2</v>
      </c>
      <c r="M54" s="22321">
        <v>7</v>
      </c>
      <c r="N54" s="22322">
        <v>3</v>
      </c>
      <c r="O54" s="22323">
        <v>3</v>
      </c>
      <c r="P54" s="22324">
        <f>IF(HLOOKUP("Shots",A1:CV300,54,FALSE)=0,0,HLOOKUP("SIB",A1:CV300,54,FALSE)/HLOOKUP("Shots",A1:CV300,54,FALSE))</f>
        <v>1</v>
      </c>
      <c r="Q54" s="22325">
        <v>0</v>
      </c>
      <c r="R54" s="22326">
        <f>IF(HLOOKUP("Shots",A1:CV300,54,FALSE)=0,0,HLOOKUP("S6YD",A1:CV300,54,FALSE)/HLOOKUP("Shots",A1:CV300,54,FALSE))</f>
        <v>0</v>
      </c>
      <c r="S54" s="22327">
        <v>0</v>
      </c>
      <c r="T54" s="22328">
        <f>IF(HLOOKUP("Shots",A1:CV300,54,FALSE)=0,0,HLOOKUP("Headers",A1:CV300,54,FALSE)/HLOOKUP("Shots",A1:CV300,54,FALSE))</f>
        <v>0</v>
      </c>
      <c r="U54" s="22329">
        <v>2</v>
      </c>
      <c r="V54" s="22330">
        <f>IF(HLOOKUP("Shots",A1:CV300,54,FALSE)=0,0,HLOOKUP("SOT",A1:CV300,54,FALSE)/HLOOKUP("Shots",A1:CV300,54,FALSE))</f>
        <v>0.66666666666666663</v>
      </c>
      <c r="W54" s="22331">
        <f>IF(HLOOKUP("Shots",A1:CV300,54,FALSE)=0,0,HLOOKUP("Gs",A1:CV300,54,FALSE)/HLOOKUP("Shots",A1:CV300,54,FALSE))</f>
        <v>0.33333333333333331</v>
      </c>
      <c r="X54" s="22332">
        <v>1</v>
      </c>
      <c r="Y54" s="22333">
        <v>1</v>
      </c>
      <c r="Z54" s="22334">
        <v>4</v>
      </c>
      <c r="AA54" s="22335">
        <f>IF(HLOOKUP("KP",A1:CV300,54,FALSE)=0,0,HLOOKUP("As",A1:CV300,54,FALSE)/HLOOKUP("KP",A1:CV300,54,FALSE))</f>
        <v>0.25</v>
      </c>
      <c r="AB54" s="22336">
        <v>22.5</v>
      </c>
      <c r="AC54" s="22337">
        <v>29</v>
      </c>
      <c r="AD54" s="22338">
        <v>1</v>
      </c>
      <c r="AE54" s="22339">
        <v>1</v>
      </c>
      <c r="AF54" s="22340">
        <v>0</v>
      </c>
      <c r="AG54" s="22341">
        <f>IF(HLOOKUP("BC",A1:CV300,54,FALSE)=0,0,HLOOKUP("Gs - BC",A1:CV300,54,FALSE)/HLOOKUP("BC",A1:CV300,54,FALSE))</f>
        <v>1</v>
      </c>
      <c r="AH54" s="22342">
        <f>HLOOKUP("BC",A1:CV300,54,FALSE) - HLOOKUP("BC Miss",A1:CV300,54,FALSE)</f>
        <v>1</v>
      </c>
      <c r="AI54" s="22343">
        <f>IF(HLOOKUP("Gs",A1:CV300,54,FALSE)=0,0,HLOOKUP("Gs - BC",A1:CV300,54,FALSE)/HLOOKUP("Gs",A1:CV300,54,FALSE))</f>
        <v>1</v>
      </c>
      <c r="AJ54" s="22344">
        <v>0</v>
      </c>
      <c r="AK54" s="22345">
        <v>0</v>
      </c>
      <c r="AL54" s="22346">
        <f>HLOOKUP("BC",A1:CV300,54,FALSE) - (HLOOKUP("PK Gs",A1:CV300,54,FALSE) + HLOOKUP("PK Miss",A1:CV300,54,FALSE))</f>
        <v>1</v>
      </c>
      <c r="AM54" s="22347">
        <f>HLOOKUP("BC Miss",A1:CV300,54,FALSE) - HLOOKUP("PK Miss",A1:CV300,54,FALSE)</f>
        <v>0</v>
      </c>
      <c r="AN54" s="22348">
        <f>IF(HLOOKUP("BC - Open",A1:CV300,54,FALSE)=0,0,HLOOKUP("BC - Open Miss",A1:CV300,54,FALSE)/HLOOKUP("BC - Open",A1:CV300,54,FALSE))</f>
        <v>0</v>
      </c>
      <c r="AO54" s="22349">
        <v>1</v>
      </c>
      <c r="AP54" s="22350">
        <f>IF(HLOOKUP("Gs",A1:CV300,54,FALSE)=0,0,HLOOKUP("GIB",A1:CV300,54,FALSE)/HLOOKUP("Gs",A1:CV300,54,FALSE))</f>
        <v>1</v>
      </c>
      <c r="AQ54" s="22351">
        <v>1</v>
      </c>
      <c r="AR54" s="22352">
        <f>IF(HLOOKUP("Gs",A1:CV300,54,FALSE)=0,0,HLOOKUP("Gs - Open",A1:CV300,54,FALSE)/HLOOKUP("Gs",A1:CV300,54,FALSE))</f>
        <v>1</v>
      </c>
      <c r="AS54" s="22353">
        <v>0.52</v>
      </c>
      <c r="AT54" s="22354">
        <v>0.68</v>
      </c>
      <c r="AU54" s="22355">
        <f>IF(HLOOKUP("Mins",A1:CV300,54,FALSE)=0,0,HLOOKUP("Pts",A1:CV300,54,FALSE)/HLOOKUP("Mins",A1:CV300,54,FALSE)* 90)</f>
        <v>9.1370558375634516</v>
      </c>
      <c r="AV54" s="22356">
        <f>IF(HLOOKUP("Apps",A1:CV300,54,FALSE)=0,0,HLOOKUP("Pts",A1:CV300,54,FALSE)/HLOOKUP("Apps",A1:CV300,54,FALSE)* 1)</f>
        <v>4</v>
      </c>
      <c r="AW54" s="22357">
        <f>IF(HLOOKUP("Mins",A1:CV300,54,FALSE)=0,0,HLOOKUP("Gs",A1:CV300,54,FALSE)/HLOOKUP("Mins",A1:CV300,54,FALSE)* 90)</f>
        <v>0.45685279187817257</v>
      </c>
      <c r="AX54" s="22358">
        <f>IF(HLOOKUP("Mins",A1:CV300,54,FALSE)=0,0,HLOOKUP("Bonus",A1:CV300,54,FALSE)/HLOOKUP("Mins",A1:CV300,54,FALSE)* 90)</f>
        <v>1.3705583756345179</v>
      </c>
      <c r="AY54" s="22359">
        <f>IF(HLOOKUP("Mins",A1:CV300,54,FALSE)=0,0,HLOOKUP("BPS",A1:CV300,54,FALSE)/HLOOKUP("Mins",A1:CV300,54,FALSE)* 90)</f>
        <v>35.634517766497467</v>
      </c>
      <c r="AZ54" s="22360">
        <f>IF(HLOOKUP("Mins",A1:CV300,54,FALSE)=0,0,HLOOKUP("Base BPS",A1:CV300,54,FALSE)/HLOOKUP("Mins",A1:CV300,54,FALSE)* 90)</f>
        <v>23.299492385786802</v>
      </c>
      <c r="BA54" s="22361">
        <f>IF(HLOOKUP("Mins",A1:CV300,54,FALSE)=0,0,HLOOKUP("PenTchs",A1:CV300,54,FALSE)/HLOOKUP("Mins",A1:CV300,54,FALSE)* 90)</f>
        <v>3.1979695431472082</v>
      </c>
      <c r="BB54" s="22362">
        <f>IF(HLOOKUP("Mins",A1:CV300,54,FALSE)=0,0,HLOOKUP("Shots",A1:CV300,54,FALSE)/HLOOKUP("Mins",A1:CV300,54,FALSE)* 90)</f>
        <v>1.3705583756345179</v>
      </c>
      <c r="BC54" s="22363">
        <f>IF(HLOOKUP("Mins",A1:CV300,54,FALSE)=0,0,HLOOKUP("SIB",A1:CV300,54,FALSE)/HLOOKUP("Mins",A1:CV300,54,FALSE)* 90)</f>
        <v>1.3705583756345179</v>
      </c>
      <c r="BD54" s="22364">
        <f>IF(HLOOKUP("Mins",A1:CV300,54,FALSE)=0,0,HLOOKUP("S6YD",A1:CV300,54,FALSE)/HLOOKUP("Mins",A1:CV300,54,FALSE)* 90)</f>
        <v>0</v>
      </c>
      <c r="BE54" s="22365">
        <f>IF(HLOOKUP("Mins",A1:CV300,54,FALSE)=0,0,HLOOKUP("Headers",A1:CV300,54,FALSE)/HLOOKUP("Mins",A1:CV300,54,FALSE)* 90)</f>
        <v>0</v>
      </c>
      <c r="BF54" s="22366">
        <f>IF(HLOOKUP("Mins",A1:CV300,54,FALSE)=0,0,HLOOKUP("SOT",A1:CV300,54,FALSE)/HLOOKUP("Mins",A1:CV300,54,FALSE)* 90)</f>
        <v>0.91370558375634514</v>
      </c>
      <c r="BG54" s="22367">
        <f>IF(HLOOKUP("Mins",A1:CV300,54,FALSE)=0,0,HLOOKUP("As",A1:CV300,54,FALSE)/HLOOKUP("Mins",A1:CV300,54,FALSE)* 90)</f>
        <v>0.45685279187817257</v>
      </c>
      <c r="BH54" s="22368">
        <f>IF(HLOOKUP("Mins",A1:CV300,54,FALSE)=0,0,HLOOKUP("FPL As",A1:CV300,54,FALSE)/HLOOKUP("Mins",A1:CV300,54,FALSE)* 90)</f>
        <v>0.45685279187817257</v>
      </c>
      <c r="BI54" s="22369">
        <f>IF(HLOOKUP("Mins",A1:CV300,54,FALSE)=0,0,HLOOKUP("BC Created",A1:CV300,54,FALSE)/HLOOKUP("Mins",A1:CV300,54,FALSE)* 90)</f>
        <v>0.45685279187817257</v>
      </c>
      <c r="BJ54" s="22370">
        <f>IF(HLOOKUP("Mins",A1:CV300,54,FALSE)=0,0,HLOOKUP("KP",A1:CV300,54,FALSE)/HLOOKUP("Mins",A1:CV300,54,FALSE)* 90)</f>
        <v>1.8274111675126903</v>
      </c>
      <c r="BK54" s="22371">
        <f>IF(HLOOKUP("Mins",A1:CV300,54,FALSE)=0,0,HLOOKUP("BC",A1:CV300,54,FALSE)/HLOOKUP("Mins",A1:CV300,54,FALSE)* 90)</f>
        <v>0.45685279187817257</v>
      </c>
      <c r="BL54" s="22372">
        <f>IF(HLOOKUP("Mins",A1:CV300,54,FALSE)=0,0,HLOOKUP("BC Miss",A1:CV300,54,FALSE)/HLOOKUP("Mins",A1:CV300,54,FALSE)* 90)</f>
        <v>0</v>
      </c>
      <c r="BM54" s="22373">
        <f>IF(HLOOKUP("Mins",A1:CV300,54,FALSE)=0,0,HLOOKUP("Gs - BC",A1:CV300,54,FALSE)/HLOOKUP("Mins",A1:CV300,54,FALSE)* 90)</f>
        <v>0.45685279187817257</v>
      </c>
      <c r="BN54" s="22374">
        <f>IF(HLOOKUP("Mins",A1:CV300,54,FALSE)=0,0,HLOOKUP("GIB",A1:CV300,54,FALSE)/HLOOKUP("Mins",A1:CV300,54,FALSE)* 90)</f>
        <v>0.45685279187817257</v>
      </c>
      <c r="BO54" s="22375">
        <f>IF(HLOOKUP("Mins",A1:CV300,54,FALSE)=0,0,HLOOKUP("Gs - Open",A1:CV300,54,FALSE)/HLOOKUP("Mins",A1:CV300,54,FALSE)* 90)</f>
        <v>0.45685279187817257</v>
      </c>
      <c r="BP54" s="22376">
        <f>IF(HLOOKUP("Mins",A1:CV300,54,FALSE)=0,0,HLOOKUP("ICT Index",A1:CV300,54,FALSE)/HLOOKUP("Mins",A1:CV300,54,FALSE)* 90)</f>
        <v>10.279187817258883</v>
      </c>
      <c r="BQ54" s="22377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  <v>0.19461928934010148</v>
      </c>
      <c r="BR54" s="22378">
        <f>0.0885*HLOOKUP("KP/90",A1:CV300,54,FALSE)</f>
        <v>0.16172588832487308</v>
      </c>
      <c r="BS54" s="22379">
        <f>5*HLOOKUP("xG/90",A1:CV300,54,FALSE)+3*HLOOKUP("xA/90",A1:CV300,54,FALSE)</f>
        <v>1.4582741116751268</v>
      </c>
      <c r="BT54" s="22380">
        <f>HLOOKUP("xPts/90",A1:CV300,54,FALSE)-(5*0.75*(HLOOKUP("PK Gs",A1:CV300,54,FALSE)+HLOOKUP("PK Miss",A1:CV300,54,FALSE))*90/HLOOKUP("Mins",A1:CV300,54,FALSE))</f>
        <v>1.4582741116751268</v>
      </c>
      <c r="BU54" s="22381">
        <f>IF(HLOOKUP("Mins",A1:CV300,54,FALSE)=0,0,HLOOKUP("fsXG",A1:CV300,54,FALSE)/HLOOKUP("Mins",A1:CV300,54,FALSE)* 90)</f>
        <v>0.23756345177664975</v>
      </c>
      <c r="BV54" s="22382">
        <f>IF(HLOOKUP("Mins",A1:CV300,54,FALSE)=0,0,HLOOKUP("fsXA",A1:CV300,54,FALSE)/HLOOKUP("Mins",A1:CV300,54,FALSE)* 90)</f>
        <v>0.31065989847715741</v>
      </c>
      <c r="BW54" s="22383">
        <f>5*HLOOKUP("fsXG/90",A1:CV300,54,FALSE)+3*HLOOKUP("fsXA/90",A1:CV300,54,FALSE)</f>
        <v>2.119796954314721</v>
      </c>
      <c r="BX54" s="22384">
        <v>0.31631305813789368</v>
      </c>
      <c r="BY54" s="22385">
        <v>0.34751838445663452</v>
      </c>
      <c r="BZ54" s="22386">
        <f>5*HLOOKUP("uXG/90",A1:CV300,54,FALSE)+3*HLOOKUP("uXA/90",A1:CV300,54,FALSE)</f>
        <v>2.6241204440593719</v>
      </c>
    </row>
    <row r="55" spans="1:78" x14ac:dyDescent="0.3">
      <c r="A55" s="22387" t="s">
        <v>382</v>
      </c>
      <c r="B55" s="22388" t="s">
        <v>100</v>
      </c>
      <c r="C55" s="22389">
        <v>5.4000000953674316</v>
      </c>
      <c r="D55" s="22390">
        <v>1890</v>
      </c>
      <c r="E55" s="22391">
        <v>22</v>
      </c>
      <c r="F55" s="22392">
        <v>79</v>
      </c>
      <c r="G55" s="22393">
        <v>1</v>
      </c>
      <c r="H55" s="22394">
        <v>11</v>
      </c>
      <c r="I55" s="22395">
        <v>405</v>
      </c>
      <c r="J55" s="22396">
        <f>HLOOKUP("BPS",A1:CV300,55,FALSE)-((-6*HLOOKUP("OG",A1:CV300,55,FALSE))+(-6*HLOOKUP("PK Miss",A1:CV300,55,FALSE))+(9*HLOOKUP("FPL As",A1:CV300,55,FALSE))+(0*HLOOKUP("CS",A1:CV300,55,FALSE))+(18*HLOOKUP("Gs",A1:CV300,55,FALSE)))</f>
        <v>324</v>
      </c>
      <c r="K55" s="22397">
        <v>0</v>
      </c>
      <c r="L55" s="22398">
        <v>4</v>
      </c>
      <c r="M55" s="22399">
        <v>5</v>
      </c>
      <c r="N55" s="22400">
        <v>16</v>
      </c>
      <c r="O55" s="22401">
        <v>3</v>
      </c>
      <c r="P55" s="22402">
        <f>IF(HLOOKUP("Shots",A1:CV300,55,FALSE)=0,0,HLOOKUP("SIB",A1:CV300,55,FALSE)/HLOOKUP("Shots",A1:CV300,55,FALSE))</f>
        <v>0.1875</v>
      </c>
      <c r="Q55" s="22403">
        <v>0</v>
      </c>
      <c r="R55" s="22404">
        <f>IF(HLOOKUP("Shots",A1:CV300,55,FALSE)=0,0,HLOOKUP("S6YD",A1:CV300,55,FALSE)/HLOOKUP("Shots",A1:CV300,55,FALSE))</f>
        <v>0</v>
      </c>
      <c r="S55" s="22405">
        <v>0</v>
      </c>
      <c r="T55" s="22406">
        <f>IF(HLOOKUP("Shots",A1:CV300,55,FALSE)=0,0,HLOOKUP("Headers",A1:CV300,55,FALSE)/HLOOKUP("Shots",A1:CV300,55,FALSE))</f>
        <v>0</v>
      </c>
      <c r="U55" s="22407">
        <v>6</v>
      </c>
      <c r="V55" s="22408">
        <f>IF(HLOOKUP("Shots",A1:CV300,55,FALSE)=0,0,HLOOKUP("SOT",A1:CV300,55,FALSE)/HLOOKUP("Shots",A1:CV300,55,FALSE))</f>
        <v>0.375</v>
      </c>
      <c r="W55" s="22409">
        <f>IF(HLOOKUP("Shots",A1:CV300,55,FALSE)=0,0,HLOOKUP("Gs",A1:CV300,55,FALSE)/HLOOKUP("Shots",A1:CV300,55,FALSE))</f>
        <v>6.25E-2</v>
      </c>
      <c r="X55" s="22410">
        <v>6</v>
      </c>
      <c r="Y55" s="22411">
        <v>7</v>
      </c>
      <c r="Z55" s="22412">
        <v>49</v>
      </c>
      <c r="AA55" s="22413">
        <f>IF(HLOOKUP("KP",A1:CV300,55,FALSE)=0,0,HLOOKUP("As",A1:CV300,55,FALSE)/HLOOKUP("KP",A1:CV300,55,FALSE))</f>
        <v>0.12244897959183673</v>
      </c>
      <c r="AB55" s="22414">
        <v>139.6</v>
      </c>
      <c r="AC55" s="22415">
        <v>28</v>
      </c>
      <c r="AD55" s="22416">
        <v>5</v>
      </c>
      <c r="AE55" s="22417">
        <v>0</v>
      </c>
      <c r="AF55" s="22418">
        <v>0</v>
      </c>
      <c r="AG55" s="22419">
        <f>IF(HLOOKUP("BC",A1:CV300,55,FALSE)=0,0,HLOOKUP("Gs - BC",A1:CV300,55,FALSE)/HLOOKUP("BC",A1:CV300,55,FALSE))</f>
        <v>0</v>
      </c>
      <c r="AH55" s="22420">
        <f>HLOOKUP("BC",A1:CV300,55,FALSE) - HLOOKUP("BC Miss",A1:CV300,55,FALSE)</f>
        <v>0</v>
      </c>
      <c r="AI55" s="22421">
        <f>IF(HLOOKUP("Gs",A1:CV300,55,FALSE)=0,0,HLOOKUP("Gs - BC",A1:CV300,55,FALSE)/HLOOKUP("Gs",A1:CV300,55,FALSE))</f>
        <v>0</v>
      </c>
      <c r="AJ55" s="22422">
        <v>0</v>
      </c>
      <c r="AK55" s="22423">
        <v>0</v>
      </c>
      <c r="AL55" s="22424">
        <f>HLOOKUP("BC",A1:CV300,55,FALSE) - (HLOOKUP("PK Gs",A1:CV300,55,FALSE) + HLOOKUP("PK Miss",A1:CV300,55,FALSE))</f>
        <v>0</v>
      </c>
      <c r="AM55" s="22425">
        <f>HLOOKUP("BC Miss",A1:CV300,55,FALSE) - HLOOKUP("PK Miss",A1:CV300,55,FALSE)</f>
        <v>0</v>
      </c>
      <c r="AN55" s="22426">
        <f>IF(HLOOKUP("BC - Open",A1:CV300,55,FALSE)=0,0,HLOOKUP("BC - Open Miss",A1:CV300,55,FALSE)/HLOOKUP("BC - Open",A1:CV300,55,FALSE))</f>
        <v>0</v>
      </c>
      <c r="AO55" s="22427">
        <v>0</v>
      </c>
      <c r="AP55" s="22428">
        <f>IF(HLOOKUP("Gs",A1:CV300,55,FALSE)=0,0,HLOOKUP("GIB",A1:CV300,55,FALSE)/HLOOKUP("Gs",A1:CV300,55,FALSE))</f>
        <v>0</v>
      </c>
      <c r="AQ55" s="22429">
        <v>0</v>
      </c>
      <c r="AR55" s="22430">
        <f>IF(HLOOKUP("Gs",A1:CV300,55,FALSE)=0,0,HLOOKUP("Gs - Open",A1:CV300,55,FALSE)/HLOOKUP("Gs",A1:CV300,55,FALSE))</f>
        <v>0</v>
      </c>
      <c r="AS55" s="22431">
        <v>0.71</v>
      </c>
      <c r="AT55" s="22432">
        <v>3.39</v>
      </c>
      <c r="AU55" s="22433">
        <f>IF(HLOOKUP("Mins",A1:CV300,55,FALSE)=0,0,HLOOKUP("Pts",A1:CV300,55,FALSE)/HLOOKUP("Mins",A1:CV300,55,FALSE)* 90)</f>
        <v>3.7619047619047619</v>
      </c>
      <c r="AV55" s="22434">
        <f>IF(HLOOKUP("Apps",A1:CV300,55,FALSE)=0,0,HLOOKUP("Pts",A1:CV300,55,FALSE)/HLOOKUP("Apps",A1:CV300,55,FALSE)* 1)</f>
        <v>3.5909090909090908</v>
      </c>
      <c r="AW55" s="22435">
        <f>IF(HLOOKUP("Mins",A1:CV300,55,FALSE)=0,0,HLOOKUP("Gs",A1:CV300,55,FALSE)/HLOOKUP("Mins",A1:CV300,55,FALSE)* 90)</f>
        <v>4.7619047619047623E-2</v>
      </c>
      <c r="AX55" s="22436">
        <f>IF(HLOOKUP("Mins",A1:CV300,55,FALSE)=0,0,HLOOKUP("Bonus",A1:CV300,55,FALSE)/HLOOKUP("Mins",A1:CV300,55,FALSE)* 90)</f>
        <v>0.52380952380952384</v>
      </c>
      <c r="AY55" s="22437">
        <f>IF(HLOOKUP("Mins",A1:CV300,55,FALSE)=0,0,HLOOKUP("BPS",A1:CV300,55,FALSE)/HLOOKUP("Mins",A1:CV300,55,FALSE)* 90)</f>
        <v>19.285714285714285</v>
      </c>
      <c r="AZ55" s="22438">
        <f>IF(HLOOKUP("Mins",A1:CV300,55,FALSE)=0,0,HLOOKUP("Base BPS",A1:CV300,55,FALSE)/HLOOKUP("Mins",A1:CV300,55,FALSE)* 90)</f>
        <v>15.428571428571429</v>
      </c>
      <c r="BA55" s="22439">
        <f>IF(HLOOKUP("Mins",A1:CV300,55,FALSE)=0,0,HLOOKUP("PenTchs",A1:CV300,55,FALSE)/HLOOKUP("Mins",A1:CV300,55,FALSE)* 90)</f>
        <v>0.23809523809523808</v>
      </c>
      <c r="BB55" s="22440">
        <f>IF(HLOOKUP("Mins",A1:CV300,55,FALSE)=0,0,HLOOKUP("Shots",A1:CV300,55,FALSE)/HLOOKUP("Mins",A1:CV300,55,FALSE)* 90)</f>
        <v>0.76190476190476197</v>
      </c>
      <c r="BC55" s="22441">
        <f>IF(HLOOKUP("Mins",A1:CV300,55,FALSE)=0,0,HLOOKUP("SIB",A1:CV300,55,FALSE)/HLOOKUP("Mins",A1:CV300,55,FALSE)* 90)</f>
        <v>0.14285714285714285</v>
      </c>
      <c r="BD55" s="22442">
        <f>IF(HLOOKUP("Mins",A1:CV300,55,FALSE)=0,0,HLOOKUP("S6YD",A1:CV300,55,FALSE)/HLOOKUP("Mins",A1:CV300,55,FALSE)* 90)</f>
        <v>0</v>
      </c>
      <c r="BE55" s="22443">
        <f>IF(HLOOKUP("Mins",A1:CV300,55,FALSE)=0,0,HLOOKUP("Headers",A1:CV300,55,FALSE)/HLOOKUP("Mins",A1:CV300,55,FALSE)* 90)</f>
        <v>0</v>
      </c>
      <c r="BF55" s="22444">
        <f>IF(HLOOKUP("Mins",A1:CV300,55,FALSE)=0,0,HLOOKUP("SOT",A1:CV300,55,FALSE)/HLOOKUP("Mins",A1:CV300,55,FALSE)* 90)</f>
        <v>0.2857142857142857</v>
      </c>
      <c r="BG55" s="22445">
        <f>IF(HLOOKUP("Mins",A1:CV300,55,FALSE)=0,0,HLOOKUP("As",A1:CV300,55,FALSE)/HLOOKUP("Mins",A1:CV300,55,FALSE)* 90)</f>
        <v>0.2857142857142857</v>
      </c>
      <c r="BH55" s="22446">
        <f>IF(HLOOKUP("Mins",A1:CV300,55,FALSE)=0,0,HLOOKUP("FPL As",A1:CV300,55,FALSE)/HLOOKUP("Mins",A1:CV300,55,FALSE)* 90)</f>
        <v>0.33333333333333337</v>
      </c>
      <c r="BI55" s="22447">
        <f>IF(HLOOKUP("Mins",A1:CV300,55,FALSE)=0,0,HLOOKUP("BC Created",A1:CV300,55,FALSE)/HLOOKUP("Mins",A1:CV300,55,FALSE)* 90)</f>
        <v>0.23809523809523808</v>
      </c>
      <c r="BJ55" s="22448">
        <f>IF(HLOOKUP("Mins",A1:CV300,55,FALSE)=0,0,HLOOKUP("KP",A1:CV300,55,FALSE)/HLOOKUP("Mins",A1:CV300,55,FALSE)* 90)</f>
        <v>2.3333333333333335</v>
      </c>
      <c r="BK55" s="22449">
        <f>IF(HLOOKUP("Mins",A1:CV300,55,FALSE)=0,0,HLOOKUP("BC",A1:CV300,55,FALSE)/HLOOKUP("Mins",A1:CV300,55,FALSE)* 90)</f>
        <v>0</v>
      </c>
      <c r="BL55" s="22450">
        <f>IF(HLOOKUP("Mins",A1:CV300,55,FALSE)=0,0,HLOOKUP("BC Miss",A1:CV300,55,FALSE)/HLOOKUP("Mins",A1:CV300,55,FALSE)* 90)</f>
        <v>0</v>
      </c>
      <c r="BM55" s="22451">
        <f>IF(HLOOKUP("Mins",A1:CV300,55,FALSE)=0,0,HLOOKUP("Gs - BC",A1:CV300,55,FALSE)/HLOOKUP("Mins",A1:CV300,55,FALSE)* 90)</f>
        <v>0</v>
      </c>
      <c r="BN55" s="22452">
        <f>IF(HLOOKUP("Mins",A1:CV300,55,FALSE)=0,0,HLOOKUP("GIB",A1:CV300,55,FALSE)/HLOOKUP("Mins",A1:CV300,55,FALSE)* 90)</f>
        <v>0</v>
      </c>
      <c r="BO55" s="22453">
        <f>IF(HLOOKUP("Mins",A1:CV300,55,FALSE)=0,0,HLOOKUP("Gs - Open",A1:CV300,55,FALSE)/HLOOKUP("Mins",A1:CV300,55,FALSE)* 90)</f>
        <v>0</v>
      </c>
      <c r="BP55" s="22454">
        <f>IF(HLOOKUP("Mins",A1:CV300,55,FALSE)=0,0,HLOOKUP("ICT Index",A1:CV300,55,FALSE)/HLOOKUP("Mins",A1:CV300,55,FALSE)* 90)</f>
        <v>6.647619047619048</v>
      </c>
      <c r="BQ55" s="22455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  <v>4.2571428571428566E-2</v>
      </c>
      <c r="BR55" s="22456">
        <f>0.0885*HLOOKUP("KP/90",A1:CV300,55,FALSE)</f>
        <v>0.20649999999999999</v>
      </c>
      <c r="BS55" s="22457">
        <f>5*HLOOKUP("xG/90",A1:CV300,55,FALSE)+3*HLOOKUP("xA/90",A1:CV300,55,FALSE)</f>
        <v>0.8323571428571428</v>
      </c>
      <c r="BT55" s="22458">
        <f>HLOOKUP("xPts/90",A1:CV300,55,FALSE)-(5*0.75*(HLOOKUP("PK Gs",A1:CV300,55,FALSE)+HLOOKUP("PK Miss",A1:CV300,55,FALSE))*90/HLOOKUP("Mins",A1:CV300,55,FALSE))</f>
        <v>0.8323571428571428</v>
      </c>
      <c r="BU55" s="22459">
        <f>IF(HLOOKUP("Mins",A1:CV300,55,FALSE)=0,0,HLOOKUP("fsXG",A1:CV300,55,FALSE)/HLOOKUP("Mins",A1:CV300,55,FALSE)* 90)</f>
        <v>3.380952380952381E-2</v>
      </c>
      <c r="BV55" s="22460">
        <f>IF(HLOOKUP("Mins",A1:CV300,55,FALSE)=0,0,HLOOKUP("fsXA",A1:CV300,55,FALSE)/HLOOKUP("Mins",A1:CV300,55,FALSE)* 90)</f>
        <v>0.16142857142857142</v>
      </c>
      <c r="BW55" s="22461">
        <f>5*HLOOKUP("fsXG/90",A1:CV300,55,FALSE)+3*HLOOKUP("fsXA/90",A1:CV300,55,FALSE)</f>
        <v>0.65333333333333332</v>
      </c>
      <c r="BX55" s="22462">
        <v>2.59244404733181E-2</v>
      </c>
      <c r="BY55" s="22463">
        <v>0.19309863448143005</v>
      </c>
      <c r="BZ55" s="22464">
        <f>5*HLOOKUP("uXG/90",A1:CV300,55,FALSE)+3*HLOOKUP("uXA/90",A1:CV300,55,FALSE)</f>
        <v>0.70891810581088066</v>
      </c>
    </row>
    <row r="56" spans="1:78" x14ac:dyDescent="0.3">
      <c r="A56" s="22465" t="s">
        <v>383</v>
      </c>
      <c r="B56" s="22466" t="s">
        <v>147</v>
      </c>
      <c r="C56" s="22467">
        <v>6.8000001907348633</v>
      </c>
      <c r="D56" s="22468">
        <v>312</v>
      </c>
      <c r="E56" s="22469">
        <v>5</v>
      </c>
      <c r="F56" s="22470">
        <v>10</v>
      </c>
      <c r="G56" s="22471">
        <v>0</v>
      </c>
      <c r="H56" s="22472">
        <v>0</v>
      </c>
      <c r="I56" s="22473">
        <v>40</v>
      </c>
      <c r="J56" s="22474">
        <f>HLOOKUP("BPS",A1:CV300,56,FALSE)-((-6*HLOOKUP("OG",A1:CV300,56,FALSE))+(-6*HLOOKUP("PK Miss",A1:CV300,56,FALSE))+(9*HLOOKUP("FPL As",A1:CV300,56,FALSE))+(0*HLOOKUP("CS",A1:CV300,56,FALSE))+(18*HLOOKUP("Gs",A1:CV300,56,FALSE)))</f>
        <v>40</v>
      </c>
      <c r="K56" s="22475">
        <v>0</v>
      </c>
      <c r="L56" s="22476">
        <v>1</v>
      </c>
      <c r="M56" s="22477">
        <v>15</v>
      </c>
      <c r="N56" s="22478">
        <v>12</v>
      </c>
      <c r="O56" s="22479">
        <v>8</v>
      </c>
      <c r="P56" s="22480">
        <f>IF(HLOOKUP("Shots",A1:CV300,56,FALSE)=0,0,HLOOKUP("SIB",A1:CV300,56,FALSE)/HLOOKUP("Shots",A1:CV300,56,FALSE))</f>
        <v>0.66666666666666663</v>
      </c>
      <c r="Q56" s="22481">
        <v>1</v>
      </c>
      <c r="R56" s="22482">
        <f>IF(HLOOKUP("Shots",A1:CV300,56,FALSE)=0,0,HLOOKUP("S6YD",A1:CV300,56,FALSE)/HLOOKUP("Shots",A1:CV300,56,FALSE))</f>
        <v>8.3333333333333329E-2</v>
      </c>
      <c r="S56" s="22483">
        <v>0</v>
      </c>
      <c r="T56" s="22484">
        <f>IF(HLOOKUP("Shots",A1:CV300,56,FALSE)=0,0,HLOOKUP("Headers",A1:CV300,56,FALSE)/HLOOKUP("Shots",A1:CV300,56,FALSE))</f>
        <v>0</v>
      </c>
      <c r="U56" s="22485">
        <v>5</v>
      </c>
      <c r="V56" s="22486">
        <f>IF(HLOOKUP("Shots",A1:CV300,56,FALSE)=0,0,HLOOKUP("SOT",A1:CV300,56,FALSE)/HLOOKUP("Shots",A1:CV300,56,FALSE))</f>
        <v>0.41666666666666669</v>
      </c>
      <c r="W56" s="22487">
        <f>IF(HLOOKUP("Shots",A1:CV300,56,FALSE)=0,0,HLOOKUP("Gs",A1:CV300,56,FALSE)/HLOOKUP("Shots",A1:CV300,56,FALSE))</f>
        <v>0</v>
      </c>
      <c r="X56" s="22488">
        <v>0</v>
      </c>
      <c r="Y56" s="22489">
        <v>0</v>
      </c>
      <c r="Z56" s="22490">
        <v>9</v>
      </c>
      <c r="AA56" s="22491">
        <f>IF(HLOOKUP("KP",A1:CV300,56,FALSE)=0,0,HLOOKUP("As",A1:CV300,56,FALSE)/HLOOKUP("KP",A1:CV300,56,FALSE))</f>
        <v>0</v>
      </c>
      <c r="AB56" s="22492">
        <v>33</v>
      </c>
      <c r="AC56" s="22493">
        <v>0</v>
      </c>
      <c r="AD56" s="22494">
        <v>1</v>
      </c>
      <c r="AE56" s="22495">
        <v>1</v>
      </c>
      <c r="AF56" s="22496">
        <v>1</v>
      </c>
      <c r="AG56" s="22497">
        <f>IF(HLOOKUP("BC",A1:CV300,56,FALSE)=0,0,HLOOKUP("Gs - BC",A1:CV300,56,FALSE)/HLOOKUP("BC",A1:CV300,56,FALSE))</f>
        <v>0</v>
      </c>
      <c r="AH56" s="22498">
        <f>HLOOKUP("BC",A1:CV300,56,FALSE) - HLOOKUP("BC Miss",A1:CV300,56,FALSE)</f>
        <v>0</v>
      </c>
      <c r="AI56" s="22499">
        <f>IF(HLOOKUP("Gs",A1:CV300,56,FALSE)=0,0,HLOOKUP("Gs - BC",A1:CV300,56,FALSE)/HLOOKUP("Gs",A1:CV300,56,FALSE))</f>
        <v>0</v>
      </c>
      <c r="AJ56" s="22500">
        <v>0</v>
      </c>
      <c r="AK56" s="22501">
        <v>0</v>
      </c>
      <c r="AL56" s="22502">
        <f>HLOOKUP("BC",A1:CV300,56,FALSE) - (HLOOKUP("PK Gs",A1:CV300,56,FALSE) + HLOOKUP("PK Miss",A1:CV300,56,FALSE))</f>
        <v>1</v>
      </c>
      <c r="AM56" s="22503">
        <f>HLOOKUP("BC Miss",A1:CV300,56,FALSE) - HLOOKUP("PK Miss",A1:CV300,56,FALSE)</f>
        <v>1</v>
      </c>
      <c r="AN56" s="22504">
        <f>IF(HLOOKUP("BC - Open",A1:CV300,56,FALSE)=0,0,HLOOKUP("BC - Open Miss",A1:CV300,56,FALSE)/HLOOKUP("BC - Open",A1:CV300,56,FALSE))</f>
        <v>1</v>
      </c>
      <c r="AO56" s="22505">
        <v>0</v>
      </c>
      <c r="AP56" s="22506">
        <f>IF(HLOOKUP("Gs",A1:CV300,56,FALSE)=0,0,HLOOKUP("GIB",A1:CV300,56,FALSE)/HLOOKUP("Gs",A1:CV300,56,FALSE))</f>
        <v>0</v>
      </c>
      <c r="AQ56" s="22507">
        <v>0</v>
      </c>
      <c r="AR56" s="22508">
        <f>IF(HLOOKUP("Gs",A1:CV300,56,FALSE)=0,0,HLOOKUP("Gs - Open",A1:CV300,56,FALSE)/HLOOKUP("Gs",A1:CV300,56,FALSE))</f>
        <v>0</v>
      </c>
      <c r="AS56" s="22509">
        <v>1.02</v>
      </c>
      <c r="AT56" s="22510">
        <v>0.51</v>
      </c>
      <c r="AU56" s="22511">
        <f>IF(HLOOKUP("Mins",A1:CV300,56,FALSE)=0,0,HLOOKUP("Pts",A1:CV300,56,FALSE)/HLOOKUP("Mins",A1:CV300,56,FALSE)* 90)</f>
        <v>2.8846153846153841</v>
      </c>
      <c r="AV56" s="22512">
        <f>IF(HLOOKUP("Apps",A1:CV300,56,FALSE)=0,0,HLOOKUP("Pts",A1:CV300,56,FALSE)/HLOOKUP("Apps",A1:CV300,56,FALSE)* 1)</f>
        <v>2</v>
      </c>
      <c r="AW56" s="22513">
        <f>IF(HLOOKUP("Mins",A1:CV300,56,FALSE)=0,0,HLOOKUP("Gs",A1:CV300,56,FALSE)/HLOOKUP("Mins",A1:CV300,56,FALSE)* 90)</f>
        <v>0</v>
      </c>
      <c r="AX56" s="22514">
        <f>IF(HLOOKUP("Mins",A1:CV300,56,FALSE)=0,0,HLOOKUP("Bonus",A1:CV300,56,FALSE)/HLOOKUP("Mins",A1:CV300,56,FALSE)* 90)</f>
        <v>0</v>
      </c>
      <c r="AY56" s="22515">
        <f>IF(HLOOKUP("Mins",A1:CV300,56,FALSE)=0,0,HLOOKUP("BPS",A1:CV300,56,FALSE)/HLOOKUP("Mins",A1:CV300,56,FALSE)* 90)</f>
        <v>11.538461538461537</v>
      </c>
      <c r="AZ56" s="22516">
        <f>IF(HLOOKUP("Mins",A1:CV300,56,FALSE)=0,0,HLOOKUP("Base BPS",A1:CV300,56,FALSE)/HLOOKUP("Mins",A1:CV300,56,FALSE)* 90)</f>
        <v>11.538461538461537</v>
      </c>
      <c r="BA56" s="22517">
        <f>IF(HLOOKUP("Mins",A1:CV300,56,FALSE)=0,0,HLOOKUP("PenTchs",A1:CV300,56,FALSE)/HLOOKUP("Mins",A1:CV300,56,FALSE)* 90)</f>
        <v>4.3269230769230775</v>
      </c>
      <c r="BB56" s="22518">
        <f>IF(HLOOKUP("Mins",A1:CV300,56,FALSE)=0,0,HLOOKUP("Shots",A1:CV300,56,FALSE)/HLOOKUP("Mins",A1:CV300,56,FALSE)* 90)</f>
        <v>3.4615384615384617</v>
      </c>
      <c r="BC56" s="22519">
        <f>IF(HLOOKUP("Mins",A1:CV300,56,FALSE)=0,0,HLOOKUP("SIB",A1:CV300,56,FALSE)/HLOOKUP("Mins",A1:CV300,56,FALSE)* 90)</f>
        <v>2.3076923076923075</v>
      </c>
      <c r="BD56" s="22520">
        <f>IF(HLOOKUP("Mins",A1:CV300,56,FALSE)=0,0,HLOOKUP("S6YD",A1:CV300,56,FALSE)/HLOOKUP("Mins",A1:CV300,56,FALSE)* 90)</f>
        <v>0.28846153846153844</v>
      </c>
      <c r="BE56" s="22521">
        <f>IF(HLOOKUP("Mins",A1:CV300,56,FALSE)=0,0,HLOOKUP("Headers",A1:CV300,56,FALSE)/HLOOKUP("Mins",A1:CV300,56,FALSE)* 90)</f>
        <v>0</v>
      </c>
      <c r="BF56" s="22522">
        <f>IF(HLOOKUP("Mins",A1:CV300,56,FALSE)=0,0,HLOOKUP("SOT",A1:CV300,56,FALSE)/HLOOKUP("Mins",A1:CV300,56,FALSE)* 90)</f>
        <v>1.4423076923076921</v>
      </c>
      <c r="BG56" s="22523">
        <f>IF(HLOOKUP("Mins",A1:CV300,56,FALSE)=0,0,HLOOKUP("As",A1:CV300,56,FALSE)/HLOOKUP("Mins",A1:CV300,56,FALSE)* 90)</f>
        <v>0</v>
      </c>
      <c r="BH56" s="22524">
        <f>IF(HLOOKUP("Mins",A1:CV300,56,FALSE)=0,0,HLOOKUP("FPL As",A1:CV300,56,FALSE)/HLOOKUP("Mins",A1:CV300,56,FALSE)* 90)</f>
        <v>0</v>
      </c>
      <c r="BI56" s="22525">
        <f>IF(HLOOKUP("Mins",A1:CV300,56,FALSE)=0,0,HLOOKUP("BC Created",A1:CV300,56,FALSE)/HLOOKUP("Mins",A1:CV300,56,FALSE)* 90)</f>
        <v>0.28846153846153844</v>
      </c>
      <c r="BJ56" s="22526">
        <f>IF(HLOOKUP("Mins",A1:CV300,56,FALSE)=0,0,HLOOKUP("KP",A1:CV300,56,FALSE)/HLOOKUP("Mins",A1:CV300,56,FALSE)* 90)</f>
        <v>2.5961538461538463</v>
      </c>
      <c r="BK56" s="22527">
        <f>IF(HLOOKUP("Mins",A1:CV300,56,FALSE)=0,0,HLOOKUP("BC",A1:CV300,56,FALSE)/HLOOKUP("Mins",A1:CV300,56,FALSE)* 90)</f>
        <v>0.28846153846153844</v>
      </c>
      <c r="BL56" s="22528">
        <f>IF(HLOOKUP("Mins",A1:CV300,56,FALSE)=0,0,HLOOKUP("BC Miss",A1:CV300,56,FALSE)/HLOOKUP("Mins",A1:CV300,56,FALSE)* 90)</f>
        <v>0.28846153846153844</v>
      </c>
      <c r="BM56" s="22529">
        <f>IF(HLOOKUP("Mins",A1:CV300,56,FALSE)=0,0,HLOOKUP("Gs - BC",A1:CV300,56,FALSE)/HLOOKUP("Mins",A1:CV300,56,FALSE)* 90)</f>
        <v>0</v>
      </c>
      <c r="BN56" s="22530">
        <f>IF(HLOOKUP("Mins",A1:CV300,56,FALSE)=0,0,HLOOKUP("GIB",A1:CV300,56,FALSE)/HLOOKUP("Mins",A1:CV300,56,FALSE)* 90)</f>
        <v>0</v>
      </c>
      <c r="BO56" s="22531">
        <f>IF(HLOOKUP("Mins",A1:CV300,56,FALSE)=0,0,HLOOKUP("Gs - Open",A1:CV300,56,FALSE)/HLOOKUP("Mins",A1:CV300,56,FALSE)* 90)</f>
        <v>0</v>
      </c>
      <c r="BP56" s="22532">
        <f>IF(HLOOKUP("Mins",A1:CV300,56,FALSE)=0,0,HLOOKUP("ICT Index",A1:CV300,56,FALSE)/HLOOKUP("Mins",A1:CV300,56,FALSE)* 90)</f>
        <v>9.5192307692307683</v>
      </c>
      <c r="BQ56" s="22533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  <v>0.36923076923076914</v>
      </c>
      <c r="BR56" s="22534">
        <f>0.0885*HLOOKUP("KP/90",A1:CV300,56,FALSE)</f>
        <v>0.22975961538461537</v>
      </c>
      <c r="BS56" s="22535">
        <f>5*HLOOKUP("xG/90",A1:CV300,56,FALSE)+3*HLOOKUP("xA/90",A1:CV300,56,FALSE)</f>
        <v>2.5354326923076922</v>
      </c>
      <c r="BT56" s="22536">
        <f>HLOOKUP("xPts/90",A1:CV300,56,FALSE)-(5*0.75*(HLOOKUP("PK Gs",A1:CV300,56,FALSE)+HLOOKUP("PK Miss",A1:CV300,56,FALSE))*90/HLOOKUP("Mins",A1:CV300,56,FALSE))</f>
        <v>2.5354326923076922</v>
      </c>
      <c r="BU56" s="22537">
        <f>IF(HLOOKUP("Mins",A1:CV300,56,FALSE)=0,0,HLOOKUP("fsXG",A1:CV300,56,FALSE)/HLOOKUP("Mins",A1:CV300,56,FALSE)* 90)</f>
        <v>0.29423076923076924</v>
      </c>
      <c r="BV56" s="22538">
        <f>IF(HLOOKUP("Mins",A1:CV300,56,FALSE)=0,0,HLOOKUP("fsXA",A1:CV300,56,FALSE)/HLOOKUP("Mins",A1:CV300,56,FALSE)* 90)</f>
        <v>0.14711538461538462</v>
      </c>
      <c r="BW56" s="22539">
        <f>5*HLOOKUP("fsXG/90",A1:CV300,56,FALSE)+3*HLOOKUP("fsXA/90",A1:CV300,56,FALSE)</f>
        <v>1.9125000000000001</v>
      </c>
      <c r="BX56" s="22540">
        <v>0.4041563868522644</v>
      </c>
      <c r="BY56" s="22541">
        <v>0.19166390597820282</v>
      </c>
      <c r="BZ56" s="22542">
        <f>5*HLOOKUP("uXG/90",A1:CV300,56,FALSE)+3*HLOOKUP("uXA/90",A1:CV300,56,FALSE)</f>
        <v>2.5957736521959305</v>
      </c>
    </row>
    <row r="57" spans="1:78" x14ac:dyDescent="0.3">
      <c r="A57" s="22543" t="s">
        <v>384</v>
      </c>
      <c r="B57" s="22544" t="s">
        <v>84</v>
      </c>
      <c r="C57" s="22545">
        <v>5.0999999046325684</v>
      </c>
      <c r="D57" s="22546">
        <v>324</v>
      </c>
      <c r="E57" s="22547">
        <v>9</v>
      </c>
      <c r="F57" s="22548">
        <v>11</v>
      </c>
      <c r="G57" s="22549">
        <v>0</v>
      </c>
      <c r="H57" s="22550">
        <v>0</v>
      </c>
      <c r="I57" s="22551">
        <v>32</v>
      </c>
      <c r="J57" s="22552">
        <f>HLOOKUP("BPS",A1:CV300,57,FALSE)-((-6*HLOOKUP("OG",A1:CV300,57,FALSE))+(-6*HLOOKUP("PK Miss",A1:CV300,57,FALSE))+(9*HLOOKUP("FPL As",A1:CV300,57,FALSE))+(0*HLOOKUP("CS",A1:CV300,57,FALSE))+(18*HLOOKUP("Gs",A1:CV300,57,FALSE)))</f>
        <v>32</v>
      </c>
      <c r="K57" s="22553">
        <v>0</v>
      </c>
      <c r="L57" s="22554">
        <v>1</v>
      </c>
      <c r="M57" s="22555">
        <v>4</v>
      </c>
      <c r="N57" s="22556">
        <v>2</v>
      </c>
      <c r="O57" s="22557">
        <v>0</v>
      </c>
      <c r="P57" s="22558">
        <f>IF(HLOOKUP("Shots",A1:CV300,57,FALSE)=0,0,HLOOKUP("SIB",A1:CV300,57,FALSE)/HLOOKUP("Shots",A1:CV300,57,FALSE))</f>
        <v>0</v>
      </c>
      <c r="Q57" s="22559">
        <v>0</v>
      </c>
      <c r="R57" s="22560">
        <f>IF(HLOOKUP("Shots",A1:CV300,57,FALSE)=0,0,HLOOKUP("S6YD",A1:CV300,57,FALSE)/HLOOKUP("Shots",A1:CV300,57,FALSE))</f>
        <v>0</v>
      </c>
      <c r="S57" s="22561">
        <v>0</v>
      </c>
      <c r="T57" s="22562">
        <f>IF(HLOOKUP("Shots",A1:CV300,57,FALSE)=0,0,HLOOKUP("Headers",A1:CV300,57,FALSE)/HLOOKUP("Shots",A1:CV300,57,FALSE))</f>
        <v>0</v>
      </c>
      <c r="U57" s="22563">
        <v>0</v>
      </c>
      <c r="V57" s="22564">
        <f>IF(HLOOKUP("Shots",A1:CV300,57,FALSE)=0,0,HLOOKUP("SOT",A1:CV300,57,FALSE)/HLOOKUP("Shots",A1:CV300,57,FALSE))</f>
        <v>0</v>
      </c>
      <c r="W57" s="22565">
        <f>IF(HLOOKUP("Shots",A1:CV300,57,FALSE)=0,0,HLOOKUP("Gs",A1:CV300,57,FALSE)/HLOOKUP("Shots",A1:CV300,57,FALSE))</f>
        <v>0</v>
      </c>
      <c r="X57" s="22566">
        <v>0</v>
      </c>
      <c r="Y57" s="22567">
        <v>0</v>
      </c>
      <c r="Z57" s="22568">
        <v>3</v>
      </c>
      <c r="AA57" s="22569">
        <f>IF(HLOOKUP("KP",A1:CV300,57,FALSE)=0,0,HLOOKUP("As",A1:CV300,57,FALSE)/HLOOKUP("KP",A1:CV300,57,FALSE))</f>
        <v>0</v>
      </c>
      <c r="AB57" s="22570">
        <v>13.7</v>
      </c>
      <c r="AC57" s="22571">
        <v>0</v>
      </c>
      <c r="AD57" s="22572">
        <v>0</v>
      </c>
      <c r="AE57" s="22573">
        <v>0</v>
      </c>
      <c r="AF57" s="22574">
        <v>0</v>
      </c>
      <c r="AG57" s="22575">
        <f>IF(HLOOKUP("BC",A1:CV300,57,FALSE)=0,0,HLOOKUP("Gs - BC",A1:CV300,57,FALSE)/HLOOKUP("BC",A1:CV300,57,FALSE))</f>
        <v>0</v>
      </c>
      <c r="AH57" s="22576">
        <f>HLOOKUP("BC",A1:CV300,57,FALSE) - HLOOKUP("BC Miss",A1:CV300,57,FALSE)</f>
        <v>0</v>
      </c>
      <c r="AI57" s="22577">
        <f>IF(HLOOKUP("Gs",A1:CV300,57,FALSE)=0,0,HLOOKUP("Gs - BC",A1:CV300,57,FALSE)/HLOOKUP("Gs",A1:CV300,57,FALSE))</f>
        <v>0</v>
      </c>
      <c r="AJ57" s="22578">
        <v>0</v>
      </c>
      <c r="AK57" s="22579">
        <v>0</v>
      </c>
      <c r="AL57" s="22580">
        <f>HLOOKUP("BC",A1:CV300,57,FALSE) - (HLOOKUP("PK Gs",A1:CV300,57,FALSE) + HLOOKUP("PK Miss",A1:CV300,57,FALSE))</f>
        <v>0</v>
      </c>
      <c r="AM57" s="22581">
        <f>HLOOKUP("BC Miss",A1:CV300,57,FALSE) - HLOOKUP("PK Miss",A1:CV300,57,FALSE)</f>
        <v>0</v>
      </c>
      <c r="AN57" s="22582">
        <f>IF(HLOOKUP("BC - Open",A1:CV300,57,FALSE)=0,0,HLOOKUP("BC - Open Miss",A1:CV300,57,FALSE)/HLOOKUP("BC - Open",A1:CV300,57,FALSE))</f>
        <v>0</v>
      </c>
      <c r="AO57" s="22583">
        <v>0</v>
      </c>
      <c r="AP57" s="22584">
        <f>IF(HLOOKUP("Gs",A1:CV300,57,FALSE)=0,0,HLOOKUP("GIB",A1:CV300,57,FALSE)/HLOOKUP("Gs",A1:CV300,57,FALSE))</f>
        <v>0</v>
      </c>
      <c r="AQ57" s="22585">
        <v>0</v>
      </c>
      <c r="AR57" s="22586">
        <f>IF(HLOOKUP("Gs",A1:CV300,57,FALSE)=0,0,HLOOKUP("Gs - Open",A1:CV300,57,FALSE)/HLOOKUP("Gs",A1:CV300,57,FALSE))</f>
        <v>0</v>
      </c>
      <c r="AS57" s="22587">
        <v>0.05</v>
      </c>
      <c r="AT57" s="22588">
        <v>0.61</v>
      </c>
      <c r="AU57" s="22589">
        <f>IF(HLOOKUP("Mins",A1:CV300,57,FALSE)=0,0,HLOOKUP("Pts",A1:CV300,57,FALSE)/HLOOKUP("Mins",A1:CV300,57,FALSE)* 90)</f>
        <v>3.0555555555555554</v>
      </c>
      <c r="AV57" s="22590">
        <f>IF(HLOOKUP("Apps",A1:CV300,57,FALSE)=0,0,HLOOKUP("Pts",A1:CV300,57,FALSE)/HLOOKUP("Apps",A1:CV300,57,FALSE)* 1)</f>
        <v>1.2222222222222223</v>
      </c>
      <c r="AW57" s="22591">
        <f>IF(HLOOKUP("Mins",A1:CV300,57,FALSE)=0,0,HLOOKUP("Gs",A1:CV300,57,FALSE)/HLOOKUP("Mins",A1:CV300,57,FALSE)* 90)</f>
        <v>0</v>
      </c>
      <c r="AX57" s="22592">
        <f>IF(HLOOKUP("Mins",A1:CV300,57,FALSE)=0,0,HLOOKUP("Bonus",A1:CV300,57,FALSE)/HLOOKUP("Mins",A1:CV300,57,FALSE)* 90)</f>
        <v>0</v>
      </c>
      <c r="AY57" s="22593">
        <f>IF(HLOOKUP("Mins",A1:CV300,57,FALSE)=0,0,HLOOKUP("BPS",A1:CV300,57,FALSE)/HLOOKUP("Mins",A1:CV300,57,FALSE)* 90)</f>
        <v>8.8888888888888893</v>
      </c>
      <c r="AZ57" s="22594">
        <f>IF(HLOOKUP("Mins",A1:CV300,57,FALSE)=0,0,HLOOKUP("Base BPS",A1:CV300,57,FALSE)/HLOOKUP("Mins",A1:CV300,57,FALSE)* 90)</f>
        <v>8.8888888888888893</v>
      </c>
      <c r="BA57" s="22595">
        <f>IF(HLOOKUP("Mins",A1:CV300,57,FALSE)=0,0,HLOOKUP("PenTchs",A1:CV300,57,FALSE)/HLOOKUP("Mins",A1:CV300,57,FALSE)* 90)</f>
        <v>1.1111111111111112</v>
      </c>
      <c r="BB57" s="22596">
        <f>IF(HLOOKUP("Mins",A1:CV300,57,FALSE)=0,0,HLOOKUP("Shots",A1:CV300,57,FALSE)/HLOOKUP("Mins",A1:CV300,57,FALSE)* 90)</f>
        <v>0.55555555555555558</v>
      </c>
      <c r="BC57" s="22597">
        <f>IF(HLOOKUP("Mins",A1:CV300,57,FALSE)=0,0,HLOOKUP("SIB",A1:CV300,57,FALSE)/HLOOKUP("Mins",A1:CV300,57,FALSE)* 90)</f>
        <v>0</v>
      </c>
      <c r="BD57" s="22598">
        <f>IF(HLOOKUP("Mins",A1:CV300,57,FALSE)=0,0,HLOOKUP("S6YD",A1:CV300,57,FALSE)/HLOOKUP("Mins",A1:CV300,57,FALSE)* 90)</f>
        <v>0</v>
      </c>
      <c r="BE57" s="22599">
        <f>IF(HLOOKUP("Mins",A1:CV300,57,FALSE)=0,0,HLOOKUP("Headers",A1:CV300,57,FALSE)/HLOOKUP("Mins",A1:CV300,57,FALSE)* 90)</f>
        <v>0</v>
      </c>
      <c r="BF57" s="22600">
        <f>IF(HLOOKUP("Mins",A1:CV300,57,FALSE)=0,0,HLOOKUP("SOT",A1:CV300,57,FALSE)/HLOOKUP("Mins",A1:CV300,57,FALSE)* 90)</f>
        <v>0</v>
      </c>
      <c r="BG57" s="22601">
        <f>IF(HLOOKUP("Mins",A1:CV300,57,FALSE)=0,0,HLOOKUP("As",A1:CV300,57,FALSE)/HLOOKUP("Mins",A1:CV300,57,FALSE)* 90)</f>
        <v>0</v>
      </c>
      <c r="BH57" s="22602">
        <f>IF(HLOOKUP("Mins",A1:CV300,57,FALSE)=0,0,HLOOKUP("FPL As",A1:CV300,57,FALSE)/HLOOKUP("Mins",A1:CV300,57,FALSE)* 90)</f>
        <v>0</v>
      </c>
      <c r="BI57" s="22603">
        <f>IF(HLOOKUP("Mins",A1:CV300,57,FALSE)=0,0,HLOOKUP("BC Created",A1:CV300,57,FALSE)/HLOOKUP("Mins",A1:CV300,57,FALSE)* 90)</f>
        <v>0</v>
      </c>
      <c r="BJ57" s="22604">
        <f>IF(HLOOKUP("Mins",A1:CV300,57,FALSE)=0,0,HLOOKUP("KP",A1:CV300,57,FALSE)/HLOOKUP("Mins",A1:CV300,57,FALSE)* 90)</f>
        <v>0.83333333333333326</v>
      </c>
      <c r="BK57" s="22605">
        <f>IF(HLOOKUP("Mins",A1:CV300,57,FALSE)=0,0,HLOOKUP("BC",A1:CV300,57,FALSE)/HLOOKUP("Mins",A1:CV300,57,FALSE)* 90)</f>
        <v>0</v>
      </c>
      <c r="BL57" s="22606">
        <f>IF(HLOOKUP("Mins",A1:CV300,57,FALSE)=0,0,HLOOKUP("BC Miss",A1:CV300,57,FALSE)/HLOOKUP("Mins",A1:CV300,57,FALSE)* 90)</f>
        <v>0</v>
      </c>
      <c r="BM57" s="22607">
        <f>IF(HLOOKUP("Mins",A1:CV300,57,FALSE)=0,0,HLOOKUP("Gs - BC",A1:CV300,57,FALSE)/HLOOKUP("Mins",A1:CV300,57,FALSE)* 90)</f>
        <v>0</v>
      </c>
      <c r="BN57" s="22608">
        <f>IF(HLOOKUP("Mins",A1:CV300,57,FALSE)=0,0,HLOOKUP("GIB",A1:CV300,57,FALSE)/HLOOKUP("Mins",A1:CV300,57,FALSE)* 90)</f>
        <v>0</v>
      </c>
      <c r="BO57" s="22609">
        <f>IF(HLOOKUP("Mins",A1:CV300,57,FALSE)=0,0,HLOOKUP("Gs - Open",A1:CV300,57,FALSE)/HLOOKUP("Mins",A1:CV300,57,FALSE)* 90)</f>
        <v>0</v>
      </c>
      <c r="BP57" s="22610">
        <f>IF(HLOOKUP("Mins",A1:CV300,57,FALSE)=0,0,HLOOKUP("ICT Index",A1:CV300,57,FALSE)/HLOOKUP("Mins",A1:CV300,57,FALSE)* 90)</f>
        <v>3.8055555555555554</v>
      </c>
      <c r="BQ57" s="22611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  <v>1.9999999999999997E-2</v>
      </c>
      <c r="BR57" s="22612">
        <f>0.0885*HLOOKUP("KP/90",A1:CV300,57,FALSE)</f>
        <v>7.3749999999999996E-2</v>
      </c>
      <c r="BS57" s="22613">
        <f>5*HLOOKUP("xG/90",A1:CV300,57,FALSE)+3*HLOOKUP("xA/90",A1:CV300,57,FALSE)</f>
        <v>0.32124999999999998</v>
      </c>
      <c r="BT57" s="22614">
        <f>HLOOKUP("xPts/90",A1:CV300,57,FALSE)-(5*0.75*(HLOOKUP("PK Gs",A1:CV300,57,FALSE)+HLOOKUP("PK Miss",A1:CV300,57,FALSE))*90/HLOOKUP("Mins",A1:CV300,57,FALSE))</f>
        <v>0.32124999999999998</v>
      </c>
      <c r="BU57" s="22615">
        <f>IF(HLOOKUP("Mins",A1:CV300,57,FALSE)=0,0,HLOOKUP("fsXG",A1:CV300,57,FALSE)/HLOOKUP("Mins",A1:CV300,57,FALSE)* 90)</f>
        <v>1.3888888888888888E-2</v>
      </c>
      <c r="BV57" s="22616">
        <f>IF(HLOOKUP("Mins",A1:CV300,57,FALSE)=0,0,HLOOKUP("fsXA",A1:CV300,57,FALSE)/HLOOKUP("Mins",A1:CV300,57,FALSE)* 90)</f>
        <v>0.16944444444444445</v>
      </c>
      <c r="BW57" s="22617">
        <f>5*HLOOKUP("fsXG/90",A1:CV300,57,FALSE)+3*HLOOKUP("fsXA/90",A1:CV300,57,FALSE)</f>
        <v>0.57777777777777772</v>
      </c>
      <c r="BX57" s="22618">
        <v>9.5472736284136772E-3</v>
      </c>
      <c r="BY57" s="22619">
        <v>5.1864884793758392E-2</v>
      </c>
      <c r="BZ57" s="22620">
        <f>5*HLOOKUP("uXG/90",A1:CV300,57,FALSE)+3*HLOOKUP("uXA/90",A1:CV300,57,FALSE)</f>
        <v>0.20333102252334356</v>
      </c>
    </row>
    <row r="58" spans="1:78" x14ac:dyDescent="0.3">
      <c r="A58" s="22621" t="s">
        <v>385</v>
      </c>
      <c r="B58" s="22622" t="s">
        <v>91</v>
      </c>
      <c r="C58" s="22623">
        <v>4.9000000953674316</v>
      </c>
      <c r="D58" s="22624">
        <v>1545</v>
      </c>
      <c r="E58" s="22625">
        <v>22</v>
      </c>
      <c r="F58" s="22626">
        <v>86</v>
      </c>
      <c r="G58" s="22627">
        <v>6</v>
      </c>
      <c r="H58" s="22628">
        <v>10</v>
      </c>
      <c r="I58" s="22629">
        <v>299</v>
      </c>
      <c r="J58" s="22630">
        <f>HLOOKUP("BPS",A1:CV300,58,FALSE)-((-6*HLOOKUP("OG",A1:CV300,58,FALSE))+(-6*HLOOKUP("PK Miss",A1:CV300,58,FALSE))+(9*HLOOKUP("FPL As",A1:CV300,58,FALSE))+(0*HLOOKUP("CS",A1:CV300,58,FALSE))+(18*HLOOKUP("Gs",A1:CV300,58,FALSE)))</f>
        <v>173</v>
      </c>
      <c r="K58" s="22631">
        <v>0</v>
      </c>
      <c r="L58" s="22632">
        <v>3</v>
      </c>
      <c r="M58" s="22633">
        <v>56</v>
      </c>
      <c r="N58" s="22634">
        <v>30</v>
      </c>
      <c r="O58" s="22635">
        <v>25</v>
      </c>
      <c r="P58" s="22636">
        <f>IF(HLOOKUP("Shots",A1:CV300,58,FALSE)=0,0,HLOOKUP("SIB",A1:CV300,58,FALSE)/HLOOKUP("Shots",A1:CV300,58,FALSE))</f>
        <v>0.83333333333333337</v>
      </c>
      <c r="Q58" s="22637">
        <v>4</v>
      </c>
      <c r="R58" s="22638">
        <f>IF(HLOOKUP("Shots",A1:CV300,58,FALSE)=0,0,HLOOKUP("S6YD",A1:CV300,58,FALSE)/HLOOKUP("Shots",A1:CV300,58,FALSE))</f>
        <v>0.13333333333333333</v>
      </c>
      <c r="S58" s="22639">
        <v>2</v>
      </c>
      <c r="T58" s="22640">
        <f>IF(HLOOKUP("Shots",A1:CV300,58,FALSE)=0,0,HLOOKUP("Headers",A1:CV300,58,FALSE)/HLOOKUP("Shots",A1:CV300,58,FALSE))</f>
        <v>6.6666666666666666E-2</v>
      </c>
      <c r="U58" s="22641">
        <v>16</v>
      </c>
      <c r="V58" s="22642">
        <f>IF(HLOOKUP("Shots",A1:CV300,58,FALSE)=0,0,HLOOKUP("SOT",A1:CV300,58,FALSE)/HLOOKUP("Shots",A1:CV300,58,FALSE))</f>
        <v>0.53333333333333333</v>
      </c>
      <c r="W58" s="22643">
        <f>IF(HLOOKUP("Shots",A1:CV300,58,FALSE)=0,0,HLOOKUP("Gs",A1:CV300,58,FALSE)/HLOOKUP("Shots",A1:CV300,58,FALSE))</f>
        <v>0.2</v>
      </c>
      <c r="X58" s="22644">
        <v>2</v>
      </c>
      <c r="Y58" s="22645">
        <v>2</v>
      </c>
      <c r="Z58" s="22646">
        <v>22</v>
      </c>
      <c r="AA58" s="22647">
        <f>IF(HLOOKUP("KP",A1:CV300,58,FALSE)=0,0,HLOOKUP("As",A1:CV300,58,FALSE)/HLOOKUP("KP",A1:CV300,58,FALSE))</f>
        <v>9.0909090909090912E-2</v>
      </c>
      <c r="AB58" s="22648">
        <v>121.2</v>
      </c>
      <c r="AC58" s="22649">
        <v>50</v>
      </c>
      <c r="AD58" s="22650">
        <v>1</v>
      </c>
      <c r="AE58" s="22651">
        <v>7</v>
      </c>
      <c r="AF58" s="22652">
        <v>3</v>
      </c>
      <c r="AG58" s="22653">
        <f>IF(HLOOKUP("BC",A1:CV300,58,FALSE)=0,0,HLOOKUP("Gs - BC",A1:CV300,58,FALSE)/HLOOKUP("BC",A1:CV300,58,FALSE))</f>
        <v>0.5714285714285714</v>
      </c>
      <c r="AH58" s="22654">
        <f>HLOOKUP("BC",A1:CV300,58,FALSE) - HLOOKUP("BC Miss",A1:CV300,58,FALSE)</f>
        <v>4</v>
      </c>
      <c r="AI58" s="22655">
        <f>IF(HLOOKUP("Gs",A1:CV300,58,FALSE)=0,0,HLOOKUP("Gs - BC",A1:CV300,58,FALSE)/HLOOKUP("Gs",A1:CV300,58,FALSE))</f>
        <v>0.66666666666666663</v>
      </c>
      <c r="AJ58" s="22656">
        <v>0</v>
      </c>
      <c r="AK58" s="22657">
        <v>0</v>
      </c>
      <c r="AL58" s="22658">
        <f>HLOOKUP("BC",A1:CV300,58,FALSE) - (HLOOKUP("PK Gs",A1:CV300,58,FALSE) + HLOOKUP("PK Miss",A1:CV300,58,FALSE))</f>
        <v>7</v>
      </c>
      <c r="AM58" s="22659">
        <f>HLOOKUP("BC Miss",A1:CV300,58,FALSE) - HLOOKUP("PK Miss",A1:CV300,58,FALSE)</f>
        <v>3</v>
      </c>
      <c r="AN58" s="22660">
        <f>IF(HLOOKUP("BC - Open",A1:CV300,58,FALSE)=0,0,HLOOKUP("BC - Open Miss",A1:CV300,58,FALSE)/HLOOKUP("BC - Open",A1:CV300,58,FALSE))</f>
        <v>0.42857142857142855</v>
      </c>
      <c r="AO58" s="22661">
        <v>6</v>
      </c>
      <c r="AP58" s="22662">
        <f>IF(HLOOKUP("Gs",A1:CV300,58,FALSE)=0,0,HLOOKUP("GIB",A1:CV300,58,FALSE)/HLOOKUP("Gs",A1:CV300,58,FALSE))</f>
        <v>1</v>
      </c>
      <c r="AQ58" s="22663">
        <v>6</v>
      </c>
      <c r="AR58" s="22664">
        <f>IF(HLOOKUP("Gs",A1:CV300,58,FALSE)=0,0,HLOOKUP("Gs - Open",A1:CV300,58,FALSE)/HLOOKUP("Gs",A1:CV300,58,FALSE))</f>
        <v>1</v>
      </c>
      <c r="AS58" s="22665">
        <v>4.83</v>
      </c>
      <c r="AT58" s="22666">
        <v>0.69</v>
      </c>
      <c r="AU58" s="22667">
        <f>IF(HLOOKUP("Mins",A1:CV300,58,FALSE)=0,0,HLOOKUP("Pts",A1:CV300,58,FALSE)/HLOOKUP("Mins",A1:CV300,58,FALSE)* 90)</f>
        <v>5.0097087378640772</v>
      </c>
      <c r="AV58" s="22668">
        <f>IF(HLOOKUP("Apps",A1:CV300,58,FALSE)=0,0,HLOOKUP("Pts",A1:CV300,58,FALSE)/HLOOKUP("Apps",A1:CV300,58,FALSE)* 1)</f>
        <v>3.9090909090909092</v>
      </c>
      <c r="AW58" s="22669">
        <f>IF(HLOOKUP("Mins",A1:CV300,58,FALSE)=0,0,HLOOKUP("Gs",A1:CV300,58,FALSE)/HLOOKUP("Mins",A1:CV300,58,FALSE)* 90)</f>
        <v>0.34951456310679613</v>
      </c>
      <c r="AX58" s="22670">
        <f>IF(HLOOKUP("Mins",A1:CV300,58,FALSE)=0,0,HLOOKUP("Bonus",A1:CV300,58,FALSE)/HLOOKUP("Mins",A1:CV300,58,FALSE)* 90)</f>
        <v>0.58252427184466027</v>
      </c>
      <c r="AY58" s="22671">
        <f>IF(HLOOKUP("Mins",A1:CV300,58,FALSE)=0,0,HLOOKUP("BPS",A1:CV300,58,FALSE)/HLOOKUP("Mins",A1:CV300,58,FALSE)* 90)</f>
        <v>17.417475728155342</v>
      </c>
      <c r="AZ58" s="22672">
        <f>IF(HLOOKUP("Mins",A1:CV300,58,FALSE)=0,0,HLOOKUP("Base BPS",A1:CV300,58,FALSE)/HLOOKUP("Mins",A1:CV300,58,FALSE)* 90)</f>
        <v>10.077669902912621</v>
      </c>
      <c r="BA58" s="22673">
        <f>IF(HLOOKUP("Mins",A1:CV300,58,FALSE)=0,0,HLOOKUP("PenTchs",A1:CV300,58,FALSE)/HLOOKUP("Mins",A1:CV300,58,FALSE)* 90)</f>
        <v>3.262135922330097</v>
      </c>
      <c r="BB58" s="22674">
        <f>IF(HLOOKUP("Mins",A1:CV300,58,FALSE)=0,0,HLOOKUP("Shots",A1:CV300,58,FALSE)/HLOOKUP("Mins",A1:CV300,58,FALSE)* 90)</f>
        <v>1.7475728155339805</v>
      </c>
      <c r="BC58" s="22675">
        <f>IF(HLOOKUP("Mins",A1:CV300,58,FALSE)=0,0,HLOOKUP("SIB",A1:CV300,58,FALSE)/HLOOKUP("Mins",A1:CV300,58,FALSE)* 90)</f>
        <v>1.4563106796116503</v>
      </c>
      <c r="BD58" s="22676">
        <f>IF(HLOOKUP("Mins",A1:CV300,58,FALSE)=0,0,HLOOKUP("S6YD",A1:CV300,58,FALSE)/HLOOKUP("Mins",A1:CV300,58,FALSE)* 90)</f>
        <v>0.23300970873786409</v>
      </c>
      <c r="BE58" s="22677">
        <f>IF(HLOOKUP("Mins",A1:CV300,58,FALSE)=0,0,HLOOKUP("Headers",A1:CV300,58,FALSE)/HLOOKUP("Mins",A1:CV300,58,FALSE)* 90)</f>
        <v>0.11650485436893204</v>
      </c>
      <c r="BF58" s="22678">
        <f>IF(HLOOKUP("Mins",A1:CV300,58,FALSE)=0,0,HLOOKUP("SOT",A1:CV300,58,FALSE)/HLOOKUP("Mins",A1:CV300,58,FALSE)* 90)</f>
        <v>0.93203883495145634</v>
      </c>
      <c r="BG58" s="22679">
        <f>IF(HLOOKUP("Mins",A1:CV300,58,FALSE)=0,0,HLOOKUP("As",A1:CV300,58,FALSE)/HLOOKUP("Mins",A1:CV300,58,FALSE)* 90)</f>
        <v>0.11650485436893204</v>
      </c>
      <c r="BH58" s="22680">
        <f>IF(HLOOKUP("Mins",A1:CV300,58,FALSE)=0,0,HLOOKUP("FPL As",A1:CV300,58,FALSE)/HLOOKUP("Mins",A1:CV300,58,FALSE)* 90)</f>
        <v>0.11650485436893204</v>
      </c>
      <c r="BI58" s="22681">
        <f>IF(HLOOKUP("Mins",A1:CV300,58,FALSE)=0,0,HLOOKUP("BC Created",A1:CV300,58,FALSE)/HLOOKUP("Mins",A1:CV300,58,FALSE)* 90)</f>
        <v>5.8252427184466021E-2</v>
      </c>
      <c r="BJ58" s="22682">
        <f>IF(HLOOKUP("Mins",A1:CV300,58,FALSE)=0,0,HLOOKUP("KP",A1:CV300,58,FALSE)/HLOOKUP("Mins",A1:CV300,58,FALSE)* 90)</f>
        <v>1.2815533980582525</v>
      </c>
      <c r="BK58" s="22683">
        <f>IF(HLOOKUP("Mins",A1:CV300,58,FALSE)=0,0,HLOOKUP("BC",A1:CV300,58,FALSE)/HLOOKUP("Mins",A1:CV300,58,FALSE)* 90)</f>
        <v>0.40776699029126212</v>
      </c>
      <c r="BL58" s="22684">
        <f>IF(HLOOKUP("Mins",A1:CV300,58,FALSE)=0,0,HLOOKUP("BC Miss",A1:CV300,58,FALSE)/HLOOKUP("Mins",A1:CV300,58,FALSE)* 90)</f>
        <v>0.17475728155339806</v>
      </c>
      <c r="BM58" s="22685">
        <f>IF(HLOOKUP("Mins",A1:CV300,58,FALSE)=0,0,HLOOKUP("Gs - BC",A1:CV300,58,FALSE)/HLOOKUP("Mins",A1:CV300,58,FALSE)* 90)</f>
        <v>0.23300970873786409</v>
      </c>
      <c r="BN58" s="22686">
        <f>IF(HLOOKUP("Mins",A1:CV300,58,FALSE)=0,0,HLOOKUP("GIB",A1:CV300,58,FALSE)/HLOOKUP("Mins",A1:CV300,58,FALSE)* 90)</f>
        <v>0.34951456310679613</v>
      </c>
      <c r="BO58" s="22687">
        <f>IF(HLOOKUP("Mins",A1:CV300,58,FALSE)=0,0,HLOOKUP("Gs - Open",A1:CV300,58,FALSE)/HLOOKUP("Mins",A1:CV300,58,FALSE)* 90)</f>
        <v>0.34951456310679613</v>
      </c>
      <c r="BP58" s="22688">
        <f>IF(HLOOKUP("Mins",A1:CV300,58,FALSE)=0,0,HLOOKUP("ICT Index",A1:CV300,58,FALSE)/HLOOKUP("Mins",A1:CV300,58,FALSE)* 90)</f>
        <v>7.0601941747572816</v>
      </c>
      <c r="BQ58" s="22689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  <v>0.21728155339805827</v>
      </c>
      <c r="BR58" s="22690">
        <f>0.0885*HLOOKUP("KP/90",A1:CV300,58,FALSE)</f>
        <v>0.11341747572815535</v>
      </c>
      <c r="BS58" s="22691">
        <f>5*HLOOKUP("xG/90",A1:CV300,58,FALSE)+3*HLOOKUP("xA/90",A1:CV300,58,FALSE)</f>
        <v>1.4266601941747574</v>
      </c>
      <c r="BT58" s="22692">
        <f>HLOOKUP("xPts/90",A1:CV300,58,FALSE)-(5*0.75*(HLOOKUP("PK Gs",A1:CV300,58,FALSE)+HLOOKUP("PK Miss",A1:CV300,58,FALSE))*90/HLOOKUP("Mins",A1:CV300,58,FALSE))</f>
        <v>1.4266601941747574</v>
      </c>
      <c r="BU58" s="22693">
        <f>IF(HLOOKUP("Mins",A1:CV300,58,FALSE)=0,0,HLOOKUP("fsXG",A1:CV300,58,FALSE)/HLOOKUP("Mins",A1:CV300,58,FALSE)* 90)</f>
        <v>0.28135922330097085</v>
      </c>
      <c r="BV58" s="22694">
        <f>IF(HLOOKUP("Mins",A1:CV300,58,FALSE)=0,0,HLOOKUP("fsXA",A1:CV300,58,FALSE)/HLOOKUP("Mins",A1:CV300,58,FALSE)* 90)</f>
        <v>4.0194174757281549E-2</v>
      </c>
      <c r="BW58" s="22695">
        <f>5*HLOOKUP("fsXG/90",A1:CV300,58,FALSE)+3*HLOOKUP("fsXA/90",A1:CV300,58,FALSE)</f>
        <v>1.5273786407766987</v>
      </c>
      <c r="BX58" s="22696">
        <v>0.29080873727798462</v>
      </c>
      <c r="BY58" s="22697">
        <v>8.7166614830493927E-2</v>
      </c>
      <c r="BZ58" s="22698">
        <f>5*HLOOKUP("uXG/90",A1:CV300,58,FALSE)+3*HLOOKUP("uXA/90",A1:CV300,58,FALSE)</f>
        <v>1.7155435308814049</v>
      </c>
    </row>
    <row r="59" spans="1:78" x14ac:dyDescent="0.3">
      <c r="A59" s="22699" t="s">
        <v>386</v>
      </c>
      <c r="B59" s="22700" t="s">
        <v>118</v>
      </c>
      <c r="C59" s="22701">
        <v>5.1999998092651367</v>
      </c>
      <c r="D59" s="22702">
        <v>586</v>
      </c>
      <c r="E59" s="22703">
        <v>8</v>
      </c>
      <c r="F59" s="22704">
        <v>13</v>
      </c>
      <c r="G59" s="22705">
        <v>0</v>
      </c>
      <c r="H59" s="22706">
        <v>0</v>
      </c>
      <c r="I59" s="22707">
        <v>71</v>
      </c>
      <c r="J59" s="22708">
        <f>HLOOKUP("BPS",A1:CV300,59,FALSE)-((-6*HLOOKUP("OG",A1:CV300,59,FALSE))+(-6*HLOOKUP("PK Miss",A1:CV300,59,FALSE))+(9*HLOOKUP("FPL As",A1:CV300,59,FALSE))+(0*HLOOKUP("CS",A1:CV300,59,FALSE))+(18*HLOOKUP("Gs",A1:CV300,59,FALSE)))</f>
        <v>71</v>
      </c>
      <c r="K59" s="22709">
        <v>0</v>
      </c>
      <c r="L59" s="22710">
        <v>2</v>
      </c>
      <c r="M59" s="22711">
        <v>5</v>
      </c>
      <c r="N59" s="22712">
        <v>2</v>
      </c>
      <c r="O59" s="22713">
        <v>1</v>
      </c>
      <c r="P59" s="22714">
        <f>IF(HLOOKUP("Shots",A1:CV300,59,FALSE)=0,0,HLOOKUP("SIB",A1:CV300,59,FALSE)/HLOOKUP("Shots",A1:CV300,59,FALSE))</f>
        <v>0.5</v>
      </c>
      <c r="Q59" s="22715">
        <v>0</v>
      </c>
      <c r="R59" s="22716">
        <f>IF(HLOOKUP("Shots",A1:CV300,59,FALSE)=0,0,HLOOKUP("S6YD",A1:CV300,59,FALSE)/HLOOKUP("Shots",A1:CV300,59,FALSE))</f>
        <v>0</v>
      </c>
      <c r="S59" s="22717">
        <v>1</v>
      </c>
      <c r="T59" s="22718">
        <f>IF(HLOOKUP("Shots",A1:CV300,59,FALSE)=0,0,HLOOKUP("Headers",A1:CV300,59,FALSE)/HLOOKUP("Shots",A1:CV300,59,FALSE))</f>
        <v>0.5</v>
      </c>
      <c r="U59" s="22719">
        <v>0</v>
      </c>
      <c r="V59" s="22720">
        <f>IF(HLOOKUP("Shots",A1:CV300,59,FALSE)=0,0,HLOOKUP("SOT",A1:CV300,59,FALSE)/HLOOKUP("Shots",A1:CV300,59,FALSE))</f>
        <v>0</v>
      </c>
      <c r="W59" s="22721">
        <f>IF(HLOOKUP("Shots",A1:CV300,59,FALSE)=0,0,HLOOKUP("Gs",A1:CV300,59,FALSE)/HLOOKUP("Shots",A1:CV300,59,FALSE))</f>
        <v>0</v>
      </c>
      <c r="X59" s="22722">
        <v>0</v>
      </c>
      <c r="Y59" s="22723">
        <v>0</v>
      </c>
      <c r="Z59" s="22724">
        <v>6</v>
      </c>
      <c r="AA59" s="22725">
        <f>IF(HLOOKUP("KP",A1:CV300,59,FALSE)=0,0,HLOOKUP("As",A1:CV300,59,FALSE)/HLOOKUP("KP",A1:CV300,59,FALSE))</f>
        <v>0</v>
      </c>
      <c r="AB59" s="22726">
        <v>15.9</v>
      </c>
      <c r="AC59" s="22727">
        <v>0</v>
      </c>
      <c r="AD59" s="22728">
        <v>0</v>
      </c>
      <c r="AE59" s="22729">
        <v>0</v>
      </c>
      <c r="AF59" s="22730">
        <v>0</v>
      </c>
      <c r="AG59" s="22731">
        <f>IF(HLOOKUP("BC",A1:CV300,59,FALSE)=0,0,HLOOKUP("Gs - BC",A1:CV300,59,FALSE)/HLOOKUP("BC",A1:CV300,59,FALSE))</f>
        <v>0</v>
      </c>
      <c r="AH59" s="22732">
        <f>HLOOKUP("BC",A1:CV300,59,FALSE) - HLOOKUP("BC Miss",A1:CV300,59,FALSE)</f>
        <v>0</v>
      </c>
      <c r="AI59" s="22733">
        <f>IF(HLOOKUP("Gs",A1:CV300,59,FALSE)=0,0,HLOOKUP("Gs - BC",A1:CV300,59,FALSE)/HLOOKUP("Gs",A1:CV300,59,FALSE))</f>
        <v>0</v>
      </c>
      <c r="AJ59" s="22734">
        <v>0</v>
      </c>
      <c r="AK59" s="22735">
        <v>0</v>
      </c>
      <c r="AL59" s="22736">
        <f>HLOOKUP("BC",A1:CV300,59,FALSE) - (HLOOKUP("PK Gs",A1:CV300,59,FALSE) + HLOOKUP("PK Miss",A1:CV300,59,FALSE))</f>
        <v>0</v>
      </c>
      <c r="AM59" s="22737">
        <f>HLOOKUP("BC Miss",A1:CV300,59,FALSE) - HLOOKUP("PK Miss",A1:CV300,59,FALSE)</f>
        <v>0</v>
      </c>
      <c r="AN59" s="22738">
        <f>IF(HLOOKUP("BC - Open",A1:CV300,59,FALSE)=0,0,HLOOKUP("BC - Open Miss",A1:CV300,59,FALSE)/HLOOKUP("BC - Open",A1:CV300,59,FALSE))</f>
        <v>0</v>
      </c>
      <c r="AO59" s="22739">
        <v>0</v>
      </c>
      <c r="AP59" s="22740">
        <f>IF(HLOOKUP("Gs",A1:CV300,59,FALSE)=0,0,HLOOKUP("GIB",A1:CV300,59,FALSE)/HLOOKUP("Gs",A1:CV300,59,FALSE))</f>
        <v>0</v>
      </c>
      <c r="AQ59" s="22741">
        <v>0</v>
      </c>
      <c r="AR59" s="22742">
        <f>IF(HLOOKUP("Gs",A1:CV300,59,FALSE)=0,0,HLOOKUP("Gs - Open",A1:CV300,59,FALSE)/HLOOKUP("Gs",A1:CV300,59,FALSE))</f>
        <v>0</v>
      </c>
      <c r="AS59" s="22743">
        <v>0.06</v>
      </c>
      <c r="AT59" s="22744">
        <v>0.35</v>
      </c>
      <c r="AU59" s="22745">
        <f>IF(HLOOKUP("Mins",A1:CV300,59,FALSE)=0,0,HLOOKUP("Pts",A1:CV300,59,FALSE)/HLOOKUP("Mins",A1:CV300,59,FALSE)* 90)</f>
        <v>1.9965870307167235</v>
      </c>
      <c r="AV59" s="22746">
        <f>IF(HLOOKUP("Apps",A1:CV300,59,FALSE)=0,0,HLOOKUP("Pts",A1:CV300,59,FALSE)/HLOOKUP("Apps",A1:CV300,59,FALSE)* 1)</f>
        <v>1.625</v>
      </c>
      <c r="AW59" s="22747">
        <f>IF(HLOOKUP("Mins",A1:CV300,59,FALSE)=0,0,HLOOKUP("Gs",A1:CV300,59,FALSE)/HLOOKUP("Mins",A1:CV300,59,FALSE)* 90)</f>
        <v>0</v>
      </c>
      <c r="AX59" s="22748">
        <f>IF(HLOOKUP("Mins",A1:CV300,59,FALSE)=0,0,HLOOKUP("Bonus",A1:CV300,59,FALSE)/HLOOKUP("Mins",A1:CV300,59,FALSE)* 90)</f>
        <v>0</v>
      </c>
      <c r="AY59" s="22749">
        <f>IF(HLOOKUP("Mins",A1:CV300,59,FALSE)=0,0,HLOOKUP("BPS",A1:CV300,59,FALSE)/HLOOKUP("Mins",A1:CV300,59,FALSE)* 90)</f>
        <v>10.904436860068259</v>
      </c>
      <c r="AZ59" s="22750">
        <f>IF(HLOOKUP("Mins",A1:CV300,59,FALSE)=0,0,HLOOKUP("Base BPS",A1:CV300,59,FALSE)/HLOOKUP("Mins",A1:CV300,59,FALSE)* 90)</f>
        <v>10.904436860068259</v>
      </c>
      <c r="BA59" s="22751">
        <f>IF(HLOOKUP("Mins",A1:CV300,59,FALSE)=0,0,HLOOKUP("PenTchs",A1:CV300,59,FALSE)/HLOOKUP("Mins",A1:CV300,59,FALSE)* 90)</f>
        <v>0.76791808873720135</v>
      </c>
      <c r="BB59" s="22752">
        <f>IF(HLOOKUP("Mins",A1:CV300,59,FALSE)=0,0,HLOOKUP("Shots",A1:CV300,59,FALSE)/HLOOKUP("Mins",A1:CV300,59,FALSE)* 90)</f>
        <v>0.30716723549488056</v>
      </c>
      <c r="BC59" s="22753">
        <f>IF(HLOOKUP("Mins",A1:CV300,59,FALSE)=0,0,HLOOKUP("SIB",A1:CV300,59,FALSE)/HLOOKUP("Mins",A1:CV300,59,FALSE)* 90)</f>
        <v>0.15358361774744028</v>
      </c>
      <c r="BD59" s="22754">
        <f>IF(HLOOKUP("Mins",A1:CV300,59,FALSE)=0,0,HLOOKUP("S6YD",A1:CV300,59,FALSE)/HLOOKUP("Mins",A1:CV300,59,FALSE)* 90)</f>
        <v>0</v>
      </c>
      <c r="BE59" s="22755">
        <f>IF(HLOOKUP("Mins",A1:CV300,59,FALSE)=0,0,HLOOKUP("Headers",A1:CV300,59,FALSE)/HLOOKUP("Mins",A1:CV300,59,FALSE)* 90)</f>
        <v>0.15358361774744028</v>
      </c>
      <c r="BF59" s="22756">
        <f>IF(HLOOKUP("Mins",A1:CV300,59,FALSE)=0,0,HLOOKUP("SOT",A1:CV300,59,FALSE)/HLOOKUP("Mins",A1:CV300,59,FALSE)* 90)</f>
        <v>0</v>
      </c>
      <c r="BG59" s="22757">
        <f>IF(HLOOKUP("Mins",A1:CV300,59,FALSE)=0,0,HLOOKUP("As",A1:CV300,59,FALSE)/HLOOKUP("Mins",A1:CV300,59,FALSE)* 90)</f>
        <v>0</v>
      </c>
      <c r="BH59" s="22758">
        <f>IF(HLOOKUP("Mins",A1:CV300,59,FALSE)=0,0,HLOOKUP("FPL As",A1:CV300,59,FALSE)/HLOOKUP("Mins",A1:CV300,59,FALSE)* 90)</f>
        <v>0</v>
      </c>
      <c r="BI59" s="22759">
        <f>IF(HLOOKUP("Mins",A1:CV300,59,FALSE)=0,0,HLOOKUP("BC Created",A1:CV300,59,FALSE)/HLOOKUP("Mins",A1:CV300,59,FALSE)* 90)</f>
        <v>0</v>
      </c>
      <c r="BJ59" s="22760">
        <f>IF(HLOOKUP("Mins",A1:CV300,59,FALSE)=0,0,HLOOKUP("KP",A1:CV300,59,FALSE)/HLOOKUP("Mins",A1:CV300,59,FALSE)* 90)</f>
        <v>0.92150170648464158</v>
      </c>
      <c r="BK59" s="22761">
        <f>IF(HLOOKUP("Mins",A1:CV300,59,FALSE)=0,0,HLOOKUP("BC",A1:CV300,59,FALSE)/HLOOKUP("Mins",A1:CV300,59,FALSE)* 90)</f>
        <v>0</v>
      </c>
      <c r="BL59" s="22762">
        <f>IF(HLOOKUP("Mins",A1:CV300,59,FALSE)=0,0,HLOOKUP("BC Miss",A1:CV300,59,FALSE)/HLOOKUP("Mins",A1:CV300,59,FALSE)* 90)</f>
        <v>0</v>
      </c>
      <c r="BM59" s="22763">
        <f>IF(HLOOKUP("Mins",A1:CV300,59,FALSE)=0,0,HLOOKUP("Gs - BC",A1:CV300,59,FALSE)/HLOOKUP("Mins",A1:CV300,59,FALSE)* 90)</f>
        <v>0</v>
      </c>
      <c r="BN59" s="22764">
        <f>IF(HLOOKUP("Mins",A1:CV300,59,FALSE)=0,0,HLOOKUP("GIB",A1:CV300,59,FALSE)/HLOOKUP("Mins",A1:CV300,59,FALSE)* 90)</f>
        <v>0</v>
      </c>
      <c r="BO59" s="22765">
        <f>IF(HLOOKUP("Mins",A1:CV300,59,FALSE)=0,0,HLOOKUP("Gs - Open",A1:CV300,59,FALSE)/HLOOKUP("Mins",A1:CV300,59,FALSE)* 90)</f>
        <v>0</v>
      </c>
      <c r="BP59" s="22766">
        <f>IF(HLOOKUP("Mins",A1:CV300,59,FALSE)=0,0,HLOOKUP("ICT Index",A1:CV300,59,FALSE)/HLOOKUP("Mins",A1:CV300,59,FALSE)* 90)</f>
        <v>2.4419795221843006</v>
      </c>
      <c r="BQ59" s="22767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  <v>2.7337883959044369E-2</v>
      </c>
      <c r="BR59" s="22768">
        <f>0.0885*HLOOKUP("KP/90",A1:CV300,59,FALSE)</f>
        <v>8.1552901023890775E-2</v>
      </c>
      <c r="BS59" s="22769">
        <f>5*HLOOKUP("xG/90",A1:CV300,59,FALSE)+3*HLOOKUP("xA/90",A1:CV300,59,FALSE)</f>
        <v>0.38134812286689412</v>
      </c>
      <c r="BT59" s="22770">
        <f>HLOOKUP("xPts/90",A1:CV300,59,FALSE)-(5*0.75*(HLOOKUP("PK Gs",A1:CV300,59,FALSE)+HLOOKUP("PK Miss",A1:CV300,59,FALSE))*90/HLOOKUP("Mins",A1:CV300,59,FALSE))</f>
        <v>0.38134812286689412</v>
      </c>
      <c r="BU59" s="22771">
        <f>IF(HLOOKUP("Mins",A1:CV300,59,FALSE)=0,0,HLOOKUP("fsXG",A1:CV300,59,FALSE)/HLOOKUP("Mins",A1:CV300,59,FALSE)* 90)</f>
        <v>9.2150170648464171E-3</v>
      </c>
      <c r="BV59" s="22772">
        <f>IF(HLOOKUP("Mins",A1:CV300,59,FALSE)=0,0,HLOOKUP("fsXA",A1:CV300,59,FALSE)/HLOOKUP("Mins",A1:CV300,59,FALSE)* 90)</f>
        <v>5.375426621160409E-2</v>
      </c>
      <c r="BW59" s="22773">
        <f>5*HLOOKUP("fsXG/90",A1:CV300,59,FALSE)+3*HLOOKUP("fsXA/90",A1:CV300,59,FALSE)</f>
        <v>0.20733788395904434</v>
      </c>
      <c r="BX59" s="22774">
        <v>5.6674410589039326E-3</v>
      </c>
      <c r="BY59" s="22775">
        <v>5.5074714124202728E-2</v>
      </c>
      <c r="BZ59" s="22776">
        <f>5*HLOOKUP("uXG/90",A1:CV300,59,FALSE)+3*HLOOKUP("uXA/90",A1:CV300,59,FALSE)</f>
        <v>0.19356134766712785</v>
      </c>
    </row>
    <row r="60" spans="1:78" x14ac:dyDescent="0.3">
      <c r="A60" s="22777" t="s">
        <v>387</v>
      </c>
      <c r="B60" s="22778" t="s">
        <v>89</v>
      </c>
      <c r="C60" s="22779">
        <v>5.8000001907348633</v>
      </c>
      <c r="D60" s="22780">
        <v>801</v>
      </c>
      <c r="E60" s="22781">
        <v>15</v>
      </c>
      <c r="F60" s="22782">
        <v>36</v>
      </c>
      <c r="G60" s="22783">
        <v>2</v>
      </c>
      <c r="H60" s="22784">
        <v>2</v>
      </c>
      <c r="I60" s="22785">
        <v>171</v>
      </c>
      <c r="J60" s="22786">
        <f>HLOOKUP("BPS",A1:CV300,60,FALSE)-((-6*HLOOKUP("OG",A1:CV300,60,FALSE))+(-6*HLOOKUP("PK Miss",A1:CV300,60,FALSE))+(9*HLOOKUP("FPL As",A1:CV300,60,FALSE))+(0*HLOOKUP("CS",A1:CV300,60,FALSE))+(18*HLOOKUP("Gs",A1:CV300,60,FALSE)))</f>
        <v>126</v>
      </c>
      <c r="K60" s="22787">
        <v>0</v>
      </c>
      <c r="L60" s="22788">
        <v>1</v>
      </c>
      <c r="M60" s="22789">
        <v>14</v>
      </c>
      <c r="N60" s="22790">
        <v>9</v>
      </c>
      <c r="O60" s="22791">
        <v>3</v>
      </c>
      <c r="P60" s="22792">
        <f>IF(HLOOKUP("Shots",A1:CV300,60,FALSE)=0,0,HLOOKUP("SIB",A1:CV300,60,FALSE)/HLOOKUP("Shots",A1:CV300,60,FALSE))</f>
        <v>0.33333333333333331</v>
      </c>
      <c r="Q60" s="22793">
        <v>0</v>
      </c>
      <c r="R60" s="22794">
        <f>IF(HLOOKUP("Shots",A1:CV300,60,FALSE)=0,0,HLOOKUP("S6YD",A1:CV300,60,FALSE)/HLOOKUP("Shots",A1:CV300,60,FALSE))</f>
        <v>0</v>
      </c>
      <c r="S60" s="22795">
        <v>0</v>
      </c>
      <c r="T60" s="22796">
        <f>IF(HLOOKUP("Shots",A1:CV300,60,FALSE)=0,0,HLOOKUP("Headers",A1:CV300,60,FALSE)/HLOOKUP("Shots",A1:CV300,60,FALSE))</f>
        <v>0</v>
      </c>
      <c r="U60" s="22797">
        <v>4</v>
      </c>
      <c r="V60" s="22798">
        <f>IF(HLOOKUP("Shots",A1:CV300,60,FALSE)=0,0,HLOOKUP("SOT",A1:CV300,60,FALSE)/HLOOKUP("Shots",A1:CV300,60,FALSE))</f>
        <v>0.44444444444444442</v>
      </c>
      <c r="W60" s="22799">
        <f>IF(HLOOKUP("Shots",A1:CV300,60,FALSE)=0,0,HLOOKUP("Gs",A1:CV300,60,FALSE)/HLOOKUP("Shots",A1:CV300,60,FALSE))</f>
        <v>0.22222222222222221</v>
      </c>
      <c r="X60" s="22800">
        <v>1</v>
      </c>
      <c r="Y60" s="22801">
        <v>1</v>
      </c>
      <c r="Z60" s="22802">
        <v>11</v>
      </c>
      <c r="AA60" s="22803">
        <f>IF(HLOOKUP("KP",A1:CV300,60,FALSE)=0,0,HLOOKUP("As",A1:CV300,60,FALSE)/HLOOKUP("KP",A1:CV300,60,FALSE))</f>
        <v>9.0909090909090912E-2</v>
      </c>
      <c r="AB60" s="22804">
        <v>50.6</v>
      </c>
      <c r="AC60" s="22805">
        <v>20</v>
      </c>
      <c r="AD60" s="22806">
        <v>0</v>
      </c>
      <c r="AE60" s="22807">
        <v>0</v>
      </c>
      <c r="AF60" s="22808">
        <v>0</v>
      </c>
      <c r="AG60" s="22809">
        <f>IF(HLOOKUP("BC",A1:CV300,60,FALSE)=0,0,HLOOKUP("Gs - BC",A1:CV300,60,FALSE)/HLOOKUP("BC",A1:CV300,60,FALSE))</f>
        <v>0</v>
      </c>
      <c r="AH60" s="22810">
        <f>HLOOKUP("BC",A1:CV300,60,FALSE) - HLOOKUP("BC Miss",A1:CV300,60,FALSE)</f>
        <v>0</v>
      </c>
      <c r="AI60" s="22811">
        <f>IF(HLOOKUP("Gs",A1:CV300,60,FALSE)=0,0,HLOOKUP("Gs - BC",A1:CV300,60,FALSE)/HLOOKUP("Gs",A1:CV300,60,FALSE))</f>
        <v>0</v>
      </c>
      <c r="AJ60" s="22812">
        <v>0</v>
      </c>
      <c r="AK60" s="22813">
        <v>0</v>
      </c>
      <c r="AL60" s="22814">
        <f>HLOOKUP("BC",A1:CV300,60,FALSE) - (HLOOKUP("PK Gs",A1:CV300,60,FALSE) + HLOOKUP("PK Miss",A1:CV300,60,FALSE))</f>
        <v>0</v>
      </c>
      <c r="AM60" s="22815">
        <f>HLOOKUP("BC Miss",A1:CV300,60,FALSE) - HLOOKUP("PK Miss",A1:CV300,60,FALSE)</f>
        <v>0</v>
      </c>
      <c r="AN60" s="22816">
        <f>IF(HLOOKUP("BC - Open",A1:CV300,60,FALSE)=0,0,HLOOKUP("BC - Open Miss",A1:CV300,60,FALSE)/HLOOKUP("BC - Open",A1:CV300,60,FALSE))</f>
        <v>0</v>
      </c>
      <c r="AO60" s="22817">
        <v>1</v>
      </c>
      <c r="AP60" s="22818">
        <f>IF(HLOOKUP("Gs",A1:CV300,60,FALSE)=0,0,HLOOKUP("GIB",A1:CV300,60,FALSE)/HLOOKUP("Gs",A1:CV300,60,FALSE))</f>
        <v>0.5</v>
      </c>
      <c r="AQ60" s="22819">
        <v>1</v>
      </c>
      <c r="AR60" s="22820">
        <f>IF(HLOOKUP("Gs",A1:CV300,60,FALSE)=0,0,HLOOKUP("Gs - Open",A1:CV300,60,FALSE)/HLOOKUP("Gs",A1:CV300,60,FALSE))</f>
        <v>0.5</v>
      </c>
      <c r="AS60" s="22821">
        <v>0.38</v>
      </c>
      <c r="AT60" s="22822">
        <v>0.88</v>
      </c>
      <c r="AU60" s="22823">
        <f>IF(HLOOKUP("Mins",A1:CV300,60,FALSE)=0,0,HLOOKUP("Pts",A1:CV300,60,FALSE)/HLOOKUP("Mins",A1:CV300,60,FALSE)* 90)</f>
        <v>4.0449438202247192</v>
      </c>
      <c r="AV60" s="22824">
        <f>IF(HLOOKUP("Apps",A1:CV300,60,FALSE)=0,0,HLOOKUP("Pts",A1:CV300,60,FALSE)/HLOOKUP("Apps",A1:CV300,60,FALSE)* 1)</f>
        <v>2.4</v>
      </c>
      <c r="AW60" s="22825">
        <f>IF(HLOOKUP("Mins",A1:CV300,60,FALSE)=0,0,HLOOKUP("Gs",A1:CV300,60,FALSE)/HLOOKUP("Mins",A1:CV300,60,FALSE)* 90)</f>
        <v>0.2247191011235955</v>
      </c>
      <c r="AX60" s="22826">
        <f>IF(HLOOKUP("Mins",A1:CV300,60,FALSE)=0,0,HLOOKUP("Bonus",A1:CV300,60,FALSE)/HLOOKUP("Mins",A1:CV300,60,FALSE)* 90)</f>
        <v>0.2247191011235955</v>
      </c>
      <c r="AY60" s="22827">
        <f>IF(HLOOKUP("Mins",A1:CV300,60,FALSE)=0,0,HLOOKUP("BPS",A1:CV300,60,FALSE)/HLOOKUP("Mins",A1:CV300,60,FALSE)* 90)</f>
        <v>19.213483146067414</v>
      </c>
      <c r="AZ60" s="22828">
        <f>IF(HLOOKUP("Mins",A1:CV300,60,FALSE)=0,0,HLOOKUP("Base BPS",A1:CV300,60,FALSE)/HLOOKUP("Mins",A1:CV300,60,FALSE)* 90)</f>
        <v>14.157303370786517</v>
      </c>
      <c r="BA60" s="22829">
        <f>IF(HLOOKUP("Mins",A1:CV300,60,FALSE)=0,0,HLOOKUP("PenTchs",A1:CV300,60,FALSE)/HLOOKUP("Mins",A1:CV300,60,FALSE)* 90)</f>
        <v>1.5730337078651686</v>
      </c>
      <c r="BB60" s="22830">
        <f>IF(HLOOKUP("Mins",A1:CV300,60,FALSE)=0,0,HLOOKUP("Shots",A1:CV300,60,FALSE)/HLOOKUP("Mins",A1:CV300,60,FALSE)* 90)</f>
        <v>1.0112359550561798</v>
      </c>
      <c r="BC60" s="22831">
        <f>IF(HLOOKUP("Mins",A1:CV300,60,FALSE)=0,0,HLOOKUP("SIB",A1:CV300,60,FALSE)/HLOOKUP("Mins",A1:CV300,60,FALSE)* 90)</f>
        <v>0.33707865168539325</v>
      </c>
      <c r="BD60" s="22832">
        <f>IF(HLOOKUP("Mins",A1:CV300,60,FALSE)=0,0,HLOOKUP("S6YD",A1:CV300,60,FALSE)/HLOOKUP("Mins",A1:CV300,60,FALSE)* 90)</f>
        <v>0</v>
      </c>
      <c r="BE60" s="22833">
        <f>IF(HLOOKUP("Mins",A1:CV300,60,FALSE)=0,0,HLOOKUP("Headers",A1:CV300,60,FALSE)/HLOOKUP("Mins",A1:CV300,60,FALSE)* 90)</f>
        <v>0</v>
      </c>
      <c r="BF60" s="22834">
        <f>IF(HLOOKUP("Mins",A1:CV300,60,FALSE)=0,0,HLOOKUP("SOT",A1:CV300,60,FALSE)/HLOOKUP("Mins",A1:CV300,60,FALSE)* 90)</f>
        <v>0.449438202247191</v>
      </c>
      <c r="BG60" s="22835">
        <f>IF(HLOOKUP("Mins",A1:CV300,60,FALSE)=0,0,HLOOKUP("As",A1:CV300,60,FALSE)/HLOOKUP("Mins",A1:CV300,60,FALSE)* 90)</f>
        <v>0.11235955056179775</v>
      </c>
      <c r="BH60" s="22836">
        <f>IF(HLOOKUP("Mins",A1:CV300,60,FALSE)=0,0,HLOOKUP("FPL As",A1:CV300,60,FALSE)/HLOOKUP("Mins",A1:CV300,60,FALSE)* 90)</f>
        <v>0.11235955056179775</v>
      </c>
      <c r="BI60" s="22837">
        <f>IF(HLOOKUP("Mins",A1:CV300,60,FALSE)=0,0,HLOOKUP("BC Created",A1:CV300,60,FALSE)/HLOOKUP("Mins",A1:CV300,60,FALSE)* 90)</f>
        <v>0</v>
      </c>
      <c r="BJ60" s="22838">
        <f>IF(HLOOKUP("Mins",A1:CV300,60,FALSE)=0,0,HLOOKUP("KP",A1:CV300,60,FALSE)/HLOOKUP("Mins",A1:CV300,60,FALSE)* 90)</f>
        <v>1.2359550561797754</v>
      </c>
      <c r="BK60" s="22839">
        <f>IF(HLOOKUP("Mins",A1:CV300,60,FALSE)=0,0,HLOOKUP("BC",A1:CV300,60,FALSE)/HLOOKUP("Mins",A1:CV300,60,FALSE)* 90)</f>
        <v>0</v>
      </c>
      <c r="BL60" s="22840">
        <f>IF(HLOOKUP("Mins",A1:CV300,60,FALSE)=0,0,HLOOKUP("BC Miss",A1:CV300,60,FALSE)/HLOOKUP("Mins",A1:CV300,60,FALSE)* 90)</f>
        <v>0</v>
      </c>
      <c r="BM60" s="22841">
        <f>IF(HLOOKUP("Mins",A1:CV300,60,FALSE)=0,0,HLOOKUP("Gs - BC",A1:CV300,60,FALSE)/HLOOKUP("Mins",A1:CV300,60,FALSE)* 90)</f>
        <v>0</v>
      </c>
      <c r="BN60" s="22842">
        <f>IF(HLOOKUP("Mins",A1:CV300,60,FALSE)=0,0,HLOOKUP("GIB",A1:CV300,60,FALSE)/HLOOKUP("Mins",A1:CV300,60,FALSE)* 90)</f>
        <v>0.11235955056179775</v>
      </c>
      <c r="BO60" s="22843">
        <f>IF(HLOOKUP("Mins",A1:CV300,60,FALSE)=0,0,HLOOKUP("Gs - Open",A1:CV300,60,FALSE)/HLOOKUP("Mins",A1:CV300,60,FALSE)* 90)</f>
        <v>0.11235955056179775</v>
      </c>
      <c r="BP60" s="22844">
        <f>IF(HLOOKUP("Mins",A1:CV300,60,FALSE)=0,0,HLOOKUP("ICT Index",A1:CV300,60,FALSE)/HLOOKUP("Mins",A1:CV300,60,FALSE)* 90)</f>
        <v>5.6853932584269664</v>
      </c>
      <c r="BQ60" s="22845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  <v>7.2134831460674148E-2</v>
      </c>
      <c r="BR60" s="22846">
        <f>0.0885*HLOOKUP("KP/90",A1:CV300,60,FALSE)</f>
        <v>0.10938202247191012</v>
      </c>
      <c r="BS60" s="22847">
        <f>5*HLOOKUP("xG/90",A1:CV300,60,FALSE)+3*HLOOKUP("xA/90",A1:CV300,60,FALSE)</f>
        <v>0.68882022471910109</v>
      </c>
      <c r="BT60" s="22848">
        <f>HLOOKUP("xPts/90",A1:CV300,60,FALSE)-(5*0.75*(HLOOKUP("PK Gs",A1:CV300,60,FALSE)+HLOOKUP("PK Miss",A1:CV300,60,FALSE))*90/HLOOKUP("Mins",A1:CV300,60,FALSE))</f>
        <v>0.68882022471910109</v>
      </c>
      <c r="BU60" s="22849">
        <f>IF(HLOOKUP("Mins",A1:CV300,60,FALSE)=0,0,HLOOKUP("fsXG",A1:CV300,60,FALSE)/HLOOKUP("Mins",A1:CV300,60,FALSE)* 90)</f>
        <v>4.2696629213483148E-2</v>
      </c>
      <c r="BV60" s="22850">
        <f>IF(HLOOKUP("Mins",A1:CV300,60,FALSE)=0,0,HLOOKUP("fsXA",A1:CV300,60,FALSE)/HLOOKUP("Mins",A1:CV300,60,FALSE)* 90)</f>
        <v>9.8876404494382009E-2</v>
      </c>
      <c r="BW60" s="22851">
        <f>5*HLOOKUP("fsXG/90",A1:CV300,60,FALSE)+3*HLOOKUP("fsXA/90",A1:CV300,60,FALSE)</f>
        <v>0.51011235955056178</v>
      </c>
      <c r="BX60" s="22852">
        <v>3.955908864736557E-2</v>
      </c>
      <c r="BY60" s="22853">
        <v>5.5188294500112534E-2</v>
      </c>
      <c r="BZ60" s="22854">
        <f>5*HLOOKUP("uXG/90",A1:CV300,60,FALSE)+3*HLOOKUP("uXA/90",A1:CV300,60,FALSE)</f>
        <v>0.36336032673716545</v>
      </c>
    </row>
    <row r="61" spans="1:78" x14ac:dyDescent="0.3">
      <c r="A61" s="22855" t="s">
        <v>388</v>
      </c>
      <c r="B61" s="22856" t="s">
        <v>107</v>
      </c>
      <c r="C61" s="22857">
        <v>4.5</v>
      </c>
      <c r="D61" s="22858">
        <v>5</v>
      </c>
      <c r="E61" s="22859">
        <v>1</v>
      </c>
      <c r="F61" s="22860">
        <v>1</v>
      </c>
      <c r="G61" s="22861">
        <v>0</v>
      </c>
      <c r="H61" s="22862">
        <v>0</v>
      </c>
      <c r="I61" s="22863">
        <v>3</v>
      </c>
      <c r="J61" s="22864">
        <f>HLOOKUP("BPS",A1:CV300,61,FALSE)-((-6*HLOOKUP("OG",A1:CV300,61,FALSE))+(-6*HLOOKUP("PK Miss",A1:CV300,61,FALSE))+(9*HLOOKUP("FPL As",A1:CV300,61,FALSE))+(0*HLOOKUP("CS",A1:CV300,61,FALSE))+(18*HLOOKUP("Gs",A1:CV300,61,FALSE)))</f>
        <v>3</v>
      </c>
      <c r="K61" s="22865">
        <v>0</v>
      </c>
      <c r="L61" s="22866">
        <v>0</v>
      </c>
      <c r="M61" s="22867">
        <v>0</v>
      </c>
      <c r="N61" s="22868">
        <v>0</v>
      </c>
      <c r="O61" s="22869">
        <v>0</v>
      </c>
      <c r="P61" s="22870">
        <f>IF(HLOOKUP("Shots",A1:CV300,61,FALSE)=0,0,HLOOKUP("SIB",A1:CV300,61,FALSE)/HLOOKUP("Shots",A1:CV300,61,FALSE))</f>
        <v>0</v>
      </c>
      <c r="Q61" s="22871">
        <v>0</v>
      </c>
      <c r="R61" s="22872">
        <f>IF(HLOOKUP("Shots",A1:CV300,61,FALSE)=0,0,HLOOKUP("S6YD",A1:CV300,61,FALSE)/HLOOKUP("Shots",A1:CV300,61,FALSE))</f>
        <v>0</v>
      </c>
      <c r="S61" s="22873">
        <v>0</v>
      </c>
      <c r="T61" s="22874">
        <f>IF(HLOOKUP("Shots",A1:CV300,61,FALSE)=0,0,HLOOKUP("Headers",A1:CV300,61,FALSE)/HLOOKUP("Shots",A1:CV300,61,FALSE))</f>
        <v>0</v>
      </c>
      <c r="U61" s="22875">
        <v>0</v>
      </c>
      <c r="V61" s="22876">
        <f>IF(HLOOKUP("Shots",A1:CV300,61,FALSE)=0,0,HLOOKUP("SOT",A1:CV300,61,FALSE)/HLOOKUP("Shots",A1:CV300,61,FALSE))</f>
        <v>0</v>
      </c>
      <c r="W61" s="22877">
        <f>IF(HLOOKUP("Shots",A1:CV300,61,FALSE)=0,0,HLOOKUP("Gs",A1:CV300,61,FALSE)/HLOOKUP("Shots",A1:CV300,61,FALSE))</f>
        <v>0</v>
      </c>
      <c r="X61" s="22878">
        <v>0</v>
      </c>
      <c r="Y61" s="22879">
        <v>0</v>
      </c>
      <c r="Z61" s="22880">
        <v>0</v>
      </c>
      <c r="AA61" s="22881">
        <f>IF(HLOOKUP("KP",A1:CV300,61,FALSE)=0,0,HLOOKUP("As",A1:CV300,61,FALSE)/HLOOKUP("KP",A1:CV300,61,FALSE))</f>
        <v>0</v>
      </c>
      <c r="AB61" s="22882">
        <v>0</v>
      </c>
      <c r="AC61" s="22883">
        <v>0</v>
      </c>
      <c r="AD61" s="22884">
        <v>0</v>
      </c>
      <c r="AE61" s="22885">
        <v>0</v>
      </c>
      <c r="AF61" s="22886">
        <v>0</v>
      </c>
      <c r="AG61" s="22887">
        <f>IF(HLOOKUP("BC",A1:CV300,61,FALSE)=0,0,HLOOKUP("Gs - BC",A1:CV300,61,FALSE)/HLOOKUP("BC",A1:CV300,61,FALSE))</f>
        <v>0</v>
      </c>
      <c r="AH61" s="22888">
        <f>HLOOKUP("BC",A1:CV300,61,FALSE) - HLOOKUP("BC Miss",A1:CV300,61,FALSE)</f>
        <v>0</v>
      </c>
      <c r="AI61" s="22889">
        <f>IF(HLOOKUP("Gs",A1:CV300,61,FALSE)=0,0,HLOOKUP("Gs - BC",A1:CV300,61,FALSE)/HLOOKUP("Gs",A1:CV300,61,FALSE))</f>
        <v>0</v>
      </c>
      <c r="AJ61" s="22890">
        <v>0</v>
      </c>
      <c r="AK61" s="22891">
        <v>0</v>
      </c>
      <c r="AL61" s="22892">
        <f>HLOOKUP("BC",A1:CV300,61,FALSE) - (HLOOKUP("PK Gs",A1:CV300,61,FALSE) + HLOOKUP("PK Miss",A1:CV300,61,FALSE))</f>
        <v>0</v>
      </c>
      <c r="AM61" s="22893">
        <f>HLOOKUP("BC Miss",A1:CV300,61,FALSE) - HLOOKUP("PK Miss",A1:CV300,61,FALSE)</f>
        <v>0</v>
      </c>
      <c r="AN61" s="22894">
        <f>IF(HLOOKUP("BC - Open",A1:CV300,61,FALSE)=0,0,HLOOKUP("BC - Open Miss",A1:CV300,61,FALSE)/HLOOKUP("BC - Open",A1:CV300,61,FALSE))</f>
        <v>0</v>
      </c>
      <c r="AO61" s="22895">
        <v>0</v>
      </c>
      <c r="AP61" s="22896">
        <f>IF(HLOOKUP("Gs",A1:CV300,61,FALSE)=0,0,HLOOKUP("GIB",A1:CV300,61,FALSE)/HLOOKUP("Gs",A1:CV300,61,FALSE))</f>
        <v>0</v>
      </c>
      <c r="AQ61" s="22897">
        <v>0</v>
      </c>
      <c r="AR61" s="22898">
        <f>IF(HLOOKUP("Gs",A1:CV300,61,FALSE)=0,0,HLOOKUP("Gs - Open",A1:CV300,61,FALSE)/HLOOKUP("Gs",A1:CV300,61,FALSE))</f>
        <v>0</v>
      </c>
      <c r="AS61" s="22899">
        <v>0</v>
      </c>
      <c r="AT61" s="22900">
        <v>0</v>
      </c>
      <c r="AU61" s="22901">
        <f>IF(HLOOKUP("Mins",A1:CV300,61,FALSE)=0,0,HLOOKUP("Pts",A1:CV300,61,FALSE)/HLOOKUP("Mins",A1:CV300,61,FALSE)* 90)</f>
        <v>18</v>
      </c>
      <c r="AV61" s="22902">
        <f>IF(HLOOKUP("Apps",A1:CV300,61,FALSE)=0,0,HLOOKUP("Pts",A1:CV300,61,FALSE)/HLOOKUP("Apps",A1:CV300,61,FALSE)* 1)</f>
        <v>1</v>
      </c>
      <c r="AW61" s="22903">
        <f>IF(HLOOKUP("Mins",A1:CV300,61,FALSE)=0,0,HLOOKUP("Gs",A1:CV300,61,FALSE)/HLOOKUP("Mins",A1:CV300,61,FALSE)* 90)</f>
        <v>0</v>
      </c>
      <c r="AX61" s="22904">
        <f>IF(HLOOKUP("Mins",A1:CV300,61,FALSE)=0,0,HLOOKUP("Bonus",A1:CV300,61,FALSE)/HLOOKUP("Mins",A1:CV300,61,FALSE)* 90)</f>
        <v>0</v>
      </c>
      <c r="AY61" s="22905">
        <f>IF(HLOOKUP("Mins",A1:CV300,61,FALSE)=0,0,HLOOKUP("BPS",A1:CV300,61,FALSE)/HLOOKUP("Mins",A1:CV300,61,FALSE)* 90)</f>
        <v>54</v>
      </c>
      <c r="AZ61" s="22906">
        <f>IF(HLOOKUP("Mins",A1:CV300,61,FALSE)=0,0,HLOOKUP("Base BPS",A1:CV300,61,FALSE)/HLOOKUP("Mins",A1:CV300,61,FALSE)* 90)</f>
        <v>54</v>
      </c>
      <c r="BA61" s="22907">
        <f>IF(HLOOKUP("Mins",A1:CV300,61,FALSE)=0,0,HLOOKUP("PenTchs",A1:CV300,61,FALSE)/HLOOKUP("Mins",A1:CV300,61,FALSE)* 90)</f>
        <v>0</v>
      </c>
      <c r="BB61" s="22908">
        <f>IF(HLOOKUP("Mins",A1:CV300,61,FALSE)=0,0,HLOOKUP("Shots",A1:CV300,61,FALSE)/HLOOKUP("Mins",A1:CV300,61,FALSE)* 90)</f>
        <v>0</v>
      </c>
      <c r="BC61" s="22909">
        <f>IF(HLOOKUP("Mins",A1:CV300,61,FALSE)=0,0,HLOOKUP("SIB",A1:CV300,61,FALSE)/HLOOKUP("Mins",A1:CV300,61,FALSE)* 90)</f>
        <v>0</v>
      </c>
      <c r="BD61" s="22910">
        <f>IF(HLOOKUP("Mins",A1:CV300,61,FALSE)=0,0,HLOOKUP("S6YD",A1:CV300,61,FALSE)/HLOOKUP("Mins",A1:CV300,61,FALSE)* 90)</f>
        <v>0</v>
      </c>
      <c r="BE61" s="22911">
        <f>IF(HLOOKUP("Mins",A1:CV300,61,FALSE)=0,0,HLOOKUP("Headers",A1:CV300,61,FALSE)/HLOOKUP("Mins",A1:CV300,61,FALSE)* 90)</f>
        <v>0</v>
      </c>
      <c r="BF61" s="22912">
        <f>IF(HLOOKUP("Mins",A1:CV300,61,FALSE)=0,0,HLOOKUP("SOT",A1:CV300,61,FALSE)/HLOOKUP("Mins",A1:CV300,61,FALSE)* 90)</f>
        <v>0</v>
      </c>
      <c r="BG61" s="22913">
        <f>IF(HLOOKUP("Mins",A1:CV300,61,FALSE)=0,0,HLOOKUP("As",A1:CV300,61,FALSE)/HLOOKUP("Mins",A1:CV300,61,FALSE)* 90)</f>
        <v>0</v>
      </c>
      <c r="BH61" s="22914">
        <f>IF(HLOOKUP("Mins",A1:CV300,61,FALSE)=0,0,HLOOKUP("FPL As",A1:CV300,61,FALSE)/HLOOKUP("Mins",A1:CV300,61,FALSE)* 90)</f>
        <v>0</v>
      </c>
      <c r="BI61" s="22915">
        <f>IF(HLOOKUP("Mins",A1:CV300,61,FALSE)=0,0,HLOOKUP("BC Created",A1:CV300,61,FALSE)/HLOOKUP("Mins",A1:CV300,61,FALSE)* 90)</f>
        <v>0</v>
      </c>
      <c r="BJ61" s="22916">
        <f>IF(HLOOKUP("Mins",A1:CV300,61,FALSE)=0,0,HLOOKUP("KP",A1:CV300,61,FALSE)/HLOOKUP("Mins",A1:CV300,61,FALSE)* 90)</f>
        <v>0</v>
      </c>
      <c r="BK61" s="22917">
        <f>IF(HLOOKUP("Mins",A1:CV300,61,FALSE)=0,0,HLOOKUP("BC",A1:CV300,61,FALSE)/HLOOKUP("Mins",A1:CV300,61,FALSE)* 90)</f>
        <v>0</v>
      </c>
      <c r="BL61" s="22918">
        <f>IF(HLOOKUP("Mins",A1:CV300,61,FALSE)=0,0,HLOOKUP("BC Miss",A1:CV300,61,FALSE)/HLOOKUP("Mins",A1:CV300,61,FALSE)* 90)</f>
        <v>0</v>
      </c>
      <c r="BM61" s="22919">
        <f>IF(HLOOKUP("Mins",A1:CV300,61,FALSE)=0,0,HLOOKUP("Gs - BC",A1:CV300,61,FALSE)/HLOOKUP("Mins",A1:CV300,61,FALSE)* 90)</f>
        <v>0</v>
      </c>
      <c r="BN61" s="22920">
        <f>IF(HLOOKUP("Mins",A1:CV300,61,FALSE)=0,0,HLOOKUP("GIB",A1:CV300,61,FALSE)/HLOOKUP("Mins",A1:CV300,61,FALSE)* 90)</f>
        <v>0</v>
      </c>
      <c r="BO61" s="22921">
        <f>IF(HLOOKUP("Mins",A1:CV300,61,FALSE)=0,0,HLOOKUP("Gs - Open",A1:CV300,61,FALSE)/HLOOKUP("Mins",A1:CV300,61,FALSE)* 90)</f>
        <v>0</v>
      </c>
      <c r="BP61" s="22922">
        <f>IF(HLOOKUP("Mins",A1:CV300,61,FALSE)=0,0,HLOOKUP("ICT Index",A1:CV300,61,FALSE)/HLOOKUP("Mins",A1:CV300,61,FALSE)* 90)</f>
        <v>0</v>
      </c>
      <c r="BQ61" s="22923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  <v>0</v>
      </c>
      <c r="BR61" s="22924">
        <f>0.0885*HLOOKUP("KP/90",A1:CV300,61,FALSE)</f>
        <v>0</v>
      </c>
      <c r="BS61" s="22925">
        <f>5*HLOOKUP("xG/90",A1:CV300,61,FALSE)+3*HLOOKUP("xA/90",A1:CV300,61,FALSE)</f>
        <v>0</v>
      </c>
      <c r="BT61" s="22926">
        <f>HLOOKUP("xPts/90",A1:CV300,61,FALSE)-(5*0.75*(HLOOKUP("PK Gs",A1:CV300,61,FALSE)+HLOOKUP("PK Miss",A1:CV300,61,FALSE))*90/HLOOKUP("Mins",A1:CV300,61,FALSE))</f>
        <v>0</v>
      </c>
      <c r="BU61" s="22927">
        <f>IF(HLOOKUP("Mins",A1:CV300,61,FALSE)=0,0,HLOOKUP("fsXG",A1:CV300,61,FALSE)/HLOOKUP("Mins",A1:CV300,61,FALSE)* 90)</f>
        <v>0</v>
      </c>
      <c r="BV61" s="22928">
        <f>IF(HLOOKUP("Mins",A1:CV300,61,FALSE)=0,0,HLOOKUP("fsXA",A1:CV300,61,FALSE)/HLOOKUP("Mins",A1:CV300,61,FALSE)* 90)</f>
        <v>0</v>
      </c>
      <c r="BW61" s="22929">
        <f>5*HLOOKUP("fsXG/90",A1:CV300,61,FALSE)+3*HLOOKUP("fsXA/90",A1:CV300,61,FALSE)</f>
        <v>0</v>
      </c>
      <c r="BX61" s="22930">
        <v>0</v>
      </c>
      <c r="BY61" s="22931">
        <v>0</v>
      </c>
      <c r="BZ61" s="22932">
        <f>5*HLOOKUP("uXG/90",A1:CV300,61,FALSE)+3*HLOOKUP("uXA/90",A1:CV300,61,FALSE)</f>
        <v>0</v>
      </c>
    </row>
    <row r="62" spans="1:78" x14ac:dyDescent="0.3">
      <c r="A62" s="22933" t="s">
        <v>389</v>
      </c>
      <c r="B62" s="22934" t="s">
        <v>132</v>
      </c>
      <c r="C62" s="22935">
        <v>6.1999998092651367</v>
      </c>
      <c r="D62" s="22936">
        <v>573</v>
      </c>
      <c r="E62" s="22937">
        <v>13</v>
      </c>
      <c r="F62" s="22938">
        <v>27</v>
      </c>
      <c r="G62" s="22939">
        <v>1</v>
      </c>
      <c r="H62" s="22940">
        <v>0</v>
      </c>
      <c r="I62" s="22941">
        <v>87</v>
      </c>
      <c r="J62" s="22942">
        <f>HLOOKUP("BPS",A1:CV300,62,FALSE)-((-6*HLOOKUP("OG",A1:CV300,62,FALSE))+(-6*HLOOKUP("PK Miss",A1:CV300,62,FALSE))+(9*HLOOKUP("FPL As",A1:CV300,62,FALSE))+(0*HLOOKUP("CS",A1:CV300,62,FALSE))+(18*HLOOKUP("Gs",A1:CV300,62,FALSE)))</f>
        <v>69</v>
      </c>
      <c r="K62" s="22943">
        <v>0</v>
      </c>
      <c r="L62" s="22944">
        <v>4</v>
      </c>
      <c r="M62" s="22945">
        <v>21</v>
      </c>
      <c r="N62" s="22946">
        <v>20</v>
      </c>
      <c r="O62" s="22947">
        <v>10</v>
      </c>
      <c r="P62" s="22948">
        <f>IF(HLOOKUP("Shots",A1:CV300,62,FALSE)=0,0,HLOOKUP("SIB",A1:CV300,62,FALSE)/HLOOKUP("Shots",A1:CV300,62,FALSE))</f>
        <v>0.5</v>
      </c>
      <c r="Q62" s="22949">
        <v>0</v>
      </c>
      <c r="R62" s="22950">
        <f>IF(HLOOKUP("Shots",A1:CV300,62,FALSE)=0,0,HLOOKUP("S6YD",A1:CV300,62,FALSE)/HLOOKUP("Shots",A1:CV300,62,FALSE))</f>
        <v>0</v>
      </c>
      <c r="S62" s="22951">
        <v>0</v>
      </c>
      <c r="T62" s="22952">
        <f>IF(HLOOKUP("Shots",A1:CV300,62,FALSE)=0,0,HLOOKUP("Headers",A1:CV300,62,FALSE)/HLOOKUP("Shots",A1:CV300,62,FALSE))</f>
        <v>0</v>
      </c>
      <c r="U62" s="22953">
        <v>3</v>
      </c>
      <c r="V62" s="22954">
        <f>IF(HLOOKUP("Shots",A1:CV300,62,FALSE)=0,0,HLOOKUP("SOT",A1:CV300,62,FALSE)/HLOOKUP("Shots",A1:CV300,62,FALSE))</f>
        <v>0.15</v>
      </c>
      <c r="W62" s="22955">
        <f>IF(HLOOKUP("Shots",A1:CV300,62,FALSE)=0,0,HLOOKUP("Gs",A1:CV300,62,FALSE)/HLOOKUP("Shots",A1:CV300,62,FALSE))</f>
        <v>0.05</v>
      </c>
      <c r="X62" s="22956">
        <v>0</v>
      </c>
      <c r="Y62" s="22957">
        <v>0</v>
      </c>
      <c r="Z62" s="22958">
        <v>5</v>
      </c>
      <c r="AA62" s="22959">
        <f>IF(HLOOKUP("KP",A1:CV300,62,FALSE)=0,0,HLOOKUP("As",A1:CV300,62,FALSE)/HLOOKUP("KP",A1:CV300,62,FALSE))</f>
        <v>0</v>
      </c>
      <c r="AB62" s="22960">
        <v>40.9</v>
      </c>
      <c r="AC62" s="22961">
        <v>6</v>
      </c>
      <c r="AD62" s="22962">
        <v>0</v>
      </c>
      <c r="AE62" s="22963">
        <v>1</v>
      </c>
      <c r="AF62" s="22964">
        <v>0</v>
      </c>
      <c r="AG62" s="22965">
        <f>IF(HLOOKUP("BC",A1:CV300,62,FALSE)=0,0,HLOOKUP("Gs - BC",A1:CV300,62,FALSE)/HLOOKUP("BC",A1:CV300,62,FALSE))</f>
        <v>1</v>
      </c>
      <c r="AH62" s="22966">
        <f>HLOOKUP("BC",A1:CV300,62,FALSE) - HLOOKUP("BC Miss",A1:CV300,62,FALSE)</f>
        <v>1</v>
      </c>
      <c r="AI62" s="22967">
        <f>IF(HLOOKUP("Gs",A1:CV300,62,FALSE)=0,0,HLOOKUP("Gs - BC",A1:CV300,62,FALSE)/HLOOKUP("Gs",A1:CV300,62,FALSE))</f>
        <v>1</v>
      </c>
      <c r="AJ62" s="22968">
        <v>0</v>
      </c>
      <c r="AK62" s="22969">
        <v>0</v>
      </c>
      <c r="AL62" s="22970">
        <f>HLOOKUP("BC",A1:CV300,62,FALSE) - (HLOOKUP("PK Gs",A1:CV300,62,FALSE) + HLOOKUP("PK Miss",A1:CV300,62,FALSE))</f>
        <v>1</v>
      </c>
      <c r="AM62" s="22971">
        <f>HLOOKUP("BC Miss",A1:CV300,62,FALSE) - HLOOKUP("PK Miss",A1:CV300,62,FALSE)</f>
        <v>0</v>
      </c>
      <c r="AN62" s="22972">
        <f>IF(HLOOKUP("BC - Open",A1:CV300,62,FALSE)=0,0,HLOOKUP("BC - Open Miss",A1:CV300,62,FALSE)/HLOOKUP("BC - Open",A1:CV300,62,FALSE))</f>
        <v>0</v>
      </c>
      <c r="AO62" s="22973">
        <v>1</v>
      </c>
      <c r="AP62" s="22974">
        <f>IF(HLOOKUP("Gs",A1:CV300,62,FALSE)=0,0,HLOOKUP("GIB",A1:CV300,62,FALSE)/HLOOKUP("Gs",A1:CV300,62,FALSE))</f>
        <v>1</v>
      </c>
      <c r="AQ62" s="22975">
        <v>1</v>
      </c>
      <c r="AR62" s="22976">
        <f>IF(HLOOKUP("Gs",A1:CV300,62,FALSE)=0,0,HLOOKUP("Gs - Open",A1:CV300,62,FALSE)/HLOOKUP("Gs",A1:CV300,62,FALSE))</f>
        <v>1</v>
      </c>
      <c r="AS62" s="22977">
        <v>1.24</v>
      </c>
      <c r="AT62" s="22978">
        <v>0.48</v>
      </c>
      <c r="AU62" s="22979">
        <f>IF(HLOOKUP("Mins",A1:CV300,62,FALSE)=0,0,HLOOKUP("Pts",A1:CV300,62,FALSE)/HLOOKUP("Mins",A1:CV300,62,FALSE)* 90)</f>
        <v>4.2408376963350785</v>
      </c>
      <c r="AV62" s="22980">
        <f>IF(HLOOKUP("Apps",A1:CV300,62,FALSE)=0,0,HLOOKUP("Pts",A1:CV300,62,FALSE)/HLOOKUP("Apps",A1:CV300,62,FALSE)* 1)</f>
        <v>2.0769230769230771</v>
      </c>
      <c r="AW62" s="22981">
        <f>IF(HLOOKUP("Mins",A1:CV300,62,FALSE)=0,0,HLOOKUP("Gs",A1:CV300,62,FALSE)/HLOOKUP("Mins",A1:CV300,62,FALSE)* 90)</f>
        <v>0.15706806282722513</v>
      </c>
      <c r="AX62" s="22982">
        <f>IF(HLOOKUP("Mins",A1:CV300,62,FALSE)=0,0,HLOOKUP("Bonus",A1:CV300,62,FALSE)/HLOOKUP("Mins",A1:CV300,62,FALSE)* 90)</f>
        <v>0</v>
      </c>
      <c r="AY62" s="22983">
        <f>IF(HLOOKUP("Mins",A1:CV300,62,FALSE)=0,0,HLOOKUP("BPS",A1:CV300,62,FALSE)/HLOOKUP("Mins",A1:CV300,62,FALSE)* 90)</f>
        <v>13.664921465968586</v>
      </c>
      <c r="AZ62" s="22984">
        <f>IF(HLOOKUP("Mins",A1:CV300,62,FALSE)=0,0,HLOOKUP("Base BPS",A1:CV300,62,FALSE)/HLOOKUP("Mins",A1:CV300,62,FALSE)* 90)</f>
        <v>10.837696335078535</v>
      </c>
      <c r="BA62" s="22985">
        <f>IF(HLOOKUP("Mins",A1:CV300,62,FALSE)=0,0,HLOOKUP("PenTchs",A1:CV300,62,FALSE)/HLOOKUP("Mins",A1:CV300,62,FALSE)* 90)</f>
        <v>3.2984293193717273</v>
      </c>
      <c r="BB62" s="22986">
        <f>IF(HLOOKUP("Mins",A1:CV300,62,FALSE)=0,0,HLOOKUP("Shots",A1:CV300,62,FALSE)/HLOOKUP("Mins",A1:CV300,62,FALSE)* 90)</f>
        <v>3.1413612565445028</v>
      </c>
      <c r="BC62" s="22987">
        <f>IF(HLOOKUP("Mins",A1:CV300,62,FALSE)=0,0,HLOOKUP("SIB",A1:CV300,62,FALSE)/HLOOKUP("Mins",A1:CV300,62,FALSE)* 90)</f>
        <v>1.5706806282722514</v>
      </c>
      <c r="BD62" s="22988">
        <f>IF(HLOOKUP("Mins",A1:CV300,62,FALSE)=0,0,HLOOKUP("S6YD",A1:CV300,62,FALSE)/HLOOKUP("Mins",A1:CV300,62,FALSE)* 90)</f>
        <v>0</v>
      </c>
      <c r="BE62" s="22989">
        <f>IF(HLOOKUP("Mins",A1:CV300,62,FALSE)=0,0,HLOOKUP("Headers",A1:CV300,62,FALSE)/HLOOKUP("Mins",A1:CV300,62,FALSE)* 90)</f>
        <v>0</v>
      </c>
      <c r="BF62" s="22990">
        <f>IF(HLOOKUP("Mins",A1:CV300,62,FALSE)=0,0,HLOOKUP("SOT",A1:CV300,62,FALSE)/HLOOKUP("Mins",A1:CV300,62,FALSE)* 90)</f>
        <v>0.47120418848167545</v>
      </c>
      <c r="BG62" s="22991">
        <f>IF(HLOOKUP("Mins",A1:CV300,62,FALSE)=0,0,HLOOKUP("As",A1:CV300,62,FALSE)/HLOOKUP("Mins",A1:CV300,62,FALSE)* 90)</f>
        <v>0</v>
      </c>
      <c r="BH62" s="22992">
        <f>IF(HLOOKUP("Mins",A1:CV300,62,FALSE)=0,0,HLOOKUP("FPL As",A1:CV300,62,FALSE)/HLOOKUP("Mins",A1:CV300,62,FALSE)* 90)</f>
        <v>0</v>
      </c>
      <c r="BI62" s="22993">
        <f>IF(HLOOKUP("Mins",A1:CV300,62,FALSE)=0,0,HLOOKUP("BC Created",A1:CV300,62,FALSE)/HLOOKUP("Mins",A1:CV300,62,FALSE)* 90)</f>
        <v>0</v>
      </c>
      <c r="BJ62" s="22994">
        <f>IF(HLOOKUP("Mins",A1:CV300,62,FALSE)=0,0,HLOOKUP("KP",A1:CV300,62,FALSE)/HLOOKUP("Mins",A1:CV300,62,FALSE)* 90)</f>
        <v>0.78534031413612571</v>
      </c>
      <c r="BK62" s="22995">
        <f>IF(HLOOKUP("Mins",A1:CV300,62,FALSE)=0,0,HLOOKUP("BC",A1:CV300,62,FALSE)/HLOOKUP("Mins",A1:CV300,62,FALSE)* 90)</f>
        <v>0.15706806282722513</v>
      </c>
      <c r="BL62" s="22996">
        <f>IF(HLOOKUP("Mins",A1:CV300,62,FALSE)=0,0,HLOOKUP("BC Miss",A1:CV300,62,FALSE)/HLOOKUP("Mins",A1:CV300,62,FALSE)* 90)</f>
        <v>0</v>
      </c>
      <c r="BM62" s="22997">
        <f>IF(HLOOKUP("Mins",A1:CV300,62,FALSE)=0,0,HLOOKUP("Gs - BC",A1:CV300,62,FALSE)/HLOOKUP("Mins",A1:CV300,62,FALSE)* 90)</f>
        <v>0.15706806282722513</v>
      </c>
      <c r="BN62" s="22998">
        <f>IF(HLOOKUP("Mins",A1:CV300,62,FALSE)=0,0,HLOOKUP("GIB",A1:CV300,62,FALSE)/HLOOKUP("Mins",A1:CV300,62,FALSE)* 90)</f>
        <v>0.15706806282722513</v>
      </c>
      <c r="BO62" s="22999">
        <f>IF(HLOOKUP("Mins",A1:CV300,62,FALSE)=0,0,HLOOKUP("Gs - Open",A1:CV300,62,FALSE)/HLOOKUP("Mins",A1:CV300,62,FALSE)* 90)</f>
        <v>0.15706806282722513</v>
      </c>
      <c r="BP62" s="23000">
        <f>IF(HLOOKUP("Mins",A1:CV300,62,FALSE)=0,0,HLOOKUP("ICT Index",A1:CV300,62,FALSE)/HLOOKUP("Mins",A1:CV300,62,FALSE)* 90)</f>
        <v>6.4240837696335076</v>
      </c>
      <c r="BQ62" s="23001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  <v>0.27958115183246074</v>
      </c>
      <c r="BR62" s="23002">
        <f>0.0885*HLOOKUP("KP/90",A1:CV300,62,FALSE)</f>
        <v>6.950261780104712E-2</v>
      </c>
      <c r="BS62" s="23003">
        <f>5*HLOOKUP("xG/90",A1:CV300,62,FALSE)+3*HLOOKUP("xA/90",A1:CV300,62,FALSE)</f>
        <v>1.6064136125654449</v>
      </c>
      <c r="BT62" s="23004">
        <f>HLOOKUP("xPts/90",A1:CV300,62,FALSE)-(5*0.75*(HLOOKUP("PK Gs",A1:CV300,62,FALSE)+HLOOKUP("PK Miss",A1:CV300,62,FALSE))*90/HLOOKUP("Mins",A1:CV300,62,FALSE))</f>
        <v>1.6064136125654449</v>
      </c>
      <c r="BU62" s="23005">
        <f>IF(HLOOKUP("Mins",A1:CV300,62,FALSE)=0,0,HLOOKUP("fsXG",A1:CV300,62,FALSE)/HLOOKUP("Mins",A1:CV300,62,FALSE)* 90)</f>
        <v>0.19476439790575914</v>
      </c>
      <c r="BV62" s="23006">
        <f>IF(HLOOKUP("Mins",A1:CV300,62,FALSE)=0,0,HLOOKUP("fsXA",A1:CV300,62,FALSE)/HLOOKUP("Mins",A1:CV300,62,FALSE)* 90)</f>
        <v>7.5392670157068062E-2</v>
      </c>
      <c r="BW62" s="23007">
        <f>5*HLOOKUP("fsXG/90",A1:CV300,62,FALSE)+3*HLOOKUP("fsXA/90",A1:CV300,62,FALSE)</f>
        <v>1.2</v>
      </c>
      <c r="BX62" s="23008">
        <v>0.21767349541187286</v>
      </c>
      <c r="BY62" s="23009">
        <v>4.645044356584549E-2</v>
      </c>
      <c r="BZ62" s="23010">
        <f>5*HLOOKUP("uXG/90",A1:CV300,62,FALSE)+3*HLOOKUP("uXA/90",A1:CV300,62,FALSE)</f>
        <v>1.2277188077569008</v>
      </c>
    </row>
    <row r="63" spans="1:78" x14ac:dyDescent="0.3">
      <c r="A63" s="23011" t="s">
        <v>390</v>
      </c>
      <c r="B63" s="23012" t="s">
        <v>113</v>
      </c>
      <c r="C63" s="23013">
        <v>6.9000000953674316</v>
      </c>
      <c r="D63" s="23014">
        <v>551</v>
      </c>
      <c r="E63" s="23015">
        <v>9</v>
      </c>
      <c r="F63" s="23016">
        <v>26</v>
      </c>
      <c r="G63" s="23017">
        <v>1</v>
      </c>
      <c r="H63" s="23018">
        <v>0</v>
      </c>
      <c r="I63" s="23019">
        <v>66</v>
      </c>
      <c r="J63" s="23020">
        <f>HLOOKUP("BPS",A1:CV300,63,FALSE)-((-6*HLOOKUP("OG",A1:CV300,63,FALSE))+(-6*HLOOKUP("PK Miss",A1:CV300,63,FALSE))+(9*HLOOKUP("FPL As",A1:CV300,63,FALSE))+(0*HLOOKUP("CS",A1:CV300,63,FALSE))+(18*HLOOKUP("Gs",A1:CV300,63,FALSE)))</f>
        <v>30</v>
      </c>
      <c r="K63" s="23021">
        <v>0</v>
      </c>
      <c r="L63" s="23022">
        <v>2</v>
      </c>
      <c r="M63" s="23023">
        <v>42</v>
      </c>
      <c r="N63" s="23024">
        <v>20</v>
      </c>
      <c r="O63" s="23025">
        <v>16</v>
      </c>
      <c r="P63" s="23026">
        <f>IF(HLOOKUP("Shots",A1:CV300,63,FALSE)=0,0,HLOOKUP("SIB",A1:CV300,63,FALSE)/HLOOKUP("Shots",A1:CV300,63,FALSE))</f>
        <v>0.8</v>
      </c>
      <c r="Q63" s="23027">
        <v>3</v>
      </c>
      <c r="R63" s="23028">
        <f>IF(HLOOKUP("Shots",A1:CV300,63,FALSE)=0,0,HLOOKUP("S6YD",A1:CV300,63,FALSE)/HLOOKUP("Shots",A1:CV300,63,FALSE))</f>
        <v>0.15</v>
      </c>
      <c r="S63" s="23029">
        <v>7</v>
      </c>
      <c r="T63" s="23030">
        <f>IF(HLOOKUP("Shots",A1:CV300,63,FALSE)=0,0,HLOOKUP("Headers",A1:CV300,63,FALSE)/HLOOKUP("Shots",A1:CV300,63,FALSE))</f>
        <v>0.35</v>
      </c>
      <c r="U63" s="23031">
        <v>9</v>
      </c>
      <c r="V63" s="23032">
        <f>IF(HLOOKUP("Shots",A1:CV300,63,FALSE)=0,0,HLOOKUP("SOT",A1:CV300,63,FALSE)/HLOOKUP("Shots",A1:CV300,63,FALSE))</f>
        <v>0.45</v>
      </c>
      <c r="W63" s="23033">
        <f>IF(HLOOKUP("Shots",A1:CV300,63,FALSE)=0,0,HLOOKUP("Gs",A1:CV300,63,FALSE)/HLOOKUP("Shots",A1:CV300,63,FALSE))</f>
        <v>0.05</v>
      </c>
      <c r="X63" s="23034">
        <v>1</v>
      </c>
      <c r="Y63" s="23035">
        <v>2</v>
      </c>
      <c r="Z63" s="23036">
        <v>7</v>
      </c>
      <c r="AA63" s="23037">
        <f>IF(HLOOKUP("KP",A1:CV300,63,FALSE)=0,0,HLOOKUP("As",A1:CV300,63,FALSE)/HLOOKUP("KP",A1:CV300,63,FALSE))</f>
        <v>0.14285714285714285</v>
      </c>
      <c r="AB63" s="23038">
        <v>56.2</v>
      </c>
      <c r="AC63" s="23039">
        <v>33</v>
      </c>
      <c r="AD63" s="23040">
        <v>1</v>
      </c>
      <c r="AE63" s="23041">
        <v>4</v>
      </c>
      <c r="AF63" s="23042">
        <v>4</v>
      </c>
      <c r="AG63" s="23043">
        <f>IF(HLOOKUP("BC",A1:CV300,63,FALSE)=0,0,HLOOKUP("Gs - BC",A1:CV300,63,FALSE)/HLOOKUP("BC",A1:CV300,63,FALSE))</f>
        <v>0</v>
      </c>
      <c r="AH63" s="23044">
        <f>HLOOKUP("BC",A1:CV300,63,FALSE) - HLOOKUP("BC Miss",A1:CV300,63,FALSE)</f>
        <v>0</v>
      </c>
      <c r="AI63" s="23045">
        <f>IF(HLOOKUP("Gs",A1:CV300,63,FALSE)=0,0,HLOOKUP("Gs - BC",A1:CV300,63,FALSE)/HLOOKUP("Gs",A1:CV300,63,FALSE))</f>
        <v>0</v>
      </c>
      <c r="AJ63" s="23046">
        <v>0</v>
      </c>
      <c r="AK63" s="23047">
        <v>0</v>
      </c>
      <c r="AL63" s="23048">
        <f>HLOOKUP("BC",A1:CV300,63,FALSE) - (HLOOKUP("PK Gs",A1:CV300,63,FALSE) + HLOOKUP("PK Miss",A1:CV300,63,FALSE))</f>
        <v>4</v>
      </c>
      <c r="AM63" s="23049">
        <f>HLOOKUP("BC Miss",A1:CV300,63,FALSE) - HLOOKUP("PK Miss",A1:CV300,63,FALSE)</f>
        <v>4</v>
      </c>
      <c r="AN63" s="23050">
        <f>IF(HLOOKUP("BC - Open",A1:CV300,63,FALSE)=0,0,HLOOKUP("BC - Open Miss",A1:CV300,63,FALSE)/HLOOKUP("BC - Open",A1:CV300,63,FALSE))</f>
        <v>1</v>
      </c>
      <c r="AO63" s="23051">
        <v>1</v>
      </c>
      <c r="AP63" s="23052">
        <f>IF(HLOOKUP("Gs",A1:CV300,63,FALSE)=0,0,HLOOKUP("GIB",A1:CV300,63,FALSE)/HLOOKUP("Gs",A1:CV300,63,FALSE))</f>
        <v>1</v>
      </c>
      <c r="AQ63" s="23053">
        <v>1</v>
      </c>
      <c r="AR63" s="23054">
        <f>IF(HLOOKUP("Gs",A1:CV300,63,FALSE)=0,0,HLOOKUP("Gs - Open",A1:CV300,63,FALSE)/HLOOKUP("Gs",A1:CV300,63,FALSE))</f>
        <v>1</v>
      </c>
      <c r="AS63" s="23055">
        <v>2.23</v>
      </c>
      <c r="AT63" s="23056">
        <v>1.0900000000000001</v>
      </c>
      <c r="AU63" s="23057">
        <f>IF(HLOOKUP("Mins",A1:CV300,63,FALSE)=0,0,HLOOKUP("Pts",A1:CV300,63,FALSE)/HLOOKUP("Mins",A1:CV300,63,FALSE)* 90)</f>
        <v>4.2468239564428316</v>
      </c>
      <c r="AV63" s="23058">
        <f>IF(HLOOKUP("Apps",A1:CV300,63,FALSE)=0,0,HLOOKUP("Pts",A1:CV300,63,FALSE)/HLOOKUP("Apps",A1:CV300,63,FALSE)* 1)</f>
        <v>2.8888888888888888</v>
      </c>
      <c r="AW63" s="23059">
        <f>IF(HLOOKUP("Mins",A1:CV300,63,FALSE)=0,0,HLOOKUP("Gs",A1:CV300,63,FALSE)/HLOOKUP("Mins",A1:CV300,63,FALSE)* 90)</f>
        <v>0.16333938294010888</v>
      </c>
      <c r="AX63" s="23060">
        <f>IF(HLOOKUP("Mins",A1:CV300,63,FALSE)=0,0,HLOOKUP("Bonus",A1:CV300,63,FALSE)/HLOOKUP("Mins",A1:CV300,63,FALSE)* 90)</f>
        <v>0</v>
      </c>
      <c r="AY63" s="23061">
        <f>IF(HLOOKUP("Mins",A1:CV300,63,FALSE)=0,0,HLOOKUP("BPS",A1:CV300,63,FALSE)/HLOOKUP("Mins",A1:CV300,63,FALSE)* 90)</f>
        <v>10.780399274047188</v>
      </c>
      <c r="AZ63" s="23062">
        <f>IF(HLOOKUP("Mins",A1:CV300,63,FALSE)=0,0,HLOOKUP("Base BPS",A1:CV300,63,FALSE)/HLOOKUP("Mins",A1:CV300,63,FALSE)* 90)</f>
        <v>4.900181488203267</v>
      </c>
      <c r="BA63" s="23063">
        <f>IF(HLOOKUP("Mins",A1:CV300,63,FALSE)=0,0,HLOOKUP("PenTchs",A1:CV300,63,FALSE)/HLOOKUP("Mins",A1:CV300,63,FALSE)* 90)</f>
        <v>6.8602540834845733</v>
      </c>
      <c r="BB63" s="23064">
        <f>IF(HLOOKUP("Mins",A1:CV300,63,FALSE)=0,0,HLOOKUP("Shots",A1:CV300,63,FALSE)/HLOOKUP("Mins",A1:CV300,63,FALSE)* 90)</f>
        <v>3.266787658802178</v>
      </c>
      <c r="BC63" s="23065">
        <f>IF(HLOOKUP("Mins",A1:CV300,63,FALSE)=0,0,HLOOKUP("SIB",A1:CV300,63,FALSE)/HLOOKUP("Mins",A1:CV300,63,FALSE)* 90)</f>
        <v>2.6134301270417422</v>
      </c>
      <c r="BD63" s="23066">
        <f>IF(HLOOKUP("Mins",A1:CV300,63,FALSE)=0,0,HLOOKUP("S6YD",A1:CV300,63,FALSE)/HLOOKUP("Mins",A1:CV300,63,FALSE)* 90)</f>
        <v>0.49001814882032668</v>
      </c>
      <c r="BE63" s="23067">
        <f>IF(HLOOKUP("Mins",A1:CV300,63,FALSE)=0,0,HLOOKUP("Headers",A1:CV300,63,FALSE)/HLOOKUP("Mins",A1:CV300,63,FALSE)* 90)</f>
        <v>1.1433756805807622</v>
      </c>
      <c r="BF63" s="23068">
        <f>IF(HLOOKUP("Mins",A1:CV300,63,FALSE)=0,0,HLOOKUP("SOT",A1:CV300,63,FALSE)/HLOOKUP("Mins",A1:CV300,63,FALSE)* 90)</f>
        <v>1.4700544464609799</v>
      </c>
      <c r="BG63" s="23069">
        <f>IF(HLOOKUP("Mins",A1:CV300,63,FALSE)=0,0,HLOOKUP("As",A1:CV300,63,FALSE)/HLOOKUP("Mins",A1:CV300,63,FALSE)* 90)</f>
        <v>0.16333938294010888</v>
      </c>
      <c r="BH63" s="23070">
        <f>IF(HLOOKUP("Mins",A1:CV300,63,FALSE)=0,0,HLOOKUP("FPL As",A1:CV300,63,FALSE)/HLOOKUP("Mins",A1:CV300,63,FALSE)* 90)</f>
        <v>0.32667876588021777</v>
      </c>
      <c r="BI63" s="23071">
        <f>IF(HLOOKUP("Mins",A1:CV300,63,FALSE)=0,0,HLOOKUP("BC Created",A1:CV300,63,FALSE)/HLOOKUP("Mins",A1:CV300,63,FALSE)* 90)</f>
        <v>0.16333938294010888</v>
      </c>
      <c r="BJ63" s="23072">
        <f>IF(HLOOKUP("Mins",A1:CV300,63,FALSE)=0,0,HLOOKUP("KP",A1:CV300,63,FALSE)/HLOOKUP("Mins",A1:CV300,63,FALSE)* 90)</f>
        <v>1.1433756805807622</v>
      </c>
      <c r="BK63" s="23073">
        <f>IF(HLOOKUP("Mins",A1:CV300,63,FALSE)=0,0,HLOOKUP("BC",A1:CV300,63,FALSE)/HLOOKUP("Mins",A1:CV300,63,FALSE)* 90)</f>
        <v>0.65335753176043554</v>
      </c>
      <c r="BL63" s="23074">
        <f>IF(HLOOKUP("Mins",A1:CV300,63,FALSE)=0,0,HLOOKUP("BC Miss",A1:CV300,63,FALSE)/HLOOKUP("Mins",A1:CV300,63,FALSE)* 90)</f>
        <v>0.65335753176043554</v>
      </c>
      <c r="BM63" s="23075">
        <f>IF(HLOOKUP("Mins",A1:CV300,63,FALSE)=0,0,HLOOKUP("Gs - BC",A1:CV300,63,FALSE)/HLOOKUP("Mins",A1:CV300,63,FALSE)* 90)</f>
        <v>0</v>
      </c>
      <c r="BN63" s="23076">
        <f>IF(HLOOKUP("Mins",A1:CV300,63,FALSE)=0,0,HLOOKUP("GIB",A1:CV300,63,FALSE)/HLOOKUP("Mins",A1:CV300,63,FALSE)* 90)</f>
        <v>0.16333938294010888</v>
      </c>
      <c r="BO63" s="23077">
        <f>IF(HLOOKUP("Mins",A1:CV300,63,FALSE)=0,0,HLOOKUP("Gs - Open",A1:CV300,63,FALSE)/HLOOKUP("Mins",A1:CV300,63,FALSE)* 90)</f>
        <v>0.16333938294010888</v>
      </c>
      <c r="BP63" s="23078">
        <f>IF(HLOOKUP("Mins",A1:CV300,63,FALSE)=0,0,HLOOKUP("ICT Index",A1:CV300,63,FALSE)/HLOOKUP("Mins",A1:CV300,63,FALSE)* 90)</f>
        <v>9.1796733212341195</v>
      </c>
      <c r="BQ63" s="23079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  <v>0.39462794918330313</v>
      </c>
      <c r="BR63" s="23080">
        <f>0.0885*HLOOKUP("KP/90",A1:CV300,63,FALSE)</f>
        <v>0.10118874773139745</v>
      </c>
      <c r="BS63" s="23081">
        <f>5*HLOOKUP("xG/90",A1:CV300,63,FALSE)+3*HLOOKUP("xA/90",A1:CV300,63,FALSE)</f>
        <v>2.2767059891107078</v>
      </c>
      <c r="BT63" s="23082">
        <f>HLOOKUP("xPts/90",A1:CV300,63,FALSE)-(5*0.75*(HLOOKUP("PK Gs",A1:CV300,63,FALSE)+HLOOKUP("PK Miss",A1:CV300,63,FALSE))*90/HLOOKUP("Mins",A1:CV300,63,FALSE))</f>
        <v>2.2767059891107078</v>
      </c>
      <c r="BU63" s="23083">
        <f>IF(HLOOKUP("Mins",A1:CV300,63,FALSE)=0,0,HLOOKUP("fsXG",A1:CV300,63,FALSE)/HLOOKUP("Mins",A1:CV300,63,FALSE)* 90)</f>
        <v>0.36424682395644287</v>
      </c>
      <c r="BV63" s="23084">
        <f>IF(HLOOKUP("Mins",A1:CV300,63,FALSE)=0,0,HLOOKUP("fsXA",A1:CV300,63,FALSE)/HLOOKUP("Mins",A1:CV300,63,FALSE)* 90)</f>
        <v>0.17803992740471869</v>
      </c>
      <c r="BW63" s="23085">
        <f>5*HLOOKUP("fsXG/90",A1:CV300,63,FALSE)+3*HLOOKUP("fsXA/90",A1:CV300,63,FALSE)</f>
        <v>2.3553539019963705</v>
      </c>
      <c r="BX63" s="23086">
        <v>0.43769225478172302</v>
      </c>
      <c r="BY63" s="23087">
        <v>0.13579517602920532</v>
      </c>
      <c r="BZ63" s="23088">
        <f>5*HLOOKUP("uXG/90",A1:CV300,63,FALSE)+3*HLOOKUP("uXA/90",A1:CV300,63,FALSE)</f>
        <v>2.5958468019962311</v>
      </c>
    </row>
    <row r="64" spans="1:78" x14ac:dyDescent="0.3">
      <c r="A64" s="23089" t="s">
        <v>391</v>
      </c>
      <c r="B64" s="23090" t="s">
        <v>105</v>
      </c>
      <c r="C64" s="23091">
        <v>5.0999999046325684</v>
      </c>
      <c r="D64" s="23092">
        <v>260</v>
      </c>
      <c r="E64" s="23093">
        <v>12</v>
      </c>
      <c r="F64" s="23094">
        <v>16</v>
      </c>
      <c r="G64" s="23095">
        <v>0</v>
      </c>
      <c r="H64" s="23096">
        <v>0</v>
      </c>
      <c r="I64" s="23097">
        <v>67</v>
      </c>
      <c r="J64" s="23098">
        <f>HLOOKUP("BPS",A1:CV300,64,FALSE)-((-6*HLOOKUP("OG",A1:CV300,64,FALSE))+(-6*HLOOKUP("PK Miss",A1:CV300,64,FALSE))+(9*HLOOKUP("FPL As",A1:CV300,64,FALSE))+(0*HLOOKUP("CS",A1:CV300,64,FALSE))+(18*HLOOKUP("Gs",A1:CV300,64,FALSE)))</f>
        <v>58</v>
      </c>
      <c r="K64" s="23099">
        <v>0</v>
      </c>
      <c r="L64" s="23100">
        <v>0</v>
      </c>
      <c r="M64" s="23101">
        <v>18</v>
      </c>
      <c r="N64" s="23102">
        <v>8</v>
      </c>
      <c r="O64" s="23103">
        <v>4</v>
      </c>
      <c r="P64" s="23104">
        <f>IF(HLOOKUP("Shots",A1:CV300,64,FALSE)=0,0,HLOOKUP("SIB",A1:CV300,64,FALSE)/HLOOKUP("Shots",A1:CV300,64,FALSE))</f>
        <v>0.5</v>
      </c>
      <c r="Q64" s="23105">
        <v>0</v>
      </c>
      <c r="R64" s="23106">
        <f>IF(HLOOKUP("Shots",A1:CV300,64,FALSE)=0,0,HLOOKUP("S6YD",A1:CV300,64,FALSE)/HLOOKUP("Shots",A1:CV300,64,FALSE))</f>
        <v>0</v>
      </c>
      <c r="S64" s="23107">
        <v>1</v>
      </c>
      <c r="T64" s="23108">
        <f>IF(HLOOKUP("Shots",A1:CV300,64,FALSE)=0,0,HLOOKUP("Headers",A1:CV300,64,FALSE)/HLOOKUP("Shots",A1:CV300,64,FALSE))</f>
        <v>0.125</v>
      </c>
      <c r="U64" s="23109">
        <v>5</v>
      </c>
      <c r="V64" s="23110">
        <f>IF(HLOOKUP("Shots",A1:CV300,64,FALSE)=0,0,HLOOKUP("SOT",A1:CV300,64,FALSE)/HLOOKUP("Shots",A1:CV300,64,FALSE))</f>
        <v>0.625</v>
      </c>
      <c r="W64" s="23111">
        <f>IF(HLOOKUP("Shots",A1:CV300,64,FALSE)=0,0,HLOOKUP("Gs",A1:CV300,64,FALSE)/HLOOKUP("Shots",A1:CV300,64,FALSE))</f>
        <v>0</v>
      </c>
      <c r="X64" s="23112">
        <v>1</v>
      </c>
      <c r="Y64" s="23113">
        <v>1</v>
      </c>
      <c r="Z64" s="23114">
        <v>9</v>
      </c>
      <c r="AA64" s="23115">
        <f>IF(HLOOKUP("KP",A1:CV300,64,FALSE)=0,0,HLOOKUP("As",A1:CV300,64,FALSE)/HLOOKUP("KP",A1:CV300,64,FALSE))</f>
        <v>0.1111111111111111</v>
      </c>
      <c r="AB64" s="23116">
        <v>31</v>
      </c>
      <c r="AC64" s="23117">
        <v>8</v>
      </c>
      <c r="AD64" s="23118">
        <v>0</v>
      </c>
      <c r="AE64" s="23119">
        <v>0</v>
      </c>
      <c r="AF64" s="23120">
        <v>0</v>
      </c>
      <c r="AG64" s="23121">
        <f>IF(HLOOKUP("BC",A1:CV300,64,FALSE)=0,0,HLOOKUP("Gs - BC",A1:CV300,64,FALSE)/HLOOKUP("BC",A1:CV300,64,FALSE))</f>
        <v>0</v>
      </c>
      <c r="AH64" s="23122">
        <f>HLOOKUP("BC",A1:CV300,64,FALSE) - HLOOKUP("BC Miss",A1:CV300,64,FALSE)</f>
        <v>0</v>
      </c>
      <c r="AI64" s="23123">
        <f>IF(HLOOKUP("Gs",A1:CV300,64,FALSE)=0,0,HLOOKUP("Gs - BC",A1:CV300,64,FALSE)/HLOOKUP("Gs",A1:CV300,64,FALSE))</f>
        <v>0</v>
      </c>
      <c r="AJ64" s="23124">
        <v>0</v>
      </c>
      <c r="AK64" s="23125">
        <v>0</v>
      </c>
      <c r="AL64" s="23126">
        <f>HLOOKUP("BC",A1:CV300,64,FALSE) - (HLOOKUP("PK Gs",A1:CV300,64,FALSE) + HLOOKUP("PK Miss",A1:CV300,64,FALSE))</f>
        <v>0</v>
      </c>
      <c r="AM64" s="23127">
        <f>HLOOKUP("BC Miss",A1:CV300,64,FALSE) - HLOOKUP("PK Miss",A1:CV300,64,FALSE)</f>
        <v>0</v>
      </c>
      <c r="AN64" s="23128">
        <f>IF(HLOOKUP("BC - Open",A1:CV300,64,FALSE)=0,0,HLOOKUP("BC - Open Miss",A1:CV300,64,FALSE)/HLOOKUP("BC - Open",A1:CV300,64,FALSE))</f>
        <v>0</v>
      </c>
      <c r="AO64" s="23129">
        <v>0</v>
      </c>
      <c r="AP64" s="23130">
        <f>IF(HLOOKUP("Gs",A1:CV300,64,FALSE)=0,0,HLOOKUP("GIB",A1:CV300,64,FALSE)/HLOOKUP("Gs",A1:CV300,64,FALSE))</f>
        <v>0</v>
      </c>
      <c r="AQ64" s="23131">
        <v>0</v>
      </c>
      <c r="AR64" s="23132">
        <f>IF(HLOOKUP("Gs",A1:CV300,64,FALSE)=0,0,HLOOKUP("Gs - Open",A1:CV300,64,FALSE)/HLOOKUP("Gs",A1:CV300,64,FALSE))</f>
        <v>0</v>
      </c>
      <c r="AS64" s="23133">
        <v>0.32</v>
      </c>
      <c r="AT64" s="23134">
        <v>0.28999999999999998</v>
      </c>
      <c r="AU64" s="23135">
        <f>IF(HLOOKUP("Mins",A1:CV300,64,FALSE)=0,0,HLOOKUP("Pts",A1:CV300,64,FALSE)/HLOOKUP("Mins",A1:CV300,64,FALSE)* 90)</f>
        <v>5.5384615384615383</v>
      </c>
      <c r="AV64" s="23136">
        <f>IF(HLOOKUP("Apps",A1:CV300,64,FALSE)=0,0,HLOOKUP("Pts",A1:CV300,64,FALSE)/HLOOKUP("Apps",A1:CV300,64,FALSE)* 1)</f>
        <v>1.3333333333333333</v>
      </c>
      <c r="AW64" s="23137">
        <f>IF(HLOOKUP("Mins",A1:CV300,64,FALSE)=0,0,HLOOKUP("Gs",A1:CV300,64,FALSE)/HLOOKUP("Mins",A1:CV300,64,FALSE)* 90)</f>
        <v>0</v>
      </c>
      <c r="AX64" s="23138">
        <f>IF(HLOOKUP("Mins",A1:CV300,64,FALSE)=0,0,HLOOKUP("Bonus",A1:CV300,64,FALSE)/HLOOKUP("Mins",A1:CV300,64,FALSE)* 90)</f>
        <v>0</v>
      </c>
      <c r="AY64" s="23139">
        <f>IF(HLOOKUP("Mins",A1:CV300,64,FALSE)=0,0,HLOOKUP("BPS",A1:CV300,64,FALSE)/HLOOKUP("Mins",A1:CV300,64,FALSE)* 90)</f>
        <v>23.19230769230769</v>
      </c>
      <c r="AZ64" s="23140">
        <f>IF(HLOOKUP("Mins",A1:CV300,64,FALSE)=0,0,HLOOKUP("Base BPS",A1:CV300,64,FALSE)/HLOOKUP("Mins",A1:CV300,64,FALSE)* 90)</f>
        <v>20.076923076923077</v>
      </c>
      <c r="BA64" s="23141">
        <f>IF(HLOOKUP("Mins",A1:CV300,64,FALSE)=0,0,HLOOKUP("PenTchs",A1:CV300,64,FALSE)/HLOOKUP("Mins",A1:CV300,64,FALSE)* 90)</f>
        <v>6.2307692307692308</v>
      </c>
      <c r="BB64" s="23142">
        <f>IF(HLOOKUP("Mins",A1:CV300,64,FALSE)=0,0,HLOOKUP("Shots",A1:CV300,64,FALSE)/HLOOKUP("Mins",A1:CV300,64,FALSE)* 90)</f>
        <v>2.7692307692307692</v>
      </c>
      <c r="BC64" s="23143">
        <f>IF(HLOOKUP("Mins",A1:CV300,64,FALSE)=0,0,HLOOKUP("SIB",A1:CV300,64,FALSE)/HLOOKUP("Mins",A1:CV300,64,FALSE)* 90)</f>
        <v>1.3846153846153846</v>
      </c>
      <c r="BD64" s="23144">
        <f>IF(HLOOKUP("Mins",A1:CV300,64,FALSE)=0,0,HLOOKUP("S6YD",A1:CV300,64,FALSE)/HLOOKUP("Mins",A1:CV300,64,FALSE)* 90)</f>
        <v>0</v>
      </c>
      <c r="BE64" s="23145">
        <f>IF(HLOOKUP("Mins",A1:CV300,64,FALSE)=0,0,HLOOKUP("Headers",A1:CV300,64,FALSE)/HLOOKUP("Mins",A1:CV300,64,FALSE)* 90)</f>
        <v>0.34615384615384615</v>
      </c>
      <c r="BF64" s="23146">
        <f>IF(HLOOKUP("Mins",A1:CV300,64,FALSE)=0,0,HLOOKUP("SOT",A1:CV300,64,FALSE)/HLOOKUP("Mins",A1:CV300,64,FALSE)* 90)</f>
        <v>1.7307692307692308</v>
      </c>
      <c r="BG64" s="23147">
        <f>IF(HLOOKUP("Mins",A1:CV300,64,FALSE)=0,0,HLOOKUP("As",A1:CV300,64,FALSE)/HLOOKUP("Mins",A1:CV300,64,FALSE)* 90)</f>
        <v>0.34615384615384615</v>
      </c>
      <c r="BH64" s="23148">
        <f>IF(HLOOKUP("Mins",A1:CV300,64,FALSE)=0,0,HLOOKUP("FPL As",A1:CV300,64,FALSE)/HLOOKUP("Mins",A1:CV300,64,FALSE)* 90)</f>
        <v>0.34615384615384615</v>
      </c>
      <c r="BI64" s="23149">
        <f>IF(HLOOKUP("Mins",A1:CV300,64,FALSE)=0,0,HLOOKUP("BC Created",A1:CV300,64,FALSE)/HLOOKUP("Mins",A1:CV300,64,FALSE)* 90)</f>
        <v>0</v>
      </c>
      <c r="BJ64" s="23150">
        <f>IF(HLOOKUP("Mins",A1:CV300,64,FALSE)=0,0,HLOOKUP("KP",A1:CV300,64,FALSE)/HLOOKUP("Mins",A1:CV300,64,FALSE)* 90)</f>
        <v>3.1153846153846154</v>
      </c>
      <c r="BK64" s="23151">
        <f>IF(HLOOKUP("Mins",A1:CV300,64,FALSE)=0,0,HLOOKUP("BC",A1:CV300,64,FALSE)/HLOOKUP("Mins",A1:CV300,64,FALSE)* 90)</f>
        <v>0</v>
      </c>
      <c r="BL64" s="23152">
        <f>IF(HLOOKUP("Mins",A1:CV300,64,FALSE)=0,0,HLOOKUP("BC Miss",A1:CV300,64,FALSE)/HLOOKUP("Mins",A1:CV300,64,FALSE)* 90)</f>
        <v>0</v>
      </c>
      <c r="BM64" s="23153">
        <f>IF(HLOOKUP("Mins",A1:CV300,64,FALSE)=0,0,HLOOKUP("Gs - BC",A1:CV300,64,FALSE)/HLOOKUP("Mins",A1:CV300,64,FALSE)* 90)</f>
        <v>0</v>
      </c>
      <c r="BN64" s="23154">
        <f>IF(HLOOKUP("Mins",A1:CV300,64,FALSE)=0,0,HLOOKUP("GIB",A1:CV300,64,FALSE)/HLOOKUP("Mins",A1:CV300,64,FALSE)* 90)</f>
        <v>0</v>
      </c>
      <c r="BO64" s="23155">
        <f>IF(HLOOKUP("Mins",A1:CV300,64,FALSE)=0,0,HLOOKUP("Gs - Open",A1:CV300,64,FALSE)/HLOOKUP("Mins",A1:CV300,64,FALSE)* 90)</f>
        <v>0</v>
      </c>
      <c r="BP64" s="23156">
        <f>IF(HLOOKUP("Mins",A1:CV300,64,FALSE)=0,0,HLOOKUP("ICT Index",A1:CV300,64,FALSE)/HLOOKUP("Mins",A1:CV300,64,FALSE)* 90)</f>
        <v>10.730769230769232</v>
      </c>
      <c r="BQ64" s="23157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  <v>0.24646153846153843</v>
      </c>
      <c r="BR64" s="23158">
        <f>0.0885*HLOOKUP("KP/90",A1:CV300,64,FALSE)</f>
        <v>0.27571153846153845</v>
      </c>
      <c r="BS64" s="23159">
        <f>5*HLOOKUP("xG/90",A1:CV300,64,FALSE)+3*HLOOKUP("xA/90",A1:CV300,64,FALSE)</f>
        <v>2.0594423076923074</v>
      </c>
      <c r="BT64" s="23160">
        <f>HLOOKUP("xPts/90",A1:CV300,64,FALSE)-(5*0.75*(HLOOKUP("PK Gs",A1:CV300,64,FALSE)+HLOOKUP("PK Miss",A1:CV300,64,FALSE))*90/HLOOKUP("Mins",A1:CV300,64,FALSE))</f>
        <v>2.0594423076923074</v>
      </c>
      <c r="BU64" s="23161">
        <f>IF(HLOOKUP("Mins",A1:CV300,64,FALSE)=0,0,HLOOKUP("fsXG",A1:CV300,64,FALSE)/HLOOKUP("Mins",A1:CV300,64,FALSE)* 90)</f>
        <v>0.11076923076923077</v>
      </c>
      <c r="BV64" s="23162">
        <f>IF(HLOOKUP("Mins",A1:CV300,64,FALSE)=0,0,HLOOKUP("fsXA",A1:CV300,64,FALSE)/HLOOKUP("Mins",A1:CV300,64,FALSE)* 90)</f>
        <v>0.10038461538461538</v>
      </c>
      <c r="BW64" s="23163">
        <f>5*HLOOKUP("fsXG/90",A1:CV300,64,FALSE)+3*HLOOKUP("fsXA/90",A1:CV300,64,FALSE)</f>
        <v>0.85499999999999998</v>
      </c>
      <c r="BX64" s="23164">
        <v>0.1457330733537674</v>
      </c>
      <c r="BY64" s="23165">
        <v>0.20144978165626526</v>
      </c>
      <c r="BZ64" s="23166">
        <f>5*HLOOKUP("uXG/90",A1:CV300,64,FALSE)+3*HLOOKUP("uXA/90",A1:CV300,64,FALSE)</f>
        <v>1.3330147117376328</v>
      </c>
    </row>
    <row r="65" spans="1:78" x14ac:dyDescent="0.3">
      <c r="A65" s="23167" t="s">
        <v>392</v>
      </c>
      <c r="B65" s="23168" t="s">
        <v>151</v>
      </c>
      <c r="C65" s="23169">
        <v>6.3000001907348633</v>
      </c>
      <c r="D65" s="23170">
        <v>868</v>
      </c>
      <c r="E65" s="23171">
        <v>18</v>
      </c>
      <c r="F65" s="23172">
        <v>23</v>
      </c>
      <c r="G65" s="23173">
        <v>0</v>
      </c>
      <c r="H65" s="23174">
        <v>0</v>
      </c>
      <c r="I65" s="23175">
        <v>67</v>
      </c>
      <c r="J65" s="23176">
        <f>HLOOKUP("BPS",A1:CV300,65,FALSE)-((-6*HLOOKUP("OG",A1:CV300,65,FALSE))+(-6*HLOOKUP("PK Miss",A1:CV300,65,FALSE))+(9*HLOOKUP("FPL As",A1:CV300,65,FALSE))+(0*HLOOKUP("CS",A1:CV300,65,FALSE))+(18*HLOOKUP("Gs",A1:CV300,65,FALSE)))</f>
        <v>67</v>
      </c>
      <c r="K65" s="23177">
        <v>0</v>
      </c>
      <c r="L65" s="23178">
        <v>1</v>
      </c>
      <c r="M65" s="23179">
        <v>28</v>
      </c>
      <c r="N65" s="23180">
        <v>17</v>
      </c>
      <c r="O65" s="23181">
        <v>11</v>
      </c>
      <c r="P65" s="23182">
        <f>IF(HLOOKUP("Shots",A1:CV300,65,FALSE)=0,0,HLOOKUP("SIB",A1:CV300,65,FALSE)/HLOOKUP("Shots",A1:CV300,65,FALSE))</f>
        <v>0.6470588235294118</v>
      </c>
      <c r="Q65" s="23183">
        <v>0</v>
      </c>
      <c r="R65" s="23184">
        <f>IF(HLOOKUP("Shots",A1:CV300,65,FALSE)=0,0,HLOOKUP("S6YD",A1:CV300,65,FALSE)/HLOOKUP("Shots",A1:CV300,65,FALSE))</f>
        <v>0</v>
      </c>
      <c r="S65" s="23185">
        <v>0</v>
      </c>
      <c r="T65" s="23186">
        <f>IF(HLOOKUP("Shots",A1:CV300,65,FALSE)=0,0,HLOOKUP("Headers",A1:CV300,65,FALSE)/HLOOKUP("Shots",A1:CV300,65,FALSE))</f>
        <v>0</v>
      </c>
      <c r="U65" s="23187">
        <v>4</v>
      </c>
      <c r="V65" s="23188">
        <f>IF(HLOOKUP("Shots",A1:CV300,65,FALSE)=0,0,HLOOKUP("SOT",A1:CV300,65,FALSE)/HLOOKUP("Shots",A1:CV300,65,FALSE))</f>
        <v>0.23529411764705882</v>
      </c>
      <c r="W65" s="23189">
        <f>IF(HLOOKUP("Shots",A1:CV300,65,FALSE)=0,0,HLOOKUP("Gs",A1:CV300,65,FALSE)/HLOOKUP("Shots",A1:CV300,65,FALSE))</f>
        <v>0</v>
      </c>
      <c r="X65" s="23190">
        <v>0</v>
      </c>
      <c r="Y65" s="23191">
        <v>0</v>
      </c>
      <c r="Z65" s="23192">
        <v>19</v>
      </c>
      <c r="AA65" s="23193">
        <f>IF(HLOOKUP("KP",A1:CV300,65,FALSE)=0,0,HLOOKUP("As",A1:CV300,65,FALSE)/HLOOKUP("KP",A1:CV300,65,FALSE))</f>
        <v>0</v>
      </c>
      <c r="AB65" s="23194">
        <v>53.5</v>
      </c>
      <c r="AC65" s="23195">
        <v>0</v>
      </c>
      <c r="AD65" s="23196">
        <v>1</v>
      </c>
      <c r="AE65" s="23197">
        <v>2</v>
      </c>
      <c r="AF65" s="23198">
        <v>2</v>
      </c>
      <c r="AG65" s="23199">
        <f>IF(HLOOKUP("BC",A1:CV300,65,FALSE)=0,0,HLOOKUP("Gs - BC",A1:CV300,65,FALSE)/HLOOKUP("BC",A1:CV300,65,FALSE))</f>
        <v>0</v>
      </c>
      <c r="AH65" s="23200">
        <f>HLOOKUP("BC",A1:CV300,65,FALSE) - HLOOKUP("BC Miss",A1:CV300,65,FALSE)</f>
        <v>0</v>
      </c>
      <c r="AI65" s="23201">
        <f>IF(HLOOKUP("Gs",A1:CV300,65,FALSE)=0,0,HLOOKUP("Gs - BC",A1:CV300,65,FALSE)/HLOOKUP("Gs",A1:CV300,65,FALSE))</f>
        <v>0</v>
      </c>
      <c r="AJ65" s="23202">
        <v>0</v>
      </c>
      <c r="AK65" s="23203">
        <v>0</v>
      </c>
      <c r="AL65" s="23204">
        <f>HLOOKUP("BC",A1:CV300,65,FALSE) - (HLOOKUP("PK Gs",A1:CV300,65,FALSE) + HLOOKUP("PK Miss",A1:CV300,65,FALSE))</f>
        <v>2</v>
      </c>
      <c r="AM65" s="23205">
        <f>HLOOKUP("BC Miss",A1:CV300,65,FALSE) - HLOOKUP("PK Miss",A1:CV300,65,FALSE)</f>
        <v>2</v>
      </c>
      <c r="AN65" s="23206">
        <f>IF(HLOOKUP("BC - Open",A1:CV300,65,FALSE)=0,0,HLOOKUP("BC - Open Miss",A1:CV300,65,FALSE)/HLOOKUP("BC - Open",A1:CV300,65,FALSE))</f>
        <v>1</v>
      </c>
      <c r="AO65" s="23207">
        <v>0</v>
      </c>
      <c r="AP65" s="23208">
        <f>IF(HLOOKUP("Gs",A1:CV300,65,FALSE)=0,0,HLOOKUP("GIB",A1:CV300,65,FALSE)/HLOOKUP("Gs",A1:CV300,65,FALSE))</f>
        <v>0</v>
      </c>
      <c r="AQ65" s="23209">
        <v>0</v>
      </c>
      <c r="AR65" s="23210">
        <f>IF(HLOOKUP("Gs",A1:CV300,65,FALSE)=0,0,HLOOKUP("Gs - Open",A1:CV300,65,FALSE)/HLOOKUP("Gs",A1:CV300,65,FALSE))</f>
        <v>0</v>
      </c>
      <c r="AS65" s="23211">
        <v>1.46</v>
      </c>
      <c r="AT65" s="23212">
        <v>0.52</v>
      </c>
      <c r="AU65" s="23213">
        <f>IF(HLOOKUP("Mins",A1:CV300,65,FALSE)=0,0,HLOOKUP("Pts",A1:CV300,65,FALSE)/HLOOKUP("Mins",A1:CV300,65,FALSE)* 90)</f>
        <v>2.3847926267281108</v>
      </c>
      <c r="AV65" s="23214">
        <f>IF(HLOOKUP("Apps",A1:CV300,65,FALSE)=0,0,HLOOKUP("Pts",A1:CV300,65,FALSE)/HLOOKUP("Apps",A1:CV300,65,FALSE)* 1)</f>
        <v>1.2777777777777777</v>
      </c>
      <c r="AW65" s="23215">
        <f>IF(HLOOKUP("Mins",A1:CV300,65,FALSE)=0,0,HLOOKUP("Gs",A1:CV300,65,FALSE)/HLOOKUP("Mins",A1:CV300,65,FALSE)* 90)</f>
        <v>0</v>
      </c>
      <c r="AX65" s="23216">
        <f>IF(HLOOKUP("Mins",A1:CV300,65,FALSE)=0,0,HLOOKUP("Bonus",A1:CV300,65,FALSE)/HLOOKUP("Mins",A1:CV300,65,FALSE)* 90)</f>
        <v>0</v>
      </c>
      <c r="AY65" s="23217">
        <f>IF(HLOOKUP("Mins",A1:CV300,65,FALSE)=0,0,HLOOKUP("BPS",A1:CV300,65,FALSE)/HLOOKUP("Mins",A1:CV300,65,FALSE)* 90)</f>
        <v>6.9470046082949306</v>
      </c>
      <c r="AZ65" s="23218">
        <f>IF(HLOOKUP("Mins",A1:CV300,65,FALSE)=0,0,HLOOKUP("Base BPS",A1:CV300,65,FALSE)/HLOOKUP("Mins",A1:CV300,65,FALSE)* 90)</f>
        <v>6.9470046082949306</v>
      </c>
      <c r="BA65" s="23219">
        <f>IF(HLOOKUP("Mins",A1:CV300,65,FALSE)=0,0,HLOOKUP("PenTchs",A1:CV300,65,FALSE)/HLOOKUP("Mins",A1:CV300,65,FALSE)* 90)</f>
        <v>2.903225806451613</v>
      </c>
      <c r="BB65" s="23220">
        <f>IF(HLOOKUP("Mins",A1:CV300,65,FALSE)=0,0,HLOOKUP("Shots",A1:CV300,65,FALSE)/HLOOKUP("Mins",A1:CV300,65,FALSE)* 90)</f>
        <v>1.7626728110599077</v>
      </c>
      <c r="BC65" s="23221">
        <f>IF(HLOOKUP("Mins",A1:CV300,65,FALSE)=0,0,HLOOKUP("SIB",A1:CV300,65,FALSE)/HLOOKUP("Mins",A1:CV300,65,FALSE)* 90)</f>
        <v>1.1405529953917051</v>
      </c>
      <c r="BD65" s="23222">
        <f>IF(HLOOKUP("Mins",A1:CV300,65,FALSE)=0,0,HLOOKUP("S6YD",A1:CV300,65,FALSE)/HLOOKUP("Mins",A1:CV300,65,FALSE)* 90)</f>
        <v>0</v>
      </c>
      <c r="BE65" s="23223">
        <f>IF(HLOOKUP("Mins",A1:CV300,65,FALSE)=0,0,HLOOKUP("Headers",A1:CV300,65,FALSE)/HLOOKUP("Mins",A1:CV300,65,FALSE)* 90)</f>
        <v>0</v>
      </c>
      <c r="BF65" s="23224">
        <f>IF(HLOOKUP("Mins",A1:CV300,65,FALSE)=0,0,HLOOKUP("SOT",A1:CV300,65,FALSE)/HLOOKUP("Mins",A1:CV300,65,FALSE)* 90)</f>
        <v>0.41474654377880182</v>
      </c>
      <c r="BG65" s="23225">
        <f>IF(HLOOKUP("Mins",A1:CV300,65,FALSE)=0,0,HLOOKUP("As",A1:CV300,65,FALSE)/HLOOKUP("Mins",A1:CV300,65,FALSE)* 90)</f>
        <v>0</v>
      </c>
      <c r="BH65" s="23226">
        <f>IF(HLOOKUP("Mins",A1:CV300,65,FALSE)=0,0,HLOOKUP("FPL As",A1:CV300,65,FALSE)/HLOOKUP("Mins",A1:CV300,65,FALSE)* 90)</f>
        <v>0</v>
      </c>
      <c r="BI65" s="23227">
        <f>IF(HLOOKUP("Mins",A1:CV300,65,FALSE)=0,0,HLOOKUP("BC Created",A1:CV300,65,FALSE)/HLOOKUP("Mins",A1:CV300,65,FALSE)* 90)</f>
        <v>0.10368663594470046</v>
      </c>
      <c r="BJ65" s="23228">
        <f>IF(HLOOKUP("Mins",A1:CV300,65,FALSE)=0,0,HLOOKUP("KP",A1:CV300,65,FALSE)/HLOOKUP("Mins",A1:CV300,65,FALSE)* 90)</f>
        <v>1.9700460829493087</v>
      </c>
      <c r="BK65" s="23229">
        <f>IF(HLOOKUP("Mins",A1:CV300,65,FALSE)=0,0,HLOOKUP("BC",A1:CV300,65,FALSE)/HLOOKUP("Mins",A1:CV300,65,FALSE)* 90)</f>
        <v>0.20737327188940091</v>
      </c>
      <c r="BL65" s="23230">
        <f>IF(HLOOKUP("Mins",A1:CV300,65,FALSE)=0,0,HLOOKUP("BC Miss",A1:CV300,65,FALSE)/HLOOKUP("Mins",A1:CV300,65,FALSE)* 90)</f>
        <v>0.20737327188940091</v>
      </c>
      <c r="BM65" s="23231">
        <f>IF(HLOOKUP("Mins",A1:CV300,65,FALSE)=0,0,HLOOKUP("Gs - BC",A1:CV300,65,FALSE)/HLOOKUP("Mins",A1:CV300,65,FALSE)* 90)</f>
        <v>0</v>
      </c>
      <c r="BN65" s="23232">
        <f>IF(HLOOKUP("Mins",A1:CV300,65,FALSE)=0,0,HLOOKUP("GIB",A1:CV300,65,FALSE)/HLOOKUP("Mins",A1:CV300,65,FALSE)* 90)</f>
        <v>0</v>
      </c>
      <c r="BO65" s="23233">
        <f>IF(HLOOKUP("Mins",A1:CV300,65,FALSE)=0,0,HLOOKUP("Gs - Open",A1:CV300,65,FALSE)/HLOOKUP("Mins",A1:CV300,65,FALSE)* 90)</f>
        <v>0</v>
      </c>
      <c r="BP65" s="23234">
        <f>IF(HLOOKUP("Mins",A1:CV300,65,FALSE)=0,0,HLOOKUP("ICT Index",A1:CV300,65,FALSE)/HLOOKUP("Mins",A1:CV300,65,FALSE)* 90)</f>
        <v>5.5472350230414742</v>
      </c>
      <c r="BQ65" s="23235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  <v>0.18435483870967739</v>
      </c>
      <c r="BR65" s="23236">
        <f>0.0885*HLOOKUP("KP/90",A1:CV300,65,FALSE)</f>
        <v>0.17434907834101382</v>
      </c>
      <c r="BS65" s="23237">
        <f>5*HLOOKUP("xG/90",A1:CV300,65,FALSE)+3*HLOOKUP("xA/90",A1:CV300,65,FALSE)</f>
        <v>1.4448214285714285</v>
      </c>
      <c r="BT65" s="23238">
        <f>HLOOKUP("xPts/90",A1:CV300,65,FALSE)-(5*0.75*(HLOOKUP("PK Gs",A1:CV300,65,FALSE)+HLOOKUP("PK Miss",A1:CV300,65,FALSE))*90/HLOOKUP("Mins",A1:CV300,65,FALSE))</f>
        <v>1.4448214285714285</v>
      </c>
      <c r="BU65" s="23239">
        <f>IF(HLOOKUP("Mins",A1:CV300,65,FALSE)=0,0,HLOOKUP("fsXG",A1:CV300,65,FALSE)/HLOOKUP("Mins",A1:CV300,65,FALSE)* 90)</f>
        <v>0.15138248847926267</v>
      </c>
      <c r="BV65" s="23240">
        <f>IF(HLOOKUP("Mins",A1:CV300,65,FALSE)=0,0,HLOOKUP("fsXA",A1:CV300,65,FALSE)/HLOOKUP("Mins",A1:CV300,65,FALSE)* 90)</f>
        <v>5.3917050691244237E-2</v>
      </c>
      <c r="BW65" s="23241">
        <f>5*HLOOKUP("fsXG/90",A1:CV300,65,FALSE)+3*HLOOKUP("fsXA/90",A1:CV300,65,FALSE)</f>
        <v>0.91866359447004609</v>
      </c>
      <c r="BX65" s="23242">
        <v>0.17934070527553558</v>
      </c>
      <c r="BY65" s="23243">
        <v>0.11030323803424835</v>
      </c>
      <c r="BZ65" s="23244">
        <f>5*HLOOKUP("uXG/90",A1:CV300,65,FALSE)+3*HLOOKUP("uXA/90",A1:CV300,65,FALSE)</f>
        <v>1.227613240480423</v>
      </c>
    </row>
    <row r="66" spans="1:78" x14ac:dyDescent="0.3">
      <c r="A66" s="23245" t="s">
        <v>393</v>
      </c>
      <c r="B66" s="23246" t="s">
        <v>105</v>
      </c>
      <c r="C66" s="23247">
        <v>5.1999998092651367</v>
      </c>
      <c r="D66" s="23248">
        <v>1218</v>
      </c>
      <c r="E66" s="23249">
        <v>20</v>
      </c>
      <c r="F66" s="23250">
        <v>44</v>
      </c>
      <c r="G66" s="23251">
        <v>2</v>
      </c>
      <c r="H66" s="23252">
        <v>4</v>
      </c>
      <c r="I66" s="23253">
        <v>255</v>
      </c>
      <c r="J66" s="23254">
        <f>HLOOKUP("BPS",A1:CV300,66,FALSE)-((-6*HLOOKUP("OG",A1:CV300,66,FALSE))+(-6*HLOOKUP("PK Miss",A1:CV300,66,FALSE))+(9*HLOOKUP("FPL As",A1:CV300,66,FALSE))+(0*HLOOKUP("CS",A1:CV300,66,FALSE))+(18*HLOOKUP("Gs",A1:CV300,66,FALSE)))</f>
        <v>210</v>
      </c>
      <c r="K66" s="23255">
        <v>0</v>
      </c>
      <c r="L66" s="23256">
        <v>3</v>
      </c>
      <c r="M66" s="23257">
        <v>25</v>
      </c>
      <c r="N66" s="23258">
        <v>25</v>
      </c>
      <c r="O66" s="23259">
        <v>8</v>
      </c>
      <c r="P66" s="23260">
        <f>IF(HLOOKUP("Shots",A1:CV300,66,FALSE)=0,0,HLOOKUP("SIB",A1:CV300,66,FALSE)/HLOOKUP("Shots",A1:CV300,66,FALSE))</f>
        <v>0.32</v>
      </c>
      <c r="Q66" s="23261">
        <v>2</v>
      </c>
      <c r="R66" s="23262">
        <f>IF(HLOOKUP("Shots",A1:CV300,66,FALSE)=0,0,HLOOKUP("S6YD",A1:CV300,66,FALSE)/HLOOKUP("Shots",A1:CV300,66,FALSE))</f>
        <v>0.08</v>
      </c>
      <c r="S66" s="23263">
        <v>0</v>
      </c>
      <c r="T66" s="23264">
        <f>IF(HLOOKUP("Shots",A1:CV300,66,FALSE)=0,0,HLOOKUP("Headers",A1:CV300,66,FALSE)/HLOOKUP("Shots",A1:CV300,66,FALSE))</f>
        <v>0</v>
      </c>
      <c r="U66" s="23265">
        <v>5</v>
      </c>
      <c r="V66" s="23266">
        <f>IF(HLOOKUP("Shots",A1:CV300,66,FALSE)=0,0,HLOOKUP("SOT",A1:CV300,66,FALSE)/HLOOKUP("Shots",A1:CV300,66,FALSE))</f>
        <v>0.2</v>
      </c>
      <c r="W66" s="23267">
        <f>IF(HLOOKUP("Shots",A1:CV300,66,FALSE)=0,0,HLOOKUP("Gs",A1:CV300,66,FALSE)/HLOOKUP("Shots",A1:CV300,66,FALSE))</f>
        <v>0.08</v>
      </c>
      <c r="X66" s="23268">
        <v>1</v>
      </c>
      <c r="Y66" s="23269">
        <v>1</v>
      </c>
      <c r="Z66" s="23270">
        <v>23</v>
      </c>
      <c r="AA66" s="23271">
        <f>IF(HLOOKUP("KP",A1:CV300,66,FALSE)=0,0,HLOOKUP("As",A1:CV300,66,FALSE)/HLOOKUP("KP",A1:CV300,66,FALSE))</f>
        <v>4.3478260869565216E-2</v>
      </c>
      <c r="AB66" s="23272">
        <v>90.6</v>
      </c>
      <c r="AC66" s="23273">
        <v>10</v>
      </c>
      <c r="AD66" s="23274">
        <v>2</v>
      </c>
      <c r="AE66" s="23275">
        <v>3</v>
      </c>
      <c r="AF66" s="23276">
        <v>2</v>
      </c>
      <c r="AG66" s="23277">
        <f>IF(HLOOKUP("BC",A1:CV300,66,FALSE)=0,0,HLOOKUP("Gs - BC",A1:CV300,66,FALSE)/HLOOKUP("BC",A1:CV300,66,FALSE))</f>
        <v>0.33333333333333331</v>
      </c>
      <c r="AH66" s="23278">
        <f>HLOOKUP("BC",A1:CV300,66,FALSE) - HLOOKUP("BC Miss",A1:CV300,66,FALSE)</f>
        <v>1</v>
      </c>
      <c r="AI66" s="23279">
        <f>IF(HLOOKUP("Gs",A1:CV300,66,FALSE)=0,0,HLOOKUP("Gs - BC",A1:CV300,66,FALSE)/HLOOKUP("Gs",A1:CV300,66,FALSE))</f>
        <v>0.5</v>
      </c>
      <c r="AJ66" s="23280">
        <v>1</v>
      </c>
      <c r="AK66" s="23281">
        <v>0</v>
      </c>
      <c r="AL66" s="23282">
        <f>HLOOKUP("BC",A1:CV300,66,FALSE) - (HLOOKUP("PK Gs",A1:CV300,66,FALSE) + HLOOKUP("PK Miss",A1:CV300,66,FALSE))</f>
        <v>2</v>
      </c>
      <c r="AM66" s="23283">
        <f>HLOOKUP("BC Miss",A1:CV300,66,FALSE) - HLOOKUP("PK Miss",A1:CV300,66,FALSE)</f>
        <v>2</v>
      </c>
      <c r="AN66" s="23284">
        <f>IF(HLOOKUP("BC - Open",A1:CV300,66,FALSE)=0,0,HLOOKUP("BC - Open Miss",A1:CV300,66,FALSE)/HLOOKUP("BC - Open",A1:CV300,66,FALSE))</f>
        <v>1</v>
      </c>
      <c r="AO66" s="23285">
        <v>2</v>
      </c>
      <c r="AP66" s="23286">
        <f>IF(HLOOKUP("Gs",A1:CV300,66,FALSE)=0,0,HLOOKUP("GIB",A1:CV300,66,FALSE)/HLOOKUP("Gs",A1:CV300,66,FALSE))</f>
        <v>1</v>
      </c>
      <c r="AQ66" s="23287">
        <v>0</v>
      </c>
      <c r="AR66" s="23288">
        <f>IF(HLOOKUP("Gs",A1:CV300,66,FALSE)=0,0,HLOOKUP("Gs - Open",A1:CV300,66,FALSE)/HLOOKUP("Gs",A1:CV300,66,FALSE))</f>
        <v>0</v>
      </c>
      <c r="AS66" s="23289">
        <v>2.57</v>
      </c>
      <c r="AT66" s="23290">
        <v>2.2400000000000002</v>
      </c>
      <c r="AU66" s="23291">
        <f>IF(HLOOKUP("Mins",A1:CV300,66,FALSE)=0,0,HLOOKUP("Pts",A1:CV300,66,FALSE)/HLOOKUP("Mins",A1:CV300,66,FALSE)* 90)</f>
        <v>3.2512315270935956</v>
      </c>
      <c r="AV66" s="23292">
        <f>IF(HLOOKUP("Apps",A1:CV300,66,FALSE)=0,0,HLOOKUP("Pts",A1:CV300,66,FALSE)/HLOOKUP("Apps",A1:CV300,66,FALSE)* 1)</f>
        <v>2.2000000000000002</v>
      </c>
      <c r="AW66" s="23293">
        <f>IF(HLOOKUP("Mins",A1:CV300,66,FALSE)=0,0,HLOOKUP("Gs",A1:CV300,66,FALSE)/HLOOKUP("Mins",A1:CV300,66,FALSE)* 90)</f>
        <v>0.14778325123152708</v>
      </c>
      <c r="AX66" s="23294">
        <f>IF(HLOOKUP("Mins",A1:CV300,66,FALSE)=0,0,HLOOKUP("Bonus",A1:CV300,66,FALSE)/HLOOKUP("Mins",A1:CV300,66,FALSE)* 90)</f>
        <v>0.29556650246305416</v>
      </c>
      <c r="AY66" s="23295">
        <f>IF(HLOOKUP("Mins",A1:CV300,66,FALSE)=0,0,HLOOKUP("BPS",A1:CV300,66,FALSE)/HLOOKUP("Mins",A1:CV300,66,FALSE)* 90)</f>
        <v>18.842364532019705</v>
      </c>
      <c r="AZ66" s="23296">
        <f>IF(HLOOKUP("Mins",A1:CV300,66,FALSE)=0,0,HLOOKUP("Base BPS",A1:CV300,66,FALSE)/HLOOKUP("Mins",A1:CV300,66,FALSE)* 90)</f>
        <v>15.517241379310345</v>
      </c>
      <c r="BA66" s="23297">
        <f>IF(HLOOKUP("Mins",A1:CV300,66,FALSE)=0,0,HLOOKUP("PenTchs",A1:CV300,66,FALSE)/HLOOKUP("Mins",A1:CV300,66,FALSE)* 90)</f>
        <v>1.8472906403940885</v>
      </c>
      <c r="BB66" s="23298">
        <f>IF(HLOOKUP("Mins",A1:CV300,66,FALSE)=0,0,HLOOKUP("Shots",A1:CV300,66,FALSE)/HLOOKUP("Mins",A1:CV300,66,FALSE)* 90)</f>
        <v>1.8472906403940885</v>
      </c>
      <c r="BC66" s="23299">
        <f>IF(HLOOKUP("Mins",A1:CV300,66,FALSE)=0,0,HLOOKUP("SIB",A1:CV300,66,FALSE)/HLOOKUP("Mins",A1:CV300,66,FALSE)* 90)</f>
        <v>0.59113300492610832</v>
      </c>
      <c r="BD66" s="23300">
        <f>IF(HLOOKUP("Mins",A1:CV300,66,FALSE)=0,0,HLOOKUP("S6YD",A1:CV300,66,FALSE)/HLOOKUP("Mins",A1:CV300,66,FALSE)* 90)</f>
        <v>0.14778325123152708</v>
      </c>
      <c r="BE66" s="23301">
        <f>IF(HLOOKUP("Mins",A1:CV300,66,FALSE)=0,0,HLOOKUP("Headers",A1:CV300,66,FALSE)/HLOOKUP("Mins",A1:CV300,66,FALSE)* 90)</f>
        <v>0</v>
      </c>
      <c r="BF66" s="23302">
        <f>IF(HLOOKUP("Mins",A1:CV300,66,FALSE)=0,0,HLOOKUP("SOT",A1:CV300,66,FALSE)/HLOOKUP("Mins",A1:CV300,66,FALSE)* 90)</f>
        <v>0.36945812807881773</v>
      </c>
      <c r="BG66" s="23303">
        <f>IF(HLOOKUP("Mins",A1:CV300,66,FALSE)=0,0,HLOOKUP("As",A1:CV300,66,FALSE)/HLOOKUP("Mins",A1:CV300,66,FALSE)* 90)</f>
        <v>7.389162561576354E-2</v>
      </c>
      <c r="BH66" s="23304">
        <f>IF(HLOOKUP("Mins",A1:CV300,66,FALSE)=0,0,HLOOKUP("FPL As",A1:CV300,66,FALSE)/HLOOKUP("Mins",A1:CV300,66,FALSE)* 90)</f>
        <v>7.389162561576354E-2</v>
      </c>
      <c r="BI66" s="23305">
        <f>IF(HLOOKUP("Mins",A1:CV300,66,FALSE)=0,0,HLOOKUP("BC Created",A1:CV300,66,FALSE)/HLOOKUP("Mins",A1:CV300,66,FALSE)* 90)</f>
        <v>0.14778325123152708</v>
      </c>
      <c r="BJ66" s="23306">
        <f>IF(HLOOKUP("Mins",A1:CV300,66,FALSE)=0,0,HLOOKUP("KP",A1:CV300,66,FALSE)/HLOOKUP("Mins",A1:CV300,66,FALSE)* 90)</f>
        <v>1.6995073891625616</v>
      </c>
      <c r="BK66" s="23307">
        <f>IF(HLOOKUP("Mins",A1:CV300,66,FALSE)=0,0,HLOOKUP("BC",A1:CV300,66,FALSE)/HLOOKUP("Mins",A1:CV300,66,FALSE)* 90)</f>
        <v>0.22167487684729065</v>
      </c>
      <c r="BL66" s="23308">
        <f>IF(HLOOKUP("Mins",A1:CV300,66,FALSE)=0,0,HLOOKUP("BC Miss",A1:CV300,66,FALSE)/HLOOKUP("Mins",A1:CV300,66,FALSE)* 90)</f>
        <v>0.14778325123152708</v>
      </c>
      <c r="BM66" s="23309">
        <f>IF(HLOOKUP("Mins",A1:CV300,66,FALSE)=0,0,HLOOKUP("Gs - BC",A1:CV300,66,FALSE)/HLOOKUP("Mins",A1:CV300,66,FALSE)* 90)</f>
        <v>7.389162561576354E-2</v>
      </c>
      <c r="BN66" s="23310">
        <f>IF(HLOOKUP("Mins",A1:CV300,66,FALSE)=0,0,HLOOKUP("GIB",A1:CV300,66,FALSE)/HLOOKUP("Mins",A1:CV300,66,FALSE)* 90)</f>
        <v>0.14778325123152708</v>
      </c>
      <c r="BO66" s="23311">
        <f>IF(HLOOKUP("Mins",A1:CV300,66,FALSE)=0,0,HLOOKUP("Gs - Open",A1:CV300,66,FALSE)/HLOOKUP("Mins",A1:CV300,66,FALSE)* 90)</f>
        <v>0</v>
      </c>
      <c r="BP66" s="23312">
        <f>IF(HLOOKUP("Mins",A1:CV300,66,FALSE)=0,0,HLOOKUP("ICT Index",A1:CV300,66,FALSE)/HLOOKUP("Mins",A1:CV300,66,FALSE)* 90)</f>
        <v>6.694581280788177</v>
      </c>
      <c r="BQ66" s="23313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  <v>0.17408866995073891</v>
      </c>
      <c r="BR66" s="23314">
        <f>0.0885*HLOOKUP("KP/90",A1:CV300,66,FALSE)</f>
        <v>0.1504064039408867</v>
      </c>
      <c r="BS66" s="23315">
        <f>5*HLOOKUP("xG/90",A1:CV300,66,FALSE)+3*HLOOKUP("xA/90",A1:CV300,66,FALSE)</f>
        <v>1.3216625615763546</v>
      </c>
      <c r="BT66" s="23316">
        <f>HLOOKUP("xPts/90",A1:CV300,66,FALSE)-(5*0.75*(HLOOKUP("PK Gs",A1:CV300,66,FALSE)+HLOOKUP("PK Miss",A1:CV300,66,FALSE))*90/HLOOKUP("Mins",A1:CV300,66,FALSE))</f>
        <v>1.0445689655172412</v>
      </c>
      <c r="BU66" s="23317">
        <f>IF(HLOOKUP("Mins",A1:CV300,66,FALSE)=0,0,HLOOKUP("fsXG",A1:CV300,66,FALSE)/HLOOKUP("Mins",A1:CV300,66,FALSE)* 90)</f>
        <v>0.18990147783251229</v>
      </c>
      <c r="BV66" s="23318">
        <f>IF(HLOOKUP("Mins",A1:CV300,66,FALSE)=0,0,HLOOKUP("fsXA",A1:CV300,66,FALSE)/HLOOKUP("Mins",A1:CV300,66,FALSE)* 90)</f>
        <v>0.16551724137931037</v>
      </c>
      <c r="BW66" s="23319">
        <f>5*HLOOKUP("fsXG/90",A1:CV300,66,FALSE)+3*HLOOKUP("fsXA/90",A1:CV300,66,FALSE)</f>
        <v>1.4460591133004925</v>
      </c>
      <c r="BX66" s="23320">
        <v>0.18592000007629395</v>
      </c>
      <c r="BY66" s="23321">
        <v>0.15539135038852692</v>
      </c>
      <c r="BZ66" s="23322">
        <f>5*HLOOKUP("uXG/90",A1:CV300,66,FALSE)+3*HLOOKUP("uXA/90",A1:CV300,66,FALSE)</f>
        <v>1.3957740515470505</v>
      </c>
    </row>
    <row r="67" spans="1:78" x14ac:dyDescent="0.3">
      <c r="A67" s="23323" t="s">
        <v>394</v>
      </c>
      <c r="B67" s="23324" t="s">
        <v>96</v>
      </c>
      <c r="C67" s="23325">
        <v>6</v>
      </c>
      <c r="D67" s="23326">
        <v>1905</v>
      </c>
      <c r="E67" s="23327">
        <v>22</v>
      </c>
      <c r="F67" s="23328">
        <v>68</v>
      </c>
      <c r="G67" s="23329">
        <v>1</v>
      </c>
      <c r="H67" s="23330">
        <v>1</v>
      </c>
      <c r="I67" s="23331">
        <v>290</v>
      </c>
      <c r="J67" s="23332">
        <f>HLOOKUP("BPS",A1:CV300,67,FALSE)-((-6*HLOOKUP("OG",A1:CV300,67,FALSE))+(-6*HLOOKUP("PK Miss",A1:CV300,67,FALSE))+(9*HLOOKUP("FPL As",A1:CV300,67,FALSE))+(0*HLOOKUP("CS",A1:CV300,67,FALSE))+(18*HLOOKUP("Gs",A1:CV300,67,FALSE)))</f>
        <v>227</v>
      </c>
      <c r="K67" s="23333">
        <v>0</v>
      </c>
      <c r="L67" s="23334">
        <v>8</v>
      </c>
      <c r="M67" s="23335">
        <v>24</v>
      </c>
      <c r="N67" s="23336">
        <v>25</v>
      </c>
      <c r="O67" s="23337">
        <v>9</v>
      </c>
      <c r="P67" s="23338">
        <f>IF(HLOOKUP("Shots",A1:CV300,67,FALSE)=0,0,HLOOKUP("SIB",A1:CV300,67,FALSE)/HLOOKUP("Shots",A1:CV300,67,FALSE))</f>
        <v>0.36</v>
      </c>
      <c r="Q67" s="23339">
        <v>1</v>
      </c>
      <c r="R67" s="23340">
        <f>IF(HLOOKUP("Shots",A1:CV300,67,FALSE)=0,0,HLOOKUP("S6YD",A1:CV300,67,FALSE)/HLOOKUP("Shots",A1:CV300,67,FALSE))</f>
        <v>0.04</v>
      </c>
      <c r="S67" s="23341">
        <v>1</v>
      </c>
      <c r="T67" s="23342">
        <f>IF(HLOOKUP("Shots",A1:CV300,67,FALSE)=0,0,HLOOKUP("Headers",A1:CV300,67,FALSE)/HLOOKUP("Shots",A1:CV300,67,FALSE))</f>
        <v>0.04</v>
      </c>
      <c r="U67" s="23343">
        <v>8</v>
      </c>
      <c r="V67" s="23344">
        <f>IF(HLOOKUP("Shots",A1:CV300,67,FALSE)=0,0,HLOOKUP("SOT",A1:CV300,67,FALSE)/HLOOKUP("Shots",A1:CV300,67,FALSE))</f>
        <v>0.32</v>
      </c>
      <c r="W67" s="23345">
        <f>IF(HLOOKUP("Shots",A1:CV300,67,FALSE)=0,0,HLOOKUP("Gs",A1:CV300,67,FALSE)/HLOOKUP("Shots",A1:CV300,67,FALSE))</f>
        <v>0.04</v>
      </c>
      <c r="X67" s="23346">
        <v>4</v>
      </c>
      <c r="Y67" s="23347">
        <v>5</v>
      </c>
      <c r="Z67" s="23348">
        <v>29</v>
      </c>
      <c r="AA67" s="23349">
        <f>IF(HLOOKUP("KP",A1:CV300,67,FALSE)=0,0,HLOOKUP("As",A1:CV300,67,FALSE)/HLOOKUP("KP",A1:CV300,67,FALSE))</f>
        <v>0.13793103448275862</v>
      </c>
      <c r="AB67" s="23350">
        <v>106.8</v>
      </c>
      <c r="AC67" s="23351">
        <v>27</v>
      </c>
      <c r="AD67" s="23352">
        <v>7</v>
      </c>
      <c r="AE67" s="23353">
        <v>0</v>
      </c>
      <c r="AF67" s="23354">
        <v>0</v>
      </c>
      <c r="AG67" s="23355">
        <f>IF(HLOOKUP("BC",A1:CV300,67,FALSE)=0,0,HLOOKUP("Gs - BC",A1:CV300,67,FALSE)/HLOOKUP("BC",A1:CV300,67,FALSE))</f>
        <v>0</v>
      </c>
      <c r="AH67" s="23356">
        <f>HLOOKUP("BC",A1:CV300,67,FALSE) - HLOOKUP("BC Miss",A1:CV300,67,FALSE)</f>
        <v>0</v>
      </c>
      <c r="AI67" s="23357">
        <f>IF(HLOOKUP("Gs",A1:CV300,67,FALSE)=0,0,HLOOKUP("Gs - BC",A1:CV300,67,FALSE)/HLOOKUP("Gs",A1:CV300,67,FALSE))</f>
        <v>0</v>
      </c>
      <c r="AJ67" s="23358">
        <v>0</v>
      </c>
      <c r="AK67" s="23359">
        <v>0</v>
      </c>
      <c r="AL67" s="23360">
        <f>HLOOKUP("BC",A1:CV300,67,FALSE) - (HLOOKUP("PK Gs",A1:CV300,67,FALSE) + HLOOKUP("PK Miss",A1:CV300,67,FALSE))</f>
        <v>0</v>
      </c>
      <c r="AM67" s="23361">
        <f>HLOOKUP("BC Miss",A1:CV300,67,FALSE) - HLOOKUP("PK Miss",A1:CV300,67,FALSE)</f>
        <v>0</v>
      </c>
      <c r="AN67" s="23362">
        <f>IF(HLOOKUP("BC - Open",A1:CV300,67,FALSE)=0,0,HLOOKUP("BC - Open Miss",A1:CV300,67,FALSE)/HLOOKUP("BC - Open",A1:CV300,67,FALSE))</f>
        <v>0</v>
      </c>
      <c r="AO67" s="23363">
        <v>0</v>
      </c>
      <c r="AP67" s="23364">
        <f>IF(HLOOKUP("Gs",A1:CV300,67,FALSE)=0,0,HLOOKUP("GIB",A1:CV300,67,FALSE)/HLOOKUP("Gs",A1:CV300,67,FALSE))</f>
        <v>0</v>
      </c>
      <c r="AQ67" s="23365">
        <v>1</v>
      </c>
      <c r="AR67" s="23366">
        <f>IF(HLOOKUP("Gs",A1:CV300,67,FALSE)=0,0,HLOOKUP("Gs - Open",A1:CV300,67,FALSE)/HLOOKUP("Gs",A1:CV300,67,FALSE))</f>
        <v>1</v>
      </c>
      <c r="AS67" s="23367">
        <v>1.05</v>
      </c>
      <c r="AT67" s="23368">
        <v>4.09</v>
      </c>
      <c r="AU67" s="23369">
        <f>IF(HLOOKUP("Mins",A1:CV300,67,FALSE)=0,0,HLOOKUP("Pts",A1:CV300,67,FALSE)/HLOOKUP("Mins",A1:CV300,67,FALSE)* 90)</f>
        <v>3.2125984251968505</v>
      </c>
      <c r="AV67" s="23370">
        <f>IF(HLOOKUP("Apps",A1:CV300,67,FALSE)=0,0,HLOOKUP("Pts",A1:CV300,67,FALSE)/HLOOKUP("Apps",A1:CV300,67,FALSE)* 1)</f>
        <v>3.0909090909090908</v>
      </c>
      <c r="AW67" s="23371">
        <f>IF(HLOOKUP("Mins",A1:CV300,67,FALSE)=0,0,HLOOKUP("Gs",A1:CV300,67,FALSE)/HLOOKUP("Mins",A1:CV300,67,FALSE)* 90)</f>
        <v>4.7244094488188976E-2</v>
      </c>
      <c r="AX67" s="23372">
        <f>IF(HLOOKUP("Mins",A1:CV300,67,FALSE)=0,0,HLOOKUP("Bonus",A1:CV300,67,FALSE)/HLOOKUP("Mins",A1:CV300,67,FALSE)* 90)</f>
        <v>4.7244094488188976E-2</v>
      </c>
      <c r="AY67" s="23373">
        <f>IF(HLOOKUP("Mins",A1:CV300,67,FALSE)=0,0,HLOOKUP("BPS",A1:CV300,67,FALSE)/HLOOKUP("Mins",A1:CV300,67,FALSE)* 90)</f>
        <v>13.700787401574804</v>
      </c>
      <c r="AZ67" s="23374">
        <f>IF(HLOOKUP("Mins",A1:CV300,67,FALSE)=0,0,HLOOKUP("Base BPS",A1:CV300,67,FALSE)/HLOOKUP("Mins",A1:CV300,67,FALSE)* 90)</f>
        <v>10.724409448818898</v>
      </c>
      <c r="BA67" s="23375">
        <f>IF(HLOOKUP("Mins",A1:CV300,67,FALSE)=0,0,HLOOKUP("PenTchs",A1:CV300,67,FALSE)/HLOOKUP("Mins",A1:CV300,67,FALSE)* 90)</f>
        <v>1.1338582677165354</v>
      </c>
      <c r="BB67" s="23376">
        <f>IF(HLOOKUP("Mins",A1:CV300,67,FALSE)=0,0,HLOOKUP("Shots",A1:CV300,67,FALSE)/HLOOKUP("Mins",A1:CV300,67,FALSE)* 90)</f>
        <v>1.1811023622047243</v>
      </c>
      <c r="BC67" s="23377">
        <f>IF(HLOOKUP("Mins",A1:CV300,67,FALSE)=0,0,HLOOKUP("SIB",A1:CV300,67,FALSE)/HLOOKUP("Mins",A1:CV300,67,FALSE)* 90)</f>
        <v>0.42519685039370081</v>
      </c>
      <c r="BD67" s="23378">
        <f>IF(HLOOKUP("Mins",A1:CV300,67,FALSE)=0,0,HLOOKUP("S6YD",A1:CV300,67,FALSE)/HLOOKUP("Mins",A1:CV300,67,FALSE)* 90)</f>
        <v>4.7244094488188976E-2</v>
      </c>
      <c r="BE67" s="23379">
        <f>IF(HLOOKUP("Mins",A1:CV300,67,FALSE)=0,0,HLOOKUP("Headers",A1:CV300,67,FALSE)/HLOOKUP("Mins",A1:CV300,67,FALSE)* 90)</f>
        <v>4.7244094488188976E-2</v>
      </c>
      <c r="BF67" s="23380">
        <f>IF(HLOOKUP("Mins",A1:CV300,67,FALSE)=0,0,HLOOKUP("SOT",A1:CV300,67,FALSE)/HLOOKUP("Mins",A1:CV300,67,FALSE)* 90)</f>
        <v>0.37795275590551181</v>
      </c>
      <c r="BG67" s="23381">
        <f>IF(HLOOKUP("Mins",A1:CV300,67,FALSE)=0,0,HLOOKUP("As",A1:CV300,67,FALSE)/HLOOKUP("Mins",A1:CV300,67,FALSE)* 90)</f>
        <v>0.1889763779527559</v>
      </c>
      <c r="BH67" s="23382">
        <f>IF(HLOOKUP("Mins",A1:CV300,67,FALSE)=0,0,HLOOKUP("FPL As",A1:CV300,67,FALSE)/HLOOKUP("Mins",A1:CV300,67,FALSE)* 90)</f>
        <v>0.23622047244094488</v>
      </c>
      <c r="BI67" s="23383">
        <f>IF(HLOOKUP("Mins",A1:CV300,67,FALSE)=0,0,HLOOKUP("BC Created",A1:CV300,67,FALSE)/HLOOKUP("Mins",A1:CV300,67,FALSE)* 90)</f>
        <v>0.3307086614173228</v>
      </c>
      <c r="BJ67" s="23384">
        <f>IF(HLOOKUP("Mins",A1:CV300,67,FALSE)=0,0,HLOOKUP("KP",A1:CV300,67,FALSE)/HLOOKUP("Mins",A1:CV300,67,FALSE)* 90)</f>
        <v>1.3700787401574803</v>
      </c>
      <c r="BK67" s="23385">
        <f>IF(HLOOKUP("Mins",A1:CV300,67,FALSE)=0,0,HLOOKUP("BC",A1:CV300,67,FALSE)/HLOOKUP("Mins",A1:CV300,67,FALSE)* 90)</f>
        <v>0</v>
      </c>
      <c r="BL67" s="23386">
        <f>IF(HLOOKUP("Mins",A1:CV300,67,FALSE)=0,0,HLOOKUP("BC Miss",A1:CV300,67,FALSE)/HLOOKUP("Mins",A1:CV300,67,FALSE)* 90)</f>
        <v>0</v>
      </c>
      <c r="BM67" s="23387">
        <f>IF(HLOOKUP("Mins",A1:CV300,67,FALSE)=0,0,HLOOKUP("Gs - BC",A1:CV300,67,FALSE)/HLOOKUP("Mins",A1:CV300,67,FALSE)* 90)</f>
        <v>0</v>
      </c>
      <c r="BN67" s="23388">
        <f>IF(HLOOKUP("Mins",A1:CV300,67,FALSE)=0,0,HLOOKUP("GIB",A1:CV300,67,FALSE)/HLOOKUP("Mins",A1:CV300,67,FALSE)* 90)</f>
        <v>0</v>
      </c>
      <c r="BO67" s="23389">
        <f>IF(HLOOKUP("Mins",A1:CV300,67,FALSE)=0,0,HLOOKUP("Gs - Open",A1:CV300,67,FALSE)/HLOOKUP("Mins",A1:CV300,67,FALSE)* 90)</f>
        <v>4.7244094488188976E-2</v>
      </c>
      <c r="BP67" s="23390">
        <f>IF(HLOOKUP("Mins",A1:CV300,67,FALSE)=0,0,HLOOKUP("ICT Index",A1:CV300,67,FALSE)/HLOOKUP("Mins",A1:CV300,67,FALSE)* 90)</f>
        <v>5.0456692913385828</v>
      </c>
      <c r="BQ67" s="23391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  <v>8.7590551181102344E-2</v>
      </c>
      <c r="BR67" s="23392">
        <f>0.0885*HLOOKUP("KP/90",A1:CV300,67,FALSE)</f>
        <v>0.121251968503937</v>
      </c>
      <c r="BS67" s="23393">
        <f>5*HLOOKUP("xG/90",A1:CV300,67,FALSE)+3*HLOOKUP("xA/90",A1:CV300,67,FALSE)</f>
        <v>0.80170866141732278</v>
      </c>
      <c r="BT67" s="23394">
        <f>HLOOKUP("xPts/90",A1:CV300,67,FALSE)-(5*0.75*(HLOOKUP("PK Gs",A1:CV300,67,FALSE)+HLOOKUP("PK Miss",A1:CV300,67,FALSE))*90/HLOOKUP("Mins",A1:CV300,67,FALSE))</f>
        <v>0.80170866141732278</v>
      </c>
      <c r="BU67" s="23395">
        <f>IF(HLOOKUP("Mins",A1:CV300,67,FALSE)=0,0,HLOOKUP("fsXG",A1:CV300,67,FALSE)/HLOOKUP("Mins",A1:CV300,67,FALSE)* 90)</f>
        <v>4.9606299212598425E-2</v>
      </c>
      <c r="BV67" s="23396">
        <f>IF(HLOOKUP("Mins",A1:CV300,67,FALSE)=0,0,HLOOKUP("fsXA",A1:CV300,67,FALSE)/HLOOKUP("Mins",A1:CV300,67,FALSE)* 90)</f>
        <v>0.19322834645669293</v>
      </c>
      <c r="BW67" s="23397">
        <f>5*HLOOKUP("fsXG/90",A1:CV300,67,FALSE)+3*HLOOKUP("fsXA/90",A1:CV300,67,FALSE)</f>
        <v>0.82771653543307089</v>
      </c>
      <c r="BX67" s="23398">
        <v>4.2203318327665329E-2</v>
      </c>
      <c r="BY67" s="23399">
        <v>0.18555894494056702</v>
      </c>
      <c r="BZ67" s="23400">
        <f>5*HLOOKUP("uXG/90",A1:CV300,67,FALSE)+3*HLOOKUP("uXA/90",A1:CV300,67,FALSE)</f>
        <v>0.76769342646002769</v>
      </c>
    </row>
    <row r="68" spans="1:78" x14ac:dyDescent="0.3">
      <c r="A68" s="23401" t="s">
        <v>395</v>
      </c>
      <c r="B68" s="23402" t="s">
        <v>151</v>
      </c>
      <c r="C68" s="23403">
        <v>6</v>
      </c>
      <c r="D68" s="23404">
        <v>1667</v>
      </c>
      <c r="E68" s="23405">
        <v>21</v>
      </c>
      <c r="F68" s="23406">
        <v>73</v>
      </c>
      <c r="G68" s="23407">
        <v>3</v>
      </c>
      <c r="H68" s="23408">
        <v>2</v>
      </c>
      <c r="I68" s="23409">
        <v>259</v>
      </c>
      <c r="J68" s="23410">
        <f>HLOOKUP("BPS",A1:CV300,68,FALSE)-((-6*HLOOKUP("OG",A1:CV300,68,FALSE))+(-6*HLOOKUP("PK Miss",A1:CV300,68,FALSE))+(9*HLOOKUP("FPL As",A1:CV300,68,FALSE))+(0*HLOOKUP("CS",A1:CV300,68,FALSE))+(18*HLOOKUP("Gs",A1:CV300,68,FALSE)))</f>
        <v>151</v>
      </c>
      <c r="K68" s="23411">
        <v>0</v>
      </c>
      <c r="L68" s="23412">
        <v>3</v>
      </c>
      <c r="M68" s="23413">
        <v>56</v>
      </c>
      <c r="N68" s="23414">
        <v>31</v>
      </c>
      <c r="O68" s="23415">
        <v>18</v>
      </c>
      <c r="P68" s="23416">
        <f>IF(HLOOKUP("Shots",A1:CV300,68,FALSE)=0,0,HLOOKUP("SIB",A1:CV300,68,FALSE)/HLOOKUP("Shots",A1:CV300,68,FALSE))</f>
        <v>0.58064516129032262</v>
      </c>
      <c r="Q68" s="23417">
        <v>2</v>
      </c>
      <c r="R68" s="23418">
        <f>IF(HLOOKUP("Shots",A1:CV300,68,FALSE)=0,0,HLOOKUP("S6YD",A1:CV300,68,FALSE)/HLOOKUP("Shots",A1:CV300,68,FALSE))</f>
        <v>6.4516129032258063E-2</v>
      </c>
      <c r="S68" s="23419">
        <v>0</v>
      </c>
      <c r="T68" s="23420">
        <f>IF(HLOOKUP("Shots",A1:CV300,68,FALSE)=0,0,HLOOKUP("Headers",A1:CV300,68,FALSE)/HLOOKUP("Shots",A1:CV300,68,FALSE))</f>
        <v>0</v>
      </c>
      <c r="U68" s="23421">
        <v>14</v>
      </c>
      <c r="V68" s="23422">
        <f>IF(HLOOKUP("Shots",A1:CV300,68,FALSE)=0,0,HLOOKUP("SOT",A1:CV300,68,FALSE)/HLOOKUP("Shots",A1:CV300,68,FALSE))</f>
        <v>0.45161290322580644</v>
      </c>
      <c r="W68" s="23423">
        <f>IF(HLOOKUP("Shots",A1:CV300,68,FALSE)=0,0,HLOOKUP("Gs",A1:CV300,68,FALSE)/HLOOKUP("Shots",A1:CV300,68,FALSE))</f>
        <v>9.6774193548387094E-2</v>
      </c>
      <c r="X68" s="23424">
        <v>6</v>
      </c>
      <c r="Y68" s="23425">
        <v>6</v>
      </c>
      <c r="Z68" s="23426">
        <v>23</v>
      </c>
      <c r="AA68" s="23427">
        <f>IF(HLOOKUP("KP",A1:CV300,68,FALSE)=0,0,HLOOKUP("As",A1:CV300,68,FALSE)/HLOOKUP("KP",A1:CV300,68,FALSE))</f>
        <v>0.2608695652173913</v>
      </c>
      <c r="AB68" s="23428">
        <v>113.7</v>
      </c>
      <c r="AC68" s="23429">
        <v>35</v>
      </c>
      <c r="AD68" s="23430">
        <v>6</v>
      </c>
      <c r="AE68" s="23431">
        <v>2</v>
      </c>
      <c r="AF68" s="23432">
        <v>2</v>
      </c>
      <c r="AG68" s="23433">
        <f>IF(HLOOKUP("BC",A1:CV300,68,FALSE)=0,0,HLOOKUP("Gs - BC",A1:CV300,68,FALSE)/HLOOKUP("BC",A1:CV300,68,FALSE))</f>
        <v>0</v>
      </c>
      <c r="AH68" s="23434">
        <f>HLOOKUP("BC",A1:CV300,68,FALSE) - HLOOKUP("BC Miss",A1:CV300,68,FALSE)</f>
        <v>0</v>
      </c>
      <c r="AI68" s="23435">
        <f>IF(HLOOKUP("Gs",A1:CV300,68,FALSE)=0,0,HLOOKUP("Gs - BC",A1:CV300,68,FALSE)/HLOOKUP("Gs",A1:CV300,68,FALSE))</f>
        <v>0</v>
      </c>
      <c r="AJ68" s="23436">
        <v>0</v>
      </c>
      <c r="AK68" s="23437">
        <v>0</v>
      </c>
      <c r="AL68" s="23438">
        <f>HLOOKUP("BC",A1:CV300,68,FALSE) - (HLOOKUP("PK Gs",A1:CV300,68,FALSE) + HLOOKUP("PK Miss",A1:CV300,68,FALSE))</f>
        <v>2</v>
      </c>
      <c r="AM68" s="23439">
        <f>HLOOKUP("BC Miss",A1:CV300,68,FALSE) - HLOOKUP("PK Miss",A1:CV300,68,FALSE)</f>
        <v>2</v>
      </c>
      <c r="AN68" s="23440">
        <f>IF(HLOOKUP("BC - Open",A1:CV300,68,FALSE)=0,0,HLOOKUP("BC - Open Miss",A1:CV300,68,FALSE)/HLOOKUP("BC - Open",A1:CV300,68,FALSE))</f>
        <v>1</v>
      </c>
      <c r="AO68" s="23441">
        <v>3</v>
      </c>
      <c r="AP68" s="23442">
        <f>IF(HLOOKUP("Gs",A1:CV300,68,FALSE)=0,0,HLOOKUP("GIB",A1:CV300,68,FALSE)/HLOOKUP("Gs",A1:CV300,68,FALSE))</f>
        <v>1</v>
      </c>
      <c r="AQ68" s="23443">
        <v>2</v>
      </c>
      <c r="AR68" s="23444">
        <f>IF(HLOOKUP("Gs",A1:CV300,68,FALSE)=0,0,HLOOKUP("Gs - Open",A1:CV300,68,FALSE)/HLOOKUP("Gs",A1:CV300,68,FALSE))</f>
        <v>0.66666666666666663</v>
      </c>
      <c r="AS68" s="23445">
        <v>2.4500000000000002</v>
      </c>
      <c r="AT68" s="23446">
        <v>2.12</v>
      </c>
      <c r="AU68" s="23447">
        <f>IF(HLOOKUP("Mins",A1:CV300,68,FALSE)=0,0,HLOOKUP("Pts",A1:CV300,68,FALSE)/HLOOKUP("Mins",A1:CV300,68,FALSE)* 90)</f>
        <v>3.9412117576484702</v>
      </c>
      <c r="AV68" s="23448">
        <f>IF(HLOOKUP("Apps",A1:CV300,68,FALSE)=0,0,HLOOKUP("Pts",A1:CV300,68,FALSE)/HLOOKUP("Apps",A1:CV300,68,FALSE)* 1)</f>
        <v>3.4761904761904763</v>
      </c>
      <c r="AW68" s="23449">
        <f>IF(HLOOKUP("Mins",A1:CV300,68,FALSE)=0,0,HLOOKUP("Gs",A1:CV300,68,FALSE)/HLOOKUP("Mins",A1:CV300,68,FALSE)* 90)</f>
        <v>0.16196760647870426</v>
      </c>
      <c r="AX68" s="23450">
        <f>IF(HLOOKUP("Mins",A1:CV300,68,FALSE)=0,0,HLOOKUP("Bonus",A1:CV300,68,FALSE)/HLOOKUP("Mins",A1:CV300,68,FALSE)* 90)</f>
        <v>0.10797840431913616</v>
      </c>
      <c r="AY68" s="23451">
        <f>IF(HLOOKUP("Mins",A1:CV300,68,FALSE)=0,0,HLOOKUP("BPS",A1:CV300,68,FALSE)/HLOOKUP("Mins",A1:CV300,68,FALSE)* 90)</f>
        <v>13.983203359328133</v>
      </c>
      <c r="AZ68" s="23452">
        <f>IF(HLOOKUP("Mins",A1:CV300,68,FALSE)=0,0,HLOOKUP("Base BPS",A1:CV300,68,FALSE)/HLOOKUP("Mins",A1:CV300,68,FALSE)* 90)</f>
        <v>8.1523695260947822</v>
      </c>
      <c r="BA68" s="23453">
        <f>IF(HLOOKUP("Mins",A1:CV300,68,FALSE)=0,0,HLOOKUP("PenTchs",A1:CV300,68,FALSE)/HLOOKUP("Mins",A1:CV300,68,FALSE)* 90)</f>
        <v>3.0233953209358129</v>
      </c>
      <c r="BB68" s="23454">
        <f>IF(HLOOKUP("Mins",A1:CV300,68,FALSE)=0,0,HLOOKUP("Shots",A1:CV300,68,FALSE)/HLOOKUP("Mins",A1:CV300,68,FALSE)* 90)</f>
        <v>1.6736652669466108</v>
      </c>
      <c r="BC68" s="23455">
        <f>IF(HLOOKUP("Mins",A1:CV300,68,FALSE)=0,0,HLOOKUP("SIB",A1:CV300,68,FALSE)/HLOOKUP("Mins",A1:CV300,68,FALSE)* 90)</f>
        <v>0.9718056388722256</v>
      </c>
      <c r="BD68" s="23456">
        <f>IF(HLOOKUP("Mins",A1:CV300,68,FALSE)=0,0,HLOOKUP("S6YD",A1:CV300,68,FALSE)/HLOOKUP("Mins",A1:CV300,68,FALSE)* 90)</f>
        <v>0.10797840431913616</v>
      </c>
      <c r="BE68" s="23457">
        <f>IF(HLOOKUP("Mins",A1:CV300,68,FALSE)=0,0,HLOOKUP("Headers",A1:CV300,68,FALSE)/HLOOKUP("Mins",A1:CV300,68,FALSE)* 90)</f>
        <v>0</v>
      </c>
      <c r="BF68" s="23458">
        <f>IF(HLOOKUP("Mins",A1:CV300,68,FALSE)=0,0,HLOOKUP("SOT",A1:CV300,68,FALSE)/HLOOKUP("Mins",A1:CV300,68,FALSE)* 90)</f>
        <v>0.75584883023395322</v>
      </c>
      <c r="BG68" s="23459">
        <f>IF(HLOOKUP("Mins",A1:CV300,68,FALSE)=0,0,HLOOKUP("As",A1:CV300,68,FALSE)/HLOOKUP("Mins",A1:CV300,68,FALSE)* 90)</f>
        <v>0.32393521295740851</v>
      </c>
      <c r="BH68" s="23460">
        <f>IF(HLOOKUP("Mins",A1:CV300,68,FALSE)=0,0,HLOOKUP("FPL As",A1:CV300,68,FALSE)/HLOOKUP("Mins",A1:CV300,68,FALSE)* 90)</f>
        <v>0.32393521295740851</v>
      </c>
      <c r="BI68" s="23461">
        <f>IF(HLOOKUP("Mins",A1:CV300,68,FALSE)=0,0,HLOOKUP("BC Created",A1:CV300,68,FALSE)/HLOOKUP("Mins",A1:CV300,68,FALSE)* 90)</f>
        <v>0.32393521295740851</v>
      </c>
      <c r="BJ68" s="23462">
        <f>IF(HLOOKUP("Mins",A1:CV300,68,FALSE)=0,0,HLOOKUP("KP",A1:CV300,68,FALSE)/HLOOKUP("Mins",A1:CV300,68,FALSE)* 90)</f>
        <v>1.241751649670066</v>
      </c>
      <c r="BK68" s="23463">
        <f>IF(HLOOKUP("Mins",A1:CV300,68,FALSE)=0,0,HLOOKUP("BC",A1:CV300,68,FALSE)/HLOOKUP("Mins",A1:CV300,68,FALSE)* 90)</f>
        <v>0.10797840431913616</v>
      </c>
      <c r="BL68" s="23464">
        <f>IF(HLOOKUP("Mins",A1:CV300,68,FALSE)=0,0,HLOOKUP("BC Miss",A1:CV300,68,FALSE)/HLOOKUP("Mins",A1:CV300,68,FALSE)* 90)</f>
        <v>0.10797840431913616</v>
      </c>
      <c r="BM68" s="23465">
        <f>IF(HLOOKUP("Mins",A1:CV300,68,FALSE)=0,0,HLOOKUP("Gs - BC",A1:CV300,68,FALSE)/HLOOKUP("Mins",A1:CV300,68,FALSE)* 90)</f>
        <v>0</v>
      </c>
      <c r="BN68" s="23466">
        <f>IF(HLOOKUP("Mins",A1:CV300,68,FALSE)=0,0,HLOOKUP("GIB",A1:CV300,68,FALSE)/HLOOKUP("Mins",A1:CV300,68,FALSE)* 90)</f>
        <v>0.16196760647870426</v>
      </c>
      <c r="BO68" s="23467">
        <f>IF(HLOOKUP("Mins",A1:CV300,68,FALSE)=0,0,HLOOKUP("Gs - Open",A1:CV300,68,FALSE)/HLOOKUP("Mins",A1:CV300,68,FALSE)* 90)</f>
        <v>0.10797840431913616</v>
      </c>
      <c r="BP68" s="23468">
        <f>IF(HLOOKUP("Mins",A1:CV300,68,FALSE)=0,0,HLOOKUP("ICT Index",A1:CV300,68,FALSE)/HLOOKUP("Mins",A1:CV300,68,FALSE)* 90)</f>
        <v>6.1385722855428915</v>
      </c>
      <c r="BQ68" s="23469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  <v>0.16326334733053388</v>
      </c>
      <c r="BR68" s="23470">
        <f>0.0885*HLOOKUP("KP/90",A1:CV300,68,FALSE)</f>
        <v>0.10989502099580084</v>
      </c>
      <c r="BS68" s="23471">
        <f>5*HLOOKUP("xG/90",A1:CV300,68,FALSE)+3*HLOOKUP("xA/90",A1:CV300,68,FALSE)</f>
        <v>1.146001799640072</v>
      </c>
      <c r="BT68" s="23472">
        <f>HLOOKUP("xPts/90",A1:CV300,68,FALSE)-(5*0.75*(HLOOKUP("PK Gs",A1:CV300,68,FALSE)+HLOOKUP("PK Miss",A1:CV300,68,FALSE))*90/HLOOKUP("Mins",A1:CV300,68,FALSE))</f>
        <v>1.146001799640072</v>
      </c>
      <c r="BU68" s="23473">
        <f>IF(HLOOKUP("Mins",A1:CV300,68,FALSE)=0,0,HLOOKUP("fsXG",A1:CV300,68,FALSE)/HLOOKUP("Mins",A1:CV300,68,FALSE)* 90)</f>
        <v>0.13227354529094182</v>
      </c>
      <c r="BV68" s="23474">
        <f>IF(HLOOKUP("Mins",A1:CV300,68,FALSE)=0,0,HLOOKUP("fsXA",A1:CV300,68,FALSE)/HLOOKUP("Mins",A1:CV300,68,FALSE)* 90)</f>
        <v>0.11445710857828434</v>
      </c>
      <c r="BW68" s="23475">
        <f>5*HLOOKUP("fsXG/90",A1:CV300,68,FALSE)+3*HLOOKUP("fsXA/90",A1:CV300,68,FALSE)</f>
        <v>1.0047390521895621</v>
      </c>
      <c r="BX68" s="23476">
        <v>0.14935727417469025</v>
      </c>
      <c r="BY68" s="23477">
        <v>0.22013074159622192</v>
      </c>
      <c r="BZ68" s="23478">
        <f>5*HLOOKUP("uXG/90",A1:CV300,68,FALSE)+3*HLOOKUP("uXA/90",A1:CV300,68,FALSE)</f>
        <v>1.407178595662117</v>
      </c>
    </row>
    <row r="69" spans="1:78" x14ac:dyDescent="0.3">
      <c r="A69" s="23479" t="s">
        <v>396</v>
      </c>
      <c r="B69" s="23480" t="s">
        <v>109</v>
      </c>
      <c r="C69" s="23481">
        <v>5.8000001907348633</v>
      </c>
      <c r="D69" s="23482">
        <v>190</v>
      </c>
      <c r="E69" s="23483">
        <v>4</v>
      </c>
      <c r="F69" s="23484">
        <v>19</v>
      </c>
      <c r="G69" s="23485">
        <v>2</v>
      </c>
      <c r="H69" s="23486">
        <v>2</v>
      </c>
      <c r="I69" s="23487">
        <v>59</v>
      </c>
      <c r="J69" s="23488">
        <f>HLOOKUP("BPS",A1:CV300,69,FALSE)-((-6*HLOOKUP("OG",A1:CV300,69,FALSE))+(-6*HLOOKUP("PK Miss",A1:CV300,69,FALSE))+(9*HLOOKUP("FPL As",A1:CV300,69,FALSE))+(0*HLOOKUP("CS",A1:CV300,69,FALSE))+(18*HLOOKUP("Gs",A1:CV300,69,FALSE)))</f>
        <v>23</v>
      </c>
      <c r="K69" s="23489">
        <v>0</v>
      </c>
      <c r="L69" s="23490">
        <v>1</v>
      </c>
      <c r="M69" s="23491">
        <v>6</v>
      </c>
      <c r="N69" s="23492">
        <v>8</v>
      </c>
      <c r="O69" s="23493">
        <v>5</v>
      </c>
      <c r="P69" s="23494">
        <f>IF(HLOOKUP("Shots",A1:CV300,69,FALSE)=0,0,HLOOKUP("SIB",A1:CV300,69,FALSE)/HLOOKUP("Shots",A1:CV300,69,FALSE))</f>
        <v>0.625</v>
      </c>
      <c r="Q69" s="23495">
        <v>0</v>
      </c>
      <c r="R69" s="23496">
        <f>IF(HLOOKUP("Shots",A1:CV300,69,FALSE)=0,0,HLOOKUP("S6YD",A1:CV300,69,FALSE)/HLOOKUP("Shots",A1:CV300,69,FALSE))</f>
        <v>0</v>
      </c>
      <c r="S69" s="23497">
        <v>0</v>
      </c>
      <c r="T69" s="23498">
        <f>IF(HLOOKUP("Shots",A1:CV300,69,FALSE)=0,0,HLOOKUP("Headers",A1:CV300,69,FALSE)/HLOOKUP("Shots",A1:CV300,69,FALSE))</f>
        <v>0</v>
      </c>
      <c r="U69" s="23499">
        <v>2</v>
      </c>
      <c r="V69" s="23500">
        <f>IF(HLOOKUP("Shots",A1:CV300,69,FALSE)=0,0,HLOOKUP("SOT",A1:CV300,69,FALSE)/HLOOKUP("Shots",A1:CV300,69,FALSE))</f>
        <v>0.25</v>
      </c>
      <c r="W69" s="23501">
        <f>IF(HLOOKUP("Shots",A1:CV300,69,FALSE)=0,0,HLOOKUP("Gs",A1:CV300,69,FALSE)/HLOOKUP("Shots",A1:CV300,69,FALSE))</f>
        <v>0.25</v>
      </c>
      <c r="X69" s="23502">
        <v>0</v>
      </c>
      <c r="Y69" s="23503">
        <v>0</v>
      </c>
      <c r="Z69" s="23504">
        <v>3</v>
      </c>
      <c r="AA69" s="23505">
        <f>IF(HLOOKUP("KP",A1:CV300,69,FALSE)=0,0,HLOOKUP("As",A1:CV300,69,FALSE)/HLOOKUP("KP",A1:CV300,69,FALSE))</f>
        <v>0</v>
      </c>
      <c r="AB69" s="23506">
        <v>19</v>
      </c>
      <c r="AC69" s="23507">
        <v>67</v>
      </c>
      <c r="AD69" s="23508">
        <v>2</v>
      </c>
      <c r="AE69" s="23509">
        <v>0</v>
      </c>
      <c r="AF69" s="23510">
        <v>0</v>
      </c>
      <c r="AG69" s="23511">
        <f>IF(HLOOKUP("BC",A1:CV300,69,FALSE)=0,0,HLOOKUP("Gs - BC",A1:CV300,69,FALSE)/HLOOKUP("BC",A1:CV300,69,FALSE))</f>
        <v>0</v>
      </c>
      <c r="AH69" s="23512">
        <f>HLOOKUP("BC",A1:CV300,69,FALSE) - HLOOKUP("BC Miss",A1:CV300,69,FALSE)</f>
        <v>0</v>
      </c>
      <c r="AI69" s="23513">
        <f>IF(HLOOKUP("Gs",A1:CV300,69,FALSE)=0,0,HLOOKUP("Gs - BC",A1:CV300,69,FALSE)/HLOOKUP("Gs",A1:CV300,69,FALSE))</f>
        <v>0</v>
      </c>
      <c r="AJ69" s="23514">
        <v>0</v>
      </c>
      <c r="AK69" s="23515">
        <v>0</v>
      </c>
      <c r="AL69" s="23516">
        <f>HLOOKUP("BC",A1:CV300,69,FALSE) - (HLOOKUP("PK Gs",A1:CV300,69,FALSE) + HLOOKUP("PK Miss",A1:CV300,69,FALSE))</f>
        <v>0</v>
      </c>
      <c r="AM69" s="23517">
        <f>HLOOKUP("BC Miss",A1:CV300,69,FALSE) - HLOOKUP("PK Miss",A1:CV300,69,FALSE)</f>
        <v>0</v>
      </c>
      <c r="AN69" s="23518">
        <f>IF(HLOOKUP("BC - Open",A1:CV300,69,FALSE)=0,0,HLOOKUP("BC - Open Miss",A1:CV300,69,FALSE)/HLOOKUP("BC - Open",A1:CV300,69,FALSE))</f>
        <v>0</v>
      </c>
      <c r="AO69" s="23519">
        <v>2</v>
      </c>
      <c r="AP69" s="23520">
        <f>IF(HLOOKUP("Gs",A1:CV300,69,FALSE)=0,0,HLOOKUP("GIB",A1:CV300,69,FALSE)/HLOOKUP("Gs",A1:CV300,69,FALSE))</f>
        <v>1</v>
      </c>
      <c r="AQ69" s="23521">
        <v>0</v>
      </c>
      <c r="AR69" s="23522">
        <f>IF(HLOOKUP("Gs",A1:CV300,69,FALSE)=0,0,HLOOKUP("Gs - Open",A1:CV300,69,FALSE)/HLOOKUP("Gs",A1:CV300,69,FALSE))</f>
        <v>0</v>
      </c>
      <c r="AS69" s="23523">
        <v>0.46</v>
      </c>
      <c r="AT69" s="23524">
        <v>0.2</v>
      </c>
      <c r="AU69" s="23525">
        <f>IF(HLOOKUP("Mins",A1:CV300,69,FALSE)=0,0,HLOOKUP("Pts",A1:CV300,69,FALSE)/HLOOKUP("Mins",A1:CV300,69,FALSE)* 90)</f>
        <v>9</v>
      </c>
      <c r="AV69" s="23526">
        <f>IF(HLOOKUP("Apps",A1:CV300,69,FALSE)=0,0,HLOOKUP("Pts",A1:CV300,69,FALSE)/HLOOKUP("Apps",A1:CV300,69,FALSE)* 1)</f>
        <v>4.75</v>
      </c>
      <c r="AW69" s="23527">
        <f>IF(HLOOKUP("Mins",A1:CV300,69,FALSE)=0,0,HLOOKUP("Gs",A1:CV300,69,FALSE)/HLOOKUP("Mins",A1:CV300,69,FALSE)* 90)</f>
        <v>0.94736842105263153</v>
      </c>
      <c r="AX69" s="23528">
        <f>IF(HLOOKUP("Mins",A1:CV300,69,FALSE)=0,0,HLOOKUP("Bonus",A1:CV300,69,FALSE)/HLOOKUP("Mins",A1:CV300,69,FALSE)* 90)</f>
        <v>0.94736842105263153</v>
      </c>
      <c r="AY69" s="23529">
        <f>IF(HLOOKUP("Mins",A1:CV300,69,FALSE)=0,0,HLOOKUP("BPS",A1:CV300,69,FALSE)/HLOOKUP("Mins",A1:CV300,69,FALSE)* 90)</f>
        <v>27.947368421052634</v>
      </c>
      <c r="AZ69" s="23530">
        <f>IF(HLOOKUP("Mins",A1:CV300,69,FALSE)=0,0,HLOOKUP("Base BPS",A1:CV300,69,FALSE)/HLOOKUP("Mins",A1:CV300,69,FALSE)* 90)</f>
        <v>10.894736842105264</v>
      </c>
      <c r="BA69" s="23531">
        <f>IF(HLOOKUP("Mins",A1:CV300,69,FALSE)=0,0,HLOOKUP("PenTchs",A1:CV300,69,FALSE)/HLOOKUP("Mins",A1:CV300,69,FALSE)* 90)</f>
        <v>2.8421052631578947</v>
      </c>
      <c r="BB69" s="23532">
        <f>IF(HLOOKUP("Mins",A1:CV300,69,FALSE)=0,0,HLOOKUP("Shots",A1:CV300,69,FALSE)/HLOOKUP("Mins",A1:CV300,69,FALSE)* 90)</f>
        <v>3.7894736842105261</v>
      </c>
      <c r="BC69" s="23533">
        <f>IF(HLOOKUP("Mins",A1:CV300,69,FALSE)=0,0,HLOOKUP("SIB",A1:CV300,69,FALSE)/HLOOKUP("Mins",A1:CV300,69,FALSE)* 90)</f>
        <v>2.3684210526315788</v>
      </c>
      <c r="BD69" s="23534">
        <f>IF(HLOOKUP("Mins",A1:CV300,69,FALSE)=0,0,HLOOKUP("S6YD",A1:CV300,69,FALSE)/HLOOKUP("Mins",A1:CV300,69,FALSE)* 90)</f>
        <v>0</v>
      </c>
      <c r="BE69" s="23535">
        <f>IF(HLOOKUP("Mins",A1:CV300,69,FALSE)=0,0,HLOOKUP("Headers",A1:CV300,69,FALSE)/HLOOKUP("Mins",A1:CV300,69,FALSE)* 90)</f>
        <v>0</v>
      </c>
      <c r="BF69" s="23536">
        <f>IF(HLOOKUP("Mins",A1:CV300,69,FALSE)=0,0,HLOOKUP("SOT",A1:CV300,69,FALSE)/HLOOKUP("Mins",A1:CV300,69,FALSE)* 90)</f>
        <v>0.94736842105263153</v>
      </c>
      <c r="BG69" s="23537">
        <f>IF(HLOOKUP("Mins",A1:CV300,69,FALSE)=0,0,HLOOKUP("As",A1:CV300,69,FALSE)/HLOOKUP("Mins",A1:CV300,69,FALSE)* 90)</f>
        <v>0</v>
      </c>
      <c r="BH69" s="23538">
        <f>IF(HLOOKUP("Mins",A1:CV300,69,FALSE)=0,0,HLOOKUP("FPL As",A1:CV300,69,FALSE)/HLOOKUP("Mins",A1:CV300,69,FALSE)* 90)</f>
        <v>0</v>
      </c>
      <c r="BI69" s="23539">
        <f>IF(HLOOKUP("Mins",A1:CV300,69,FALSE)=0,0,HLOOKUP("BC Created",A1:CV300,69,FALSE)/HLOOKUP("Mins",A1:CV300,69,FALSE)* 90)</f>
        <v>0.94736842105263153</v>
      </c>
      <c r="BJ69" s="23540">
        <f>IF(HLOOKUP("Mins",A1:CV300,69,FALSE)=0,0,HLOOKUP("KP",A1:CV300,69,FALSE)/HLOOKUP("Mins",A1:CV300,69,FALSE)* 90)</f>
        <v>1.4210526315789473</v>
      </c>
      <c r="BK69" s="23541">
        <f>IF(HLOOKUP("Mins",A1:CV300,69,FALSE)=0,0,HLOOKUP("BC",A1:CV300,69,FALSE)/HLOOKUP("Mins",A1:CV300,69,FALSE)* 90)</f>
        <v>0</v>
      </c>
      <c r="BL69" s="23542">
        <f>IF(HLOOKUP("Mins",A1:CV300,69,FALSE)=0,0,HLOOKUP("BC Miss",A1:CV300,69,FALSE)/HLOOKUP("Mins",A1:CV300,69,FALSE)* 90)</f>
        <v>0</v>
      </c>
      <c r="BM69" s="23543">
        <f>IF(HLOOKUP("Mins",A1:CV300,69,FALSE)=0,0,HLOOKUP("Gs - BC",A1:CV300,69,FALSE)/HLOOKUP("Mins",A1:CV300,69,FALSE)* 90)</f>
        <v>0</v>
      </c>
      <c r="BN69" s="23544">
        <f>IF(HLOOKUP("Mins",A1:CV300,69,FALSE)=0,0,HLOOKUP("GIB",A1:CV300,69,FALSE)/HLOOKUP("Mins",A1:CV300,69,FALSE)* 90)</f>
        <v>0.94736842105263153</v>
      </c>
      <c r="BO69" s="23545">
        <f>IF(HLOOKUP("Mins",A1:CV300,69,FALSE)=0,0,HLOOKUP("Gs - Open",A1:CV300,69,FALSE)/HLOOKUP("Mins",A1:CV300,69,FALSE)* 90)</f>
        <v>0</v>
      </c>
      <c r="BP69" s="23546">
        <f>IF(HLOOKUP("Mins",A1:CV300,69,FALSE)=0,0,HLOOKUP("ICT Index",A1:CV300,69,FALSE)/HLOOKUP("Mins",A1:CV300,69,FALSE)* 90)</f>
        <v>9</v>
      </c>
      <c r="BQ69" s="23547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  <v>0.3874736842105263</v>
      </c>
      <c r="BR69" s="23548">
        <f>0.0885*HLOOKUP("KP/90",A1:CV300,69,FALSE)</f>
        <v>0.12576315789473683</v>
      </c>
      <c r="BS69" s="23549">
        <f>5*HLOOKUP("xG/90",A1:CV300,69,FALSE)+3*HLOOKUP("xA/90",A1:CV300,69,FALSE)</f>
        <v>2.3146578947368424</v>
      </c>
      <c r="BT69" s="23550">
        <f>HLOOKUP("xPts/90",A1:CV300,69,FALSE)-(5*0.75*(HLOOKUP("PK Gs",A1:CV300,69,FALSE)+HLOOKUP("PK Miss",A1:CV300,69,FALSE))*90/HLOOKUP("Mins",A1:CV300,69,FALSE))</f>
        <v>2.3146578947368424</v>
      </c>
      <c r="BU69" s="23551">
        <f>IF(HLOOKUP("Mins",A1:CV300,69,FALSE)=0,0,HLOOKUP("fsXG",A1:CV300,69,FALSE)/HLOOKUP("Mins",A1:CV300,69,FALSE)* 90)</f>
        <v>0.21789473684210528</v>
      </c>
      <c r="BV69" s="23552">
        <f>IF(HLOOKUP("Mins",A1:CV300,69,FALSE)=0,0,HLOOKUP("fsXA",A1:CV300,69,FALSE)/HLOOKUP("Mins",A1:CV300,69,FALSE)* 90)</f>
        <v>9.4736842105263161E-2</v>
      </c>
      <c r="BW69" s="23553">
        <f>5*HLOOKUP("fsXG/90",A1:CV300,69,FALSE)+3*HLOOKUP("fsXA/90",A1:CV300,69,FALSE)</f>
        <v>1.3736842105263158</v>
      </c>
      <c r="BX69" s="23554">
        <v>0.20974956452846527</v>
      </c>
      <c r="BY69" s="23555">
        <v>0.46353772282600403</v>
      </c>
      <c r="BZ69" s="23556">
        <f>5*HLOOKUP("uXG/90",A1:CV300,69,FALSE)+3*HLOOKUP("uXA/90",A1:CV300,69,FALSE)</f>
        <v>2.4393609911203384</v>
      </c>
    </row>
    <row r="70" spans="1:78" x14ac:dyDescent="0.3">
      <c r="A70" s="23557" t="s">
        <v>397</v>
      </c>
      <c r="B70" s="23558" t="s">
        <v>113</v>
      </c>
      <c r="C70" s="23559">
        <v>4.6999998092651367</v>
      </c>
      <c r="D70" s="23560">
        <v>175</v>
      </c>
      <c r="E70" s="23561">
        <v>6</v>
      </c>
      <c r="F70" s="23562">
        <v>6</v>
      </c>
      <c r="G70" s="23563">
        <v>0</v>
      </c>
      <c r="H70" s="23564">
        <v>0</v>
      </c>
      <c r="I70" s="23565">
        <v>14</v>
      </c>
      <c r="J70" s="23566">
        <f>HLOOKUP("BPS",A1:CV300,70,FALSE)-((-6*HLOOKUP("OG",A1:CV300,70,FALSE))+(-6*HLOOKUP("PK Miss",A1:CV300,70,FALSE))+(9*HLOOKUP("FPL As",A1:CV300,70,FALSE))+(0*HLOOKUP("CS",A1:CV300,70,FALSE))+(18*HLOOKUP("Gs",A1:CV300,70,FALSE)))</f>
        <v>14</v>
      </c>
      <c r="K70" s="23567">
        <v>0</v>
      </c>
      <c r="L70" s="23568">
        <v>0</v>
      </c>
      <c r="M70" s="23569">
        <v>2</v>
      </c>
      <c r="N70" s="23570">
        <v>0</v>
      </c>
      <c r="O70" s="23571">
        <v>0</v>
      </c>
      <c r="P70" s="23572">
        <f>IF(HLOOKUP("Shots",A1:CV300,70,FALSE)=0,0,HLOOKUP("SIB",A1:CV300,70,FALSE)/HLOOKUP("Shots",A1:CV300,70,FALSE))</f>
        <v>0</v>
      </c>
      <c r="Q70" s="23573">
        <v>0</v>
      </c>
      <c r="R70" s="23574">
        <f>IF(HLOOKUP("Shots",A1:CV300,70,FALSE)=0,0,HLOOKUP("S6YD",A1:CV300,70,FALSE)/HLOOKUP("Shots",A1:CV300,70,FALSE))</f>
        <v>0</v>
      </c>
      <c r="S70" s="23575">
        <v>0</v>
      </c>
      <c r="T70" s="23576">
        <f>IF(HLOOKUP("Shots",A1:CV300,70,FALSE)=0,0,HLOOKUP("Headers",A1:CV300,70,FALSE)/HLOOKUP("Shots",A1:CV300,70,FALSE))</f>
        <v>0</v>
      </c>
      <c r="U70" s="23577">
        <v>0</v>
      </c>
      <c r="V70" s="23578">
        <f>IF(HLOOKUP("Shots",A1:CV300,70,FALSE)=0,0,HLOOKUP("SOT",A1:CV300,70,FALSE)/HLOOKUP("Shots",A1:CV300,70,FALSE))</f>
        <v>0</v>
      </c>
      <c r="W70" s="23579">
        <f>IF(HLOOKUP("Shots",A1:CV300,70,FALSE)=0,0,HLOOKUP("Gs",A1:CV300,70,FALSE)/HLOOKUP("Shots",A1:CV300,70,FALSE))</f>
        <v>0</v>
      </c>
      <c r="X70" s="23580">
        <v>0</v>
      </c>
      <c r="Y70" s="23581">
        <v>0</v>
      </c>
      <c r="Z70" s="23582">
        <v>0</v>
      </c>
      <c r="AA70" s="23583">
        <f>IF(HLOOKUP("KP",A1:CV300,70,FALSE)=0,0,HLOOKUP("As",A1:CV300,70,FALSE)/HLOOKUP("KP",A1:CV300,70,FALSE))</f>
        <v>0</v>
      </c>
      <c r="AB70" s="23584">
        <v>1.5</v>
      </c>
      <c r="AC70" s="23585">
        <v>0</v>
      </c>
      <c r="AD70" s="23586">
        <v>0</v>
      </c>
      <c r="AE70" s="23587">
        <v>0</v>
      </c>
      <c r="AF70" s="23588">
        <v>0</v>
      </c>
      <c r="AG70" s="23589">
        <f>IF(HLOOKUP("BC",A1:CV300,70,FALSE)=0,0,HLOOKUP("Gs - BC",A1:CV300,70,FALSE)/HLOOKUP("BC",A1:CV300,70,FALSE))</f>
        <v>0</v>
      </c>
      <c r="AH70" s="23590">
        <f>HLOOKUP("BC",A1:CV300,70,FALSE) - HLOOKUP("BC Miss",A1:CV300,70,FALSE)</f>
        <v>0</v>
      </c>
      <c r="AI70" s="23591">
        <f>IF(HLOOKUP("Gs",A1:CV300,70,FALSE)=0,0,HLOOKUP("Gs - BC",A1:CV300,70,FALSE)/HLOOKUP("Gs",A1:CV300,70,FALSE))</f>
        <v>0</v>
      </c>
      <c r="AJ70" s="23592">
        <v>0</v>
      </c>
      <c r="AK70" s="23593">
        <v>0</v>
      </c>
      <c r="AL70" s="23594">
        <f>HLOOKUP("BC",A1:CV300,70,FALSE) - (HLOOKUP("PK Gs",A1:CV300,70,FALSE) + HLOOKUP("PK Miss",A1:CV300,70,FALSE))</f>
        <v>0</v>
      </c>
      <c r="AM70" s="23595">
        <f>HLOOKUP("BC Miss",A1:CV300,70,FALSE) - HLOOKUP("PK Miss",A1:CV300,70,FALSE)</f>
        <v>0</v>
      </c>
      <c r="AN70" s="23596">
        <f>IF(HLOOKUP("BC - Open",A1:CV300,70,FALSE)=0,0,HLOOKUP("BC - Open Miss",A1:CV300,70,FALSE)/HLOOKUP("BC - Open",A1:CV300,70,FALSE))</f>
        <v>0</v>
      </c>
      <c r="AO70" s="23597">
        <v>0</v>
      </c>
      <c r="AP70" s="23598">
        <f>IF(HLOOKUP("Gs",A1:CV300,70,FALSE)=0,0,HLOOKUP("GIB",A1:CV300,70,FALSE)/HLOOKUP("Gs",A1:CV300,70,FALSE))</f>
        <v>0</v>
      </c>
      <c r="AQ70" s="23599">
        <v>0</v>
      </c>
      <c r="AR70" s="23600">
        <f>IF(HLOOKUP("Gs",A1:CV300,70,FALSE)=0,0,HLOOKUP("Gs - Open",A1:CV300,70,FALSE)/HLOOKUP("Gs",A1:CV300,70,FALSE))</f>
        <v>0</v>
      </c>
      <c r="AS70" s="23601">
        <v>0</v>
      </c>
      <c r="AT70" s="23602">
        <v>0.02</v>
      </c>
      <c r="AU70" s="23603">
        <f>IF(HLOOKUP("Mins",A1:CV300,70,FALSE)=0,0,HLOOKUP("Pts",A1:CV300,70,FALSE)/HLOOKUP("Mins",A1:CV300,70,FALSE)* 90)</f>
        <v>3.0857142857142859</v>
      </c>
      <c r="AV70" s="23604">
        <f>IF(HLOOKUP("Apps",A1:CV300,70,FALSE)=0,0,HLOOKUP("Pts",A1:CV300,70,FALSE)/HLOOKUP("Apps",A1:CV300,70,FALSE)* 1)</f>
        <v>1</v>
      </c>
      <c r="AW70" s="23605">
        <f>IF(HLOOKUP("Mins",A1:CV300,70,FALSE)=0,0,HLOOKUP("Gs",A1:CV300,70,FALSE)/HLOOKUP("Mins",A1:CV300,70,FALSE)* 90)</f>
        <v>0</v>
      </c>
      <c r="AX70" s="23606">
        <f>IF(HLOOKUP("Mins",A1:CV300,70,FALSE)=0,0,HLOOKUP("Bonus",A1:CV300,70,FALSE)/HLOOKUP("Mins",A1:CV300,70,FALSE)* 90)</f>
        <v>0</v>
      </c>
      <c r="AY70" s="23607">
        <f>IF(HLOOKUP("Mins",A1:CV300,70,FALSE)=0,0,HLOOKUP("BPS",A1:CV300,70,FALSE)/HLOOKUP("Mins",A1:CV300,70,FALSE)* 90)</f>
        <v>7.2</v>
      </c>
      <c r="AZ70" s="23608">
        <f>IF(HLOOKUP("Mins",A1:CV300,70,FALSE)=0,0,HLOOKUP("Base BPS",A1:CV300,70,FALSE)/HLOOKUP("Mins",A1:CV300,70,FALSE)* 90)</f>
        <v>7.2</v>
      </c>
      <c r="BA70" s="23609">
        <f>IF(HLOOKUP("Mins",A1:CV300,70,FALSE)=0,0,HLOOKUP("PenTchs",A1:CV300,70,FALSE)/HLOOKUP("Mins",A1:CV300,70,FALSE)* 90)</f>
        <v>1.0285714285714285</v>
      </c>
      <c r="BB70" s="23610">
        <f>IF(HLOOKUP("Mins",A1:CV300,70,FALSE)=0,0,HLOOKUP("Shots",A1:CV300,70,FALSE)/HLOOKUP("Mins",A1:CV300,70,FALSE)* 90)</f>
        <v>0</v>
      </c>
      <c r="BC70" s="23611">
        <f>IF(HLOOKUP("Mins",A1:CV300,70,FALSE)=0,0,HLOOKUP("SIB",A1:CV300,70,FALSE)/HLOOKUP("Mins",A1:CV300,70,FALSE)* 90)</f>
        <v>0</v>
      </c>
      <c r="BD70" s="23612">
        <f>IF(HLOOKUP("Mins",A1:CV300,70,FALSE)=0,0,HLOOKUP("S6YD",A1:CV300,70,FALSE)/HLOOKUP("Mins",A1:CV300,70,FALSE)* 90)</f>
        <v>0</v>
      </c>
      <c r="BE70" s="23613">
        <f>IF(HLOOKUP("Mins",A1:CV300,70,FALSE)=0,0,HLOOKUP("Headers",A1:CV300,70,FALSE)/HLOOKUP("Mins",A1:CV300,70,FALSE)* 90)</f>
        <v>0</v>
      </c>
      <c r="BF70" s="23614">
        <f>IF(HLOOKUP("Mins",A1:CV300,70,FALSE)=0,0,HLOOKUP("SOT",A1:CV300,70,FALSE)/HLOOKUP("Mins",A1:CV300,70,FALSE)* 90)</f>
        <v>0</v>
      </c>
      <c r="BG70" s="23615">
        <f>IF(HLOOKUP("Mins",A1:CV300,70,FALSE)=0,0,HLOOKUP("As",A1:CV300,70,FALSE)/HLOOKUP("Mins",A1:CV300,70,FALSE)* 90)</f>
        <v>0</v>
      </c>
      <c r="BH70" s="23616">
        <f>IF(HLOOKUP("Mins",A1:CV300,70,FALSE)=0,0,HLOOKUP("FPL As",A1:CV300,70,FALSE)/HLOOKUP("Mins",A1:CV300,70,FALSE)* 90)</f>
        <v>0</v>
      </c>
      <c r="BI70" s="23617">
        <f>IF(HLOOKUP("Mins",A1:CV300,70,FALSE)=0,0,HLOOKUP("BC Created",A1:CV300,70,FALSE)/HLOOKUP("Mins",A1:CV300,70,FALSE)* 90)</f>
        <v>0</v>
      </c>
      <c r="BJ70" s="23618">
        <f>IF(HLOOKUP("Mins",A1:CV300,70,FALSE)=0,0,HLOOKUP("KP",A1:CV300,70,FALSE)/HLOOKUP("Mins",A1:CV300,70,FALSE)* 90)</f>
        <v>0</v>
      </c>
      <c r="BK70" s="23619">
        <f>IF(HLOOKUP("Mins",A1:CV300,70,FALSE)=0,0,HLOOKUP("BC",A1:CV300,70,FALSE)/HLOOKUP("Mins",A1:CV300,70,FALSE)* 90)</f>
        <v>0</v>
      </c>
      <c r="BL70" s="23620">
        <f>IF(HLOOKUP("Mins",A1:CV300,70,FALSE)=0,0,HLOOKUP("BC Miss",A1:CV300,70,FALSE)/HLOOKUP("Mins",A1:CV300,70,FALSE)* 90)</f>
        <v>0</v>
      </c>
      <c r="BM70" s="23621">
        <f>IF(HLOOKUP("Mins",A1:CV300,70,FALSE)=0,0,HLOOKUP("Gs - BC",A1:CV300,70,FALSE)/HLOOKUP("Mins",A1:CV300,70,FALSE)* 90)</f>
        <v>0</v>
      </c>
      <c r="BN70" s="23622">
        <f>IF(HLOOKUP("Mins",A1:CV300,70,FALSE)=0,0,HLOOKUP("GIB",A1:CV300,70,FALSE)/HLOOKUP("Mins",A1:CV300,70,FALSE)* 90)</f>
        <v>0</v>
      </c>
      <c r="BO70" s="23623">
        <f>IF(HLOOKUP("Mins",A1:CV300,70,FALSE)=0,0,HLOOKUP("Gs - Open",A1:CV300,70,FALSE)/HLOOKUP("Mins",A1:CV300,70,FALSE)* 90)</f>
        <v>0</v>
      </c>
      <c r="BP70" s="23624">
        <f>IF(HLOOKUP("Mins",A1:CV300,70,FALSE)=0,0,HLOOKUP("ICT Index",A1:CV300,70,FALSE)/HLOOKUP("Mins",A1:CV300,70,FALSE)* 90)</f>
        <v>0.77142857142857146</v>
      </c>
      <c r="BQ70" s="23625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  <v>0</v>
      </c>
      <c r="BR70" s="23626">
        <f>0.0885*HLOOKUP("KP/90",A1:CV300,70,FALSE)</f>
        <v>0</v>
      </c>
      <c r="BS70" s="23627">
        <f>5*HLOOKUP("xG/90",A1:CV300,70,FALSE)+3*HLOOKUP("xA/90",A1:CV300,70,FALSE)</f>
        <v>0</v>
      </c>
      <c r="BT70" s="23628">
        <f>HLOOKUP("xPts/90",A1:CV300,70,FALSE)-(5*0.75*(HLOOKUP("PK Gs",A1:CV300,70,FALSE)+HLOOKUP("PK Miss",A1:CV300,70,FALSE))*90/HLOOKUP("Mins",A1:CV300,70,FALSE))</f>
        <v>0</v>
      </c>
      <c r="BU70" s="23629">
        <f>IF(HLOOKUP("Mins",A1:CV300,70,FALSE)=0,0,HLOOKUP("fsXG",A1:CV300,70,FALSE)/HLOOKUP("Mins",A1:CV300,70,FALSE)* 90)</f>
        <v>0</v>
      </c>
      <c r="BV70" s="23630">
        <f>IF(HLOOKUP("Mins",A1:CV300,70,FALSE)=0,0,HLOOKUP("fsXA",A1:CV300,70,FALSE)/HLOOKUP("Mins",A1:CV300,70,FALSE)* 90)</f>
        <v>1.0285714285714285E-2</v>
      </c>
      <c r="BW70" s="23631">
        <f>5*HLOOKUP("fsXG/90",A1:CV300,70,FALSE)+3*HLOOKUP("fsXA/90",A1:CV300,70,FALSE)</f>
        <v>3.0857142857142854E-2</v>
      </c>
      <c r="BX70" s="23632">
        <v>0</v>
      </c>
      <c r="BY70" s="23633">
        <v>0</v>
      </c>
      <c r="BZ70" s="23634">
        <f>5*HLOOKUP("uXG/90",A1:CV300,70,FALSE)+3*HLOOKUP("uXA/90",A1:CV300,70,FALSE)</f>
        <v>0</v>
      </c>
    </row>
    <row r="71" spans="1:78" x14ac:dyDescent="0.3">
      <c r="A71" s="23635" t="s">
        <v>398</v>
      </c>
      <c r="B71" s="23636" t="s">
        <v>107</v>
      </c>
      <c r="C71" s="23637">
        <v>4.4000000953674316</v>
      </c>
      <c r="D71" s="23638">
        <v>620</v>
      </c>
      <c r="E71" s="23639">
        <v>17</v>
      </c>
      <c r="F71" s="23640">
        <v>18</v>
      </c>
      <c r="G71" s="23641">
        <v>0</v>
      </c>
      <c r="H71" s="23642">
        <v>0</v>
      </c>
      <c r="I71" s="23643">
        <v>82</v>
      </c>
      <c r="J71" s="23644">
        <f>HLOOKUP("BPS",A1:CV300,71,FALSE)-((-6*HLOOKUP("OG",A1:CV300,71,FALSE))+(-6*HLOOKUP("PK Miss",A1:CV300,71,FALSE))+(9*HLOOKUP("FPL As",A1:CV300,71,FALSE))+(0*HLOOKUP("CS",A1:CV300,71,FALSE))+(18*HLOOKUP("Gs",A1:CV300,71,FALSE)))</f>
        <v>82</v>
      </c>
      <c r="K71" s="23645">
        <v>0</v>
      </c>
      <c r="L71" s="23646">
        <v>0</v>
      </c>
      <c r="M71" s="23647">
        <v>4</v>
      </c>
      <c r="N71" s="23648">
        <v>5</v>
      </c>
      <c r="O71" s="23649">
        <v>1</v>
      </c>
      <c r="P71" s="23650">
        <f>IF(HLOOKUP("Shots",A1:CV300,71,FALSE)=0,0,HLOOKUP("SIB",A1:CV300,71,FALSE)/HLOOKUP("Shots",A1:CV300,71,FALSE))</f>
        <v>0.2</v>
      </c>
      <c r="Q71" s="23651">
        <v>1</v>
      </c>
      <c r="R71" s="23652">
        <f>IF(HLOOKUP("Shots",A1:CV300,71,FALSE)=0,0,HLOOKUP("S6YD",A1:CV300,71,FALSE)/HLOOKUP("Shots",A1:CV300,71,FALSE))</f>
        <v>0.2</v>
      </c>
      <c r="S71" s="23653">
        <v>0</v>
      </c>
      <c r="T71" s="23654">
        <f>IF(HLOOKUP("Shots",A1:CV300,71,FALSE)=0,0,HLOOKUP("Headers",A1:CV300,71,FALSE)/HLOOKUP("Shots",A1:CV300,71,FALSE))</f>
        <v>0</v>
      </c>
      <c r="U71" s="23655">
        <v>2</v>
      </c>
      <c r="V71" s="23656">
        <f>IF(HLOOKUP("Shots",A1:CV300,71,FALSE)=0,0,HLOOKUP("SOT",A1:CV300,71,FALSE)/HLOOKUP("Shots",A1:CV300,71,FALSE))</f>
        <v>0.4</v>
      </c>
      <c r="W71" s="23657">
        <f>IF(HLOOKUP("Shots",A1:CV300,71,FALSE)=0,0,HLOOKUP("Gs",A1:CV300,71,FALSE)/HLOOKUP("Shots",A1:CV300,71,FALSE))</f>
        <v>0</v>
      </c>
      <c r="X71" s="23658">
        <v>0</v>
      </c>
      <c r="Y71" s="23659">
        <v>0</v>
      </c>
      <c r="Z71" s="23660">
        <v>4</v>
      </c>
      <c r="AA71" s="23661">
        <f>IF(HLOOKUP("KP",A1:CV300,71,FALSE)=0,0,HLOOKUP("As",A1:CV300,71,FALSE)/HLOOKUP("KP",A1:CV300,71,FALSE))</f>
        <v>0</v>
      </c>
      <c r="AB71" s="23662">
        <v>19.100000000000001</v>
      </c>
      <c r="AC71" s="23663">
        <v>0</v>
      </c>
      <c r="AD71" s="23664">
        <v>0</v>
      </c>
      <c r="AE71" s="23665">
        <v>0</v>
      </c>
      <c r="AF71" s="23666">
        <v>0</v>
      </c>
      <c r="AG71" s="23667">
        <f>IF(HLOOKUP("BC",A1:CV300,71,FALSE)=0,0,HLOOKUP("Gs - BC",A1:CV300,71,FALSE)/HLOOKUP("BC",A1:CV300,71,FALSE))</f>
        <v>0</v>
      </c>
      <c r="AH71" s="23668">
        <f>HLOOKUP("BC",A1:CV300,71,FALSE) - HLOOKUP("BC Miss",A1:CV300,71,FALSE)</f>
        <v>0</v>
      </c>
      <c r="AI71" s="23669">
        <f>IF(HLOOKUP("Gs",A1:CV300,71,FALSE)=0,0,HLOOKUP("Gs - BC",A1:CV300,71,FALSE)/HLOOKUP("Gs",A1:CV300,71,FALSE))</f>
        <v>0</v>
      </c>
      <c r="AJ71" s="23670">
        <v>0</v>
      </c>
      <c r="AK71" s="23671">
        <v>0</v>
      </c>
      <c r="AL71" s="23672">
        <f>HLOOKUP("BC",A1:CV300,71,FALSE) - (HLOOKUP("PK Gs",A1:CV300,71,FALSE) + HLOOKUP("PK Miss",A1:CV300,71,FALSE))</f>
        <v>0</v>
      </c>
      <c r="AM71" s="23673">
        <f>HLOOKUP("BC Miss",A1:CV300,71,FALSE) - HLOOKUP("PK Miss",A1:CV300,71,FALSE)</f>
        <v>0</v>
      </c>
      <c r="AN71" s="23674">
        <f>IF(HLOOKUP("BC - Open",A1:CV300,71,FALSE)=0,0,HLOOKUP("BC - Open Miss",A1:CV300,71,FALSE)/HLOOKUP("BC - Open",A1:CV300,71,FALSE))</f>
        <v>0</v>
      </c>
      <c r="AO71" s="23675">
        <v>0</v>
      </c>
      <c r="AP71" s="23676">
        <f>IF(HLOOKUP("Gs",A1:CV300,71,FALSE)=0,0,HLOOKUP("GIB",A1:CV300,71,FALSE)/HLOOKUP("Gs",A1:CV300,71,FALSE))</f>
        <v>0</v>
      </c>
      <c r="AQ71" s="23677">
        <v>0</v>
      </c>
      <c r="AR71" s="23678">
        <f>IF(HLOOKUP("Gs",A1:CV300,71,FALSE)=0,0,HLOOKUP("Gs - Open",A1:CV300,71,FALSE)/HLOOKUP("Gs",A1:CV300,71,FALSE))</f>
        <v>0</v>
      </c>
      <c r="AS71" s="23679">
        <v>0.27</v>
      </c>
      <c r="AT71" s="23680">
        <v>0.16</v>
      </c>
      <c r="AU71" s="23681">
        <f>IF(HLOOKUP("Mins",A1:CV300,71,FALSE)=0,0,HLOOKUP("Pts",A1:CV300,71,FALSE)/HLOOKUP("Mins",A1:CV300,71,FALSE)* 90)</f>
        <v>2.6129032258064515</v>
      </c>
      <c r="AV71" s="23682">
        <f>IF(HLOOKUP("Apps",A1:CV300,71,FALSE)=0,0,HLOOKUP("Pts",A1:CV300,71,FALSE)/HLOOKUP("Apps",A1:CV300,71,FALSE)* 1)</f>
        <v>1.0588235294117647</v>
      </c>
      <c r="AW71" s="23683">
        <f>IF(HLOOKUP("Mins",A1:CV300,71,FALSE)=0,0,HLOOKUP("Gs",A1:CV300,71,FALSE)/HLOOKUP("Mins",A1:CV300,71,FALSE)* 90)</f>
        <v>0</v>
      </c>
      <c r="AX71" s="23684">
        <f>IF(HLOOKUP("Mins",A1:CV300,71,FALSE)=0,0,HLOOKUP("Bonus",A1:CV300,71,FALSE)/HLOOKUP("Mins",A1:CV300,71,FALSE)* 90)</f>
        <v>0</v>
      </c>
      <c r="AY71" s="23685">
        <f>IF(HLOOKUP("Mins",A1:CV300,71,FALSE)=0,0,HLOOKUP("BPS",A1:CV300,71,FALSE)/HLOOKUP("Mins",A1:CV300,71,FALSE)* 90)</f>
        <v>11.903225806451614</v>
      </c>
      <c r="AZ71" s="23686">
        <f>IF(HLOOKUP("Mins",A1:CV300,71,FALSE)=0,0,HLOOKUP("Base BPS",A1:CV300,71,FALSE)/HLOOKUP("Mins",A1:CV300,71,FALSE)* 90)</f>
        <v>11.903225806451614</v>
      </c>
      <c r="BA71" s="23687">
        <f>IF(HLOOKUP("Mins",A1:CV300,71,FALSE)=0,0,HLOOKUP("PenTchs",A1:CV300,71,FALSE)/HLOOKUP("Mins",A1:CV300,71,FALSE)* 90)</f>
        <v>0.58064516129032262</v>
      </c>
      <c r="BB71" s="23688">
        <f>IF(HLOOKUP("Mins",A1:CV300,71,FALSE)=0,0,HLOOKUP("Shots",A1:CV300,71,FALSE)/HLOOKUP("Mins",A1:CV300,71,FALSE)* 90)</f>
        <v>0.72580645161290325</v>
      </c>
      <c r="BC71" s="23689">
        <f>IF(HLOOKUP("Mins",A1:CV300,71,FALSE)=0,0,HLOOKUP("SIB",A1:CV300,71,FALSE)/HLOOKUP("Mins",A1:CV300,71,FALSE)* 90)</f>
        <v>0.14516129032258066</v>
      </c>
      <c r="BD71" s="23690">
        <f>IF(HLOOKUP("Mins",A1:CV300,71,FALSE)=0,0,HLOOKUP("S6YD",A1:CV300,71,FALSE)/HLOOKUP("Mins",A1:CV300,71,FALSE)* 90)</f>
        <v>0.14516129032258066</v>
      </c>
      <c r="BE71" s="23691">
        <f>IF(HLOOKUP("Mins",A1:CV300,71,FALSE)=0,0,HLOOKUP("Headers",A1:CV300,71,FALSE)/HLOOKUP("Mins",A1:CV300,71,FALSE)* 90)</f>
        <v>0</v>
      </c>
      <c r="BF71" s="23692">
        <f>IF(HLOOKUP("Mins",A1:CV300,71,FALSE)=0,0,HLOOKUP("SOT",A1:CV300,71,FALSE)/HLOOKUP("Mins",A1:CV300,71,FALSE)* 90)</f>
        <v>0.29032258064516131</v>
      </c>
      <c r="BG71" s="23693">
        <f>IF(HLOOKUP("Mins",A1:CV300,71,FALSE)=0,0,HLOOKUP("As",A1:CV300,71,FALSE)/HLOOKUP("Mins",A1:CV300,71,FALSE)* 90)</f>
        <v>0</v>
      </c>
      <c r="BH71" s="23694">
        <f>IF(HLOOKUP("Mins",A1:CV300,71,FALSE)=0,0,HLOOKUP("FPL As",A1:CV300,71,FALSE)/HLOOKUP("Mins",A1:CV300,71,FALSE)* 90)</f>
        <v>0</v>
      </c>
      <c r="BI71" s="23695">
        <f>IF(HLOOKUP("Mins",A1:CV300,71,FALSE)=0,0,HLOOKUP("BC Created",A1:CV300,71,FALSE)/HLOOKUP("Mins",A1:CV300,71,FALSE)* 90)</f>
        <v>0</v>
      </c>
      <c r="BJ71" s="23696">
        <f>IF(HLOOKUP("Mins",A1:CV300,71,FALSE)=0,0,HLOOKUP("KP",A1:CV300,71,FALSE)/HLOOKUP("Mins",A1:CV300,71,FALSE)* 90)</f>
        <v>0.58064516129032262</v>
      </c>
      <c r="BK71" s="23697">
        <f>IF(HLOOKUP("Mins",A1:CV300,71,FALSE)=0,0,HLOOKUP("BC",A1:CV300,71,FALSE)/HLOOKUP("Mins",A1:CV300,71,FALSE)* 90)</f>
        <v>0</v>
      </c>
      <c r="BL71" s="23698">
        <f>IF(HLOOKUP("Mins",A1:CV300,71,FALSE)=0,0,HLOOKUP("BC Miss",A1:CV300,71,FALSE)/HLOOKUP("Mins",A1:CV300,71,FALSE)* 90)</f>
        <v>0</v>
      </c>
      <c r="BM71" s="23699">
        <f>IF(HLOOKUP("Mins",A1:CV300,71,FALSE)=0,0,HLOOKUP("Gs - BC",A1:CV300,71,FALSE)/HLOOKUP("Mins",A1:CV300,71,FALSE)* 90)</f>
        <v>0</v>
      </c>
      <c r="BN71" s="23700">
        <f>IF(HLOOKUP("Mins",A1:CV300,71,FALSE)=0,0,HLOOKUP("GIB",A1:CV300,71,FALSE)/HLOOKUP("Mins",A1:CV300,71,FALSE)* 90)</f>
        <v>0</v>
      </c>
      <c r="BO71" s="23701">
        <f>IF(HLOOKUP("Mins",A1:CV300,71,FALSE)=0,0,HLOOKUP("Gs - Open",A1:CV300,71,FALSE)/HLOOKUP("Mins",A1:CV300,71,FALSE)* 90)</f>
        <v>0</v>
      </c>
      <c r="BP71" s="23702">
        <f>IF(HLOOKUP("Mins",A1:CV300,71,FALSE)=0,0,HLOOKUP("ICT Index",A1:CV300,71,FALSE)/HLOOKUP("Mins",A1:CV300,71,FALSE)* 90)</f>
        <v>2.7725806451612902</v>
      </c>
      <c r="BQ71" s="23703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  <v>4.1516129032258063E-2</v>
      </c>
      <c r="BR71" s="23704">
        <f>0.0885*HLOOKUP("KP/90",A1:CV300,71,FALSE)</f>
        <v>5.138709677419355E-2</v>
      </c>
      <c r="BS71" s="23705">
        <f>5*HLOOKUP("xG/90",A1:CV300,71,FALSE)+3*HLOOKUP("xA/90",A1:CV300,71,FALSE)</f>
        <v>0.36174193548387096</v>
      </c>
      <c r="BT71" s="23706">
        <f>HLOOKUP("xPts/90",A1:CV300,71,FALSE)-(5*0.75*(HLOOKUP("PK Gs",A1:CV300,71,FALSE)+HLOOKUP("PK Miss",A1:CV300,71,FALSE))*90/HLOOKUP("Mins",A1:CV300,71,FALSE))</f>
        <v>0.36174193548387096</v>
      </c>
      <c r="BU71" s="23707">
        <f>IF(HLOOKUP("Mins",A1:CV300,71,FALSE)=0,0,HLOOKUP("fsXG",A1:CV300,71,FALSE)/HLOOKUP("Mins",A1:CV300,71,FALSE)* 90)</f>
        <v>3.9193548387096773E-2</v>
      </c>
      <c r="BV71" s="23708">
        <f>IF(HLOOKUP("Mins",A1:CV300,71,FALSE)=0,0,HLOOKUP("fsXA",A1:CV300,71,FALSE)/HLOOKUP("Mins",A1:CV300,71,FALSE)* 90)</f>
        <v>2.3225806451612905E-2</v>
      </c>
      <c r="BW71" s="23709">
        <f>5*HLOOKUP("fsXG/90",A1:CV300,71,FALSE)+3*HLOOKUP("fsXA/90",A1:CV300,71,FALSE)</f>
        <v>0.26564516129032256</v>
      </c>
      <c r="BX71" s="23710">
        <v>2.9542982578277588E-2</v>
      </c>
      <c r="BY71" s="23711">
        <v>3.6084339022636414E-2</v>
      </c>
      <c r="BZ71" s="23712">
        <f>5*HLOOKUP("uXG/90",A1:CV300,71,FALSE)+3*HLOOKUP("uXA/90",A1:CV300,71,FALSE)</f>
        <v>0.25596792995929718</v>
      </c>
    </row>
    <row r="72" spans="1:78" x14ac:dyDescent="0.3">
      <c r="A72" s="23713" t="s">
        <v>399</v>
      </c>
      <c r="B72" s="23714" t="s">
        <v>102</v>
      </c>
      <c r="C72" s="23715">
        <v>4.5</v>
      </c>
      <c r="D72" s="23716">
        <v>449</v>
      </c>
      <c r="E72" s="23717">
        <v>5</v>
      </c>
      <c r="F72" s="23718">
        <v>22</v>
      </c>
      <c r="G72" s="23719">
        <v>2</v>
      </c>
      <c r="H72" s="23720">
        <v>2</v>
      </c>
      <c r="I72" s="23721">
        <v>83</v>
      </c>
      <c r="J72" s="23722">
        <f>HLOOKUP("BPS",A1:CV300,72,FALSE)-((-6*HLOOKUP("OG",A1:CV300,72,FALSE))+(-6*HLOOKUP("PK Miss",A1:CV300,72,FALSE))+(9*HLOOKUP("FPL As",A1:CV300,72,FALSE))+(0*HLOOKUP("CS",A1:CV300,72,FALSE))+(18*HLOOKUP("Gs",A1:CV300,72,FALSE)))</f>
        <v>47</v>
      </c>
      <c r="K72" s="23723">
        <v>0</v>
      </c>
      <c r="L72" s="23724">
        <v>1</v>
      </c>
      <c r="M72" s="23725">
        <v>3</v>
      </c>
      <c r="N72" s="23726">
        <v>3</v>
      </c>
      <c r="O72" s="23727">
        <v>1</v>
      </c>
      <c r="P72" s="23728">
        <f>IF(HLOOKUP("Shots",A1:CV300,72,FALSE)=0,0,HLOOKUP("SIB",A1:CV300,72,FALSE)/HLOOKUP("Shots",A1:CV300,72,FALSE))</f>
        <v>0.33333333333333331</v>
      </c>
      <c r="Q72" s="23729">
        <v>0</v>
      </c>
      <c r="R72" s="23730">
        <f>IF(HLOOKUP("Shots",A1:CV300,72,FALSE)=0,0,HLOOKUP("S6YD",A1:CV300,72,FALSE)/HLOOKUP("Shots",A1:CV300,72,FALSE))</f>
        <v>0</v>
      </c>
      <c r="S72" s="23731">
        <v>0</v>
      </c>
      <c r="T72" s="23732">
        <f>IF(HLOOKUP("Shots",A1:CV300,72,FALSE)=0,0,HLOOKUP("Headers",A1:CV300,72,FALSE)/HLOOKUP("Shots",A1:CV300,72,FALSE))</f>
        <v>0</v>
      </c>
      <c r="U72" s="23733">
        <v>2</v>
      </c>
      <c r="V72" s="23734">
        <f>IF(HLOOKUP("Shots",A1:CV300,72,FALSE)=0,0,HLOOKUP("SOT",A1:CV300,72,FALSE)/HLOOKUP("Shots",A1:CV300,72,FALSE))</f>
        <v>0.66666666666666663</v>
      </c>
      <c r="W72" s="23735">
        <f>IF(HLOOKUP("Shots",A1:CV300,72,FALSE)=0,0,HLOOKUP("Gs",A1:CV300,72,FALSE)/HLOOKUP("Shots",A1:CV300,72,FALSE))</f>
        <v>0.66666666666666663</v>
      </c>
      <c r="X72" s="23736">
        <v>0</v>
      </c>
      <c r="Y72" s="23737">
        <v>0</v>
      </c>
      <c r="Z72" s="23738">
        <v>3</v>
      </c>
      <c r="AA72" s="23739">
        <f>IF(HLOOKUP("KP",A1:CV300,72,FALSE)=0,0,HLOOKUP("As",A1:CV300,72,FALSE)/HLOOKUP("KP",A1:CV300,72,FALSE))</f>
        <v>0</v>
      </c>
      <c r="AB72" s="23740">
        <v>16.899999999999999</v>
      </c>
      <c r="AC72" s="23741">
        <v>50</v>
      </c>
      <c r="AD72" s="23742">
        <v>1</v>
      </c>
      <c r="AE72" s="23743">
        <v>1</v>
      </c>
      <c r="AF72" s="23744">
        <v>0</v>
      </c>
      <c r="AG72" s="23745">
        <f>IF(HLOOKUP("BC",A1:CV300,72,FALSE)=0,0,HLOOKUP("Gs - BC",A1:CV300,72,FALSE)/HLOOKUP("BC",A1:CV300,72,FALSE))</f>
        <v>1</v>
      </c>
      <c r="AH72" s="23746">
        <f>HLOOKUP("BC",A1:CV300,72,FALSE) - HLOOKUP("BC Miss",A1:CV300,72,FALSE)</f>
        <v>1</v>
      </c>
      <c r="AI72" s="23747">
        <f>IF(HLOOKUP("Gs",A1:CV300,72,FALSE)=0,0,HLOOKUP("Gs - BC",A1:CV300,72,FALSE)/HLOOKUP("Gs",A1:CV300,72,FALSE))</f>
        <v>0.5</v>
      </c>
      <c r="AJ72" s="23748">
        <v>0</v>
      </c>
      <c r="AK72" s="23749">
        <v>0</v>
      </c>
      <c r="AL72" s="23750">
        <f>HLOOKUP("BC",A1:CV300,72,FALSE) - (HLOOKUP("PK Gs",A1:CV300,72,FALSE) + HLOOKUP("PK Miss",A1:CV300,72,FALSE))</f>
        <v>1</v>
      </c>
      <c r="AM72" s="23751">
        <f>HLOOKUP("BC Miss",A1:CV300,72,FALSE) - HLOOKUP("PK Miss",A1:CV300,72,FALSE)</f>
        <v>0</v>
      </c>
      <c r="AN72" s="23752">
        <f>IF(HLOOKUP("BC - Open",A1:CV300,72,FALSE)=0,0,HLOOKUP("BC - Open Miss",A1:CV300,72,FALSE)/HLOOKUP("BC - Open",A1:CV300,72,FALSE))</f>
        <v>0</v>
      </c>
      <c r="AO72" s="23753">
        <v>1</v>
      </c>
      <c r="AP72" s="23754">
        <f>IF(HLOOKUP("Gs",A1:CV300,72,FALSE)=0,0,HLOOKUP("GIB",A1:CV300,72,FALSE)/HLOOKUP("Gs",A1:CV300,72,FALSE))</f>
        <v>0.5</v>
      </c>
      <c r="AQ72" s="23755">
        <v>1</v>
      </c>
      <c r="AR72" s="23756">
        <f>IF(HLOOKUP("Gs",A1:CV300,72,FALSE)=0,0,HLOOKUP("Gs - Open",A1:CV300,72,FALSE)/HLOOKUP("Gs",A1:CV300,72,FALSE))</f>
        <v>0.5</v>
      </c>
      <c r="AS72" s="23757">
        <v>0.21</v>
      </c>
      <c r="AT72" s="23758">
        <v>0.31</v>
      </c>
      <c r="AU72" s="23759">
        <f>IF(HLOOKUP("Mins",A1:CV300,72,FALSE)=0,0,HLOOKUP("Pts",A1:CV300,72,FALSE)/HLOOKUP("Mins",A1:CV300,72,FALSE)* 90)</f>
        <v>4.4097995545657014</v>
      </c>
      <c r="AV72" s="23760">
        <f>IF(HLOOKUP("Apps",A1:CV300,72,FALSE)=0,0,HLOOKUP("Pts",A1:CV300,72,FALSE)/HLOOKUP("Apps",A1:CV300,72,FALSE)* 1)</f>
        <v>4.4000000000000004</v>
      </c>
      <c r="AW72" s="23761">
        <f>IF(HLOOKUP("Mins",A1:CV300,72,FALSE)=0,0,HLOOKUP("Gs",A1:CV300,72,FALSE)/HLOOKUP("Mins",A1:CV300,72,FALSE)* 90)</f>
        <v>0.40089086859688194</v>
      </c>
      <c r="AX72" s="23762">
        <f>IF(HLOOKUP("Mins",A1:CV300,72,FALSE)=0,0,HLOOKUP("Bonus",A1:CV300,72,FALSE)/HLOOKUP("Mins",A1:CV300,72,FALSE)* 90)</f>
        <v>0.40089086859688194</v>
      </c>
      <c r="AY72" s="23763">
        <f>IF(HLOOKUP("Mins",A1:CV300,72,FALSE)=0,0,HLOOKUP("BPS",A1:CV300,72,FALSE)/HLOOKUP("Mins",A1:CV300,72,FALSE)* 90)</f>
        <v>16.636971046770601</v>
      </c>
      <c r="AZ72" s="23764">
        <f>IF(HLOOKUP("Mins",A1:CV300,72,FALSE)=0,0,HLOOKUP("Base BPS",A1:CV300,72,FALSE)/HLOOKUP("Mins",A1:CV300,72,FALSE)* 90)</f>
        <v>9.4209354120267257</v>
      </c>
      <c r="BA72" s="23765">
        <f>IF(HLOOKUP("Mins",A1:CV300,72,FALSE)=0,0,HLOOKUP("PenTchs",A1:CV300,72,FALSE)/HLOOKUP("Mins",A1:CV300,72,FALSE)* 90)</f>
        <v>0.60133630289532292</v>
      </c>
      <c r="BB72" s="23766">
        <f>IF(HLOOKUP("Mins",A1:CV300,72,FALSE)=0,0,HLOOKUP("Shots",A1:CV300,72,FALSE)/HLOOKUP("Mins",A1:CV300,72,FALSE)* 90)</f>
        <v>0.60133630289532292</v>
      </c>
      <c r="BC72" s="23767">
        <f>IF(HLOOKUP("Mins",A1:CV300,72,FALSE)=0,0,HLOOKUP("SIB",A1:CV300,72,FALSE)/HLOOKUP("Mins",A1:CV300,72,FALSE)* 90)</f>
        <v>0.20044543429844097</v>
      </c>
      <c r="BD72" s="23768">
        <f>IF(HLOOKUP("Mins",A1:CV300,72,FALSE)=0,0,HLOOKUP("S6YD",A1:CV300,72,FALSE)/HLOOKUP("Mins",A1:CV300,72,FALSE)* 90)</f>
        <v>0</v>
      </c>
      <c r="BE72" s="23769">
        <f>IF(HLOOKUP("Mins",A1:CV300,72,FALSE)=0,0,HLOOKUP("Headers",A1:CV300,72,FALSE)/HLOOKUP("Mins",A1:CV300,72,FALSE)* 90)</f>
        <v>0</v>
      </c>
      <c r="BF72" s="23770">
        <f>IF(HLOOKUP("Mins",A1:CV300,72,FALSE)=0,0,HLOOKUP("SOT",A1:CV300,72,FALSE)/HLOOKUP("Mins",A1:CV300,72,FALSE)* 90)</f>
        <v>0.40089086859688194</v>
      </c>
      <c r="BG72" s="23771">
        <f>IF(HLOOKUP("Mins",A1:CV300,72,FALSE)=0,0,HLOOKUP("As",A1:CV300,72,FALSE)/HLOOKUP("Mins",A1:CV300,72,FALSE)* 90)</f>
        <v>0</v>
      </c>
      <c r="BH72" s="23772">
        <f>IF(HLOOKUP("Mins",A1:CV300,72,FALSE)=0,0,HLOOKUP("FPL As",A1:CV300,72,FALSE)/HLOOKUP("Mins",A1:CV300,72,FALSE)* 90)</f>
        <v>0</v>
      </c>
      <c r="BI72" s="23773">
        <f>IF(HLOOKUP("Mins",A1:CV300,72,FALSE)=0,0,HLOOKUP("BC Created",A1:CV300,72,FALSE)/HLOOKUP("Mins",A1:CV300,72,FALSE)* 90)</f>
        <v>0.20044543429844097</v>
      </c>
      <c r="BJ72" s="23774">
        <f>IF(HLOOKUP("Mins",A1:CV300,72,FALSE)=0,0,HLOOKUP("KP",A1:CV300,72,FALSE)/HLOOKUP("Mins",A1:CV300,72,FALSE)* 90)</f>
        <v>0.60133630289532292</v>
      </c>
      <c r="BK72" s="23775">
        <f>IF(HLOOKUP("Mins",A1:CV300,72,FALSE)=0,0,HLOOKUP("BC",A1:CV300,72,FALSE)/HLOOKUP("Mins",A1:CV300,72,FALSE)* 90)</f>
        <v>0.20044543429844097</v>
      </c>
      <c r="BL72" s="23776">
        <f>IF(HLOOKUP("Mins",A1:CV300,72,FALSE)=0,0,HLOOKUP("BC Miss",A1:CV300,72,FALSE)/HLOOKUP("Mins",A1:CV300,72,FALSE)* 90)</f>
        <v>0</v>
      </c>
      <c r="BM72" s="23777">
        <f>IF(HLOOKUP("Mins",A1:CV300,72,FALSE)=0,0,HLOOKUP("Gs - BC",A1:CV300,72,FALSE)/HLOOKUP("Mins",A1:CV300,72,FALSE)* 90)</f>
        <v>0.20044543429844097</v>
      </c>
      <c r="BN72" s="23778">
        <f>IF(HLOOKUP("Mins",A1:CV300,72,FALSE)=0,0,HLOOKUP("GIB",A1:CV300,72,FALSE)/HLOOKUP("Mins",A1:CV300,72,FALSE)* 90)</f>
        <v>0.20044543429844097</v>
      </c>
      <c r="BO72" s="23779">
        <f>IF(HLOOKUP("Mins",A1:CV300,72,FALSE)=0,0,HLOOKUP("Gs - Open",A1:CV300,72,FALSE)/HLOOKUP("Mins",A1:CV300,72,FALSE)* 90)</f>
        <v>0.20044543429844097</v>
      </c>
      <c r="BP72" s="23780">
        <f>IF(HLOOKUP("Mins",A1:CV300,72,FALSE)=0,0,HLOOKUP("ICT Index",A1:CV300,72,FALSE)/HLOOKUP("Mins",A1:CV300,72,FALSE)* 90)</f>
        <v>3.3875278396436523</v>
      </c>
      <c r="BQ72" s="23781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  <v>4.2895322939866365E-2</v>
      </c>
      <c r="BR72" s="23782">
        <f>0.0885*HLOOKUP("KP/90",A1:CV300,72,FALSE)</f>
        <v>5.3218262806236073E-2</v>
      </c>
      <c r="BS72" s="23783">
        <f>5*HLOOKUP("xG/90",A1:CV300,72,FALSE)+3*HLOOKUP("xA/90",A1:CV300,72,FALSE)</f>
        <v>0.37413140311804005</v>
      </c>
      <c r="BT72" s="23784">
        <f>HLOOKUP("xPts/90",A1:CV300,72,FALSE)-(5*0.75*(HLOOKUP("PK Gs",A1:CV300,72,FALSE)+HLOOKUP("PK Miss",A1:CV300,72,FALSE))*90/HLOOKUP("Mins",A1:CV300,72,FALSE))</f>
        <v>0.37413140311804005</v>
      </c>
      <c r="BU72" s="23785">
        <f>IF(HLOOKUP("Mins",A1:CV300,72,FALSE)=0,0,HLOOKUP("fsXG",A1:CV300,72,FALSE)/HLOOKUP("Mins",A1:CV300,72,FALSE)* 90)</f>
        <v>4.2093541202672599E-2</v>
      </c>
      <c r="BV72" s="23786">
        <f>IF(HLOOKUP("Mins",A1:CV300,72,FALSE)=0,0,HLOOKUP("fsXA",A1:CV300,72,FALSE)/HLOOKUP("Mins",A1:CV300,72,FALSE)* 90)</f>
        <v>6.2138084632516702E-2</v>
      </c>
      <c r="BW72" s="23787">
        <f>5*HLOOKUP("fsXG/90",A1:CV300,72,FALSE)+3*HLOOKUP("fsXA/90",A1:CV300,72,FALSE)</f>
        <v>0.39688195991091313</v>
      </c>
      <c r="BX72" s="23788">
        <v>0.12176914513111115</v>
      </c>
      <c r="BY72" s="23789">
        <v>3.7912260740995407E-2</v>
      </c>
      <c r="BZ72" s="23790">
        <f>5*HLOOKUP("uXG/90",A1:CV300,72,FALSE)+3*HLOOKUP("uXA/90",A1:CV300,72,FALSE)</f>
        <v>0.72258250787854195</v>
      </c>
    </row>
    <row r="73" spans="1:78" x14ac:dyDescent="0.3">
      <c r="A73" s="23791" t="s">
        <v>400</v>
      </c>
      <c r="B73" s="23792" t="s">
        <v>86</v>
      </c>
      <c r="C73" s="23793">
        <v>4.4000000953674316</v>
      </c>
      <c r="D73" s="23794">
        <v>138</v>
      </c>
      <c r="E73" s="23795">
        <v>2</v>
      </c>
      <c r="F73" s="23796">
        <v>3</v>
      </c>
      <c r="G73" s="23797">
        <v>0</v>
      </c>
      <c r="H73" s="23798">
        <v>0</v>
      </c>
      <c r="I73" s="23799">
        <v>13</v>
      </c>
      <c r="J73" s="23800">
        <f>HLOOKUP("BPS",A1:CV300,73,FALSE)-((-6*HLOOKUP("OG",A1:CV300,73,FALSE))+(-6*HLOOKUP("PK Miss",A1:CV300,73,FALSE))+(9*HLOOKUP("FPL As",A1:CV300,73,FALSE))+(0*HLOOKUP("CS",A1:CV300,73,FALSE))+(18*HLOOKUP("Gs",A1:CV300,73,FALSE)))</f>
        <v>13</v>
      </c>
      <c r="K73" s="23801">
        <v>0</v>
      </c>
      <c r="L73" s="23802">
        <v>0</v>
      </c>
      <c r="M73" s="23803">
        <v>0</v>
      </c>
      <c r="N73" s="23804">
        <v>0</v>
      </c>
      <c r="O73" s="23805">
        <v>0</v>
      </c>
      <c r="P73" s="23806">
        <f>IF(HLOOKUP("Shots",A1:CV300,73,FALSE)=0,0,HLOOKUP("SIB",A1:CV300,73,FALSE)/HLOOKUP("Shots",A1:CV300,73,FALSE))</f>
        <v>0</v>
      </c>
      <c r="Q73" s="23807">
        <v>0</v>
      </c>
      <c r="R73" s="23808">
        <f>IF(HLOOKUP("Shots",A1:CV300,73,FALSE)=0,0,HLOOKUP("S6YD",A1:CV300,73,FALSE)/HLOOKUP("Shots",A1:CV300,73,FALSE))</f>
        <v>0</v>
      </c>
      <c r="S73" s="23809">
        <v>0</v>
      </c>
      <c r="T73" s="23810">
        <f>IF(HLOOKUP("Shots",A1:CV300,73,FALSE)=0,0,HLOOKUP("Headers",A1:CV300,73,FALSE)/HLOOKUP("Shots",A1:CV300,73,FALSE))</f>
        <v>0</v>
      </c>
      <c r="U73" s="23811">
        <v>0</v>
      </c>
      <c r="V73" s="23812">
        <f>IF(HLOOKUP("Shots",A1:CV300,73,FALSE)=0,0,HLOOKUP("SOT",A1:CV300,73,FALSE)/HLOOKUP("Shots",A1:CV300,73,FALSE))</f>
        <v>0</v>
      </c>
      <c r="W73" s="23813">
        <f>IF(HLOOKUP("Shots",A1:CV300,73,FALSE)=0,0,HLOOKUP("Gs",A1:CV300,73,FALSE)/HLOOKUP("Shots",A1:CV300,73,FALSE))</f>
        <v>0</v>
      </c>
      <c r="X73" s="23814">
        <v>0</v>
      </c>
      <c r="Y73" s="23815">
        <v>0</v>
      </c>
      <c r="Z73" s="23816">
        <v>0</v>
      </c>
      <c r="AA73" s="23817">
        <f>IF(HLOOKUP("KP",A1:CV300,73,FALSE)=0,0,HLOOKUP("As",A1:CV300,73,FALSE)/HLOOKUP("KP",A1:CV300,73,FALSE))</f>
        <v>0</v>
      </c>
      <c r="AB73" s="23818">
        <v>1.2</v>
      </c>
      <c r="AC73" s="23819">
        <v>0</v>
      </c>
      <c r="AD73" s="23820">
        <v>0</v>
      </c>
      <c r="AE73" s="23821">
        <v>0</v>
      </c>
      <c r="AF73" s="23822">
        <v>0</v>
      </c>
      <c r="AG73" s="23823">
        <f>IF(HLOOKUP("BC",A1:CV300,73,FALSE)=0,0,HLOOKUP("Gs - BC",A1:CV300,73,FALSE)/HLOOKUP("BC",A1:CV300,73,FALSE))</f>
        <v>0</v>
      </c>
      <c r="AH73" s="23824">
        <f>HLOOKUP("BC",A1:CV300,73,FALSE) - HLOOKUP("BC Miss",A1:CV300,73,FALSE)</f>
        <v>0</v>
      </c>
      <c r="AI73" s="23825">
        <f>IF(HLOOKUP("Gs",A1:CV300,73,FALSE)=0,0,HLOOKUP("Gs - BC",A1:CV300,73,FALSE)/HLOOKUP("Gs",A1:CV300,73,FALSE))</f>
        <v>0</v>
      </c>
      <c r="AJ73" s="23826">
        <v>0</v>
      </c>
      <c r="AK73" s="23827">
        <v>0</v>
      </c>
      <c r="AL73" s="23828">
        <f>HLOOKUP("BC",A1:CV300,73,FALSE) - (HLOOKUP("PK Gs",A1:CV300,73,FALSE) + HLOOKUP("PK Miss",A1:CV300,73,FALSE))</f>
        <v>0</v>
      </c>
      <c r="AM73" s="23829">
        <f>HLOOKUP("BC Miss",A1:CV300,73,FALSE) - HLOOKUP("PK Miss",A1:CV300,73,FALSE)</f>
        <v>0</v>
      </c>
      <c r="AN73" s="23830">
        <f>IF(HLOOKUP("BC - Open",A1:CV300,73,FALSE)=0,0,HLOOKUP("BC - Open Miss",A1:CV300,73,FALSE)/HLOOKUP("BC - Open",A1:CV300,73,FALSE))</f>
        <v>0</v>
      </c>
      <c r="AO73" s="23831">
        <v>0</v>
      </c>
      <c r="AP73" s="23832">
        <f>IF(HLOOKUP("Gs",A1:CV300,73,FALSE)=0,0,HLOOKUP("GIB",A1:CV300,73,FALSE)/HLOOKUP("Gs",A1:CV300,73,FALSE))</f>
        <v>0</v>
      </c>
      <c r="AQ73" s="23833">
        <v>0</v>
      </c>
      <c r="AR73" s="23834">
        <f>IF(HLOOKUP("Gs",A1:CV300,73,FALSE)=0,0,HLOOKUP("Gs - Open",A1:CV300,73,FALSE)/HLOOKUP("Gs",A1:CV300,73,FALSE))</f>
        <v>0</v>
      </c>
      <c r="AS73" s="23835">
        <v>0</v>
      </c>
      <c r="AT73" s="23836">
        <v>0.02</v>
      </c>
      <c r="AU73" s="23837">
        <f>IF(HLOOKUP("Mins",A1:CV300,73,FALSE)=0,0,HLOOKUP("Pts",A1:CV300,73,FALSE)/HLOOKUP("Mins",A1:CV300,73,FALSE)* 90)</f>
        <v>1.9565217391304348</v>
      </c>
      <c r="AV73" s="23838">
        <f>IF(HLOOKUP("Apps",A1:CV300,73,FALSE)=0,0,HLOOKUP("Pts",A1:CV300,73,FALSE)/HLOOKUP("Apps",A1:CV300,73,FALSE)* 1)</f>
        <v>1.5</v>
      </c>
      <c r="AW73" s="23839">
        <f>IF(HLOOKUP("Mins",A1:CV300,73,FALSE)=0,0,HLOOKUP("Gs",A1:CV300,73,FALSE)/HLOOKUP("Mins",A1:CV300,73,FALSE)* 90)</f>
        <v>0</v>
      </c>
      <c r="AX73" s="23840">
        <f>IF(HLOOKUP("Mins",A1:CV300,73,FALSE)=0,0,HLOOKUP("Bonus",A1:CV300,73,FALSE)/HLOOKUP("Mins",A1:CV300,73,FALSE)* 90)</f>
        <v>0</v>
      </c>
      <c r="AY73" s="23841">
        <f>IF(HLOOKUP("Mins",A1:CV300,73,FALSE)=0,0,HLOOKUP("BPS",A1:CV300,73,FALSE)/HLOOKUP("Mins",A1:CV300,73,FALSE)* 90)</f>
        <v>8.4782608695652169</v>
      </c>
      <c r="AZ73" s="23842">
        <f>IF(HLOOKUP("Mins",A1:CV300,73,FALSE)=0,0,HLOOKUP("Base BPS",A1:CV300,73,FALSE)/HLOOKUP("Mins",A1:CV300,73,FALSE)* 90)</f>
        <v>8.4782608695652169</v>
      </c>
      <c r="BA73" s="23843">
        <f>IF(HLOOKUP("Mins",A1:CV300,73,FALSE)=0,0,HLOOKUP("PenTchs",A1:CV300,73,FALSE)/HLOOKUP("Mins",A1:CV300,73,FALSE)* 90)</f>
        <v>0</v>
      </c>
      <c r="BB73" s="23844">
        <f>IF(HLOOKUP("Mins",A1:CV300,73,FALSE)=0,0,HLOOKUP("Shots",A1:CV300,73,FALSE)/HLOOKUP("Mins",A1:CV300,73,FALSE)* 90)</f>
        <v>0</v>
      </c>
      <c r="BC73" s="23845">
        <f>IF(HLOOKUP("Mins",A1:CV300,73,FALSE)=0,0,HLOOKUP("SIB",A1:CV300,73,FALSE)/HLOOKUP("Mins",A1:CV300,73,FALSE)* 90)</f>
        <v>0</v>
      </c>
      <c r="BD73" s="23846">
        <f>IF(HLOOKUP("Mins",A1:CV300,73,FALSE)=0,0,HLOOKUP("S6YD",A1:CV300,73,FALSE)/HLOOKUP("Mins",A1:CV300,73,FALSE)* 90)</f>
        <v>0</v>
      </c>
      <c r="BE73" s="23847">
        <f>IF(HLOOKUP("Mins",A1:CV300,73,FALSE)=0,0,HLOOKUP("Headers",A1:CV300,73,FALSE)/HLOOKUP("Mins",A1:CV300,73,FALSE)* 90)</f>
        <v>0</v>
      </c>
      <c r="BF73" s="23848">
        <f>IF(HLOOKUP("Mins",A1:CV300,73,FALSE)=0,0,HLOOKUP("SOT",A1:CV300,73,FALSE)/HLOOKUP("Mins",A1:CV300,73,FALSE)* 90)</f>
        <v>0</v>
      </c>
      <c r="BG73" s="23849">
        <f>IF(HLOOKUP("Mins",A1:CV300,73,FALSE)=0,0,HLOOKUP("As",A1:CV300,73,FALSE)/HLOOKUP("Mins",A1:CV300,73,FALSE)* 90)</f>
        <v>0</v>
      </c>
      <c r="BH73" s="23850">
        <f>IF(HLOOKUP("Mins",A1:CV300,73,FALSE)=0,0,HLOOKUP("FPL As",A1:CV300,73,FALSE)/HLOOKUP("Mins",A1:CV300,73,FALSE)* 90)</f>
        <v>0</v>
      </c>
      <c r="BI73" s="23851">
        <f>IF(HLOOKUP("Mins",A1:CV300,73,FALSE)=0,0,HLOOKUP("BC Created",A1:CV300,73,FALSE)/HLOOKUP("Mins",A1:CV300,73,FALSE)* 90)</f>
        <v>0</v>
      </c>
      <c r="BJ73" s="23852">
        <f>IF(HLOOKUP("Mins",A1:CV300,73,FALSE)=0,0,HLOOKUP("KP",A1:CV300,73,FALSE)/HLOOKUP("Mins",A1:CV300,73,FALSE)* 90)</f>
        <v>0</v>
      </c>
      <c r="BK73" s="23853">
        <f>IF(HLOOKUP("Mins",A1:CV300,73,FALSE)=0,0,HLOOKUP("BC",A1:CV300,73,FALSE)/HLOOKUP("Mins",A1:CV300,73,FALSE)* 90)</f>
        <v>0</v>
      </c>
      <c r="BL73" s="23854">
        <f>IF(HLOOKUP("Mins",A1:CV300,73,FALSE)=0,0,HLOOKUP("BC Miss",A1:CV300,73,FALSE)/HLOOKUP("Mins",A1:CV300,73,FALSE)* 90)</f>
        <v>0</v>
      </c>
      <c r="BM73" s="23855">
        <f>IF(HLOOKUP("Mins",A1:CV300,73,FALSE)=0,0,HLOOKUP("Gs - BC",A1:CV300,73,FALSE)/HLOOKUP("Mins",A1:CV300,73,FALSE)* 90)</f>
        <v>0</v>
      </c>
      <c r="BN73" s="23856">
        <f>IF(HLOOKUP("Mins",A1:CV300,73,FALSE)=0,0,HLOOKUP("GIB",A1:CV300,73,FALSE)/HLOOKUP("Mins",A1:CV300,73,FALSE)* 90)</f>
        <v>0</v>
      </c>
      <c r="BO73" s="23857">
        <f>IF(HLOOKUP("Mins",A1:CV300,73,FALSE)=0,0,HLOOKUP("Gs - Open",A1:CV300,73,FALSE)/HLOOKUP("Mins",A1:CV300,73,FALSE)* 90)</f>
        <v>0</v>
      </c>
      <c r="BP73" s="23858">
        <f>IF(HLOOKUP("Mins",A1:CV300,73,FALSE)=0,0,HLOOKUP("ICT Index",A1:CV300,73,FALSE)/HLOOKUP("Mins",A1:CV300,73,FALSE)* 90)</f>
        <v>0.78260869565217395</v>
      </c>
      <c r="BQ73" s="23859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  <v>0</v>
      </c>
      <c r="BR73" s="23860">
        <f>0.0885*HLOOKUP("KP/90",A1:CV300,73,FALSE)</f>
        <v>0</v>
      </c>
      <c r="BS73" s="23861">
        <f>5*HLOOKUP("xG/90",A1:CV300,73,FALSE)+3*HLOOKUP("xA/90",A1:CV300,73,FALSE)</f>
        <v>0</v>
      </c>
      <c r="BT73" s="23862">
        <f>HLOOKUP("xPts/90",A1:CV300,73,FALSE)-(5*0.75*(HLOOKUP("PK Gs",A1:CV300,73,FALSE)+HLOOKUP("PK Miss",A1:CV300,73,FALSE))*90/HLOOKUP("Mins",A1:CV300,73,FALSE))</f>
        <v>0</v>
      </c>
      <c r="BU73" s="23863">
        <f>IF(HLOOKUP("Mins",A1:CV300,73,FALSE)=0,0,HLOOKUP("fsXG",A1:CV300,73,FALSE)/HLOOKUP("Mins",A1:CV300,73,FALSE)* 90)</f>
        <v>0</v>
      </c>
      <c r="BV73" s="23864">
        <f>IF(HLOOKUP("Mins",A1:CV300,73,FALSE)=0,0,HLOOKUP("fsXA",A1:CV300,73,FALSE)/HLOOKUP("Mins",A1:CV300,73,FALSE)* 90)</f>
        <v>1.3043478260869565E-2</v>
      </c>
      <c r="BW73" s="23865">
        <f>5*HLOOKUP("fsXG/90",A1:CV300,73,FALSE)+3*HLOOKUP("fsXA/90",A1:CV300,73,FALSE)</f>
        <v>3.9130434782608692E-2</v>
      </c>
      <c r="BX73" s="23866">
        <v>0</v>
      </c>
      <c r="BY73" s="23867">
        <v>0</v>
      </c>
      <c r="BZ73" s="23868">
        <f>5*HLOOKUP("uXG/90",A1:CV300,73,FALSE)+3*HLOOKUP("uXA/90",A1:CV300,73,FALSE)</f>
        <v>0</v>
      </c>
    </row>
    <row r="74" spans="1:78" x14ac:dyDescent="0.3">
      <c r="A74" s="23869" t="s">
        <v>401</v>
      </c>
      <c r="B74" s="23870" t="s">
        <v>79</v>
      </c>
      <c r="C74" s="23871">
        <v>4.6999998092651367</v>
      </c>
      <c r="D74" s="23872">
        <v>1124</v>
      </c>
      <c r="E74" s="23873">
        <v>19</v>
      </c>
      <c r="F74" s="23874">
        <v>35</v>
      </c>
      <c r="G74" s="23875">
        <v>1</v>
      </c>
      <c r="H74" s="23876">
        <v>0</v>
      </c>
      <c r="I74" s="23877">
        <v>189</v>
      </c>
      <c r="J74" s="23878">
        <f>HLOOKUP("BPS",A1:CV300,74,FALSE)-((-6*HLOOKUP("OG",A1:CV300,74,FALSE))+(-6*HLOOKUP("PK Miss",A1:CV300,74,FALSE))+(9*HLOOKUP("FPL As",A1:CV300,74,FALSE))+(0*HLOOKUP("CS",A1:CV300,74,FALSE))+(18*HLOOKUP("Gs",A1:CV300,74,FALSE)))</f>
        <v>171</v>
      </c>
      <c r="K74" s="23879">
        <v>0</v>
      </c>
      <c r="L74" s="23880">
        <v>3</v>
      </c>
      <c r="M74" s="23881">
        <v>26</v>
      </c>
      <c r="N74" s="23882">
        <v>18</v>
      </c>
      <c r="O74" s="23883">
        <v>13</v>
      </c>
      <c r="P74" s="23884">
        <f>IF(HLOOKUP("Shots",A1:CV300,74,FALSE)=0,0,HLOOKUP("SIB",A1:CV300,74,FALSE)/HLOOKUP("Shots",A1:CV300,74,FALSE))</f>
        <v>0.72222222222222221</v>
      </c>
      <c r="Q74" s="23885">
        <v>0</v>
      </c>
      <c r="R74" s="23886">
        <f>IF(HLOOKUP("Shots",A1:CV300,74,FALSE)=0,0,HLOOKUP("S6YD",A1:CV300,74,FALSE)/HLOOKUP("Shots",A1:CV300,74,FALSE))</f>
        <v>0</v>
      </c>
      <c r="S74" s="23887">
        <v>0</v>
      </c>
      <c r="T74" s="23888">
        <f>IF(HLOOKUP("Shots",A1:CV300,74,FALSE)=0,0,HLOOKUP("Headers",A1:CV300,74,FALSE)/HLOOKUP("Shots",A1:CV300,74,FALSE))</f>
        <v>0</v>
      </c>
      <c r="U74" s="23889">
        <v>4</v>
      </c>
      <c r="V74" s="23890">
        <f>IF(HLOOKUP("Shots",A1:CV300,74,FALSE)=0,0,HLOOKUP("SOT",A1:CV300,74,FALSE)/HLOOKUP("Shots",A1:CV300,74,FALSE))</f>
        <v>0.22222222222222221</v>
      </c>
      <c r="W74" s="23891">
        <f>IF(HLOOKUP("Shots",A1:CV300,74,FALSE)=0,0,HLOOKUP("Gs",A1:CV300,74,FALSE)/HLOOKUP("Shots",A1:CV300,74,FALSE))</f>
        <v>5.5555555555555552E-2</v>
      </c>
      <c r="X74" s="23892">
        <v>0</v>
      </c>
      <c r="Y74" s="23893">
        <v>0</v>
      </c>
      <c r="Z74" s="23894">
        <v>10</v>
      </c>
      <c r="AA74" s="23895">
        <f>IF(HLOOKUP("KP",A1:CV300,74,FALSE)=0,0,HLOOKUP("As",A1:CV300,74,FALSE)/HLOOKUP("KP",A1:CV300,74,FALSE))</f>
        <v>0</v>
      </c>
      <c r="AB74" s="23896">
        <v>55.3</v>
      </c>
      <c r="AC74" s="23897">
        <v>7</v>
      </c>
      <c r="AD74" s="23898">
        <v>0</v>
      </c>
      <c r="AE74" s="23899">
        <v>1</v>
      </c>
      <c r="AF74" s="23900">
        <v>1</v>
      </c>
      <c r="AG74" s="23901">
        <f>IF(HLOOKUP("BC",A1:CV300,74,FALSE)=0,0,HLOOKUP("Gs - BC",A1:CV300,74,FALSE)/HLOOKUP("BC",A1:CV300,74,FALSE))</f>
        <v>0</v>
      </c>
      <c r="AH74" s="23902">
        <f>HLOOKUP("BC",A1:CV300,74,FALSE) - HLOOKUP("BC Miss",A1:CV300,74,FALSE)</f>
        <v>0</v>
      </c>
      <c r="AI74" s="23903">
        <f>IF(HLOOKUP("Gs",A1:CV300,74,FALSE)=0,0,HLOOKUP("Gs - BC",A1:CV300,74,FALSE)/HLOOKUP("Gs",A1:CV300,74,FALSE))</f>
        <v>0</v>
      </c>
      <c r="AJ74" s="23904">
        <v>0</v>
      </c>
      <c r="AK74" s="23905">
        <v>0</v>
      </c>
      <c r="AL74" s="23906">
        <f>HLOOKUP("BC",A1:CV300,74,FALSE) - (HLOOKUP("PK Gs",A1:CV300,74,FALSE) + HLOOKUP("PK Miss",A1:CV300,74,FALSE))</f>
        <v>1</v>
      </c>
      <c r="AM74" s="23907">
        <f>HLOOKUP("BC Miss",A1:CV300,74,FALSE) - HLOOKUP("PK Miss",A1:CV300,74,FALSE)</f>
        <v>1</v>
      </c>
      <c r="AN74" s="23908">
        <f>IF(HLOOKUP("BC - Open",A1:CV300,74,FALSE)=0,0,HLOOKUP("BC - Open Miss",A1:CV300,74,FALSE)/HLOOKUP("BC - Open",A1:CV300,74,FALSE))</f>
        <v>1</v>
      </c>
      <c r="AO74" s="23909">
        <v>1</v>
      </c>
      <c r="AP74" s="23910">
        <f>IF(HLOOKUP("Gs",A1:CV300,74,FALSE)=0,0,HLOOKUP("GIB",A1:CV300,74,FALSE)/HLOOKUP("Gs",A1:CV300,74,FALSE))</f>
        <v>1</v>
      </c>
      <c r="AQ74" s="23911">
        <v>1</v>
      </c>
      <c r="AR74" s="23912">
        <f>IF(HLOOKUP("Gs",A1:CV300,74,FALSE)=0,0,HLOOKUP("Gs - Open",A1:CV300,74,FALSE)/HLOOKUP("Gs",A1:CV300,74,FALSE))</f>
        <v>1</v>
      </c>
      <c r="AS74" s="23913">
        <v>1.31</v>
      </c>
      <c r="AT74" s="23914">
        <v>0.68</v>
      </c>
      <c r="AU74" s="23915">
        <f>IF(HLOOKUP("Mins",A1:CV300,74,FALSE)=0,0,HLOOKUP("Pts",A1:CV300,74,FALSE)/HLOOKUP("Mins",A1:CV300,74,FALSE)* 90)</f>
        <v>2.802491103202847</v>
      </c>
      <c r="AV74" s="23916">
        <f>IF(HLOOKUP("Apps",A1:CV300,74,FALSE)=0,0,HLOOKUP("Pts",A1:CV300,74,FALSE)/HLOOKUP("Apps",A1:CV300,74,FALSE)* 1)</f>
        <v>1.8421052631578947</v>
      </c>
      <c r="AW74" s="23917">
        <f>IF(HLOOKUP("Mins",A1:CV300,74,FALSE)=0,0,HLOOKUP("Gs",A1:CV300,74,FALSE)/HLOOKUP("Mins",A1:CV300,74,FALSE)* 90)</f>
        <v>8.0071174377224191E-2</v>
      </c>
      <c r="AX74" s="23918">
        <f>IF(HLOOKUP("Mins",A1:CV300,74,FALSE)=0,0,HLOOKUP("Bonus",A1:CV300,74,FALSE)/HLOOKUP("Mins",A1:CV300,74,FALSE)* 90)</f>
        <v>0</v>
      </c>
      <c r="AY74" s="23919">
        <f>IF(HLOOKUP("Mins",A1:CV300,74,FALSE)=0,0,HLOOKUP("BPS",A1:CV300,74,FALSE)/HLOOKUP("Mins",A1:CV300,74,FALSE)* 90)</f>
        <v>15.133451957295375</v>
      </c>
      <c r="AZ74" s="23920">
        <f>IF(HLOOKUP("Mins",A1:CV300,74,FALSE)=0,0,HLOOKUP("Base BPS",A1:CV300,74,FALSE)/HLOOKUP("Mins",A1:CV300,74,FALSE)* 90)</f>
        <v>13.692170818505339</v>
      </c>
      <c r="BA74" s="23921">
        <f>IF(HLOOKUP("Mins",A1:CV300,74,FALSE)=0,0,HLOOKUP("PenTchs",A1:CV300,74,FALSE)/HLOOKUP("Mins",A1:CV300,74,FALSE)* 90)</f>
        <v>2.0818505338078293</v>
      </c>
      <c r="BB74" s="23922">
        <f>IF(HLOOKUP("Mins",A1:CV300,74,FALSE)=0,0,HLOOKUP("Shots",A1:CV300,74,FALSE)/HLOOKUP("Mins",A1:CV300,74,FALSE)* 90)</f>
        <v>1.4412811387900357</v>
      </c>
      <c r="BC74" s="23923">
        <f>IF(HLOOKUP("Mins",A1:CV300,74,FALSE)=0,0,HLOOKUP("SIB",A1:CV300,74,FALSE)/HLOOKUP("Mins",A1:CV300,74,FALSE)* 90)</f>
        <v>1.0409252669039146</v>
      </c>
      <c r="BD74" s="23924">
        <f>IF(HLOOKUP("Mins",A1:CV300,74,FALSE)=0,0,HLOOKUP("S6YD",A1:CV300,74,FALSE)/HLOOKUP("Mins",A1:CV300,74,FALSE)* 90)</f>
        <v>0</v>
      </c>
      <c r="BE74" s="23925">
        <f>IF(HLOOKUP("Mins",A1:CV300,74,FALSE)=0,0,HLOOKUP("Headers",A1:CV300,74,FALSE)/HLOOKUP("Mins",A1:CV300,74,FALSE)* 90)</f>
        <v>0</v>
      </c>
      <c r="BF74" s="23926">
        <f>IF(HLOOKUP("Mins",A1:CV300,74,FALSE)=0,0,HLOOKUP("SOT",A1:CV300,74,FALSE)/HLOOKUP("Mins",A1:CV300,74,FALSE)* 90)</f>
        <v>0.32028469750889677</v>
      </c>
      <c r="BG74" s="23927">
        <f>IF(HLOOKUP("Mins",A1:CV300,74,FALSE)=0,0,HLOOKUP("As",A1:CV300,74,FALSE)/HLOOKUP("Mins",A1:CV300,74,FALSE)* 90)</f>
        <v>0</v>
      </c>
      <c r="BH74" s="23928">
        <f>IF(HLOOKUP("Mins",A1:CV300,74,FALSE)=0,0,HLOOKUP("FPL As",A1:CV300,74,FALSE)/HLOOKUP("Mins",A1:CV300,74,FALSE)* 90)</f>
        <v>0</v>
      </c>
      <c r="BI74" s="23929">
        <f>IF(HLOOKUP("Mins",A1:CV300,74,FALSE)=0,0,HLOOKUP("BC Created",A1:CV300,74,FALSE)/HLOOKUP("Mins",A1:CV300,74,FALSE)* 90)</f>
        <v>0</v>
      </c>
      <c r="BJ74" s="23930">
        <f>IF(HLOOKUP("Mins",A1:CV300,74,FALSE)=0,0,HLOOKUP("KP",A1:CV300,74,FALSE)/HLOOKUP("Mins",A1:CV300,74,FALSE)* 90)</f>
        <v>0.80071174377224208</v>
      </c>
      <c r="BK74" s="23931">
        <f>IF(HLOOKUP("Mins",A1:CV300,74,FALSE)=0,0,HLOOKUP("BC",A1:CV300,74,FALSE)/HLOOKUP("Mins",A1:CV300,74,FALSE)* 90)</f>
        <v>8.0071174377224191E-2</v>
      </c>
      <c r="BL74" s="23932">
        <f>IF(HLOOKUP("Mins",A1:CV300,74,FALSE)=0,0,HLOOKUP("BC Miss",A1:CV300,74,FALSE)/HLOOKUP("Mins",A1:CV300,74,FALSE)* 90)</f>
        <v>8.0071174377224191E-2</v>
      </c>
      <c r="BM74" s="23933">
        <f>IF(HLOOKUP("Mins",A1:CV300,74,FALSE)=0,0,HLOOKUP("Gs - BC",A1:CV300,74,FALSE)/HLOOKUP("Mins",A1:CV300,74,FALSE)* 90)</f>
        <v>0</v>
      </c>
      <c r="BN74" s="23934">
        <f>IF(HLOOKUP("Mins",A1:CV300,74,FALSE)=0,0,HLOOKUP("GIB",A1:CV300,74,FALSE)/HLOOKUP("Mins",A1:CV300,74,FALSE)* 90)</f>
        <v>8.0071174377224191E-2</v>
      </c>
      <c r="BO74" s="23935">
        <f>IF(HLOOKUP("Mins",A1:CV300,74,FALSE)=0,0,HLOOKUP("Gs - Open",A1:CV300,74,FALSE)/HLOOKUP("Mins",A1:CV300,74,FALSE)* 90)</f>
        <v>8.0071174377224191E-2</v>
      </c>
      <c r="BP74" s="23936">
        <f>IF(HLOOKUP("Mins",A1:CV300,74,FALSE)=0,0,HLOOKUP("ICT Index",A1:CV300,74,FALSE)/HLOOKUP("Mins",A1:CV300,74,FALSE)* 90)</f>
        <v>4.4279359430604979</v>
      </c>
      <c r="BQ74" s="23937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  <v>0.16222419928825621</v>
      </c>
      <c r="BR74" s="23938">
        <f>0.0885*HLOOKUP("KP/90",A1:CV300,74,FALSE)</f>
        <v>7.0862989323843426E-2</v>
      </c>
      <c r="BS74" s="23939">
        <f>5*HLOOKUP("xG/90",A1:CV300,74,FALSE)+3*HLOOKUP("xA/90",A1:CV300,74,FALSE)</f>
        <v>1.0237099644128114</v>
      </c>
      <c r="BT74" s="23940">
        <f>HLOOKUP("xPts/90",A1:CV300,74,FALSE)-(5*0.75*(HLOOKUP("PK Gs",A1:CV300,74,FALSE)+HLOOKUP("PK Miss",A1:CV300,74,FALSE))*90/HLOOKUP("Mins",A1:CV300,74,FALSE))</f>
        <v>1.0237099644128114</v>
      </c>
      <c r="BU74" s="23941">
        <f>IF(HLOOKUP("Mins",A1:CV300,74,FALSE)=0,0,HLOOKUP("fsXG",A1:CV300,74,FALSE)/HLOOKUP("Mins",A1:CV300,74,FALSE)* 90)</f>
        <v>0.1048932384341637</v>
      </c>
      <c r="BV74" s="23942">
        <f>IF(HLOOKUP("Mins",A1:CV300,74,FALSE)=0,0,HLOOKUP("fsXA",A1:CV300,74,FALSE)/HLOOKUP("Mins",A1:CV300,74,FALSE)* 90)</f>
        <v>5.4448398576512458E-2</v>
      </c>
      <c r="BW74" s="23943">
        <f>5*HLOOKUP("fsXG/90",A1:CV300,74,FALSE)+3*HLOOKUP("fsXA/90",A1:CV300,74,FALSE)</f>
        <v>0.68781138790035579</v>
      </c>
      <c r="BX74" s="23944">
        <v>0.11356639862060547</v>
      </c>
      <c r="BY74" s="23945">
        <v>2.9903484508395195E-2</v>
      </c>
      <c r="BZ74" s="23946">
        <f>5*HLOOKUP("uXG/90",A1:CV300,74,FALSE)+3*HLOOKUP("uXA/90",A1:CV300,74,FALSE)</f>
        <v>0.65754244662821293</v>
      </c>
    </row>
    <row r="75" spans="1:78" x14ac:dyDescent="0.3">
      <c r="A75" s="23947" t="s">
        <v>402</v>
      </c>
      <c r="B75" s="23948" t="s">
        <v>151</v>
      </c>
      <c r="C75" s="23949">
        <v>5.3000001907348633</v>
      </c>
      <c r="D75" s="23950">
        <v>1408</v>
      </c>
      <c r="E75" s="23951">
        <v>18</v>
      </c>
      <c r="F75" s="23952">
        <v>31</v>
      </c>
      <c r="G75" s="23953">
        <v>0</v>
      </c>
      <c r="H75" s="23954">
        <v>0</v>
      </c>
      <c r="I75" s="23955">
        <v>212</v>
      </c>
      <c r="J75" s="23956">
        <f>HLOOKUP("BPS",A1:CV300,75,FALSE)-((-6*HLOOKUP("OG",A1:CV300,75,FALSE))+(-6*HLOOKUP("PK Miss",A1:CV300,75,FALSE))+(9*HLOOKUP("FPL As",A1:CV300,75,FALSE))+(0*HLOOKUP("CS",A1:CV300,75,FALSE))+(18*HLOOKUP("Gs",A1:CV300,75,FALSE)))</f>
        <v>212</v>
      </c>
      <c r="K75" s="23957">
        <v>0</v>
      </c>
      <c r="L75" s="23958">
        <v>2</v>
      </c>
      <c r="M75" s="23959">
        <v>18</v>
      </c>
      <c r="N75" s="23960">
        <v>27</v>
      </c>
      <c r="O75" s="23961">
        <v>5</v>
      </c>
      <c r="P75" s="23962">
        <f>IF(HLOOKUP("Shots",A1:CV300,75,FALSE)=0,0,HLOOKUP("SIB",A1:CV300,75,FALSE)/HLOOKUP("Shots",A1:CV300,75,FALSE))</f>
        <v>0.18518518518518517</v>
      </c>
      <c r="Q75" s="23963">
        <v>0</v>
      </c>
      <c r="R75" s="23964">
        <f>IF(HLOOKUP("Shots",A1:CV300,75,FALSE)=0,0,HLOOKUP("S6YD",A1:CV300,75,FALSE)/HLOOKUP("Shots",A1:CV300,75,FALSE))</f>
        <v>0</v>
      </c>
      <c r="S75" s="23965">
        <v>1</v>
      </c>
      <c r="T75" s="23966">
        <f>IF(HLOOKUP("Shots",A1:CV300,75,FALSE)=0,0,HLOOKUP("Headers",A1:CV300,75,FALSE)/HLOOKUP("Shots",A1:CV300,75,FALSE))</f>
        <v>3.7037037037037035E-2</v>
      </c>
      <c r="U75" s="23967">
        <v>6</v>
      </c>
      <c r="V75" s="23968">
        <f>IF(HLOOKUP("Shots",A1:CV300,75,FALSE)=0,0,HLOOKUP("SOT",A1:CV300,75,FALSE)/HLOOKUP("Shots",A1:CV300,75,FALSE))</f>
        <v>0.22222222222222221</v>
      </c>
      <c r="W75" s="23969">
        <f>IF(HLOOKUP("Shots",A1:CV300,75,FALSE)=0,0,HLOOKUP("Gs",A1:CV300,75,FALSE)/HLOOKUP("Shots",A1:CV300,75,FALSE))</f>
        <v>0</v>
      </c>
      <c r="X75" s="23970">
        <v>0</v>
      </c>
      <c r="Y75" s="23971">
        <v>0</v>
      </c>
      <c r="Z75" s="23972">
        <v>24</v>
      </c>
      <c r="AA75" s="23973">
        <f>IF(HLOOKUP("KP",A1:CV300,75,FALSE)=0,0,HLOOKUP("As",A1:CV300,75,FALSE)/HLOOKUP("KP",A1:CV300,75,FALSE))</f>
        <v>0</v>
      </c>
      <c r="AB75" s="23974">
        <v>79.400000000000006</v>
      </c>
      <c r="AC75" s="23975">
        <v>0</v>
      </c>
      <c r="AD75" s="23976">
        <v>2</v>
      </c>
      <c r="AE75" s="23977">
        <v>0</v>
      </c>
      <c r="AF75" s="23978">
        <v>0</v>
      </c>
      <c r="AG75" s="23979">
        <f>IF(HLOOKUP("BC",A1:CV300,75,FALSE)=0,0,HLOOKUP("Gs - BC",A1:CV300,75,FALSE)/HLOOKUP("BC",A1:CV300,75,FALSE))</f>
        <v>0</v>
      </c>
      <c r="AH75" s="23980">
        <f>HLOOKUP("BC",A1:CV300,75,FALSE) - HLOOKUP("BC Miss",A1:CV300,75,FALSE)</f>
        <v>0</v>
      </c>
      <c r="AI75" s="23981">
        <f>IF(HLOOKUP("Gs",A1:CV300,75,FALSE)=0,0,HLOOKUP("Gs - BC",A1:CV300,75,FALSE)/HLOOKUP("Gs",A1:CV300,75,FALSE))</f>
        <v>0</v>
      </c>
      <c r="AJ75" s="23982">
        <v>0</v>
      </c>
      <c r="AK75" s="23983">
        <v>0</v>
      </c>
      <c r="AL75" s="23984">
        <f>HLOOKUP("BC",A1:CV300,75,FALSE) - (HLOOKUP("PK Gs",A1:CV300,75,FALSE) + HLOOKUP("PK Miss",A1:CV300,75,FALSE))</f>
        <v>0</v>
      </c>
      <c r="AM75" s="23985">
        <f>HLOOKUP("BC Miss",A1:CV300,75,FALSE) - HLOOKUP("PK Miss",A1:CV300,75,FALSE)</f>
        <v>0</v>
      </c>
      <c r="AN75" s="23986">
        <f>IF(HLOOKUP("BC - Open",A1:CV300,75,FALSE)=0,0,HLOOKUP("BC - Open Miss",A1:CV300,75,FALSE)/HLOOKUP("BC - Open",A1:CV300,75,FALSE))</f>
        <v>0</v>
      </c>
      <c r="AO75" s="23987">
        <v>0</v>
      </c>
      <c r="AP75" s="23988">
        <f>IF(HLOOKUP("Gs",A1:CV300,75,FALSE)=0,0,HLOOKUP("GIB",A1:CV300,75,FALSE)/HLOOKUP("Gs",A1:CV300,75,FALSE))</f>
        <v>0</v>
      </c>
      <c r="AQ75" s="23989">
        <v>0</v>
      </c>
      <c r="AR75" s="23990">
        <f>IF(HLOOKUP("Gs",A1:CV300,75,FALSE)=0,0,HLOOKUP("Gs - Open",A1:CV300,75,FALSE)/HLOOKUP("Gs",A1:CV300,75,FALSE))</f>
        <v>0</v>
      </c>
      <c r="AS75" s="23991">
        <v>1.05</v>
      </c>
      <c r="AT75" s="23992">
        <v>1.55</v>
      </c>
      <c r="AU75" s="23993">
        <f>IF(HLOOKUP("Mins",A1:CV300,75,FALSE)=0,0,HLOOKUP("Pts",A1:CV300,75,FALSE)/HLOOKUP("Mins",A1:CV300,75,FALSE)* 90)</f>
        <v>1.9815340909090911</v>
      </c>
      <c r="AV75" s="23994">
        <f>IF(HLOOKUP("Apps",A1:CV300,75,FALSE)=0,0,HLOOKUP("Pts",A1:CV300,75,FALSE)/HLOOKUP("Apps",A1:CV300,75,FALSE)* 1)</f>
        <v>1.7222222222222223</v>
      </c>
      <c r="AW75" s="23995">
        <f>IF(HLOOKUP("Mins",A1:CV300,75,FALSE)=0,0,HLOOKUP("Gs",A1:CV300,75,FALSE)/HLOOKUP("Mins",A1:CV300,75,FALSE)* 90)</f>
        <v>0</v>
      </c>
      <c r="AX75" s="23996">
        <f>IF(HLOOKUP("Mins",A1:CV300,75,FALSE)=0,0,HLOOKUP("Bonus",A1:CV300,75,FALSE)/HLOOKUP("Mins",A1:CV300,75,FALSE)* 90)</f>
        <v>0</v>
      </c>
      <c r="AY75" s="23997">
        <f>IF(HLOOKUP("Mins",A1:CV300,75,FALSE)=0,0,HLOOKUP("BPS",A1:CV300,75,FALSE)/HLOOKUP("Mins",A1:CV300,75,FALSE)* 90)</f>
        <v>13.551136363636363</v>
      </c>
      <c r="AZ75" s="23998">
        <f>IF(HLOOKUP("Mins",A1:CV300,75,FALSE)=0,0,HLOOKUP("Base BPS",A1:CV300,75,FALSE)/HLOOKUP("Mins",A1:CV300,75,FALSE)* 90)</f>
        <v>13.551136363636363</v>
      </c>
      <c r="BA75" s="23999">
        <f>IF(HLOOKUP("Mins",A1:CV300,75,FALSE)=0,0,HLOOKUP("PenTchs",A1:CV300,75,FALSE)/HLOOKUP("Mins",A1:CV300,75,FALSE)* 90)</f>
        <v>1.1505681818181819</v>
      </c>
      <c r="BB75" s="24000">
        <f>IF(HLOOKUP("Mins",A1:CV300,75,FALSE)=0,0,HLOOKUP("Shots",A1:CV300,75,FALSE)/HLOOKUP("Mins",A1:CV300,75,FALSE)* 90)</f>
        <v>1.7258522727272727</v>
      </c>
      <c r="BC75" s="24001">
        <f>IF(HLOOKUP("Mins",A1:CV300,75,FALSE)=0,0,HLOOKUP("SIB",A1:CV300,75,FALSE)/HLOOKUP("Mins",A1:CV300,75,FALSE)* 90)</f>
        <v>0.31960227272727271</v>
      </c>
      <c r="BD75" s="24002">
        <f>IF(HLOOKUP("Mins",A1:CV300,75,FALSE)=0,0,HLOOKUP("S6YD",A1:CV300,75,FALSE)/HLOOKUP("Mins",A1:CV300,75,FALSE)* 90)</f>
        <v>0</v>
      </c>
      <c r="BE75" s="24003">
        <f>IF(HLOOKUP("Mins",A1:CV300,75,FALSE)=0,0,HLOOKUP("Headers",A1:CV300,75,FALSE)/HLOOKUP("Mins",A1:CV300,75,FALSE)* 90)</f>
        <v>6.3920454545454544E-2</v>
      </c>
      <c r="BF75" s="24004">
        <f>IF(HLOOKUP("Mins",A1:CV300,75,FALSE)=0,0,HLOOKUP("SOT",A1:CV300,75,FALSE)/HLOOKUP("Mins",A1:CV300,75,FALSE)* 90)</f>
        <v>0.38352272727272724</v>
      </c>
      <c r="BG75" s="24005">
        <f>IF(HLOOKUP("Mins",A1:CV300,75,FALSE)=0,0,HLOOKUP("As",A1:CV300,75,FALSE)/HLOOKUP("Mins",A1:CV300,75,FALSE)* 90)</f>
        <v>0</v>
      </c>
      <c r="BH75" s="24006">
        <f>IF(HLOOKUP("Mins",A1:CV300,75,FALSE)=0,0,HLOOKUP("FPL As",A1:CV300,75,FALSE)/HLOOKUP("Mins",A1:CV300,75,FALSE)* 90)</f>
        <v>0</v>
      </c>
      <c r="BI75" s="24007">
        <f>IF(HLOOKUP("Mins",A1:CV300,75,FALSE)=0,0,HLOOKUP("BC Created",A1:CV300,75,FALSE)/HLOOKUP("Mins",A1:CV300,75,FALSE)* 90)</f>
        <v>0.12784090909090909</v>
      </c>
      <c r="BJ75" s="24008">
        <f>IF(HLOOKUP("Mins",A1:CV300,75,FALSE)=0,0,HLOOKUP("KP",A1:CV300,75,FALSE)/HLOOKUP("Mins",A1:CV300,75,FALSE)* 90)</f>
        <v>1.5340909090909089</v>
      </c>
      <c r="BK75" s="24009">
        <f>IF(HLOOKUP("Mins",A1:CV300,75,FALSE)=0,0,HLOOKUP("BC",A1:CV300,75,FALSE)/HLOOKUP("Mins",A1:CV300,75,FALSE)* 90)</f>
        <v>0</v>
      </c>
      <c r="BL75" s="24010">
        <f>IF(HLOOKUP("Mins",A1:CV300,75,FALSE)=0,0,HLOOKUP("BC Miss",A1:CV300,75,FALSE)/HLOOKUP("Mins",A1:CV300,75,FALSE)* 90)</f>
        <v>0</v>
      </c>
      <c r="BM75" s="24011">
        <f>IF(HLOOKUP("Mins",A1:CV300,75,FALSE)=0,0,HLOOKUP("Gs - BC",A1:CV300,75,FALSE)/HLOOKUP("Mins",A1:CV300,75,FALSE)* 90)</f>
        <v>0</v>
      </c>
      <c r="BN75" s="24012">
        <f>IF(HLOOKUP("Mins",A1:CV300,75,FALSE)=0,0,HLOOKUP("GIB",A1:CV300,75,FALSE)/HLOOKUP("Mins",A1:CV300,75,FALSE)* 90)</f>
        <v>0</v>
      </c>
      <c r="BO75" s="24013">
        <f>IF(HLOOKUP("Mins",A1:CV300,75,FALSE)=0,0,HLOOKUP("Gs - Open",A1:CV300,75,FALSE)/HLOOKUP("Mins",A1:CV300,75,FALSE)* 90)</f>
        <v>0</v>
      </c>
      <c r="BP75" s="24014">
        <f>IF(HLOOKUP("Mins",A1:CV300,75,FALSE)=0,0,HLOOKUP("ICT Index",A1:CV300,75,FALSE)/HLOOKUP("Mins",A1:CV300,75,FALSE)* 90)</f>
        <v>5.0752840909090917</v>
      </c>
      <c r="BQ75" s="24015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  <v>9.6008522727272713E-2</v>
      </c>
      <c r="BR75" s="24016">
        <f>0.0885*HLOOKUP("KP/90",A1:CV300,75,FALSE)</f>
        <v>0.13576704545454543</v>
      </c>
      <c r="BS75" s="24017">
        <f>5*HLOOKUP("xG/90",A1:CV300,75,FALSE)+3*HLOOKUP("xA/90",A1:CV300,75,FALSE)</f>
        <v>0.88734374999999988</v>
      </c>
      <c r="BT75" s="24018">
        <f>HLOOKUP("xPts/90",A1:CV300,75,FALSE)-(5*0.75*(HLOOKUP("PK Gs",A1:CV300,75,FALSE)+HLOOKUP("PK Miss",A1:CV300,75,FALSE))*90/HLOOKUP("Mins",A1:CV300,75,FALSE))</f>
        <v>0.88734374999999988</v>
      </c>
      <c r="BU75" s="24019">
        <f>IF(HLOOKUP("Mins",A1:CV300,75,FALSE)=0,0,HLOOKUP("fsXG",A1:CV300,75,FALSE)/HLOOKUP("Mins",A1:CV300,75,FALSE)* 90)</f>
        <v>6.7116477272727279E-2</v>
      </c>
      <c r="BV75" s="24020">
        <f>IF(HLOOKUP("Mins",A1:CV300,75,FALSE)=0,0,HLOOKUP("fsXA",A1:CV300,75,FALSE)/HLOOKUP("Mins",A1:CV300,75,FALSE)* 90)</f>
        <v>9.9076704545454544E-2</v>
      </c>
      <c r="BW75" s="24021">
        <f>5*HLOOKUP("fsXG/90",A1:CV300,75,FALSE)+3*HLOOKUP("fsXA/90",A1:CV300,75,FALSE)</f>
        <v>0.6328125</v>
      </c>
      <c r="BX75" s="24022">
        <v>6.1685819178819656E-2</v>
      </c>
      <c r="BY75" s="24023">
        <v>0.10365737974643707</v>
      </c>
      <c r="BZ75" s="24024">
        <f>5*HLOOKUP("uXG/90",A1:CV300,75,FALSE)+3*HLOOKUP("uXA/90",A1:CV300,75,FALSE)</f>
        <v>0.6194012351334095</v>
      </c>
    </row>
    <row r="76" spans="1:78" x14ac:dyDescent="0.3">
      <c r="A76" s="24025" t="s">
        <v>403</v>
      </c>
      <c r="B76" s="24026" t="s">
        <v>81</v>
      </c>
      <c r="C76" s="24027">
        <v>4.3000001907348633</v>
      </c>
      <c r="D76" s="24028">
        <v>71</v>
      </c>
      <c r="E76" s="24029">
        <v>2</v>
      </c>
      <c r="F76" s="24030">
        <v>3</v>
      </c>
      <c r="G76" s="24031">
        <v>0</v>
      </c>
      <c r="H76" s="24032">
        <v>0</v>
      </c>
      <c r="I76" s="24033">
        <v>20</v>
      </c>
      <c r="J76" s="24034">
        <f>HLOOKUP("BPS",A1:CV300,76,FALSE)-((-6*HLOOKUP("OG",A1:CV300,76,FALSE))+(-6*HLOOKUP("PK Miss",A1:CV300,76,FALSE))+(9*HLOOKUP("FPL As",A1:CV300,76,FALSE))+(0*HLOOKUP("CS",A1:CV300,76,FALSE))+(18*HLOOKUP("Gs",A1:CV300,76,FALSE)))</f>
        <v>20</v>
      </c>
      <c r="K76" s="24035">
        <v>0</v>
      </c>
      <c r="L76" s="24036">
        <v>0</v>
      </c>
      <c r="M76" s="24037">
        <v>0</v>
      </c>
      <c r="N76" s="24038">
        <v>0</v>
      </c>
      <c r="O76" s="24039">
        <v>0</v>
      </c>
      <c r="P76" s="24040">
        <f>IF(HLOOKUP("Shots",A1:CV300,76,FALSE)=0,0,HLOOKUP("SIB",A1:CV300,76,FALSE)/HLOOKUP("Shots",A1:CV300,76,FALSE))</f>
        <v>0</v>
      </c>
      <c r="Q76" s="24041">
        <v>0</v>
      </c>
      <c r="R76" s="24042">
        <f>IF(HLOOKUP("Shots",A1:CV300,76,FALSE)=0,0,HLOOKUP("S6YD",A1:CV300,76,FALSE)/HLOOKUP("Shots",A1:CV300,76,FALSE))</f>
        <v>0</v>
      </c>
      <c r="S76" s="24043">
        <v>0</v>
      </c>
      <c r="T76" s="24044">
        <f>IF(HLOOKUP("Shots",A1:CV300,76,FALSE)=0,0,HLOOKUP("Headers",A1:CV300,76,FALSE)/HLOOKUP("Shots",A1:CV300,76,FALSE))</f>
        <v>0</v>
      </c>
      <c r="U76" s="24045">
        <v>0</v>
      </c>
      <c r="V76" s="24046">
        <f>IF(HLOOKUP("Shots",A1:CV300,76,FALSE)=0,0,HLOOKUP("SOT",A1:CV300,76,FALSE)/HLOOKUP("Shots",A1:CV300,76,FALSE))</f>
        <v>0</v>
      </c>
      <c r="W76" s="24047">
        <f>IF(HLOOKUP("Shots",A1:CV300,76,FALSE)=0,0,HLOOKUP("Gs",A1:CV300,76,FALSE)/HLOOKUP("Shots",A1:CV300,76,FALSE))</f>
        <v>0</v>
      </c>
      <c r="X76" s="24048">
        <v>0</v>
      </c>
      <c r="Y76" s="24049">
        <v>0</v>
      </c>
      <c r="Z76" s="24050">
        <v>1</v>
      </c>
      <c r="AA76" s="24051">
        <f>IF(HLOOKUP("KP",A1:CV300,76,FALSE)=0,0,HLOOKUP("As",A1:CV300,76,FALSE)/HLOOKUP("KP",A1:CV300,76,FALSE))</f>
        <v>0</v>
      </c>
      <c r="AB76" s="24052">
        <v>2.7</v>
      </c>
      <c r="AC76" s="24053">
        <v>0</v>
      </c>
      <c r="AD76" s="24054">
        <v>0</v>
      </c>
      <c r="AE76" s="24055">
        <v>0</v>
      </c>
      <c r="AF76" s="24056">
        <v>0</v>
      </c>
      <c r="AG76" s="24057">
        <f>IF(HLOOKUP("BC",A1:CV300,76,FALSE)=0,0,HLOOKUP("Gs - BC",A1:CV300,76,FALSE)/HLOOKUP("BC",A1:CV300,76,FALSE))</f>
        <v>0</v>
      </c>
      <c r="AH76" s="24058">
        <f>HLOOKUP("BC",A1:CV300,76,FALSE) - HLOOKUP("BC Miss",A1:CV300,76,FALSE)</f>
        <v>0</v>
      </c>
      <c r="AI76" s="24059">
        <f>IF(HLOOKUP("Gs",A1:CV300,76,FALSE)=0,0,HLOOKUP("Gs - BC",A1:CV300,76,FALSE)/HLOOKUP("Gs",A1:CV300,76,FALSE))</f>
        <v>0</v>
      </c>
      <c r="AJ76" s="24060">
        <v>0</v>
      </c>
      <c r="AK76" s="24061">
        <v>0</v>
      </c>
      <c r="AL76" s="24062">
        <f>HLOOKUP("BC",A1:CV300,76,FALSE) - (HLOOKUP("PK Gs",A1:CV300,76,FALSE) + HLOOKUP("PK Miss",A1:CV300,76,FALSE))</f>
        <v>0</v>
      </c>
      <c r="AM76" s="24063">
        <f>HLOOKUP("BC Miss",A1:CV300,76,FALSE) - HLOOKUP("PK Miss",A1:CV300,76,FALSE)</f>
        <v>0</v>
      </c>
      <c r="AN76" s="24064">
        <f>IF(HLOOKUP("BC - Open",A1:CV300,76,FALSE)=0,0,HLOOKUP("BC - Open Miss",A1:CV300,76,FALSE)/HLOOKUP("BC - Open",A1:CV300,76,FALSE))</f>
        <v>0</v>
      </c>
      <c r="AO76" s="24065">
        <v>0</v>
      </c>
      <c r="AP76" s="24066">
        <f>IF(HLOOKUP("Gs",A1:CV300,76,FALSE)=0,0,HLOOKUP("GIB",A1:CV300,76,FALSE)/HLOOKUP("Gs",A1:CV300,76,FALSE))</f>
        <v>0</v>
      </c>
      <c r="AQ76" s="24067">
        <v>0</v>
      </c>
      <c r="AR76" s="24068">
        <f>IF(HLOOKUP("Gs",A1:CV300,76,FALSE)=0,0,HLOOKUP("Gs - Open",A1:CV300,76,FALSE)/HLOOKUP("Gs",A1:CV300,76,FALSE))</f>
        <v>0</v>
      </c>
      <c r="AS76" s="24069">
        <v>0</v>
      </c>
      <c r="AT76" s="24070">
        <v>0.05</v>
      </c>
      <c r="AU76" s="24071">
        <f>IF(HLOOKUP("Mins",A1:CV300,76,FALSE)=0,0,HLOOKUP("Pts",A1:CV300,76,FALSE)/HLOOKUP("Mins",A1:CV300,76,FALSE)* 90)</f>
        <v>3.8028169014084505</v>
      </c>
      <c r="AV76" s="24072">
        <f>IF(HLOOKUP("Apps",A1:CV300,76,FALSE)=0,0,HLOOKUP("Pts",A1:CV300,76,FALSE)/HLOOKUP("Apps",A1:CV300,76,FALSE)* 1)</f>
        <v>1.5</v>
      </c>
      <c r="AW76" s="24073">
        <f>IF(HLOOKUP("Mins",A1:CV300,76,FALSE)=0,0,HLOOKUP("Gs",A1:CV300,76,FALSE)/HLOOKUP("Mins",A1:CV300,76,FALSE)* 90)</f>
        <v>0</v>
      </c>
      <c r="AX76" s="24074">
        <f>IF(HLOOKUP("Mins",A1:CV300,76,FALSE)=0,0,HLOOKUP("Bonus",A1:CV300,76,FALSE)/HLOOKUP("Mins",A1:CV300,76,FALSE)* 90)</f>
        <v>0</v>
      </c>
      <c r="AY76" s="24075">
        <f>IF(HLOOKUP("Mins",A1:CV300,76,FALSE)=0,0,HLOOKUP("BPS",A1:CV300,76,FALSE)/HLOOKUP("Mins",A1:CV300,76,FALSE)* 90)</f>
        <v>25.35211267605634</v>
      </c>
      <c r="AZ76" s="24076">
        <f>IF(HLOOKUP("Mins",A1:CV300,76,FALSE)=0,0,HLOOKUP("Base BPS",A1:CV300,76,FALSE)/HLOOKUP("Mins",A1:CV300,76,FALSE)* 90)</f>
        <v>25.35211267605634</v>
      </c>
      <c r="BA76" s="24077">
        <f>IF(HLOOKUP("Mins",A1:CV300,76,FALSE)=0,0,HLOOKUP("PenTchs",A1:CV300,76,FALSE)/HLOOKUP("Mins",A1:CV300,76,FALSE)* 90)</f>
        <v>0</v>
      </c>
      <c r="BB76" s="24078">
        <f>IF(HLOOKUP("Mins",A1:CV300,76,FALSE)=0,0,HLOOKUP("Shots",A1:CV300,76,FALSE)/HLOOKUP("Mins",A1:CV300,76,FALSE)* 90)</f>
        <v>0</v>
      </c>
      <c r="BC76" s="24079">
        <f>IF(HLOOKUP("Mins",A1:CV300,76,FALSE)=0,0,HLOOKUP("SIB",A1:CV300,76,FALSE)/HLOOKUP("Mins",A1:CV300,76,FALSE)* 90)</f>
        <v>0</v>
      </c>
      <c r="BD76" s="24080">
        <f>IF(HLOOKUP("Mins",A1:CV300,76,FALSE)=0,0,HLOOKUP("S6YD",A1:CV300,76,FALSE)/HLOOKUP("Mins",A1:CV300,76,FALSE)* 90)</f>
        <v>0</v>
      </c>
      <c r="BE76" s="24081">
        <f>IF(HLOOKUP("Mins",A1:CV300,76,FALSE)=0,0,HLOOKUP("Headers",A1:CV300,76,FALSE)/HLOOKUP("Mins",A1:CV300,76,FALSE)* 90)</f>
        <v>0</v>
      </c>
      <c r="BF76" s="24082">
        <f>IF(HLOOKUP("Mins",A1:CV300,76,FALSE)=0,0,HLOOKUP("SOT",A1:CV300,76,FALSE)/HLOOKUP("Mins",A1:CV300,76,FALSE)* 90)</f>
        <v>0</v>
      </c>
      <c r="BG76" s="24083">
        <f>IF(HLOOKUP("Mins",A1:CV300,76,FALSE)=0,0,HLOOKUP("As",A1:CV300,76,FALSE)/HLOOKUP("Mins",A1:CV300,76,FALSE)* 90)</f>
        <v>0</v>
      </c>
      <c r="BH76" s="24084">
        <f>IF(HLOOKUP("Mins",A1:CV300,76,FALSE)=0,0,HLOOKUP("FPL As",A1:CV300,76,FALSE)/HLOOKUP("Mins",A1:CV300,76,FALSE)* 90)</f>
        <v>0</v>
      </c>
      <c r="BI76" s="24085">
        <f>IF(HLOOKUP("Mins",A1:CV300,76,FALSE)=0,0,HLOOKUP("BC Created",A1:CV300,76,FALSE)/HLOOKUP("Mins",A1:CV300,76,FALSE)* 90)</f>
        <v>0</v>
      </c>
      <c r="BJ76" s="24086">
        <f>IF(HLOOKUP("Mins",A1:CV300,76,FALSE)=0,0,HLOOKUP("KP",A1:CV300,76,FALSE)/HLOOKUP("Mins",A1:CV300,76,FALSE)* 90)</f>
        <v>1.267605633802817</v>
      </c>
      <c r="BK76" s="24087">
        <f>IF(HLOOKUP("Mins",A1:CV300,76,FALSE)=0,0,HLOOKUP("BC",A1:CV300,76,FALSE)/HLOOKUP("Mins",A1:CV300,76,FALSE)* 90)</f>
        <v>0</v>
      </c>
      <c r="BL76" s="24088">
        <f>IF(HLOOKUP("Mins",A1:CV300,76,FALSE)=0,0,HLOOKUP("BC Miss",A1:CV300,76,FALSE)/HLOOKUP("Mins",A1:CV300,76,FALSE)* 90)</f>
        <v>0</v>
      </c>
      <c r="BM76" s="24089">
        <f>IF(HLOOKUP("Mins",A1:CV300,76,FALSE)=0,0,HLOOKUP("Gs - BC",A1:CV300,76,FALSE)/HLOOKUP("Mins",A1:CV300,76,FALSE)* 90)</f>
        <v>0</v>
      </c>
      <c r="BN76" s="24090">
        <f>IF(HLOOKUP("Mins",A1:CV300,76,FALSE)=0,0,HLOOKUP("GIB",A1:CV300,76,FALSE)/HLOOKUP("Mins",A1:CV300,76,FALSE)* 90)</f>
        <v>0</v>
      </c>
      <c r="BO76" s="24091">
        <f>IF(HLOOKUP("Mins",A1:CV300,76,FALSE)=0,0,HLOOKUP("Gs - Open",A1:CV300,76,FALSE)/HLOOKUP("Mins",A1:CV300,76,FALSE)* 90)</f>
        <v>0</v>
      </c>
      <c r="BP76" s="24092">
        <f>IF(HLOOKUP("Mins",A1:CV300,76,FALSE)=0,0,HLOOKUP("ICT Index",A1:CV300,76,FALSE)/HLOOKUP("Mins",A1:CV300,76,FALSE)* 90)</f>
        <v>3.422535211267606</v>
      </c>
      <c r="BQ76" s="24093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  <v>0</v>
      </c>
      <c r="BR76" s="24094">
        <f>0.0885*HLOOKUP("KP/90",A1:CV300,76,FALSE)</f>
        <v>0.1121830985915493</v>
      </c>
      <c r="BS76" s="24095">
        <f>5*HLOOKUP("xG/90",A1:CV300,76,FALSE)+3*HLOOKUP("xA/90",A1:CV300,76,FALSE)</f>
        <v>0.33654929577464793</v>
      </c>
      <c r="BT76" s="24096">
        <f>HLOOKUP("xPts/90",A1:CV300,76,FALSE)-(5*0.75*(HLOOKUP("PK Gs",A1:CV300,76,FALSE)+HLOOKUP("PK Miss",A1:CV300,76,FALSE))*90/HLOOKUP("Mins",A1:CV300,76,FALSE))</f>
        <v>0.33654929577464793</v>
      </c>
      <c r="BU76" s="24097">
        <f>IF(HLOOKUP("Mins",A1:CV300,76,FALSE)=0,0,HLOOKUP("fsXG",A1:CV300,76,FALSE)/HLOOKUP("Mins",A1:CV300,76,FALSE)* 90)</f>
        <v>0</v>
      </c>
      <c r="BV76" s="24098">
        <f>IF(HLOOKUP("Mins",A1:CV300,76,FALSE)=0,0,HLOOKUP("fsXA",A1:CV300,76,FALSE)/HLOOKUP("Mins",A1:CV300,76,FALSE)* 90)</f>
        <v>6.3380281690140844E-2</v>
      </c>
      <c r="BW76" s="24099">
        <f>5*HLOOKUP("fsXG/90",A1:CV300,76,FALSE)+3*HLOOKUP("fsXA/90",A1:CV300,76,FALSE)</f>
        <v>0.19014084507042253</v>
      </c>
      <c r="BX76" s="24100">
        <v>0</v>
      </c>
      <c r="BY76" s="24101">
        <v>7.2991915047168732E-2</v>
      </c>
      <c r="BZ76" s="24102">
        <f>5*HLOOKUP("uXG/90",A1:CV300,76,FALSE)+3*HLOOKUP("uXA/90",A1:CV300,76,FALSE)</f>
        <v>0.2189757451415062</v>
      </c>
    </row>
    <row r="77" spans="1:78" x14ac:dyDescent="0.3">
      <c r="A77" s="24103" t="s">
        <v>404</v>
      </c>
      <c r="B77" s="24104" t="s">
        <v>86</v>
      </c>
      <c r="C77" s="24105">
        <v>4.4000000953674316</v>
      </c>
      <c r="D77" s="24106">
        <v>1177</v>
      </c>
      <c r="E77" s="24107">
        <v>15</v>
      </c>
      <c r="F77" s="24108">
        <v>26</v>
      </c>
      <c r="G77" s="24109">
        <v>0</v>
      </c>
      <c r="H77" s="24110">
        <v>0</v>
      </c>
      <c r="I77" s="24111">
        <v>191</v>
      </c>
      <c r="J77" s="24112">
        <f>HLOOKUP("BPS",A1:CV300,77,FALSE)-((-6*HLOOKUP("OG",A1:CV300,77,FALSE))+(-6*HLOOKUP("PK Miss",A1:CV300,77,FALSE))+(9*HLOOKUP("FPL As",A1:CV300,77,FALSE))+(0*HLOOKUP("CS",A1:CV300,77,FALSE))+(18*HLOOKUP("Gs",A1:CV300,77,FALSE)))</f>
        <v>191</v>
      </c>
      <c r="K77" s="24113">
        <v>0</v>
      </c>
      <c r="L77" s="24114">
        <v>1</v>
      </c>
      <c r="M77" s="24115">
        <v>2</v>
      </c>
      <c r="N77" s="24116">
        <v>4</v>
      </c>
      <c r="O77" s="24117">
        <v>0</v>
      </c>
      <c r="P77" s="24118">
        <f>IF(HLOOKUP("Shots",A1:CV300,77,FALSE)=0,0,HLOOKUP("SIB",A1:CV300,77,FALSE)/HLOOKUP("Shots",A1:CV300,77,FALSE))</f>
        <v>0</v>
      </c>
      <c r="Q77" s="24119">
        <v>0</v>
      </c>
      <c r="R77" s="24120">
        <f>IF(HLOOKUP("Shots",A1:CV300,77,FALSE)=0,0,HLOOKUP("S6YD",A1:CV300,77,FALSE)/HLOOKUP("Shots",A1:CV300,77,FALSE))</f>
        <v>0</v>
      </c>
      <c r="S77" s="24121">
        <v>0</v>
      </c>
      <c r="T77" s="24122">
        <f>IF(HLOOKUP("Shots",A1:CV300,77,FALSE)=0,0,HLOOKUP("Headers",A1:CV300,77,FALSE)/HLOOKUP("Shots",A1:CV300,77,FALSE))</f>
        <v>0</v>
      </c>
      <c r="U77" s="24123">
        <v>1</v>
      </c>
      <c r="V77" s="24124">
        <f>IF(HLOOKUP("Shots",A1:CV300,77,FALSE)=0,0,HLOOKUP("SOT",A1:CV300,77,FALSE)/HLOOKUP("Shots",A1:CV300,77,FALSE))</f>
        <v>0.25</v>
      </c>
      <c r="W77" s="24125">
        <f>IF(HLOOKUP("Shots",A1:CV300,77,FALSE)=0,0,HLOOKUP("Gs",A1:CV300,77,FALSE)/HLOOKUP("Shots",A1:CV300,77,FALSE))</f>
        <v>0</v>
      </c>
      <c r="X77" s="24126">
        <v>0</v>
      </c>
      <c r="Y77" s="24127">
        <v>0</v>
      </c>
      <c r="Z77" s="24128">
        <v>11</v>
      </c>
      <c r="AA77" s="24129">
        <f>IF(HLOOKUP("KP",A1:CV300,77,FALSE)=0,0,HLOOKUP("As",A1:CV300,77,FALSE)/HLOOKUP("KP",A1:CV300,77,FALSE))</f>
        <v>0</v>
      </c>
      <c r="AB77" s="24130">
        <v>37.6</v>
      </c>
      <c r="AC77" s="24131">
        <v>0</v>
      </c>
      <c r="AD77" s="24132">
        <v>0</v>
      </c>
      <c r="AE77" s="24133">
        <v>0</v>
      </c>
      <c r="AF77" s="24134">
        <v>0</v>
      </c>
      <c r="AG77" s="24135">
        <f>IF(HLOOKUP("BC",A1:CV300,77,FALSE)=0,0,HLOOKUP("Gs - BC",A1:CV300,77,FALSE)/HLOOKUP("BC",A1:CV300,77,FALSE))</f>
        <v>0</v>
      </c>
      <c r="AH77" s="24136">
        <f>HLOOKUP("BC",A1:CV300,77,FALSE) - HLOOKUP("BC Miss",A1:CV300,77,FALSE)</f>
        <v>0</v>
      </c>
      <c r="AI77" s="24137">
        <f>IF(HLOOKUP("Gs",A1:CV300,77,FALSE)=0,0,HLOOKUP("Gs - BC",A1:CV300,77,FALSE)/HLOOKUP("Gs",A1:CV300,77,FALSE))</f>
        <v>0</v>
      </c>
      <c r="AJ77" s="24138">
        <v>0</v>
      </c>
      <c r="AK77" s="24139">
        <v>0</v>
      </c>
      <c r="AL77" s="24140">
        <f>HLOOKUP("BC",A1:CV300,77,FALSE) - (HLOOKUP("PK Gs",A1:CV300,77,FALSE) + HLOOKUP("PK Miss",A1:CV300,77,FALSE))</f>
        <v>0</v>
      </c>
      <c r="AM77" s="24141">
        <f>HLOOKUP("BC Miss",A1:CV300,77,FALSE) - HLOOKUP("PK Miss",A1:CV300,77,FALSE)</f>
        <v>0</v>
      </c>
      <c r="AN77" s="24142">
        <f>IF(HLOOKUP("BC - Open",A1:CV300,77,FALSE)=0,0,HLOOKUP("BC - Open Miss",A1:CV300,77,FALSE)/HLOOKUP("BC - Open",A1:CV300,77,FALSE))</f>
        <v>0</v>
      </c>
      <c r="AO77" s="24143">
        <v>0</v>
      </c>
      <c r="AP77" s="24144">
        <f>IF(HLOOKUP("Gs",A1:CV300,77,FALSE)=0,0,HLOOKUP("GIB",A1:CV300,77,FALSE)/HLOOKUP("Gs",A1:CV300,77,FALSE))</f>
        <v>0</v>
      </c>
      <c r="AQ77" s="24145">
        <v>0</v>
      </c>
      <c r="AR77" s="24146">
        <f>IF(HLOOKUP("Gs",A1:CV300,77,FALSE)=0,0,HLOOKUP("Gs - Open",A1:CV300,77,FALSE)/HLOOKUP("Gs",A1:CV300,77,FALSE))</f>
        <v>0</v>
      </c>
      <c r="AS77" s="24147">
        <v>0.08</v>
      </c>
      <c r="AT77" s="24148">
        <v>0.39</v>
      </c>
      <c r="AU77" s="24149">
        <f>IF(HLOOKUP("Mins",A1:CV300,77,FALSE)=0,0,HLOOKUP("Pts",A1:CV300,77,FALSE)/HLOOKUP("Mins",A1:CV300,77,FALSE)* 90)</f>
        <v>1.9881053525913337</v>
      </c>
      <c r="AV77" s="24150">
        <f>IF(HLOOKUP("Apps",A1:CV300,77,FALSE)=0,0,HLOOKUP("Pts",A1:CV300,77,FALSE)/HLOOKUP("Apps",A1:CV300,77,FALSE)* 1)</f>
        <v>1.7333333333333334</v>
      </c>
      <c r="AW77" s="24151">
        <f>IF(HLOOKUP("Mins",A1:CV300,77,FALSE)=0,0,HLOOKUP("Gs",A1:CV300,77,FALSE)/HLOOKUP("Mins",A1:CV300,77,FALSE)* 90)</f>
        <v>0</v>
      </c>
      <c r="AX77" s="24152">
        <f>IF(HLOOKUP("Mins",A1:CV300,77,FALSE)=0,0,HLOOKUP("Bonus",A1:CV300,77,FALSE)/HLOOKUP("Mins",A1:CV300,77,FALSE)* 90)</f>
        <v>0</v>
      </c>
      <c r="AY77" s="24153">
        <f>IF(HLOOKUP("Mins",A1:CV300,77,FALSE)=0,0,HLOOKUP("BPS",A1:CV300,77,FALSE)/HLOOKUP("Mins",A1:CV300,77,FALSE)* 90)</f>
        <v>14.604927782497876</v>
      </c>
      <c r="AZ77" s="24154">
        <f>IF(HLOOKUP("Mins",A1:CV300,77,FALSE)=0,0,HLOOKUP("Base BPS",A1:CV300,77,FALSE)/HLOOKUP("Mins",A1:CV300,77,FALSE)* 90)</f>
        <v>14.604927782497876</v>
      </c>
      <c r="BA77" s="24155">
        <f>IF(HLOOKUP("Mins",A1:CV300,77,FALSE)=0,0,HLOOKUP("PenTchs",A1:CV300,77,FALSE)/HLOOKUP("Mins",A1:CV300,77,FALSE)* 90)</f>
        <v>0.15293118096856415</v>
      </c>
      <c r="BB77" s="24156">
        <f>IF(HLOOKUP("Mins",A1:CV300,77,FALSE)=0,0,HLOOKUP("Shots",A1:CV300,77,FALSE)/HLOOKUP("Mins",A1:CV300,77,FALSE)* 90)</f>
        <v>0.30586236193712829</v>
      </c>
      <c r="BC77" s="24157">
        <f>IF(HLOOKUP("Mins",A1:CV300,77,FALSE)=0,0,HLOOKUP("SIB",A1:CV300,77,FALSE)/HLOOKUP("Mins",A1:CV300,77,FALSE)* 90)</f>
        <v>0</v>
      </c>
      <c r="BD77" s="24158">
        <f>IF(HLOOKUP("Mins",A1:CV300,77,FALSE)=0,0,HLOOKUP("S6YD",A1:CV300,77,FALSE)/HLOOKUP("Mins",A1:CV300,77,FALSE)* 90)</f>
        <v>0</v>
      </c>
      <c r="BE77" s="24159">
        <f>IF(HLOOKUP("Mins",A1:CV300,77,FALSE)=0,0,HLOOKUP("Headers",A1:CV300,77,FALSE)/HLOOKUP("Mins",A1:CV300,77,FALSE)* 90)</f>
        <v>0</v>
      </c>
      <c r="BF77" s="24160">
        <f>IF(HLOOKUP("Mins",A1:CV300,77,FALSE)=0,0,HLOOKUP("SOT",A1:CV300,77,FALSE)/HLOOKUP("Mins",A1:CV300,77,FALSE)* 90)</f>
        <v>7.6465590484282073E-2</v>
      </c>
      <c r="BG77" s="24161">
        <f>IF(HLOOKUP("Mins",A1:CV300,77,FALSE)=0,0,HLOOKUP("As",A1:CV300,77,FALSE)/HLOOKUP("Mins",A1:CV300,77,FALSE)* 90)</f>
        <v>0</v>
      </c>
      <c r="BH77" s="24162">
        <f>IF(HLOOKUP("Mins",A1:CV300,77,FALSE)=0,0,HLOOKUP("FPL As",A1:CV300,77,FALSE)/HLOOKUP("Mins",A1:CV300,77,FALSE)* 90)</f>
        <v>0</v>
      </c>
      <c r="BI77" s="24163">
        <f>IF(HLOOKUP("Mins",A1:CV300,77,FALSE)=0,0,HLOOKUP("BC Created",A1:CV300,77,FALSE)/HLOOKUP("Mins",A1:CV300,77,FALSE)* 90)</f>
        <v>0</v>
      </c>
      <c r="BJ77" s="24164">
        <f>IF(HLOOKUP("Mins",A1:CV300,77,FALSE)=0,0,HLOOKUP("KP",A1:CV300,77,FALSE)/HLOOKUP("Mins",A1:CV300,77,FALSE)* 90)</f>
        <v>0.84112149532710279</v>
      </c>
      <c r="BK77" s="24165">
        <f>IF(HLOOKUP("Mins",A1:CV300,77,FALSE)=0,0,HLOOKUP("BC",A1:CV300,77,FALSE)/HLOOKUP("Mins",A1:CV300,77,FALSE)* 90)</f>
        <v>0</v>
      </c>
      <c r="BL77" s="24166">
        <f>IF(HLOOKUP("Mins",A1:CV300,77,FALSE)=0,0,HLOOKUP("BC Miss",A1:CV300,77,FALSE)/HLOOKUP("Mins",A1:CV300,77,FALSE)* 90)</f>
        <v>0</v>
      </c>
      <c r="BM77" s="24167">
        <f>IF(HLOOKUP("Mins",A1:CV300,77,FALSE)=0,0,HLOOKUP("Gs - BC",A1:CV300,77,FALSE)/HLOOKUP("Mins",A1:CV300,77,FALSE)* 90)</f>
        <v>0</v>
      </c>
      <c r="BN77" s="24168">
        <f>IF(HLOOKUP("Mins",A1:CV300,77,FALSE)=0,0,HLOOKUP("GIB",A1:CV300,77,FALSE)/HLOOKUP("Mins",A1:CV300,77,FALSE)* 90)</f>
        <v>0</v>
      </c>
      <c r="BO77" s="24169">
        <f>IF(HLOOKUP("Mins",A1:CV300,77,FALSE)=0,0,HLOOKUP("Gs - Open",A1:CV300,77,FALSE)/HLOOKUP("Mins",A1:CV300,77,FALSE)* 90)</f>
        <v>0</v>
      </c>
      <c r="BP77" s="24170">
        <f>IF(HLOOKUP("Mins",A1:CV300,77,FALSE)=0,0,HLOOKUP("ICT Index",A1:CV300,77,FALSE)/HLOOKUP("Mins",A1:CV300,77,FALSE)* 90)</f>
        <v>2.8751062022090061</v>
      </c>
      <c r="BQ77" s="24171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  <v>1.1011045029736617E-2</v>
      </c>
      <c r="BR77" s="24172">
        <f>0.0885*HLOOKUP("KP/90",A1:CV300,77,FALSE)</f>
        <v>7.4439252336448589E-2</v>
      </c>
      <c r="BS77" s="24173">
        <f>5*HLOOKUP("xG/90",A1:CV300,77,FALSE)+3*HLOOKUP("xA/90",A1:CV300,77,FALSE)</f>
        <v>0.27837298215802886</v>
      </c>
      <c r="BT77" s="24174">
        <f>HLOOKUP("xPts/90",A1:CV300,77,FALSE)-(5*0.75*(HLOOKUP("PK Gs",A1:CV300,77,FALSE)+HLOOKUP("PK Miss",A1:CV300,77,FALSE))*90/HLOOKUP("Mins",A1:CV300,77,FALSE))</f>
        <v>0.27837298215802886</v>
      </c>
      <c r="BU77" s="24175">
        <f>IF(HLOOKUP("Mins",A1:CV300,77,FALSE)=0,0,HLOOKUP("fsXG",A1:CV300,77,FALSE)/HLOOKUP("Mins",A1:CV300,77,FALSE)* 90)</f>
        <v>6.1172472387425658E-3</v>
      </c>
      <c r="BV77" s="24176">
        <f>IF(HLOOKUP("Mins",A1:CV300,77,FALSE)=0,0,HLOOKUP("fsXA",A1:CV300,77,FALSE)/HLOOKUP("Mins",A1:CV300,77,FALSE)* 90)</f>
        <v>2.9821580288870012E-2</v>
      </c>
      <c r="BW77" s="24177">
        <f>5*HLOOKUP("fsXG/90",A1:CV300,77,FALSE)+3*HLOOKUP("fsXA/90",A1:CV300,77,FALSE)</f>
        <v>0.12005097706032286</v>
      </c>
      <c r="BX77" s="24178">
        <v>4.2565292678773403E-3</v>
      </c>
      <c r="BY77" s="24179">
        <v>3.7137307226657867E-2</v>
      </c>
      <c r="BZ77" s="24180">
        <f>5*HLOOKUP("uXG/90",A1:CV300,77,FALSE)+3*HLOOKUP("uXA/90",A1:CV300,77,FALSE)</f>
        <v>0.1326945680193603</v>
      </c>
    </row>
    <row r="78" spans="1:78" x14ac:dyDescent="0.3">
      <c r="A78" s="24181" t="s">
        <v>405</v>
      </c>
      <c r="B78" s="24182" t="s">
        <v>96</v>
      </c>
      <c r="C78" s="24183">
        <v>4.9000000953674316</v>
      </c>
      <c r="D78" s="24184">
        <v>1737</v>
      </c>
      <c r="E78" s="24185">
        <v>20</v>
      </c>
      <c r="F78" s="24186">
        <v>45</v>
      </c>
      <c r="G78" s="24187">
        <v>0</v>
      </c>
      <c r="H78" s="24188">
        <v>0</v>
      </c>
      <c r="I78" s="24189">
        <v>205</v>
      </c>
      <c r="J78" s="24190">
        <f>HLOOKUP("BPS",A1:CV300,78,FALSE)-((-6*HLOOKUP("OG",A1:CV300,78,FALSE))+(-6*HLOOKUP("PK Miss",A1:CV300,78,FALSE))+(9*HLOOKUP("FPL As",A1:CV300,78,FALSE))+(0*HLOOKUP("CS",A1:CV300,78,FALSE))+(18*HLOOKUP("Gs",A1:CV300,78,FALSE)))</f>
        <v>205</v>
      </c>
      <c r="K78" s="24191">
        <v>0</v>
      </c>
      <c r="L78" s="24192">
        <v>6</v>
      </c>
      <c r="M78" s="24193">
        <v>24</v>
      </c>
      <c r="N78" s="24194">
        <v>13</v>
      </c>
      <c r="O78" s="24195">
        <v>9</v>
      </c>
      <c r="P78" s="24196">
        <f>IF(HLOOKUP("Shots",A1:CV300,78,FALSE)=0,0,HLOOKUP("SIB",A1:CV300,78,FALSE)/HLOOKUP("Shots",A1:CV300,78,FALSE))</f>
        <v>0.69230769230769229</v>
      </c>
      <c r="Q78" s="24197">
        <v>5</v>
      </c>
      <c r="R78" s="24198">
        <f>IF(HLOOKUP("Shots",A1:CV300,78,FALSE)=0,0,HLOOKUP("S6YD",A1:CV300,78,FALSE)/HLOOKUP("Shots",A1:CV300,78,FALSE))</f>
        <v>0.38461538461538464</v>
      </c>
      <c r="S78" s="24199">
        <v>2</v>
      </c>
      <c r="T78" s="24200">
        <f>IF(HLOOKUP("Shots",A1:CV300,78,FALSE)=0,0,HLOOKUP("Headers",A1:CV300,78,FALSE)/HLOOKUP("Shots",A1:CV300,78,FALSE))</f>
        <v>0.15384615384615385</v>
      </c>
      <c r="U78" s="24201">
        <v>3</v>
      </c>
      <c r="V78" s="24202">
        <f>IF(HLOOKUP("Shots",A1:CV300,78,FALSE)=0,0,HLOOKUP("SOT",A1:CV300,78,FALSE)/HLOOKUP("Shots",A1:CV300,78,FALSE))</f>
        <v>0.23076923076923078</v>
      </c>
      <c r="W78" s="24203">
        <f>IF(HLOOKUP("Shots",A1:CV300,78,FALSE)=0,0,HLOOKUP("Gs",A1:CV300,78,FALSE)/HLOOKUP("Shots",A1:CV300,78,FALSE))</f>
        <v>0</v>
      </c>
      <c r="X78" s="24204">
        <v>0</v>
      </c>
      <c r="Y78" s="24205">
        <v>0</v>
      </c>
      <c r="Z78" s="24206">
        <v>9</v>
      </c>
      <c r="AA78" s="24207">
        <f>IF(HLOOKUP("KP",A1:CV300,78,FALSE)=0,0,HLOOKUP("As",A1:CV300,78,FALSE)/HLOOKUP("KP",A1:CV300,78,FALSE))</f>
        <v>0</v>
      </c>
      <c r="AB78" s="24208">
        <v>55.4</v>
      </c>
      <c r="AC78" s="24209">
        <v>0</v>
      </c>
      <c r="AD78" s="24210">
        <v>2</v>
      </c>
      <c r="AE78" s="24211">
        <v>1</v>
      </c>
      <c r="AF78" s="24212">
        <v>1</v>
      </c>
      <c r="AG78" s="24213">
        <f>IF(HLOOKUP("BC",A1:CV300,78,FALSE)=0,0,HLOOKUP("Gs - BC",A1:CV300,78,FALSE)/HLOOKUP("BC",A1:CV300,78,FALSE))</f>
        <v>0</v>
      </c>
      <c r="AH78" s="24214">
        <f>HLOOKUP("BC",A1:CV300,78,FALSE) - HLOOKUP("BC Miss",A1:CV300,78,FALSE)</f>
        <v>0</v>
      </c>
      <c r="AI78" s="24215">
        <f>IF(HLOOKUP("Gs",A1:CV300,78,FALSE)=0,0,HLOOKUP("Gs - BC",A1:CV300,78,FALSE)/HLOOKUP("Gs",A1:CV300,78,FALSE))</f>
        <v>0</v>
      </c>
      <c r="AJ78" s="24216">
        <v>0</v>
      </c>
      <c r="AK78" s="24217">
        <v>0</v>
      </c>
      <c r="AL78" s="24218">
        <f>HLOOKUP("BC",A1:CV300,78,FALSE) - (HLOOKUP("PK Gs",A1:CV300,78,FALSE) + HLOOKUP("PK Miss",A1:CV300,78,FALSE))</f>
        <v>1</v>
      </c>
      <c r="AM78" s="24219">
        <f>HLOOKUP("BC Miss",A1:CV300,78,FALSE) - HLOOKUP("PK Miss",A1:CV300,78,FALSE)</f>
        <v>1</v>
      </c>
      <c r="AN78" s="24220">
        <f>IF(HLOOKUP("BC - Open",A1:CV300,78,FALSE)=0,0,HLOOKUP("BC - Open Miss",A1:CV300,78,FALSE)/HLOOKUP("BC - Open",A1:CV300,78,FALSE))</f>
        <v>1</v>
      </c>
      <c r="AO78" s="24221">
        <v>0</v>
      </c>
      <c r="AP78" s="24222">
        <f>IF(HLOOKUP("Gs",A1:CV300,78,FALSE)=0,0,HLOOKUP("GIB",A1:CV300,78,FALSE)/HLOOKUP("Gs",A1:CV300,78,FALSE))</f>
        <v>0</v>
      </c>
      <c r="AQ78" s="24223">
        <v>0</v>
      </c>
      <c r="AR78" s="24224">
        <f>IF(HLOOKUP("Gs",A1:CV300,78,FALSE)=0,0,HLOOKUP("Gs - Open",A1:CV300,78,FALSE)/HLOOKUP("Gs",A1:CV300,78,FALSE))</f>
        <v>0</v>
      </c>
      <c r="AS78" s="24225">
        <v>1.61</v>
      </c>
      <c r="AT78" s="24226">
        <v>0.97</v>
      </c>
      <c r="AU78" s="24227">
        <f>IF(HLOOKUP("Mins",A1:CV300,78,FALSE)=0,0,HLOOKUP("Pts",A1:CV300,78,FALSE)/HLOOKUP("Mins",A1:CV300,78,FALSE)* 90)</f>
        <v>2.3316062176165802</v>
      </c>
      <c r="AV78" s="24228">
        <f>IF(HLOOKUP("Apps",A1:CV300,78,FALSE)=0,0,HLOOKUP("Pts",A1:CV300,78,FALSE)/HLOOKUP("Apps",A1:CV300,78,FALSE)* 1)</f>
        <v>2.25</v>
      </c>
      <c r="AW78" s="24229">
        <f>IF(HLOOKUP("Mins",A1:CV300,78,FALSE)=0,0,HLOOKUP("Gs",A1:CV300,78,FALSE)/HLOOKUP("Mins",A1:CV300,78,FALSE)* 90)</f>
        <v>0</v>
      </c>
      <c r="AX78" s="24230">
        <f>IF(HLOOKUP("Mins",A1:CV300,78,FALSE)=0,0,HLOOKUP("Bonus",A1:CV300,78,FALSE)/HLOOKUP("Mins",A1:CV300,78,FALSE)* 90)</f>
        <v>0</v>
      </c>
      <c r="AY78" s="24231">
        <f>IF(HLOOKUP("Mins",A1:CV300,78,FALSE)=0,0,HLOOKUP("BPS",A1:CV300,78,FALSE)/HLOOKUP("Mins",A1:CV300,78,FALSE)* 90)</f>
        <v>10.621761658031089</v>
      </c>
      <c r="AZ78" s="24232">
        <f>IF(HLOOKUP("Mins",A1:CV300,78,FALSE)=0,0,HLOOKUP("Base BPS",A1:CV300,78,FALSE)/HLOOKUP("Mins",A1:CV300,78,FALSE)* 90)</f>
        <v>10.621761658031089</v>
      </c>
      <c r="BA78" s="24233">
        <f>IF(HLOOKUP("Mins",A1:CV300,78,FALSE)=0,0,HLOOKUP("PenTchs",A1:CV300,78,FALSE)/HLOOKUP("Mins",A1:CV300,78,FALSE)* 90)</f>
        <v>1.2435233160621761</v>
      </c>
      <c r="BB78" s="24234">
        <f>IF(HLOOKUP("Mins",A1:CV300,78,FALSE)=0,0,HLOOKUP("Shots",A1:CV300,78,FALSE)/HLOOKUP("Mins",A1:CV300,78,FALSE)* 90)</f>
        <v>0.67357512953367882</v>
      </c>
      <c r="BC78" s="24235">
        <f>IF(HLOOKUP("Mins",A1:CV300,78,FALSE)=0,0,HLOOKUP("SIB",A1:CV300,78,FALSE)/HLOOKUP("Mins",A1:CV300,78,FALSE)* 90)</f>
        <v>0.46632124352331605</v>
      </c>
      <c r="BD78" s="24236">
        <f>IF(HLOOKUP("Mins",A1:CV300,78,FALSE)=0,0,HLOOKUP("S6YD",A1:CV300,78,FALSE)/HLOOKUP("Mins",A1:CV300,78,FALSE)* 90)</f>
        <v>0.25906735751295334</v>
      </c>
      <c r="BE78" s="24237">
        <f>IF(HLOOKUP("Mins",A1:CV300,78,FALSE)=0,0,HLOOKUP("Headers",A1:CV300,78,FALSE)/HLOOKUP("Mins",A1:CV300,78,FALSE)* 90)</f>
        <v>0.10362694300518135</v>
      </c>
      <c r="BF78" s="24238">
        <f>IF(HLOOKUP("Mins",A1:CV300,78,FALSE)=0,0,HLOOKUP("SOT",A1:CV300,78,FALSE)/HLOOKUP("Mins",A1:CV300,78,FALSE)* 90)</f>
        <v>0.15544041450777202</v>
      </c>
      <c r="BG78" s="24239">
        <f>IF(HLOOKUP("Mins",A1:CV300,78,FALSE)=0,0,HLOOKUP("As",A1:CV300,78,FALSE)/HLOOKUP("Mins",A1:CV300,78,FALSE)* 90)</f>
        <v>0</v>
      </c>
      <c r="BH78" s="24240">
        <f>IF(HLOOKUP("Mins",A1:CV300,78,FALSE)=0,0,HLOOKUP("FPL As",A1:CV300,78,FALSE)/HLOOKUP("Mins",A1:CV300,78,FALSE)* 90)</f>
        <v>0</v>
      </c>
      <c r="BI78" s="24241">
        <f>IF(HLOOKUP("Mins",A1:CV300,78,FALSE)=0,0,HLOOKUP("BC Created",A1:CV300,78,FALSE)/HLOOKUP("Mins",A1:CV300,78,FALSE)* 90)</f>
        <v>0.10362694300518135</v>
      </c>
      <c r="BJ78" s="24242">
        <f>IF(HLOOKUP("Mins",A1:CV300,78,FALSE)=0,0,HLOOKUP("KP",A1:CV300,78,FALSE)/HLOOKUP("Mins",A1:CV300,78,FALSE)* 90)</f>
        <v>0.46632124352331605</v>
      </c>
      <c r="BK78" s="24243">
        <f>IF(HLOOKUP("Mins",A1:CV300,78,FALSE)=0,0,HLOOKUP("BC",A1:CV300,78,FALSE)/HLOOKUP("Mins",A1:CV300,78,FALSE)* 90)</f>
        <v>5.1813471502590677E-2</v>
      </c>
      <c r="BL78" s="24244">
        <f>IF(HLOOKUP("Mins",A1:CV300,78,FALSE)=0,0,HLOOKUP("BC Miss",A1:CV300,78,FALSE)/HLOOKUP("Mins",A1:CV300,78,FALSE)* 90)</f>
        <v>5.1813471502590677E-2</v>
      </c>
      <c r="BM78" s="24245">
        <f>IF(HLOOKUP("Mins",A1:CV300,78,FALSE)=0,0,HLOOKUP("Gs - BC",A1:CV300,78,FALSE)/HLOOKUP("Mins",A1:CV300,78,FALSE)* 90)</f>
        <v>0</v>
      </c>
      <c r="BN78" s="24246">
        <f>IF(HLOOKUP("Mins",A1:CV300,78,FALSE)=0,0,HLOOKUP("GIB",A1:CV300,78,FALSE)/HLOOKUP("Mins",A1:CV300,78,FALSE)* 90)</f>
        <v>0</v>
      </c>
      <c r="BO78" s="24247">
        <f>IF(HLOOKUP("Mins",A1:CV300,78,FALSE)=0,0,HLOOKUP("Gs - Open",A1:CV300,78,FALSE)/HLOOKUP("Mins",A1:CV300,78,FALSE)* 90)</f>
        <v>0</v>
      </c>
      <c r="BP78" s="24248">
        <f>IF(HLOOKUP("Mins",A1:CV300,78,FALSE)=0,0,HLOOKUP("ICT Index",A1:CV300,78,FALSE)/HLOOKUP("Mins",A1:CV300,78,FALSE)* 90)</f>
        <v>2.8704663212435233</v>
      </c>
      <c r="BQ78" s="24249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  <v>7.3678756476683926E-2</v>
      </c>
      <c r="BR78" s="24250">
        <f>0.0885*HLOOKUP("KP/90",A1:CV300,78,FALSE)</f>
        <v>4.1269430051813466E-2</v>
      </c>
      <c r="BS78" s="24251">
        <f>5*HLOOKUP("xG/90",A1:CV300,78,FALSE)+3*HLOOKUP("xA/90",A1:CV300,78,FALSE)</f>
        <v>0.49220207253886006</v>
      </c>
      <c r="BT78" s="24252">
        <f>HLOOKUP("xPts/90",A1:CV300,78,FALSE)-(5*0.75*(HLOOKUP("PK Gs",A1:CV300,78,FALSE)+HLOOKUP("PK Miss",A1:CV300,78,FALSE))*90/HLOOKUP("Mins",A1:CV300,78,FALSE))</f>
        <v>0.49220207253886006</v>
      </c>
      <c r="BU78" s="24253">
        <f>IF(HLOOKUP("Mins",A1:CV300,78,FALSE)=0,0,HLOOKUP("fsXG",A1:CV300,78,FALSE)/HLOOKUP("Mins",A1:CV300,78,FALSE)* 90)</f>
        <v>8.3419689119170984E-2</v>
      </c>
      <c r="BV78" s="24254">
        <f>IF(HLOOKUP("Mins",A1:CV300,78,FALSE)=0,0,HLOOKUP("fsXA",A1:CV300,78,FALSE)/HLOOKUP("Mins",A1:CV300,78,FALSE)* 90)</f>
        <v>5.0259067357512947E-2</v>
      </c>
      <c r="BW78" s="24255">
        <f>5*HLOOKUP("fsXG/90",A1:CV300,78,FALSE)+3*HLOOKUP("fsXA/90",A1:CV300,78,FALSE)</f>
        <v>0.56787564766839371</v>
      </c>
      <c r="BX78" s="24256">
        <v>5.5372815579175949E-2</v>
      </c>
      <c r="BY78" s="24257">
        <v>5.0984527915716171E-2</v>
      </c>
      <c r="BZ78" s="24258">
        <f>5*HLOOKUP("uXG/90",A1:CV300,78,FALSE)+3*HLOOKUP("uXA/90",A1:CV300,78,FALSE)</f>
        <v>0.42981766164302826</v>
      </c>
    </row>
    <row r="79" spans="1:78" x14ac:dyDescent="0.3">
      <c r="A79" s="24259" t="s">
        <v>406</v>
      </c>
      <c r="B79" s="24260" t="s">
        <v>89</v>
      </c>
      <c r="C79" s="24261">
        <v>4.3000001907348633</v>
      </c>
      <c r="D79" s="24262">
        <v>12</v>
      </c>
      <c r="E79" s="24263">
        <v>3</v>
      </c>
      <c r="F79" s="24264">
        <v>3</v>
      </c>
      <c r="G79" s="24265">
        <v>0</v>
      </c>
      <c r="H79" s="24266">
        <v>0</v>
      </c>
      <c r="I79" s="24267">
        <v>8</v>
      </c>
      <c r="J79" s="24268">
        <f>HLOOKUP("BPS",A1:CV300,79,FALSE)-((-6*HLOOKUP("OG",A1:CV300,79,FALSE))+(-6*HLOOKUP("PK Miss",A1:CV300,79,FALSE))+(9*HLOOKUP("FPL As",A1:CV300,79,FALSE))+(0*HLOOKUP("CS",A1:CV300,79,FALSE))+(18*HLOOKUP("Gs",A1:CV300,79,FALSE)))</f>
        <v>8</v>
      </c>
      <c r="K79" s="24269">
        <v>0</v>
      </c>
      <c r="L79" s="24270">
        <v>0</v>
      </c>
      <c r="M79" s="24271">
        <v>0</v>
      </c>
      <c r="N79" s="24272">
        <v>0</v>
      </c>
      <c r="O79" s="24273">
        <v>0</v>
      </c>
      <c r="P79" s="24274">
        <f>IF(HLOOKUP("Shots",A1:CV300,79,FALSE)=0,0,HLOOKUP("SIB",A1:CV300,79,FALSE)/HLOOKUP("Shots",A1:CV300,79,FALSE))</f>
        <v>0</v>
      </c>
      <c r="Q79" s="24275">
        <v>0</v>
      </c>
      <c r="R79" s="24276">
        <f>IF(HLOOKUP("Shots",A1:CV300,79,FALSE)=0,0,HLOOKUP("S6YD",A1:CV300,79,FALSE)/HLOOKUP("Shots",A1:CV300,79,FALSE))</f>
        <v>0</v>
      </c>
      <c r="S79" s="24277">
        <v>0</v>
      </c>
      <c r="T79" s="24278">
        <f>IF(HLOOKUP("Shots",A1:CV300,79,FALSE)=0,0,HLOOKUP("Headers",A1:CV300,79,FALSE)/HLOOKUP("Shots",A1:CV300,79,FALSE))</f>
        <v>0</v>
      </c>
      <c r="U79" s="24279">
        <v>0</v>
      </c>
      <c r="V79" s="24280">
        <f>IF(HLOOKUP("Shots",A1:CV300,79,FALSE)=0,0,HLOOKUP("SOT",A1:CV300,79,FALSE)/HLOOKUP("Shots",A1:CV300,79,FALSE))</f>
        <v>0</v>
      </c>
      <c r="W79" s="24281">
        <f>IF(HLOOKUP("Shots",A1:CV300,79,FALSE)=0,0,HLOOKUP("Gs",A1:CV300,79,FALSE)/HLOOKUP("Shots",A1:CV300,79,FALSE))</f>
        <v>0</v>
      </c>
      <c r="X79" s="24282">
        <v>0</v>
      </c>
      <c r="Y79" s="24283">
        <v>0</v>
      </c>
      <c r="Z79" s="24284">
        <v>0</v>
      </c>
      <c r="AA79" s="24285">
        <f>IF(HLOOKUP("KP",A1:CV300,79,FALSE)=0,0,HLOOKUP("As",A1:CV300,79,FALSE)/HLOOKUP("KP",A1:CV300,79,FALSE))</f>
        <v>0</v>
      </c>
      <c r="AB79" s="24286">
        <v>0.5</v>
      </c>
      <c r="AC79" s="24287">
        <v>0</v>
      </c>
      <c r="AD79" s="24288">
        <v>0</v>
      </c>
      <c r="AE79" s="24289">
        <v>0</v>
      </c>
      <c r="AF79" s="24290">
        <v>0</v>
      </c>
      <c r="AG79" s="24291">
        <f>IF(HLOOKUP("BC",A1:CV300,79,FALSE)=0,0,HLOOKUP("Gs - BC",A1:CV300,79,FALSE)/HLOOKUP("BC",A1:CV300,79,FALSE))</f>
        <v>0</v>
      </c>
      <c r="AH79" s="24292">
        <f>HLOOKUP("BC",A1:CV300,79,FALSE) - HLOOKUP("BC Miss",A1:CV300,79,FALSE)</f>
        <v>0</v>
      </c>
      <c r="AI79" s="24293">
        <f>IF(HLOOKUP("Gs",A1:CV300,79,FALSE)=0,0,HLOOKUP("Gs - BC",A1:CV300,79,FALSE)/HLOOKUP("Gs",A1:CV300,79,FALSE))</f>
        <v>0</v>
      </c>
      <c r="AJ79" s="24294">
        <v>0</v>
      </c>
      <c r="AK79" s="24295">
        <v>0</v>
      </c>
      <c r="AL79" s="24296">
        <f>HLOOKUP("BC",A1:CV300,79,FALSE) - (HLOOKUP("PK Gs",A1:CV300,79,FALSE) + HLOOKUP("PK Miss",A1:CV300,79,FALSE))</f>
        <v>0</v>
      </c>
      <c r="AM79" s="24297">
        <f>HLOOKUP("BC Miss",A1:CV300,79,FALSE) - HLOOKUP("PK Miss",A1:CV300,79,FALSE)</f>
        <v>0</v>
      </c>
      <c r="AN79" s="24298">
        <f>IF(HLOOKUP("BC - Open",A1:CV300,79,FALSE)=0,0,HLOOKUP("BC - Open Miss",A1:CV300,79,FALSE)/HLOOKUP("BC - Open",A1:CV300,79,FALSE))</f>
        <v>0</v>
      </c>
      <c r="AO79" s="24299">
        <v>0</v>
      </c>
      <c r="AP79" s="24300">
        <f>IF(HLOOKUP("Gs",A1:CV300,79,FALSE)=0,0,HLOOKUP("GIB",A1:CV300,79,FALSE)/HLOOKUP("Gs",A1:CV300,79,FALSE))</f>
        <v>0</v>
      </c>
      <c r="AQ79" s="24301">
        <v>0</v>
      </c>
      <c r="AR79" s="24302">
        <f>IF(HLOOKUP("Gs",A1:CV300,79,FALSE)=0,0,HLOOKUP("Gs - Open",A1:CV300,79,FALSE)/HLOOKUP("Gs",A1:CV300,79,FALSE))</f>
        <v>0</v>
      </c>
      <c r="AS79" s="24303">
        <v>0</v>
      </c>
      <c r="AT79" s="24304">
        <v>0</v>
      </c>
      <c r="AU79" s="24305">
        <f>IF(HLOOKUP("Mins",A1:CV300,79,FALSE)=0,0,HLOOKUP("Pts",A1:CV300,79,FALSE)/HLOOKUP("Mins",A1:CV300,79,FALSE)* 90)</f>
        <v>22.5</v>
      </c>
      <c r="AV79" s="24306">
        <f>IF(HLOOKUP("Apps",A1:CV300,79,FALSE)=0,0,HLOOKUP("Pts",A1:CV300,79,FALSE)/HLOOKUP("Apps",A1:CV300,79,FALSE)* 1)</f>
        <v>1</v>
      </c>
      <c r="AW79" s="24307">
        <f>IF(HLOOKUP("Mins",A1:CV300,79,FALSE)=0,0,HLOOKUP("Gs",A1:CV300,79,FALSE)/HLOOKUP("Mins",A1:CV300,79,FALSE)* 90)</f>
        <v>0</v>
      </c>
      <c r="AX79" s="24308">
        <f>IF(HLOOKUP("Mins",A1:CV300,79,FALSE)=0,0,HLOOKUP("Bonus",A1:CV300,79,FALSE)/HLOOKUP("Mins",A1:CV300,79,FALSE)* 90)</f>
        <v>0</v>
      </c>
      <c r="AY79" s="24309">
        <f>IF(HLOOKUP("Mins",A1:CV300,79,FALSE)=0,0,HLOOKUP("BPS",A1:CV300,79,FALSE)/HLOOKUP("Mins",A1:CV300,79,FALSE)* 90)</f>
        <v>60</v>
      </c>
      <c r="AZ79" s="24310">
        <f>IF(HLOOKUP("Mins",A1:CV300,79,FALSE)=0,0,HLOOKUP("Base BPS",A1:CV300,79,FALSE)/HLOOKUP("Mins",A1:CV300,79,FALSE)* 90)</f>
        <v>60</v>
      </c>
      <c r="BA79" s="24311">
        <f>IF(HLOOKUP("Mins",A1:CV300,79,FALSE)=0,0,HLOOKUP("PenTchs",A1:CV300,79,FALSE)/HLOOKUP("Mins",A1:CV300,79,FALSE)* 90)</f>
        <v>0</v>
      </c>
      <c r="BB79" s="24312">
        <f>IF(HLOOKUP("Mins",A1:CV300,79,FALSE)=0,0,HLOOKUP("Shots",A1:CV300,79,FALSE)/HLOOKUP("Mins",A1:CV300,79,FALSE)* 90)</f>
        <v>0</v>
      </c>
      <c r="BC79" s="24313">
        <f>IF(HLOOKUP("Mins",A1:CV300,79,FALSE)=0,0,HLOOKUP("SIB",A1:CV300,79,FALSE)/HLOOKUP("Mins",A1:CV300,79,FALSE)* 90)</f>
        <v>0</v>
      </c>
      <c r="BD79" s="24314">
        <f>IF(HLOOKUP("Mins",A1:CV300,79,FALSE)=0,0,HLOOKUP("S6YD",A1:CV300,79,FALSE)/HLOOKUP("Mins",A1:CV300,79,FALSE)* 90)</f>
        <v>0</v>
      </c>
      <c r="BE79" s="24315">
        <f>IF(HLOOKUP("Mins",A1:CV300,79,FALSE)=0,0,HLOOKUP("Headers",A1:CV300,79,FALSE)/HLOOKUP("Mins",A1:CV300,79,FALSE)* 90)</f>
        <v>0</v>
      </c>
      <c r="BF79" s="24316">
        <f>IF(HLOOKUP("Mins",A1:CV300,79,FALSE)=0,0,HLOOKUP("SOT",A1:CV300,79,FALSE)/HLOOKUP("Mins",A1:CV300,79,FALSE)* 90)</f>
        <v>0</v>
      </c>
      <c r="BG79" s="24317">
        <f>IF(HLOOKUP("Mins",A1:CV300,79,FALSE)=0,0,HLOOKUP("As",A1:CV300,79,FALSE)/HLOOKUP("Mins",A1:CV300,79,FALSE)* 90)</f>
        <v>0</v>
      </c>
      <c r="BH79" s="24318">
        <f>IF(HLOOKUP("Mins",A1:CV300,79,FALSE)=0,0,HLOOKUP("FPL As",A1:CV300,79,FALSE)/HLOOKUP("Mins",A1:CV300,79,FALSE)* 90)</f>
        <v>0</v>
      </c>
      <c r="BI79" s="24319">
        <f>IF(HLOOKUP("Mins",A1:CV300,79,FALSE)=0,0,HLOOKUP("BC Created",A1:CV300,79,FALSE)/HLOOKUP("Mins",A1:CV300,79,FALSE)* 90)</f>
        <v>0</v>
      </c>
      <c r="BJ79" s="24320">
        <f>IF(HLOOKUP("Mins",A1:CV300,79,FALSE)=0,0,HLOOKUP("KP",A1:CV300,79,FALSE)/HLOOKUP("Mins",A1:CV300,79,FALSE)* 90)</f>
        <v>0</v>
      </c>
      <c r="BK79" s="24321">
        <f>IF(HLOOKUP("Mins",A1:CV300,79,FALSE)=0,0,HLOOKUP("BC",A1:CV300,79,FALSE)/HLOOKUP("Mins",A1:CV300,79,FALSE)* 90)</f>
        <v>0</v>
      </c>
      <c r="BL79" s="24322">
        <f>IF(HLOOKUP("Mins",A1:CV300,79,FALSE)=0,0,HLOOKUP("BC Miss",A1:CV300,79,FALSE)/HLOOKUP("Mins",A1:CV300,79,FALSE)* 90)</f>
        <v>0</v>
      </c>
      <c r="BM79" s="24323">
        <f>IF(HLOOKUP("Mins",A1:CV300,79,FALSE)=0,0,HLOOKUP("Gs - BC",A1:CV300,79,FALSE)/HLOOKUP("Mins",A1:CV300,79,FALSE)* 90)</f>
        <v>0</v>
      </c>
      <c r="BN79" s="24324">
        <f>IF(HLOOKUP("Mins",A1:CV300,79,FALSE)=0,0,HLOOKUP("GIB",A1:CV300,79,FALSE)/HLOOKUP("Mins",A1:CV300,79,FALSE)* 90)</f>
        <v>0</v>
      </c>
      <c r="BO79" s="24325">
        <f>IF(HLOOKUP("Mins",A1:CV300,79,FALSE)=0,0,HLOOKUP("Gs - Open",A1:CV300,79,FALSE)/HLOOKUP("Mins",A1:CV300,79,FALSE)* 90)</f>
        <v>0</v>
      </c>
      <c r="BP79" s="24326">
        <f>IF(HLOOKUP("Mins",A1:CV300,79,FALSE)=0,0,HLOOKUP("ICT Index",A1:CV300,79,FALSE)/HLOOKUP("Mins",A1:CV300,79,FALSE)* 90)</f>
        <v>3.75</v>
      </c>
      <c r="BQ79" s="24327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  <v>0</v>
      </c>
      <c r="BR79" s="24328">
        <f>0.0885*HLOOKUP("KP/90",A1:CV300,79,FALSE)</f>
        <v>0</v>
      </c>
      <c r="BS79" s="24329">
        <f>5*HLOOKUP("xG/90",A1:CV300,79,FALSE)+3*HLOOKUP("xA/90",A1:CV300,79,FALSE)</f>
        <v>0</v>
      </c>
      <c r="BT79" s="24330">
        <f>HLOOKUP("xPts/90",A1:CV300,79,FALSE)-(5*0.75*(HLOOKUP("PK Gs",A1:CV300,79,FALSE)+HLOOKUP("PK Miss",A1:CV300,79,FALSE))*90/HLOOKUP("Mins",A1:CV300,79,FALSE))</f>
        <v>0</v>
      </c>
      <c r="BU79" s="24331">
        <f>IF(HLOOKUP("Mins",A1:CV300,79,FALSE)=0,0,HLOOKUP("fsXG",A1:CV300,79,FALSE)/HLOOKUP("Mins",A1:CV300,79,FALSE)* 90)</f>
        <v>0</v>
      </c>
      <c r="BV79" s="24332">
        <f>IF(HLOOKUP("Mins",A1:CV300,79,FALSE)=0,0,HLOOKUP("fsXA",A1:CV300,79,FALSE)/HLOOKUP("Mins",A1:CV300,79,FALSE)* 90)</f>
        <v>0</v>
      </c>
      <c r="BW79" s="24333">
        <f>5*HLOOKUP("fsXG/90",A1:CV300,79,FALSE)+3*HLOOKUP("fsXA/90",A1:CV300,79,FALSE)</f>
        <v>0</v>
      </c>
      <c r="BX79" s="24334">
        <v>0</v>
      </c>
      <c r="BY79" s="24335">
        <v>0</v>
      </c>
      <c r="BZ79" s="24336">
        <f>5*HLOOKUP("uXG/90",A1:CV300,79,FALSE)+3*HLOOKUP("uXA/90",A1:CV300,79,FALSE)</f>
        <v>0</v>
      </c>
    </row>
    <row r="80" spans="1:78" x14ac:dyDescent="0.3">
      <c r="A80" s="24337" t="s">
        <v>407</v>
      </c>
      <c r="B80" s="24338" t="s">
        <v>93</v>
      </c>
      <c r="C80" s="24339">
        <v>4.9000000953674316</v>
      </c>
      <c r="D80" s="24340">
        <v>523</v>
      </c>
      <c r="E80" s="24341">
        <v>9</v>
      </c>
      <c r="F80" s="24342">
        <v>25</v>
      </c>
      <c r="G80" s="24343">
        <v>2</v>
      </c>
      <c r="H80" s="24344">
        <v>1</v>
      </c>
      <c r="I80" s="24345">
        <v>88</v>
      </c>
      <c r="J80" s="24346">
        <f>HLOOKUP("BPS",A1:CV300,80,FALSE)-((-6*HLOOKUP("OG",A1:CV300,80,FALSE))+(-6*HLOOKUP("PK Miss",A1:CV300,80,FALSE))+(9*HLOOKUP("FPL As",A1:CV300,80,FALSE))+(0*HLOOKUP("CS",A1:CV300,80,FALSE))+(18*HLOOKUP("Gs",A1:CV300,80,FALSE)))</f>
        <v>52</v>
      </c>
      <c r="K80" s="24347">
        <v>0</v>
      </c>
      <c r="L80" s="24348">
        <v>1</v>
      </c>
      <c r="M80" s="24349">
        <v>14</v>
      </c>
      <c r="N80" s="24350">
        <v>6</v>
      </c>
      <c r="O80" s="24351">
        <v>6</v>
      </c>
      <c r="P80" s="24352">
        <f>IF(HLOOKUP("Shots",A1:CV300,80,FALSE)=0,0,HLOOKUP("SIB",A1:CV300,80,FALSE)/HLOOKUP("Shots",A1:CV300,80,FALSE))</f>
        <v>1</v>
      </c>
      <c r="Q80" s="24353">
        <v>1</v>
      </c>
      <c r="R80" s="24354">
        <f>IF(HLOOKUP("Shots",A1:CV300,80,FALSE)=0,0,HLOOKUP("S6YD",A1:CV300,80,FALSE)/HLOOKUP("Shots",A1:CV300,80,FALSE))</f>
        <v>0.16666666666666666</v>
      </c>
      <c r="S80" s="24355">
        <v>1</v>
      </c>
      <c r="T80" s="24356">
        <f>IF(HLOOKUP("Shots",A1:CV300,80,FALSE)=0,0,HLOOKUP("Headers",A1:CV300,80,FALSE)/HLOOKUP("Shots",A1:CV300,80,FALSE))</f>
        <v>0.16666666666666666</v>
      </c>
      <c r="U80" s="24357">
        <v>2</v>
      </c>
      <c r="V80" s="24358">
        <f>IF(HLOOKUP("Shots",A1:CV300,80,FALSE)=0,0,HLOOKUP("SOT",A1:CV300,80,FALSE)/HLOOKUP("Shots",A1:CV300,80,FALSE))</f>
        <v>0.33333333333333331</v>
      </c>
      <c r="W80" s="24359">
        <f>IF(HLOOKUP("Shots",A1:CV300,80,FALSE)=0,0,HLOOKUP("Gs",A1:CV300,80,FALSE)/HLOOKUP("Shots",A1:CV300,80,FALSE))</f>
        <v>0.33333333333333331</v>
      </c>
      <c r="X80" s="24360">
        <v>0</v>
      </c>
      <c r="Y80" s="24361">
        <v>0</v>
      </c>
      <c r="Z80" s="24362">
        <v>3</v>
      </c>
      <c r="AA80" s="24363">
        <f>IF(HLOOKUP("KP",A1:CV300,80,FALSE)=0,0,HLOOKUP("As",A1:CV300,80,FALSE)/HLOOKUP("KP",A1:CV300,80,FALSE))</f>
        <v>0</v>
      </c>
      <c r="AB80" s="24364">
        <v>33.200000000000003</v>
      </c>
      <c r="AC80" s="24365">
        <v>67</v>
      </c>
      <c r="AD80" s="24366">
        <v>0</v>
      </c>
      <c r="AE80" s="24367">
        <v>2</v>
      </c>
      <c r="AF80" s="24368">
        <v>0</v>
      </c>
      <c r="AG80" s="24369">
        <f>IF(HLOOKUP("BC",A1:CV300,80,FALSE)=0,0,HLOOKUP("Gs - BC",A1:CV300,80,FALSE)/HLOOKUP("BC",A1:CV300,80,FALSE))</f>
        <v>1</v>
      </c>
      <c r="AH80" s="24370">
        <f>HLOOKUP("BC",A1:CV300,80,FALSE) - HLOOKUP("BC Miss",A1:CV300,80,FALSE)</f>
        <v>2</v>
      </c>
      <c r="AI80" s="24371">
        <f>IF(HLOOKUP("Gs",A1:CV300,80,FALSE)=0,0,HLOOKUP("Gs - BC",A1:CV300,80,FALSE)/HLOOKUP("Gs",A1:CV300,80,FALSE))</f>
        <v>1</v>
      </c>
      <c r="AJ80" s="24372">
        <v>0</v>
      </c>
      <c r="AK80" s="24373">
        <v>0</v>
      </c>
      <c r="AL80" s="24374">
        <f>HLOOKUP("BC",A1:CV300,80,FALSE) - (HLOOKUP("PK Gs",A1:CV300,80,FALSE) + HLOOKUP("PK Miss",A1:CV300,80,FALSE))</f>
        <v>2</v>
      </c>
      <c r="AM80" s="24375">
        <f>HLOOKUP("BC Miss",A1:CV300,80,FALSE) - HLOOKUP("PK Miss",A1:CV300,80,FALSE)</f>
        <v>0</v>
      </c>
      <c r="AN80" s="24376">
        <f>IF(HLOOKUP("BC - Open",A1:CV300,80,FALSE)=0,0,HLOOKUP("BC - Open Miss",A1:CV300,80,FALSE)/HLOOKUP("BC - Open",A1:CV300,80,FALSE))</f>
        <v>0</v>
      </c>
      <c r="AO80" s="24377">
        <v>2</v>
      </c>
      <c r="AP80" s="24378">
        <f>IF(HLOOKUP("Gs",A1:CV300,80,FALSE)=0,0,HLOOKUP("GIB",A1:CV300,80,FALSE)/HLOOKUP("Gs",A1:CV300,80,FALSE))</f>
        <v>1</v>
      </c>
      <c r="AQ80" s="24379">
        <v>1</v>
      </c>
      <c r="AR80" s="24380">
        <f>IF(HLOOKUP("Gs",A1:CV300,80,FALSE)=0,0,HLOOKUP("Gs - Open",A1:CV300,80,FALSE)/HLOOKUP("Gs",A1:CV300,80,FALSE))</f>
        <v>0.5</v>
      </c>
      <c r="AS80" s="24381">
        <v>1.28</v>
      </c>
      <c r="AT80" s="24382">
        <v>0.1</v>
      </c>
      <c r="AU80" s="24383">
        <f>IF(HLOOKUP("Mins",A1:CV300,80,FALSE)=0,0,HLOOKUP("Pts",A1:CV300,80,FALSE)/HLOOKUP("Mins",A1:CV300,80,FALSE)* 90)</f>
        <v>4.3021032504780115</v>
      </c>
      <c r="AV80" s="24384">
        <f>IF(HLOOKUP("Apps",A1:CV300,80,FALSE)=0,0,HLOOKUP("Pts",A1:CV300,80,FALSE)/HLOOKUP("Apps",A1:CV300,80,FALSE)* 1)</f>
        <v>2.7777777777777777</v>
      </c>
      <c r="AW80" s="24385">
        <f>IF(HLOOKUP("Mins",A1:CV300,80,FALSE)=0,0,HLOOKUP("Gs",A1:CV300,80,FALSE)/HLOOKUP("Mins",A1:CV300,80,FALSE)* 90)</f>
        <v>0.34416826003824091</v>
      </c>
      <c r="AX80" s="24386">
        <f>IF(HLOOKUP("Mins",A1:CV300,80,FALSE)=0,0,HLOOKUP("Bonus",A1:CV300,80,FALSE)/HLOOKUP("Mins",A1:CV300,80,FALSE)* 90)</f>
        <v>0.17208413001912046</v>
      </c>
      <c r="AY80" s="24387">
        <f>IF(HLOOKUP("Mins",A1:CV300,80,FALSE)=0,0,HLOOKUP("BPS",A1:CV300,80,FALSE)/HLOOKUP("Mins",A1:CV300,80,FALSE)* 90)</f>
        <v>15.143403441682601</v>
      </c>
      <c r="AZ80" s="24388">
        <f>IF(HLOOKUP("Mins",A1:CV300,80,FALSE)=0,0,HLOOKUP("Base BPS",A1:CV300,80,FALSE)/HLOOKUP("Mins",A1:CV300,80,FALSE)* 90)</f>
        <v>8.9483747609942643</v>
      </c>
      <c r="BA80" s="24389">
        <f>IF(HLOOKUP("Mins",A1:CV300,80,FALSE)=0,0,HLOOKUP("PenTchs",A1:CV300,80,FALSE)/HLOOKUP("Mins",A1:CV300,80,FALSE)* 90)</f>
        <v>2.4091778202676868</v>
      </c>
      <c r="BB80" s="24390">
        <f>IF(HLOOKUP("Mins",A1:CV300,80,FALSE)=0,0,HLOOKUP("Shots",A1:CV300,80,FALSE)/HLOOKUP("Mins",A1:CV300,80,FALSE)* 90)</f>
        <v>1.0325047801147227</v>
      </c>
      <c r="BC80" s="24391">
        <f>IF(HLOOKUP("Mins",A1:CV300,80,FALSE)=0,0,HLOOKUP("SIB",A1:CV300,80,FALSE)/HLOOKUP("Mins",A1:CV300,80,FALSE)* 90)</f>
        <v>1.0325047801147227</v>
      </c>
      <c r="BD80" s="24392">
        <f>IF(HLOOKUP("Mins",A1:CV300,80,FALSE)=0,0,HLOOKUP("S6YD",A1:CV300,80,FALSE)/HLOOKUP("Mins",A1:CV300,80,FALSE)* 90)</f>
        <v>0.17208413001912046</v>
      </c>
      <c r="BE80" s="24393">
        <f>IF(HLOOKUP("Mins",A1:CV300,80,FALSE)=0,0,HLOOKUP("Headers",A1:CV300,80,FALSE)/HLOOKUP("Mins",A1:CV300,80,FALSE)* 90)</f>
        <v>0.17208413001912046</v>
      </c>
      <c r="BF80" s="24394">
        <f>IF(HLOOKUP("Mins",A1:CV300,80,FALSE)=0,0,HLOOKUP("SOT",A1:CV300,80,FALSE)/HLOOKUP("Mins",A1:CV300,80,FALSE)* 90)</f>
        <v>0.34416826003824091</v>
      </c>
      <c r="BG80" s="24395">
        <f>IF(HLOOKUP("Mins",A1:CV300,80,FALSE)=0,0,HLOOKUP("As",A1:CV300,80,FALSE)/HLOOKUP("Mins",A1:CV300,80,FALSE)* 90)</f>
        <v>0</v>
      </c>
      <c r="BH80" s="24396">
        <f>IF(HLOOKUP("Mins",A1:CV300,80,FALSE)=0,0,HLOOKUP("FPL As",A1:CV300,80,FALSE)/HLOOKUP("Mins",A1:CV300,80,FALSE)* 90)</f>
        <v>0</v>
      </c>
      <c r="BI80" s="24397">
        <f>IF(HLOOKUP("Mins",A1:CV300,80,FALSE)=0,0,HLOOKUP("BC Created",A1:CV300,80,FALSE)/HLOOKUP("Mins",A1:CV300,80,FALSE)* 90)</f>
        <v>0</v>
      </c>
      <c r="BJ80" s="24398">
        <f>IF(HLOOKUP("Mins",A1:CV300,80,FALSE)=0,0,HLOOKUP("KP",A1:CV300,80,FALSE)/HLOOKUP("Mins",A1:CV300,80,FALSE)* 90)</f>
        <v>0.51625239005736134</v>
      </c>
      <c r="BK80" s="24399">
        <f>IF(HLOOKUP("Mins",A1:CV300,80,FALSE)=0,0,HLOOKUP("BC",A1:CV300,80,FALSE)/HLOOKUP("Mins",A1:CV300,80,FALSE)* 90)</f>
        <v>0.34416826003824091</v>
      </c>
      <c r="BL80" s="24400">
        <f>IF(HLOOKUP("Mins",A1:CV300,80,FALSE)=0,0,HLOOKUP("BC Miss",A1:CV300,80,FALSE)/HLOOKUP("Mins",A1:CV300,80,FALSE)* 90)</f>
        <v>0</v>
      </c>
      <c r="BM80" s="24401">
        <f>IF(HLOOKUP("Mins",A1:CV300,80,FALSE)=0,0,HLOOKUP("Gs - BC",A1:CV300,80,FALSE)/HLOOKUP("Mins",A1:CV300,80,FALSE)* 90)</f>
        <v>0.34416826003824091</v>
      </c>
      <c r="BN80" s="24402">
        <f>IF(HLOOKUP("Mins",A1:CV300,80,FALSE)=0,0,HLOOKUP("GIB",A1:CV300,80,FALSE)/HLOOKUP("Mins",A1:CV300,80,FALSE)* 90)</f>
        <v>0.34416826003824091</v>
      </c>
      <c r="BO80" s="24403">
        <f>IF(HLOOKUP("Mins",A1:CV300,80,FALSE)=0,0,HLOOKUP("Gs - Open",A1:CV300,80,FALSE)/HLOOKUP("Mins",A1:CV300,80,FALSE)* 90)</f>
        <v>0.17208413001912046</v>
      </c>
      <c r="BP80" s="24404">
        <f>IF(HLOOKUP("Mins",A1:CV300,80,FALSE)=0,0,HLOOKUP("ICT Index",A1:CV300,80,FALSE)/HLOOKUP("Mins",A1:CV300,80,FALSE)* 90)</f>
        <v>5.7131931166347991</v>
      </c>
      <c r="BQ80" s="24405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  <v>0.14661567877629061</v>
      </c>
      <c r="BR80" s="24406">
        <f>0.0885*HLOOKUP("KP/90",A1:CV300,80,FALSE)</f>
        <v>4.5688336520076478E-2</v>
      </c>
      <c r="BS80" s="24407">
        <f>5*HLOOKUP("xG/90",A1:CV300,80,FALSE)+3*HLOOKUP("xA/90",A1:CV300,80,FALSE)</f>
        <v>0.87014340344168262</v>
      </c>
      <c r="BT80" s="24408">
        <f>HLOOKUP("xPts/90",A1:CV300,80,FALSE)-(5*0.75*(HLOOKUP("PK Gs",A1:CV300,80,FALSE)+HLOOKUP("PK Miss",A1:CV300,80,FALSE))*90/HLOOKUP("Mins",A1:CV300,80,FALSE))</f>
        <v>0.87014340344168262</v>
      </c>
      <c r="BU80" s="24409">
        <f>IF(HLOOKUP("Mins",A1:CV300,80,FALSE)=0,0,HLOOKUP("fsXG",A1:CV300,80,FALSE)/HLOOKUP("Mins",A1:CV300,80,FALSE)* 90)</f>
        <v>0.2202676864244742</v>
      </c>
      <c r="BV80" s="24410">
        <f>IF(HLOOKUP("Mins",A1:CV300,80,FALSE)=0,0,HLOOKUP("fsXA",A1:CV300,80,FALSE)/HLOOKUP("Mins",A1:CV300,80,FALSE)* 90)</f>
        <v>1.7208413001912046E-2</v>
      </c>
      <c r="BW80" s="24411">
        <f>5*HLOOKUP("fsXG/90",A1:CV300,80,FALSE)+3*HLOOKUP("fsXA/90",A1:CV300,80,FALSE)</f>
        <v>1.152963671128107</v>
      </c>
      <c r="BX80" s="24412">
        <v>0.24304749071598053</v>
      </c>
      <c r="BY80" s="24413">
        <v>3.6068558692932129E-2</v>
      </c>
      <c r="BZ80" s="24414">
        <f>5*HLOOKUP("uXG/90",A1:CV300,80,FALSE)+3*HLOOKUP("uXA/90",A1:CV300,80,FALSE)</f>
        <v>1.323443129658699</v>
      </c>
    </row>
    <row r="81" spans="1:78" x14ac:dyDescent="0.3">
      <c r="A81" s="24415" t="s">
        <v>408</v>
      </c>
      <c r="B81" s="24416" t="s">
        <v>100</v>
      </c>
      <c r="C81" s="24417">
        <v>5.3000001907348633</v>
      </c>
      <c r="D81" s="24418">
        <v>1685</v>
      </c>
      <c r="E81" s="24419">
        <v>22</v>
      </c>
      <c r="F81" s="24420">
        <v>56</v>
      </c>
      <c r="G81" s="24421">
        <v>2</v>
      </c>
      <c r="H81" s="24422">
        <v>4</v>
      </c>
      <c r="I81" s="24423">
        <v>269</v>
      </c>
      <c r="J81" s="24424">
        <f>HLOOKUP("BPS",A1:CV300,81,FALSE)-((-6*HLOOKUP("OG",A1:CV300,81,FALSE))+(-6*HLOOKUP("PK Miss",A1:CV300,81,FALSE))+(9*HLOOKUP("FPL As",A1:CV300,81,FALSE))+(0*HLOOKUP("CS",A1:CV300,81,FALSE))+(18*HLOOKUP("Gs",A1:CV300,81,FALSE)))</f>
        <v>224</v>
      </c>
      <c r="K81" s="24425">
        <v>0</v>
      </c>
      <c r="L81" s="24426">
        <v>4</v>
      </c>
      <c r="M81" s="24427">
        <v>1</v>
      </c>
      <c r="N81" s="24428">
        <v>38</v>
      </c>
      <c r="O81" s="24429">
        <v>0</v>
      </c>
      <c r="P81" s="24430">
        <f>IF(HLOOKUP("Shots",A1:CV300,81,FALSE)=0,0,HLOOKUP("SIB",A1:CV300,81,FALSE)/HLOOKUP("Shots",A1:CV300,81,FALSE))</f>
        <v>0</v>
      </c>
      <c r="Q81" s="24431">
        <v>0</v>
      </c>
      <c r="R81" s="24432">
        <f>IF(HLOOKUP("Shots",A1:CV300,81,FALSE)=0,0,HLOOKUP("S6YD",A1:CV300,81,FALSE)/HLOOKUP("Shots",A1:CV300,81,FALSE))</f>
        <v>0</v>
      </c>
      <c r="S81" s="24433">
        <v>0</v>
      </c>
      <c r="T81" s="24434">
        <f>IF(HLOOKUP("Shots",A1:CV300,81,FALSE)=0,0,HLOOKUP("Headers",A1:CV300,81,FALSE)/HLOOKUP("Shots",A1:CV300,81,FALSE))</f>
        <v>0</v>
      </c>
      <c r="U81" s="24435">
        <v>6</v>
      </c>
      <c r="V81" s="24436">
        <f>IF(HLOOKUP("Shots",A1:CV300,81,FALSE)=0,0,HLOOKUP("SOT",A1:CV300,81,FALSE)/HLOOKUP("Shots",A1:CV300,81,FALSE))</f>
        <v>0.15789473684210525</v>
      </c>
      <c r="W81" s="24437">
        <f>IF(HLOOKUP("Shots",A1:CV300,81,FALSE)=0,0,HLOOKUP("Gs",A1:CV300,81,FALSE)/HLOOKUP("Shots",A1:CV300,81,FALSE))</f>
        <v>5.2631578947368418E-2</v>
      </c>
      <c r="X81" s="24438">
        <v>1</v>
      </c>
      <c r="Y81" s="24439">
        <v>1</v>
      </c>
      <c r="Z81" s="24440">
        <v>16</v>
      </c>
      <c r="AA81" s="24441">
        <f>IF(HLOOKUP("KP",A1:CV300,81,FALSE)=0,0,HLOOKUP("As",A1:CV300,81,FALSE)/HLOOKUP("KP",A1:CV300,81,FALSE))</f>
        <v>6.25E-2</v>
      </c>
      <c r="AB81" s="24442">
        <v>73.7</v>
      </c>
      <c r="AC81" s="24443">
        <v>11</v>
      </c>
      <c r="AD81" s="24444">
        <v>0</v>
      </c>
      <c r="AE81" s="24445">
        <v>0</v>
      </c>
      <c r="AF81" s="24446">
        <v>0</v>
      </c>
      <c r="AG81" s="24447">
        <f>IF(HLOOKUP("BC",A1:CV300,81,FALSE)=0,0,HLOOKUP("Gs - BC",A1:CV300,81,FALSE)/HLOOKUP("BC",A1:CV300,81,FALSE))</f>
        <v>0</v>
      </c>
      <c r="AH81" s="24448">
        <f>HLOOKUP("BC",A1:CV300,81,FALSE) - HLOOKUP("BC Miss",A1:CV300,81,FALSE)</f>
        <v>0</v>
      </c>
      <c r="AI81" s="24449">
        <f>IF(HLOOKUP("Gs",A1:CV300,81,FALSE)=0,0,HLOOKUP("Gs - BC",A1:CV300,81,FALSE)/HLOOKUP("Gs",A1:CV300,81,FALSE))</f>
        <v>0</v>
      </c>
      <c r="AJ81" s="24450">
        <v>0</v>
      </c>
      <c r="AK81" s="24451">
        <v>0</v>
      </c>
      <c r="AL81" s="24452">
        <f>HLOOKUP("BC",A1:CV300,81,FALSE) - (HLOOKUP("PK Gs",A1:CV300,81,FALSE) + HLOOKUP("PK Miss",A1:CV300,81,FALSE))</f>
        <v>0</v>
      </c>
      <c r="AM81" s="24453">
        <f>HLOOKUP("BC Miss",A1:CV300,81,FALSE) - HLOOKUP("PK Miss",A1:CV300,81,FALSE)</f>
        <v>0</v>
      </c>
      <c r="AN81" s="24454">
        <f>IF(HLOOKUP("BC - Open",A1:CV300,81,FALSE)=0,0,HLOOKUP("BC - Open Miss",A1:CV300,81,FALSE)/HLOOKUP("BC - Open",A1:CV300,81,FALSE))</f>
        <v>0</v>
      </c>
      <c r="AO81" s="24455">
        <v>0</v>
      </c>
      <c r="AP81" s="24456">
        <f>IF(HLOOKUP("Gs",A1:CV300,81,FALSE)=0,0,HLOOKUP("GIB",A1:CV300,81,FALSE)/HLOOKUP("Gs",A1:CV300,81,FALSE))</f>
        <v>0</v>
      </c>
      <c r="AQ81" s="24457">
        <v>0</v>
      </c>
      <c r="AR81" s="24458">
        <f>IF(HLOOKUP("Gs",A1:CV300,81,FALSE)=0,0,HLOOKUP("Gs - Open",A1:CV300,81,FALSE)/HLOOKUP("Gs",A1:CV300,81,FALSE))</f>
        <v>0</v>
      </c>
      <c r="AS81" s="24459">
        <v>1.03</v>
      </c>
      <c r="AT81" s="24460">
        <v>0.74</v>
      </c>
      <c r="AU81" s="24461">
        <f>IF(HLOOKUP("Mins",A1:CV300,81,FALSE)=0,0,HLOOKUP("Pts",A1:CV300,81,FALSE)/HLOOKUP("Mins",A1:CV300,81,FALSE)* 90)</f>
        <v>2.9910979228486645</v>
      </c>
      <c r="AV81" s="24462">
        <f>IF(HLOOKUP("Apps",A1:CV300,81,FALSE)=0,0,HLOOKUP("Pts",A1:CV300,81,FALSE)/HLOOKUP("Apps",A1:CV300,81,FALSE)* 1)</f>
        <v>2.5454545454545454</v>
      </c>
      <c r="AW81" s="24463">
        <f>IF(HLOOKUP("Mins",A1:CV300,81,FALSE)=0,0,HLOOKUP("Gs",A1:CV300,81,FALSE)/HLOOKUP("Mins",A1:CV300,81,FALSE)* 90)</f>
        <v>0.10682492581602374</v>
      </c>
      <c r="AX81" s="24464">
        <f>IF(HLOOKUP("Mins",A1:CV300,81,FALSE)=0,0,HLOOKUP("Bonus",A1:CV300,81,FALSE)/HLOOKUP("Mins",A1:CV300,81,FALSE)* 90)</f>
        <v>0.21364985163204747</v>
      </c>
      <c r="AY81" s="24465">
        <f>IF(HLOOKUP("Mins",A1:CV300,81,FALSE)=0,0,HLOOKUP("BPS",A1:CV300,81,FALSE)/HLOOKUP("Mins",A1:CV300,81,FALSE)* 90)</f>
        <v>14.367952522255193</v>
      </c>
      <c r="AZ81" s="24466">
        <f>IF(HLOOKUP("Mins",A1:CV300,81,FALSE)=0,0,HLOOKUP("Base BPS",A1:CV300,81,FALSE)/HLOOKUP("Mins",A1:CV300,81,FALSE)* 90)</f>
        <v>11.964391691394658</v>
      </c>
      <c r="BA81" s="24467">
        <f>IF(HLOOKUP("Mins",A1:CV300,81,FALSE)=0,0,HLOOKUP("PenTchs",A1:CV300,81,FALSE)/HLOOKUP("Mins",A1:CV300,81,FALSE)* 90)</f>
        <v>5.3412462908011868E-2</v>
      </c>
      <c r="BB81" s="24468">
        <f>IF(HLOOKUP("Mins",A1:CV300,81,FALSE)=0,0,HLOOKUP("Shots",A1:CV300,81,FALSE)/HLOOKUP("Mins",A1:CV300,81,FALSE)* 90)</f>
        <v>2.029673590504451</v>
      </c>
      <c r="BC81" s="24469">
        <f>IF(HLOOKUP("Mins",A1:CV300,81,FALSE)=0,0,HLOOKUP("SIB",A1:CV300,81,FALSE)/HLOOKUP("Mins",A1:CV300,81,FALSE)* 90)</f>
        <v>0</v>
      </c>
      <c r="BD81" s="24470">
        <f>IF(HLOOKUP("Mins",A1:CV300,81,FALSE)=0,0,HLOOKUP("S6YD",A1:CV300,81,FALSE)/HLOOKUP("Mins",A1:CV300,81,FALSE)* 90)</f>
        <v>0</v>
      </c>
      <c r="BE81" s="24471">
        <f>IF(HLOOKUP("Mins",A1:CV300,81,FALSE)=0,0,HLOOKUP("Headers",A1:CV300,81,FALSE)/HLOOKUP("Mins",A1:CV300,81,FALSE)* 90)</f>
        <v>0</v>
      </c>
      <c r="BF81" s="24472">
        <f>IF(HLOOKUP("Mins",A1:CV300,81,FALSE)=0,0,HLOOKUP("SOT",A1:CV300,81,FALSE)/HLOOKUP("Mins",A1:CV300,81,FALSE)* 90)</f>
        <v>0.32047477744807118</v>
      </c>
      <c r="BG81" s="24473">
        <f>IF(HLOOKUP("Mins",A1:CV300,81,FALSE)=0,0,HLOOKUP("As",A1:CV300,81,FALSE)/HLOOKUP("Mins",A1:CV300,81,FALSE)* 90)</f>
        <v>5.3412462908011868E-2</v>
      </c>
      <c r="BH81" s="24474">
        <f>IF(HLOOKUP("Mins",A1:CV300,81,FALSE)=0,0,HLOOKUP("FPL As",A1:CV300,81,FALSE)/HLOOKUP("Mins",A1:CV300,81,FALSE)* 90)</f>
        <v>5.3412462908011868E-2</v>
      </c>
      <c r="BI81" s="24475">
        <f>IF(HLOOKUP("Mins",A1:CV300,81,FALSE)=0,0,HLOOKUP("BC Created",A1:CV300,81,FALSE)/HLOOKUP("Mins",A1:CV300,81,FALSE)* 90)</f>
        <v>0</v>
      </c>
      <c r="BJ81" s="24476">
        <f>IF(HLOOKUP("Mins",A1:CV300,81,FALSE)=0,0,HLOOKUP("KP",A1:CV300,81,FALSE)/HLOOKUP("Mins",A1:CV300,81,FALSE)* 90)</f>
        <v>0.85459940652818989</v>
      </c>
      <c r="BK81" s="24477">
        <f>IF(HLOOKUP("Mins",A1:CV300,81,FALSE)=0,0,HLOOKUP("BC",A1:CV300,81,FALSE)/HLOOKUP("Mins",A1:CV300,81,FALSE)* 90)</f>
        <v>0</v>
      </c>
      <c r="BL81" s="24478">
        <f>IF(HLOOKUP("Mins",A1:CV300,81,FALSE)=0,0,HLOOKUP("BC Miss",A1:CV300,81,FALSE)/HLOOKUP("Mins",A1:CV300,81,FALSE)* 90)</f>
        <v>0</v>
      </c>
      <c r="BM81" s="24479">
        <f>IF(HLOOKUP("Mins",A1:CV300,81,FALSE)=0,0,HLOOKUP("Gs - BC",A1:CV300,81,FALSE)/HLOOKUP("Mins",A1:CV300,81,FALSE)* 90)</f>
        <v>0</v>
      </c>
      <c r="BN81" s="24480">
        <f>IF(HLOOKUP("Mins",A1:CV300,81,FALSE)=0,0,HLOOKUP("GIB",A1:CV300,81,FALSE)/HLOOKUP("Mins",A1:CV300,81,FALSE)* 90)</f>
        <v>0</v>
      </c>
      <c r="BO81" s="24481">
        <f>IF(HLOOKUP("Mins",A1:CV300,81,FALSE)=0,0,HLOOKUP("Gs - Open",A1:CV300,81,FALSE)/HLOOKUP("Mins",A1:CV300,81,FALSE)* 90)</f>
        <v>0</v>
      </c>
      <c r="BP81" s="24482">
        <f>IF(HLOOKUP("Mins",A1:CV300,81,FALSE)=0,0,HLOOKUP("ICT Index",A1:CV300,81,FALSE)/HLOOKUP("Mins",A1:CV300,81,FALSE)* 90)</f>
        <v>3.9364985163204751</v>
      </c>
      <c r="BQ81" s="24483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  <v>7.3068249258160231E-2</v>
      </c>
      <c r="BR81" s="24484">
        <f>0.0885*HLOOKUP("KP/90",A1:CV300,81,FALSE)</f>
        <v>7.5632047477744796E-2</v>
      </c>
      <c r="BS81" s="24485">
        <f>5*HLOOKUP("xG/90",A1:CV300,81,FALSE)+3*HLOOKUP("xA/90",A1:CV300,81,FALSE)</f>
        <v>0.59223738872403553</v>
      </c>
      <c r="BT81" s="24486">
        <f>HLOOKUP("xPts/90",A1:CV300,81,FALSE)-(5*0.75*(HLOOKUP("PK Gs",A1:CV300,81,FALSE)+HLOOKUP("PK Miss",A1:CV300,81,FALSE))*90/HLOOKUP("Mins",A1:CV300,81,FALSE))</f>
        <v>0.59223738872403553</v>
      </c>
      <c r="BU81" s="24487">
        <f>IF(HLOOKUP("Mins",A1:CV300,81,FALSE)=0,0,HLOOKUP("fsXG",A1:CV300,81,FALSE)/HLOOKUP("Mins",A1:CV300,81,FALSE)* 90)</f>
        <v>5.5014836795252223E-2</v>
      </c>
      <c r="BV81" s="24488">
        <f>IF(HLOOKUP("Mins",A1:CV300,81,FALSE)=0,0,HLOOKUP("fsXA",A1:CV300,81,FALSE)/HLOOKUP("Mins",A1:CV300,81,FALSE)* 90)</f>
        <v>3.9525222551928786E-2</v>
      </c>
      <c r="BW81" s="24489">
        <f>5*HLOOKUP("fsXG/90",A1:CV300,81,FALSE)+3*HLOOKUP("fsXA/90",A1:CV300,81,FALSE)</f>
        <v>0.39364985163204746</v>
      </c>
      <c r="BX81" s="24490">
        <v>4.248485341668129E-2</v>
      </c>
      <c r="BY81" s="24491">
        <v>5.6678108870983124E-2</v>
      </c>
      <c r="BZ81" s="24492">
        <f>5*HLOOKUP("uXG/90",A1:CV300,81,FALSE)+3*HLOOKUP("uXA/90",A1:CV300,81,FALSE)</f>
        <v>0.38245859369635582</v>
      </c>
    </row>
    <row r="82" spans="1:78" x14ac:dyDescent="0.3">
      <c r="A82" s="24493" t="s">
        <v>409</v>
      </c>
      <c r="B82" s="24494" t="s">
        <v>118</v>
      </c>
      <c r="C82" s="24495">
        <v>5.3000001907348633</v>
      </c>
      <c r="D82" s="24496">
        <v>857</v>
      </c>
      <c r="E82" s="24497">
        <v>12</v>
      </c>
      <c r="F82" s="24498">
        <v>22</v>
      </c>
      <c r="G82" s="24499">
        <v>0</v>
      </c>
      <c r="H82" s="24500">
        <v>2</v>
      </c>
      <c r="I82" s="24501">
        <v>150</v>
      </c>
      <c r="J82" s="24502">
        <f>HLOOKUP("BPS",A1:CV300,82,FALSE)-((-6*HLOOKUP("OG",A1:CV300,82,FALSE))+(-6*HLOOKUP("PK Miss",A1:CV300,82,FALSE))+(9*HLOOKUP("FPL As",A1:CV300,82,FALSE))+(0*HLOOKUP("CS",A1:CV300,82,FALSE))+(18*HLOOKUP("Gs",A1:CV300,82,FALSE)))</f>
        <v>150</v>
      </c>
      <c r="K82" s="24503">
        <v>0</v>
      </c>
      <c r="L82" s="24504">
        <v>2</v>
      </c>
      <c r="M82" s="24505">
        <v>0</v>
      </c>
      <c r="N82" s="24506">
        <v>2</v>
      </c>
      <c r="O82" s="24507">
        <v>0</v>
      </c>
      <c r="P82" s="24508">
        <f>IF(HLOOKUP("Shots",A1:CV300,82,FALSE)=0,0,HLOOKUP("SIB",A1:CV300,82,FALSE)/HLOOKUP("Shots",A1:CV300,82,FALSE))</f>
        <v>0</v>
      </c>
      <c r="Q82" s="24509">
        <v>0</v>
      </c>
      <c r="R82" s="24510">
        <f>IF(HLOOKUP("Shots",A1:CV300,82,FALSE)=0,0,HLOOKUP("S6YD",A1:CV300,82,FALSE)/HLOOKUP("Shots",A1:CV300,82,FALSE))</f>
        <v>0</v>
      </c>
      <c r="S82" s="24511">
        <v>0</v>
      </c>
      <c r="T82" s="24512">
        <f>IF(HLOOKUP("Shots",A1:CV300,82,FALSE)=0,0,HLOOKUP("Headers",A1:CV300,82,FALSE)/HLOOKUP("Shots",A1:CV300,82,FALSE))</f>
        <v>0</v>
      </c>
      <c r="U82" s="24513">
        <v>0</v>
      </c>
      <c r="V82" s="24514">
        <f>IF(HLOOKUP("Shots",A1:CV300,82,FALSE)=0,0,HLOOKUP("SOT",A1:CV300,82,FALSE)/HLOOKUP("Shots",A1:CV300,82,FALSE))</f>
        <v>0</v>
      </c>
      <c r="W82" s="24515">
        <f>IF(HLOOKUP("Shots",A1:CV300,82,FALSE)=0,0,HLOOKUP("Gs",A1:CV300,82,FALSE)/HLOOKUP("Shots",A1:CV300,82,FALSE))</f>
        <v>0</v>
      </c>
      <c r="X82" s="24516">
        <v>0</v>
      </c>
      <c r="Y82" s="24517">
        <v>0</v>
      </c>
      <c r="Z82" s="24518">
        <v>5</v>
      </c>
      <c r="AA82" s="24519">
        <f>IF(HLOOKUP("KP",A1:CV300,82,FALSE)=0,0,HLOOKUP("As",A1:CV300,82,FALSE)/HLOOKUP("KP",A1:CV300,82,FALSE))</f>
        <v>0</v>
      </c>
      <c r="AB82" s="24520">
        <v>24.5</v>
      </c>
      <c r="AC82" s="24521">
        <v>0</v>
      </c>
      <c r="AD82" s="24522">
        <v>0</v>
      </c>
      <c r="AE82" s="24523">
        <v>0</v>
      </c>
      <c r="AF82" s="24524">
        <v>0</v>
      </c>
      <c r="AG82" s="24525">
        <f>IF(HLOOKUP("BC",A1:CV300,82,FALSE)=0,0,HLOOKUP("Gs - BC",A1:CV300,82,FALSE)/HLOOKUP("BC",A1:CV300,82,FALSE))</f>
        <v>0</v>
      </c>
      <c r="AH82" s="24526">
        <f>HLOOKUP("BC",A1:CV300,82,FALSE) - HLOOKUP("BC Miss",A1:CV300,82,FALSE)</f>
        <v>0</v>
      </c>
      <c r="AI82" s="24527">
        <f>IF(HLOOKUP("Gs",A1:CV300,82,FALSE)=0,0,HLOOKUP("Gs - BC",A1:CV300,82,FALSE)/HLOOKUP("Gs",A1:CV300,82,FALSE))</f>
        <v>0</v>
      </c>
      <c r="AJ82" s="24528">
        <v>0</v>
      </c>
      <c r="AK82" s="24529">
        <v>0</v>
      </c>
      <c r="AL82" s="24530">
        <f>HLOOKUP("BC",A1:CV300,82,FALSE) - (HLOOKUP("PK Gs",A1:CV300,82,FALSE) + HLOOKUP("PK Miss",A1:CV300,82,FALSE))</f>
        <v>0</v>
      </c>
      <c r="AM82" s="24531">
        <f>HLOOKUP("BC Miss",A1:CV300,82,FALSE) - HLOOKUP("PK Miss",A1:CV300,82,FALSE)</f>
        <v>0</v>
      </c>
      <c r="AN82" s="24532">
        <f>IF(HLOOKUP("BC - Open",A1:CV300,82,FALSE)=0,0,HLOOKUP("BC - Open Miss",A1:CV300,82,FALSE)/HLOOKUP("BC - Open",A1:CV300,82,FALSE))</f>
        <v>0</v>
      </c>
      <c r="AO82" s="24533">
        <v>0</v>
      </c>
      <c r="AP82" s="24534">
        <f>IF(HLOOKUP("Gs",A1:CV300,82,FALSE)=0,0,HLOOKUP("GIB",A1:CV300,82,FALSE)/HLOOKUP("Gs",A1:CV300,82,FALSE))</f>
        <v>0</v>
      </c>
      <c r="AQ82" s="24535">
        <v>0</v>
      </c>
      <c r="AR82" s="24536">
        <f>IF(HLOOKUP("Gs",A1:CV300,82,FALSE)=0,0,HLOOKUP("Gs - Open",A1:CV300,82,FALSE)/HLOOKUP("Gs",A1:CV300,82,FALSE))</f>
        <v>0</v>
      </c>
      <c r="AS82" s="24537">
        <v>0.05</v>
      </c>
      <c r="AT82" s="24538">
        <v>0.39</v>
      </c>
      <c r="AU82" s="24539">
        <f>IF(HLOOKUP("Mins",A1:CV300,82,FALSE)=0,0,HLOOKUP("Pts",A1:CV300,82,FALSE)/HLOOKUP("Mins",A1:CV300,82,FALSE)* 90)</f>
        <v>2.3103850641773627</v>
      </c>
      <c r="AV82" s="24540">
        <f>IF(HLOOKUP("Apps",A1:CV300,82,FALSE)=0,0,HLOOKUP("Pts",A1:CV300,82,FALSE)/HLOOKUP("Apps",A1:CV300,82,FALSE)* 1)</f>
        <v>1.8333333333333333</v>
      </c>
      <c r="AW82" s="24541">
        <f>IF(HLOOKUP("Mins",A1:CV300,82,FALSE)=0,0,HLOOKUP("Gs",A1:CV300,82,FALSE)/HLOOKUP("Mins",A1:CV300,82,FALSE)* 90)</f>
        <v>0</v>
      </c>
      <c r="AX82" s="24542">
        <f>IF(HLOOKUP("Mins",A1:CV300,82,FALSE)=0,0,HLOOKUP("Bonus",A1:CV300,82,FALSE)/HLOOKUP("Mins",A1:CV300,82,FALSE)* 90)</f>
        <v>0.2100350058343057</v>
      </c>
      <c r="AY82" s="24543">
        <f>IF(HLOOKUP("Mins",A1:CV300,82,FALSE)=0,0,HLOOKUP("BPS",A1:CV300,82,FALSE)/HLOOKUP("Mins",A1:CV300,82,FALSE)* 90)</f>
        <v>15.752625437572929</v>
      </c>
      <c r="AZ82" s="24544">
        <f>IF(HLOOKUP("Mins",A1:CV300,82,FALSE)=0,0,HLOOKUP("Base BPS",A1:CV300,82,FALSE)/HLOOKUP("Mins",A1:CV300,82,FALSE)* 90)</f>
        <v>15.752625437572929</v>
      </c>
      <c r="BA82" s="24545">
        <f>IF(HLOOKUP("Mins",A1:CV300,82,FALSE)=0,0,HLOOKUP("PenTchs",A1:CV300,82,FALSE)/HLOOKUP("Mins",A1:CV300,82,FALSE)* 90)</f>
        <v>0</v>
      </c>
      <c r="BB82" s="24546">
        <f>IF(HLOOKUP("Mins",A1:CV300,82,FALSE)=0,0,HLOOKUP("Shots",A1:CV300,82,FALSE)/HLOOKUP("Mins",A1:CV300,82,FALSE)* 90)</f>
        <v>0.2100350058343057</v>
      </c>
      <c r="BC82" s="24547">
        <f>IF(HLOOKUP("Mins",A1:CV300,82,FALSE)=0,0,HLOOKUP("SIB",A1:CV300,82,FALSE)/HLOOKUP("Mins",A1:CV300,82,FALSE)* 90)</f>
        <v>0</v>
      </c>
      <c r="BD82" s="24548">
        <f>IF(HLOOKUP("Mins",A1:CV300,82,FALSE)=0,0,HLOOKUP("S6YD",A1:CV300,82,FALSE)/HLOOKUP("Mins",A1:CV300,82,FALSE)* 90)</f>
        <v>0</v>
      </c>
      <c r="BE82" s="24549">
        <f>IF(HLOOKUP("Mins",A1:CV300,82,FALSE)=0,0,HLOOKUP("Headers",A1:CV300,82,FALSE)/HLOOKUP("Mins",A1:CV300,82,FALSE)* 90)</f>
        <v>0</v>
      </c>
      <c r="BF82" s="24550">
        <f>IF(HLOOKUP("Mins",A1:CV300,82,FALSE)=0,0,HLOOKUP("SOT",A1:CV300,82,FALSE)/HLOOKUP("Mins",A1:CV300,82,FALSE)* 90)</f>
        <v>0</v>
      </c>
      <c r="BG82" s="24551">
        <f>IF(HLOOKUP("Mins",A1:CV300,82,FALSE)=0,0,HLOOKUP("As",A1:CV300,82,FALSE)/HLOOKUP("Mins",A1:CV300,82,FALSE)* 90)</f>
        <v>0</v>
      </c>
      <c r="BH82" s="24552">
        <f>IF(HLOOKUP("Mins",A1:CV300,82,FALSE)=0,0,HLOOKUP("FPL As",A1:CV300,82,FALSE)/HLOOKUP("Mins",A1:CV300,82,FALSE)* 90)</f>
        <v>0</v>
      </c>
      <c r="BI82" s="24553">
        <f>IF(HLOOKUP("Mins",A1:CV300,82,FALSE)=0,0,HLOOKUP("BC Created",A1:CV300,82,FALSE)/HLOOKUP("Mins",A1:CV300,82,FALSE)* 90)</f>
        <v>0</v>
      </c>
      <c r="BJ82" s="24554">
        <f>IF(HLOOKUP("Mins",A1:CV300,82,FALSE)=0,0,HLOOKUP("KP",A1:CV300,82,FALSE)/HLOOKUP("Mins",A1:CV300,82,FALSE)* 90)</f>
        <v>0.5250875145857643</v>
      </c>
      <c r="BK82" s="24555">
        <f>IF(HLOOKUP("Mins",A1:CV300,82,FALSE)=0,0,HLOOKUP("BC",A1:CV300,82,FALSE)/HLOOKUP("Mins",A1:CV300,82,FALSE)* 90)</f>
        <v>0</v>
      </c>
      <c r="BL82" s="24556">
        <f>IF(HLOOKUP("Mins",A1:CV300,82,FALSE)=0,0,HLOOKUP("BC Miss",A1:CV300,82,FALSE)/HLOOKUP("Mins",A1:CV300,82,FALSE)* 90)</f>
        <v>0</v>
      </c>
      <c r="BM82" s="24557">
        <f>IF(HLOOKUP("Mins",A1:CV300,82,FALSE)=0,0,HLOOKUP("Gs - BC",A1:CV300,82,FALSE)/HLOOKUP("Mins",A1:CV300,82,FALSE)* 90)</f>
        <v>0</v>
      </c>
      <c r="BN82" s="24558">
        <f>IF(HLOOKUP("Mins",A1:CV300,82,FALSE)=0,0,HLOOKUP("GIB",A1:CV300,82,FALSE)/HLOOKUP("Mins",A1:CV300,82,FALSE)* 90)</f>
        <v>0</v>
      </c>
      <c r="BO82" s="24559">
        <f>IF(HLOOKUP("Mins",A1:CV300,82,FALSE)=0,0,HLOOKUP("Gs - Open",A1:CV300,82,FALSE)/HLOOKUP("Mins",A1:CV300,82,FALSE)* 90)</f>
        <v>0</v>
      </c>
      <c r="BP82" s="24560">
        <f>IF(HLOOKUP("Mins",A1:CV300,82,FALSE)=0,0,HLOOKUP("ICT Index",A1:CV300,82,FALSE)/HLOOKUP("Mins",A1:CV300,82,FALSE)* 90)</f>
        <v>2.5729288214702453</v>
      </c>
      <c r="BQ82" s="24561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  <v>7.5612602100350052E-3</v>
      </c>
      <c r="BR82" s="24562">
        <f>0.0885*HLOOKUP("KP/90",A1:CV300,82,FALSE)</f>
        <v>4.6470245040840137E-2</v>
      </c>
      <c r="BS82" s="24563">
        <f>5*HLOOKUP("xG/90",A1:CV300,82,FALSE)+3*HLOOKUP("xA/90",A1:CV300,82,FALSE)</f>
        <v>0.17721703617269544</v>
      </c>
      <c r="BT82" s="24564">
        <f>HLOOKUP("xPts/90",A1:CV300,82,FALSE)-(5*0.75*(HLOOKUP("PK Gs",A1:CV300,82,FALSE)+HLOOKUP("PK Miss",A1:CV300,82,FALSE))*90/HLOOKUP("Mins",A1:CV300,82,FALSE))</f>
        <v>0.17721703617269544</v>
      </c>
      <c r="BU82" s="24565">
        <f>IF(HLOOKUP("Mins",A1:CV300,82,FALSE)=0,0,HLOOKUP("fsXG",A1:CV300,82,FALSE)/HLOOKUP("Mins",A1:CV300,82,FALSE)* 90)</f>
        <v>5.2508751458576431E-3</v>
      </c>
      <c r="BV82" s="24566">
        <f>IF(HLOOKUP("Mins",A1:CV300,82,FALSE)=0,0,HLOOKUP("fsXA",A1:CV300,82,FALSE)/HLOOKUP("Mins",A1:CV300,82,FALSE)* 90)</f>
        <v>4.0956826137689611E-2</v>
      </c>
      <c r="BW82" s="24567">
        <f>5*HLOOKUP("fsXG/90",A1:CV300,82,FALSE)+3*HLOOKUP("fsXA/90",A1:CV300,82,FALSE)</f>
        <v>0.14912485414235704</v>
      </c>
      <c r="BX82" s="24568">
        <v>3.3107236959040165E-3</v>
      </c>
      <c r="BY82" s="24569">
        <v>2.106126956641674E-2</v>
      </c>
      <c r="BZ82" s="24570">
        <f>5*HLOOKUP("uXG/90",A1:CV300,82,FALSE)+3*HLOOKUP("uXA/90",A1:CV300,82,FALSE)</f>
        <v>7.9737427178770304E-2</v>
      </c>
    </row>
    <row r="83" spans="1:78" x14ac:dyDescent="0.3">
      <c r="A83" s="24571" t="s">
        <v>410</v>
      </c>
      <c r="B83" s="24572" t="s">
        <v>79</v>
      </c>
      <c r="C83" s="24573">
        <v>4.8000001907348633</v>
      </c>
      <c r="D83" s="24574">
        <v>547</v>
      </c>
      <c r="E83" s="24575">
        <v>16</v>
      </c>
      <c r="F83" s="24576">
        <v>20</v>
      </c>
      <c r="G83" s="24577">
        <v>0</v>
      </c>
      <c r="H83" s="24578">
        <v>0</v>
      </c>
      <c r="I83" s="24579">
        <v>88</v>
      </c>
      <c r="J83" s="24580">
        <f>HLOOKUP("BPS",A1:CV300,83,FALSE)-((-6*HLOOKUP("OG",A1:CV300,83,FALSE))+(-6*HLOOKUP("PK Miss",A1:CV300,83,FALSE))+(9*HLOOKUP("FPL As",A1:CV300,83,FALSE))+(0*HLOOKUP("CS",A1:CV300,83,FALSE))+(18*HLOOKUP("Gs",A1:CV300,83,FALSE)))</f>
        <v>88</v>
      </c>
      <c r="K83" s="24581">
        <v>0</v>
      </c>
      <c r="L83" s="24582">
        <v>1</v>
      </c>
      <c r="M83" s="24583">
        <v>23</v>
      </c>
      <c r="N83" s="24584">
        <v>8</v>
      </c>
      <c r="O83" s="24585">
        <v>6</v>
      </c>
      <c r="P83" s="24586">
        <f>IF(HLOOKUP("Shots",A1:CV300,83,FALSE)=0,0,HLOOKUP("SIB",A1:CV300,83,FALSE)/HLOOKUP("Shots",A1:CV300,83,FALSE))</f>
        <v>0.75</v>
      </c>
      <c r="Q83" s="24587">
        <v>0</v>
      </c>
      <c r="R83" s="24588">
        <f>IF(HLOOKUP("Shots",A1:CV300,83,FALSE)=0,0,HLOOKUP("S6YD",A1:CV300,83,FALSE)/HLOOKUP("Shots",A1:CV300,83,FALSE))</f>
        <v>0</v>
      </c>
      <c r="S83" s="24589">
        <v>2</v>
      </c>
      <c r="T83" s="24590">
        <f>IF(HLOOKUP("Shots",A1:CV300,83,FALSE)=0,0,HLOOKUP("Headers",A1:CV300,83,FALSE)/HLOOKUP("Shots",A1:CV300,83,FALSE))</f>
        <v>0.25</v>
      </c>
      <c r="U83" s="24591">
        <v>3</v>
      </c>
      <c r="V83" s="24592">
        <f>IF(HLOOKUP("Shots",A1:CV300,83,FALSE)=0,0,HLOOKUP("SOT",A1:CV300,83,FALSE)/HLOOKUP("Shots",A1:CV300,83,FALSE))</f>
        <v>0.375</v>
      </c>
      <c r="W83" s="24593">
        <f>IF(HLOOKUP("Shots",A1:CV300,83,FALSE)=0,0,HLOOKUP("Gs",A1:CV300,83,FALSE)/HLOOKUP("Shots",A1:CV300,83,FALSE))</f>
        <v>0</v>
      </c>
      <c r="X83" s="24594">
        <v>0</v>
      </c>
      <c r="Y83" s="24595">
        <v>0</v>
      </c>
      <c r="Z83" s="24596">
        <v>9</v>
      </c>
      <c r="AA83" s="24597">
        <f>IF(HLOOKUP("KP",A1:CV300,83,FALSE)=0,0,HLOOKUP("As",A1:CV300,83,FALSE)/HLOOKUP("KP",A1:CV300,83,FALSE))</f>
        <v>0</v>
      </c>
      <c r="AB83" s="24598">
        <v>33</v>
      </c>
      <c r="AC83" s="24599">
        <v>0</v>
      </c>
      <c r="AD83" s="24600">
        <v>0</v>
      </c>
      <c r="AE83" s="24601">
        <v>1</v>
      </c>
      <c r="AF83" s="24602">
        <v>1</v>
      </c>
      <c r="AG83" s="24603">
        <f>IF(HLOOKUP("BC",A1:CV300,83,FALSE)=0,0,HLOOKUP("Gs - BC",A1:CV300,83,FALSE)/HLOOKUP("BC",A1:CV300,83,FALSE))</f>
        <v>0</v>
      </c>
      <c r="AH83" s="24604">
        <f>HLOOKUP("BC",A1:CV300,83,FALSE) - HLOOKUP("BC Miss",A1:CV300,83,FALSE)</f>
        <v>0</v>
      </c>
      <c r="AI83" s="24605">
        <f>IF(HLOOKUP("Gs",A1:CV300,83,FALSE)=0,0,HLOOKUP("Gs - BC",A1:CV300,83,FALSE)/HLOOKUP("Gs",A1:CV300,83,FALSE))</f>
        <v>0</v>
      </c>
      <c r="AJ83" s="24606">
        <v>0</v>
      </c>
      <c r="AK83" s="24607">
        <v>0</v>
      </c>
      <c r="AL83" s="24608">
        <f>HLOOKUP("BC",A1:CV300,83,FALSE) - (HLOOKUP("PK Gs",A1:CV300,83,FALSE) + HLOOKUP("PK Miss",A1:CV300,83,FALSE))</f>
        <v>1</v>
      </c>
      <c r="AM83" s="24609">
        <f>HLOOKUP("BC Miss",A1:CV300,83,FALSE) - HLOOKUP("PK Miss",A1:CV300,83,FALSE)</f>
        <v>1</v>
      </c>
      <c r="AN83" s="24610">
        <f>IF(HLOOKUP("BC - Open",A1:CV300,83,FALSE)=0,0,HLOOKUP("BC - Open Miss",A1:CV300,83,FALSE)/HLOOKUP("BC - Open",A1:CV300,83,FALSE))</f>
        <v>1</v>
      </c>
      <c r="AO83" s="24611">
        <v>0</v>
      </c>
      <c r="AP83" s="24612">
        <f>IF(HLOOKUP("Gs",A1:CV300,83,FALSE)=0,0,HLOOKUP("GIB",A1:CV300,83,FALSE)/HLOOKUP("Gs",A1:CV300,83,FALSE))</f>
        <v>0</v>
      </c>
      <c r="AQ83" s="24613">
        <v>0</v>
      </c>
      <c r="AR83" s="24614">
        <f>IF(HLOOKUP("Gs",A1:CV300,83,FALSE)=0,0,HLOOKUP("Gs - Open",A1:CV300,83,FALSE)/HLOOKUP("Gs",A1:CV300,83,FALSE))</f>
        <v>0</v>
      </c>
      <c r="AS83" s="24615">
        <v>0.68</v>
      </c>
      <c r="AT83" s="24616">
        <v>0.48</v>
      </c>
      <c r="AU83" s="24617">
        <f>IF(HLOOKUP("Mins",A1:CV300,83,FALSE)=0,0,HLOOKUP("Pts",A1:CV300,83,FALSE)/HLOOKUP("Mins",A1:CV300,83,FALSE)* 90)</f>
        <v>3.290676416819013</v>
      </c>
      <c r="AV83" s="24618">
        <f>IF(HLOOKUP("Apps",A1:CV300,83,FALSE)=0,0,HLOOKUP("Pts",A1:CV300,83,FALSE)/HLOOKUP("Apps",A1:CV300,83,FALSE)* 1)</f>
        <v>1.25</v>
      </c>
      <c r="AW83" s="24619">
        <f>IF(HLOOKUP("Mins",A1:CV300,83,FALSE)=0,0,HLOOKUP("Gs",A1:CV300,83,FALSE)/HLOOKUP("Mins",A1:CV300,83,FALSE)* 90)</f>
        <v>0</v>
      </c>
      <c r="AX83" s="24620">
        <f>IF(HLOOKUP("Mins",A1:CV300,83,FALSE)=0,0,HLOOKUP("Bonus",A1:CV300,83,FALSE)/HLOOKUP("Mins",A1:CV300,83,FALSE)* 90)</f>
        <v>0</v>
      </c>
      <c r="AY83" s="24621">
        <f>IF(HLOOKUP("Mins",A1:CV300,83,FALSE)=0,0,HLOOKUP("BPS",A1:CV300,83,FALSE)/HLOOKUP("Mins",A1:CV300,83,FALSE)* 90)</f>
        <v>14.478976234003657</v>
      </c>
      <c r="AZ83" s="24622">
        <f>IF(HLOOKUP("Mins",A1:CV300,83,FALSE)=0,0,HLOOKUP("Base BPS",A1:CV300,83,FALSE)/HLOOKUP("Mins",A1:CV300,83,FALSE)* 90)</f>
        <v>14.478976234003657</v>
      </c>
      <c r="BA83" s="24623">
        <f>IF(HLOOKUP("Mins",A1:CV300,83,FALSE)=0,0,HLOOKUP("PenTchs",A1:CV300,83,FALSE)/HLOOKUP("Mins",A1:CV300,83,FALSE)* 90)</f>
        <v>3.7842778793418645</v>
      </c>
      <c r="BB83" s="24624">
        <f>IF(HLOOKUP("Mins",A1:CV300,83,FALSE)=0,0,HLOOKUP("Shots",A1:CV300,83,FALSE)/HLOOKUP("Mins",A1:CV300,83,FALSE)* 90)</f>
        <v>1.3162705667276051</v>
      </c>
      <c r="BC83" s="24625">
        <f>IF(HLOOKUP("Mins",A1:CV300,83,FALSE)=0,0,HLOOKUP("SIB",A1:CV300,83,FALSE)/HLOOKUP("Mins",A1:CV300,83,FALSE)* 90)</f>
        <v>0.98720292504570384</v>
      </c>
      <c r="BD83" s="24626">
        <f>IF(HLOOKUP("Mins",A1:CV300,83,FALSE)=0,0,HLOOKUP("S6YD",A1:CV300,83,FALSE)/HLOOKUP("Mins",A1:CV300,83,FALSE)* 90)</f>
        <v>0</v>
      </c>
      <c r="BE83" s="24627">
        <f>IF(HLOOKUP("Mins",A1:CV300,83,FALSE)=0,0,HLOOKUP("Headers",A1:CV300,83,FALSE)/HLOOKUP("Mins",A1:CV300,83,FALSE)* 90)</f>
        <v>0.32906764168190128</v>
      </c>
      <c r="BF83" s="24628">
        <f>IF(HLOOKUP("Mins",A1:CV300,83,FALSE)=0,0,HLOOKUP("SOT",A1:CV300,83,FALSE)/HLOOKUP("Mins",A1:CV300,83,FALSE)* 90)</f>
        <v>0.49360146252285192</v>
      </c>
      <c r="BG83" s="24629">
        <f>IF(HLOOKUP("Mins",A1:CV300,83,FALSE)=0,0,HLOOKUP("As",A1:CV300,83,FALSE)/HLOOKUP("Mins",A1:CV300,83,FALSE)* 90)</f>
        <v>0</v>
      </c>
      <c r="BH83" s="24630">
        <f>IF(HLOOKUP("Mins",A1:CV300,83,FALSE)=0,0,HLOOKUP("FPL As",A1:CV300,83,FALSE)/HLOOKUP("Mins",A1:CV300,83,FALSE)* 90)</f>
        <v>0</v>
      </c>
      <c r="BI83" s="24631">
        <f>IF(HLOOKUP("Mins",A1:CV300,83,FALSE)=0,0,HLOOKUP("BC Created",A1:CV300,83,FALSE)/HLOOKUP("Mins",A1:CV300,83,FALSE)* 90)</f>
        <v>0</v>
      </c>
      <c r="BJ83" s="24632">
        <f>IF(HLOOKUP("Mins",A1:CV300,83,FALSE)=0,0,HLOOKUP("KP",A1:CV300,83,FALSE)/HLOOKUP("Mins",A1:CV300,83,FALSE)* 90)</f>
        <v>1.4808043875685557</v>
      </c>
      <c r="BK83" s="24633">
        <f>IF(HLOOKUP("Mins",A1:CV300,83,FALSE)=0,0,HLOOKUP("BC",A1:CV300,83,FALSE)/HLOOKUP("Mins",A1:CV300,83,FALSE)* 90)</f>
        <v>0.16453382084095064</v>
      </c>
      <c r="BL83" s="24634">
        <f>IF(HLOOKUP("Mins",A1:CV300,83,FALSE)=0,0,HLOOKUP("BC Miss",A1:CV300,83,FALSE)/HLOOKUP("Mins",A1:CV300,83,FALSE)* 90)</f>
        <v>0.16453382084095064</v>
      </c>
      <c r="BM83" s="24635">
        <f>IF(HLOOKUP("Mins",A1:CV300,83,FALSE)=0,0,HLOOKUP("Gs - BC",A1:CV300,83,FALSE)/HLOOKUP("Mins",A1:CV300,83,FALSE)* 90)</f>
        <v>0</v>
      </c>
      <c r="BN83" s="24636">
        <f>IF(HLOOKUP("Mins",A1:CV300,83,FALSE)=0,0,HLOOKUP("GIB",A1:CV300,83,FALSE)/HLOOKUP("Mins",A1:CV300,83,FALSE)* 90)</f>
        <v>0</v>
      </c>
      <c r="BO83" s="24637">
        <f>IF(HLOOKUP("Mins",A1:CV300,83,FALSE)=0,0,HLOOKUP("Gs - Open",A1:CV300,83,FALSE)/HLOOKUP("Mins",A1:CV300,83,FALSE)* 90)</f>
        <v>0</v>
      </c>
      <c r="BP83" s="24638">
        <f>IF(HLOOKUP("Mins",A1:CV300,83,FALSE)=0,0,HLOOKUP("ICT Index",A1:CV300,83,FALSE)/HLOOKUP("Mins",A1:CV300,83,FALSE)* 90)</f>
        <v>5.4296160877513708</v>
      </c>
      <c r="BQ83" s="24639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  <v>0.15202925045703838</v>
      </c>
      <c r="BR83" s="24640">
        <f>0.0885*HLOOKUP("KP/90",A1:CV300,83,FALSE)</f>
        <v>0.13105118829981718</v>
      </c>
      <c r="BS83" s="24641">
        <f>5*HLOOKUP("xG/90",A1:CV300,83,FALSE)+3*HLOOKUP("xA/90",A1:CV300,83,FALSE)</f>
        <v>1.1532998171846436</v>
      </c>
      <c r="BT83" s="24642">
        <f>HLOOKUP("xPts/90",A1:CV300,83,FALSE)-(5*0.75*(HLOOKUP("PK Gs",A1:CV300,83,FALSE)+HLOOKUP("PK Miss",A1:CV300,83,FALSE))*90/HLOOKUP("Mins",A1:CV300,83,FALSE))</f>
        <v>1.1532998171846436</v>
      </c>
      <c r="BU83" s="24643">
        <f>IF(HLOOKUP("Mins",A1:CV300,83,FALSE)=0,0,HLOOKUP("fsXG",A1:CV300,83,FALSE)/HLOOKUP("Mins",A1:CV300,83,FALSE)* 90)</f>
        <v>0.11188299817184645</v>
      </c>
      <c r="BV83" s="24644">
        <f>IF(HLOOKUP("Mins",A1:CV300,83,FALSE)=0,0,HLOOKUP("fsXA",A1:CV300,83,FALSE)/HLOOKUP("Mins",A1:CV300,83,FALSE)* 90)</f>
        <v>7.8976234003656304E-2</v>
      </c>
      <c r="BW83" s="24645">
        <f>5*HLOOKUP("fsXG/90",A1:CV300,83,FALSE)+3*HLOOKUP("fsXA/90",A1:CV300,83,FALSE)</f>
        <v>0.79634369287020124</v>
      </c>
      <c r="BX83" s="24646">
        <v>0.13061720132827759</v>
      </c>
      <c r="BY83" s="24647">
        <v>7.9603105783462524E-2</v>
      </c>
      <c r="BZ83" s="24648">
        <f>5*HLOOKUP("uXG/90",A1:CV300,83,FALSE)+3*HLOOKUP("uXA/90",A1:CV300,83,FALSE)</f>
        <v>0.89189532399177551</v>
      </c>
    </row>
    <row r="84" spans="1:78" x14ac:dyDescent="0.3">
      <c r="A84" s="24649" t="s">
        <v>411</v>
      </c>
      <c r="B84" s="24650" t="s">
        <v>105</v>
      </c>
      <c r="C84" s="24651">
        <v>5.4000000953674316</v>
      </c>
      <c r="D84" s="24652">
        <v>1506</v>
      </c>
      <c r="E84" s="24653">
        <v>20</v>
      </c>
      <c r="F84" s="24654">
        <v>55</v>
      </c>
      <c r="G84" s="24655">
        <v>2</v>
      </c>
      <c r="H84" s="24656">
        <v>3</v>
      </c>
      <c r="I84" s="24657">
        <v>338</v>
      </c>
      <c r="J84" s="24658">
        <f>HLOOKUP("BPS",A1:CV300,84,FALSE)-((-6*HLOOKUP("OG",A1:CV300,84,FALSE))+(-6*HLOOKUP("PK Miss",A1:CV300,84,FALSE))+(9*HLOOKUP("FPL As",A1:CV300,84,FALSE))+(0*HLOOKUP("CS",A1:CV300,84,FALSE))+(18*HLOOKUP("Gs",A1:CV300,84,FALSE)))</f>
        <v>293</v>
      </c>
      <c r="K84" s="24659">
        <v>0</v>
      </c>
      <c r="L84" s="24660">
        <v>7</v>
      </c>
      <c r="M84" s="24661">
        <v>13</v>
      </c>
      <c r="N84" s="24662">
        <v>10</v>
      </c>
      <c r="O84" s="24663">
        <v>2</v>
      </c>
      <c r="P84" s="24664">
        <f>IF(HLOOKUP("Shots",A1:CV300,84,FALSE)=0,0,HLOOKUP("SIB",A1:CV300,84,FALSE)/HLOOKUP("Shots",A1:CV300,84,FALSE))</f>
        <v>0.2</v>
      </c>
      <c r="Q84" s="24665">
        <v>0</v>
      </c>
      <c r="R84" s="24666">
        <f>IF(HLOOKUP("Shots",A1:CV300,84,FALSE)=0,0,HLOOKUP("S6YD",A1:CV300,84,FALSE)/HLOOKUP("Shots",A1:CV300,84,FALSE))</f>
        <v>0</v>
      </c>
      <c r="S84" s="24667">
        <v>1</v>
      </c>
      <c r="T84" s="24668">
        <f>IF(HLOOKUP("Shots",A1:CV300,84,FALSE)=0,0,HLOOKUP("Headers",A1:CV300,84,FALSE)/HLOOKUP("Shots",A1:CV300,84,FALSE))</f>
        <v>0.1</v>
      </c>
      <c r="U84" s="24669">
        <v>6</v>
      </c>
      <c r="V84" s="24670">
        <f>IF(HLOOKUP("Shots",A1:CV300,84,FALSE)=0,0,HLOOKUP("SOT",A1:CV300,84,FALSE)/HLOOKUP("Shots",A1:CV300,84,FALSE))</f>
        <v>0.6</v>
      </c>
      <c r="W84" s="24671">
        <f>IF(HLOOKUP("Shots",A1:CV300,84,FALSE)=0,0,HLOOKUP("Gs",A1:CV300,84,FALSE)/HLOOKUP("Shots",A1:CV300,84,FALSE))</f>
        <v>0.2</v>
      </c>
      <c r="X84" s="24672">
        <v>1</v>
      </c>
      <c r="Y84" s="24673">
        <v>1</v>
      </c>
      <c r="Z84" s="24674">
        <v>21</v>
      </c>
      <c r="AA84" s="24675">
        <f>IF(HLOOKUP("KP",A1:CV300,84,FALSE)=0,0,HLOOKUP("As",A1:CV300,84,FALSE)/HLOOKUP("KP",A1:CV300,84,FALSE))</f>
        <v>4.7619047619047616E-2</v>
      </c>
      <c r="AB84" s="24676">
        <v>82.4</v>
      </c>
      <c r="AC84" s="24677">
        <v>6</v>
      </c>
      <c r="AD84" s="24678">
        <v>2</v>
      </c>
      <c r="AE84" s="24679">
        <v>0</v>
      </c>
      <c r="AF84" s="24680">
        <v>0</v>
      </c>
      <c r="AG84" s="24681">
        <f>IF(HLOOKUP("BC",A1:CV300,84,FALSE)=0,0,HLOOKUP("Gs - BC",A1:CV300,84,FALSE)/HLOOKUP("BC",A1:CV300,84,FALSE))</f>
        <v>0</v>
      </c>
      <c r="AH84" s="24682">
        <f>HLOOKUP("BC",A1:CV300,84,FALSE) - HLOOKUP("BC Miss",A1:CV300,84,FALSE)</f>
        <v>0</v>
      </c>
      <c r="AI84" s="24683">
        <f>IF(HLOOKUP("Gs",A1:CV300,84,FALSE)=0,0,HLOOKUP("Gs - BC",A1:CV300,84,FALSE)/HLOOKUP("Gs",A1:CV300,84,FALSE))</f>
        <v>0</v>
      </c>
      <c r="AJ84" s="24684">
        <v>0</v>
      </c>
      <c r="AK84" s="24685">
        <v>0</v>
      </c>
      <c r="AL84" s="24686">
        <f>HLOOKUP("BC",A1:CV300,84,FALSE) - (HLOOKUP("PK Gs",A1:CV300,84,FALSE) + HLOOKUP("PK Miss",A1:CV300,84,FALSE))</f>
        <v>0</v>
      </c>
      <c r="AM84" s="24687">
        <f>HLOOKUP("BC Miss",A1:CV300,84,FALSE) - HLOOKUP("PK Miss",A1:CV300,84,FALSE)</f>
        <v>0</v>
      </c>
      <c r="AN84" s="24688">
        <f>IF(HLOOKUP("BC - Open",A1:CV300,84,FALSE)=0,0,HLOOKUP("BC - Open Miss",A1:CV300,84,FALSE)/HLOOKUP("BC - Open",A1:CV300,84,FALSE))</f>
        <v>0</v>
      </c>
      <c r="AO84" s="24689">
        <v>0</v>
      </c>
      <c r="AP84" s="24690">
        <f>IF(HLOOKUP("Gs",A1:CV300,84,FALSE)=0,0,HLOOKUP("GIB",A1:CV300,84,FALSE)/HLOOKUP("Gs",A1:CV300,84,FALSE))</f>
        <v>0</v>
      </c>
      <c r="AQ84" s="24691">
        <v>2</v>
      </c>
      <c r="AR84" s="24692">
        <f>IF(HLOOKUP("Gs",A1:CV300,84,FALSE)=0,0,HLOOKUP("Gs - Open",A1:CV300,84,FALSE)/HLOOKUP("Gs",A1:CV300,84,FALSE))</f>
        <v>1</v>
      </c>
      <c r="AS84" s="24693">
        <v>0.47</v>
      </c>
      <c r="AT84" s="24694">
        <v>1.26</v>
      </c>
      <c r="AU84" s="24695">
        <f>IF(HLOOKUP("Mins",A1:CV300,84,FALSE)=0,0,HLOOKUP("Pts",A1:CV300,84,FALSE)/HLOOKUP("Mins",A1:CV300,84,FALSE)* 90)</f>
        <v>3.2868525896414345</v>
      </c>
      <c r="AV84" s="24696">
        <f>IF(HLOOKUP("Apps",A1:CV300,84,FALSE)=0,0,HLOOKUP("Pts",A1:CV300,84,FALSE)/HLOOKUP("Apps",A1:CV300,84,FALSE)* 1)</f>
        <v>2.75</v>
      </c>
      <c r="AW84" s="24697">
        <f>IF(HLOOKUP("Mins",A1:CV300,84,FALSE)=0,0,HLOOKUP("Gs",A1:CV300,84,FALSE)/HLOOKUP("Mins",A1:CV300,84,FALSE)* 90)</f>
        <v>0.1195219123505976</v>
      </c>
      <c r="AX84" s="24698">
        <f>IF(HLOOKUP("Mins",A1:CV300,84,FALSE)=0,0,HLOOKUP("Bonus",A1:CV300,84,FALSE)/HLOOKUP("Mins",A1:CV300,84,FALSE)* 90)</f>
        <v>0.17928286852589642</v>
      </c>
      <c r="AY84" s="24699">
        <f>IF(HLOOKUP("Mins",A1:CV300,84,FALSE)=0,0,HLOOKUP("BPS",A1:CV300,84,FALSE)/HLOOKUP("Mins",A1:CV300,84,FALSE)* 90)</f>
        <v>20.199203187250994</v>
      </c>
      <c r="AZ84" s="24700">
        <f>IF(HLOOKUP("Mins",A1:CV300,84,FALSE)=0,0,HLOOKUP("Base BPS",A1:CV300,84,FALSE)/HLOOKUP("Mins",A1:CV300,84,FALSE)* 90)</f>
        <v>17.509960159362549</v>
      </c>
      <c r="BA84" s="24701">
        <f>IF(HLOOKUP("Mins",A1:CV300,84,FALSE)=0,0,HLOOKUP("PenTchs",A1:CV300,84,FALSE)/HLOOKUP("Mins",A1:CV300,84,FALSE)* 90)</f>
        <v>0.77689243027888444</v>
      </c>
      <c r="BB84" s="24702">
        <f>IF(HLOOKUP("Mins",A1:CV300,84,FALSE)=0,0,HLOOKUP("Shots",A1:CV300,84,FALSE)/HLOOKUP("Mins",A1:CV300,84,FALSE)* 90)</f>
        <v>0.59760956175298807</v>
      </c>
      <c r="BC84" s="24703">
        <f>IF(HLOOKUP("Mins",A1:CV300,84,FALSE)=0,0,HLOOKUP("SIB",A1:CV300,84,FALSE)/HLOOKUP("Mins",A1:CV300,84,FALSE)* 90)</f>
        <v>0.1195219123505976</v>
      </c>
      <c r="BD84" s="24704">
        <f>IF(HLOOKUP("Mins",A1:CV300,84,FALSE)=0,0,HLOOKUP("S6YD",A1:CV300,84,FALSE)/HLOOKUP("Mins",A1:CV300,84,FALSE)* 90)</f>
        <v>0</v>
      </c>
      <c r="BE84" s="24705">
        <f>IF(HLOOKUP("Mins",A1:CV300,84,FALSE)=0,0,HLOOKUP("Headers",A1:CV300,84,FALSE)/HLOOKUP("Mins",A1:CV300,84,FALSE)* 90)</f>
        <v>5.97609561752988E-2</v>
      </c>
      <c r="BF84" s="24706">
        <f>IF(HLOOKUP("Mins",A1:CV300,84,FALSE)=0,0,HLOOKUP("SOT",A1:CV300,84,FALSE)/HLOOKUP("Mins",A1:CV300,84,FALSE)* 90)</f>
        <v>0.35856573705179284</v>
      </c>
      <c r="BG84" s="24707">
        <f>IF(HLOOKUP("Mins",A1:CV300,84,FALSE)=0,0,HLOOKUP("As",A1:CV300,84,FALSE)/HLOOKUP("Mins",A1:CV300,84,FALSE)* 90)</f>
        <v>5.97609561752988E-2</v>
      </c>
      <c r="BH84" s="24708">
        <f>IF(HLOOKUP("Mins",A1:CV300,84,FALSE)=0,0,HLOOKUP("FPL As",A1:CV300,84,FALSE)/HLOOKUP("Mins",A1:CV300,84,FALSE)* 90)</f>
        <v>5.97609561752988E-2</v>
      </c>
      <c r="BI84" s="24709">
        <f>IF(HLOOKUP("Mins",A1:CV300,84,FALSE)=0,0,HLOOKUP("BC Created",A1:CV300,84,FALSE)/HLOOKUP("Mins",A1:CV300,84,FALSE)* 90)</f>
        <v>0.1195219123505976</v>
      </c>
      <c r="BJ84" s="24710">
        <f>IF(HLOOKUP("Mins",A1:CV300,84,FALSE)=0,0,HLOOKUP("KP",A1:CV300,84,FALSE)/HLOOKUP("Mins",A1:CV300,84,FALSE)* 90)</f>
        <v>1.2549800796812749</v>
      </c>
      <c r="BK84" s="24711">
        <f>IF(HLOOKUP("Mins",A1:CV300,84,FALSE)=0,0,HLOOKUP("BC",A1:CV300,84,FALSE)/HLOOKUP("Mins",A1:CV300,84,FALSE)* 90)</f>
        <v>0</v>
      </c>
      <c r="BL84" s="24712">
        <f>IF(HLOOKUP("Mins",A1:CV300,84,FALSE)=0,0,HLOOKUP("BC Miss",A1:CV300,84,FALSE)/HLOOKUP("Mins",A1:CV300,84,FALSE)* 90)</f>
        <v>0</v>
      </c>
      <c r="BM84" s="24713">
        <f>IF(HLOOKUP("Mins",A1:CV300,84,FALSE)=0,0,HLOOKUP("Gs - BC",A1:CV300,84,FALSE)/HLOOKUP("Mins",A1:CV300,84,FALSE)* 90)</f>
        <v>0</v>
      </c>
      <c r="BN84" s="24714">
        <f>IF(HLOOKUP("Mins",A1:CV300,84,FALSE)=0,0,HLOOKUP("GIB",A1:CV300,84,FALSE)/HLOOKUP("Mins",A1:CV300,84,FALSE)* 90)</f>
        <v>0</v>
      </c>
      <c r="BO84" s="24715">
        <f>IF(HLOOKUP("Mins",A1:CV300,84,FALSE)=0,0,HLOOKUP("Gs - Open",A1:CV300,84,FALSE)/HLOOKUP("Mins",A1:CV300,84,FALSE)* 90)</f>
        <v>0.1195219123505976</v>
      </c>
      <c r="BP84" s="24716">
        <f>IF(HLOOKUP("Mins",A1:CV300,84,FALSE)=0,0,HLOOKUP("ICT Index",A1:CV300,84,FALSE)/HLOOKUP("Mins",A1:CV300,84,FALSE)* 90)</f>
        <v>4.9243027888446216</v>
      </c>
      <c r="BQ84" s="24717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  <v>3.418326693227091E-2</v>
      </c>
      <c r="BR84" s="24718">
        <f>0.0885*HLOOKUP("KP/90",A1:CV300,84,FALSE)</f>
        <v>0.11106573705179282</v>
      </c>
      <c r="BS84" s="24719">
        <f>5*HLOOKUP("xG/90",A1:CV300,84,FALSE)+3*HLOOKUP("xA/90",A1:CV300,84,FALSE)</f>
        <v>0.50411354581673307</v>
      </c>
      <c r="BT84" s="24720">
        <f>HLOOKUP("xPts/90",A1:CV300,84,FALSE)-(5*0.75*(HLOOKUP("PK Gs",A1:CV300,84,FALSE)+HLOOKUP("PK Miss",A1:CV300,84,FALSE))*90/HLOOKUP("Mins",A1:CV300,84,FALSE))</f>
        <v>0.50411354581673307</v>
      </c>
      <c r="BU84" s="24721">
        <f>IF(HLOOKUP("Mins",A1:CV300,84,FALSE)=0,0,HLOOKUP("fsXG",A1:CV300,84,FALSE)/HLOOKUP("Mins",A1:CV300,84,FALSE)* 90)</f>
        <v>2.808764940239044E-2</v>
      </c>
      <c r="BV84" s="24722">
        <f>IF(HLOOKUP("Mins",A1:CV300,84,FALSE)=0,0,HLOOKUP("fsXA",A1:CV300,84,FALSE)/HLOOKUP("Mins",A1:CV300,84,FALSE)* 90)</f>
        <v>7.5298804780876485E-2</v>
      </c>
      <c r="BW84" s="24723">
        <f>5*HLOOKUP("fsXG/90",A1:CV300,84,FALSE)+3*HLOOKUP("fsXA/90",A1:CV300,84,FALSE)</f>
        <v>0.3663346613545817</v>
      </c>
      <c r="BX84" s="24724">
        <v>2.3088114336133003E-2</v>
      </c>
      <c r="BY84" s="24725">
        <v>8.2988999783992767E-2</v>
      </c>
      <c r="BZ84" s="24726">
        <f>5*HLOOKUP("uXG/90",A1:CV300,84,FALSE)+3*HLOOKUP("uXA/90",A1:CV300,84,FALSE)</f>
        <v>0.36440757103264332</v>
      </c>
    </row>
    <row r="85" spans="1:78" x14ac:dyDescent="0.3">
      <c r="A85" s="24727" t="s">
        <v>412</v>
      </c>
      <c r="B85" s="24728" t="s">
        <v>98</v>
      </c>
      <c r="C85" s="24729">
        <v>5.1999998092651367</v>
      </c>
      <c r="D85" s="24730">
        <v>707</v>
      </c>
      <c r="E85" s="24731">
        <v>16</v>
      </c>
      <c r="F85" s="24732">
        <v>34</v>
      </c>
      <c r="G85" s="24733">
        <v>1</v>
      </c>
      <c r="H85" s="24734">
        <v>3</v>
      </c>
      <c r="I85" s="24735">
        <v>88</v>
      </c>
      <c r="J85" s="24736">
        <f>HLOOKUP("BPS",A1:CV300,85,FALSE)-((-6*HLOOKUP("OG",A1:CV300,85,FALSE))+(-6*HLOOKUP("PK Miss",A1:CV300,85,FALSE))+(9*HLOOKUP("FPL As",A1:CV300,85,FALSE))+(0*HLOOKUP("CS",A1:CV300,85,FALSE))+(18*HLOOKUP("Gs",A1:CV300,85,FALSE)))</f>
        <v>61</v>
      </c>
      <c r="K85" s="24737">
        <v>0</v>
      </c>
      <c r="L85" s="24738">
        <v>2</v>
      </c>
      <c r="M85" s="24739">
        <v>12</v>
      </c>
      <c r="N85" s="24740">
        <v>12</v>
      </c>
      <c r="O85" s="24741">
        <v>3</v>
      </c>
      <c r="P85" s="24742">
        <f>IF(HLOOKUP("Shots",A1:CV300,85,FALSE)=0,0,HLOOKUP("SIB",A1:CV300,85,FALSE)/HLOOKUP("Shots",A1:CV300,85,FALSE))</f>
        <v>0.25</v>
      </c>
      <c r="Q85" s="24743">
        <v>0</v>
      </c>
      <c r="R85" s="24744">
        <f>IF(HLOOKUP("Shots",A1:CV300,85,FALSE)=0,0,HLOOKUP("S6YD",A1:CV300,85,FALSE)/HLOOKUP("Shots",A1:CV300,85,FALSE))</f>
        <v>0</v>
      </c>
      <c r="S85" s="24745">
        <v>1</v>
      </c>
      <c r="T85" s="24746">
        <f>IF(HLOOKUP("Shots",A1:CV300,85,FALSE)=0,0,HLOOKUP("Headers",A1:CV300,85,FALSE)/HLOOKUP("Shots",A1:CV300,85,FALSE))</f>
        <v>8.3333333333333329E-2</v>
      </c>
      <c r="U85" s="24747">
        <v>6</v>
      </c>
      <c r="V85" s="24748">
        <f>IF(HLOOKUP("Shots",A1:CV300,85,FALSE)=0,0,HLOOKUP("SOT",A1:CV300,85,FALSE)/HLOOKUP("Shots",A1:CV300,85,FALSE))</f>
        <v>0.5</v>
      </c>
      <c r="W85" s="24749">
        <f>IF(HLOOKUP("Shots",A1:CV300,85,FALSE)=0,0,HLOOKUP("Gs",A1:CV300,85,FALSE)/HLOOKUP("Shots",A1:CV300,85,FALSE))</f>
        <v>8.3333333333333329E-2</v>
      </c>
      <c r="X85" s="24750">
        <v>0</v>
      </c>
      <c r="Y85" s="24751">
        <v>1</v>
      </c>
      <c r="Z85" s="24752">
        <v>5</v>
      </c>
      <c r="AA85" s="24753">
        <f>IF(HLOOKUP("KP",A1:CV300,85,FALSE)=0,0,HLOOKUP("As",A1:CV300,85,FALSE)/HLOOKUP("KP",A1:CV300,85,FALSE))</f>
        <v>0</v>
      </c>
      <c r="AB85" s="24754">
        <v>31.2</v>
      </c>
      <c r="AC85" s="24755">
        <v>14</v>
      </c>
      <c r="AD85" s="24756">
        <v>1</v>
      </c>
      <c r="AE85" s="24757">
        <v>1</v>
      </c>
      <c r="AF85" s="24758">
        <v>1</v>
      </c>
      <c r="AG85" s="24759">
        <f>IF(HLOOKUP("BC",A1:CV300,85,FALSE)=0,0,HLOOKUP("Gs - BC",A1:CV300,85,FALSE)/HLOOKUP("BC",A1:CV300,85,FALSE))</f>
        <v>0</v>
      </c>
      <c r="AH85" s="24760">
        <f>HLOOKUP("BC",A1:CV300,85,FALSE) - HLOOKUP("BC Miss",A1:CV300,85,FALSE)</f>
        <v>0</v>
      </c>
      <c r="AI85" s="24761">
        <f>IF(HLOOKUP("Gs",A1:CV300,85,FALSE)=0,0,HLOOKUP("Gs - BC",A1:CV300,85,FALSE)/HLOOKUP("Gs",A1:CV300,85,FALSE))</f>
        <v>0</v>
      </c>
      <c r="AJ85" s="24762">
        <v>0</v>
      </c>
      <c r="AK85" s="24763">
        <v>0</v>
      </c>
      <c r="AL85" s="24764">
        <f>HLOOKUP("BC",A1:CV300,85,FALSE) - (HLOOKUP("PK Gs",A1:CV300,85,FALSE) + HLOOKUP("PK Miss",A1:CV300,85,FALSE))</f>
        <v>1</v>
      </c>
      <c r="AM85" s="24765">
        <f>HLOOKUP("BC Miss",A1:CV300,85,FALSE) - HLOOKUP("PK Miss",A1:CV300,85,FALSE)</f>
        <v>1</v>
      </c>
      <c r="AN85" s="24766">
        <f>IF(HLOOKUP("BC - Open",A1:CV300,85,FALSE)=0,0,HLOOKUP("BC - Open Miss",A1:CV300,85,FALSE)/HLOOKUP("BC - Open",A1:CV300,85,FALSE))</f>
        <v>1</v>
      </c>
      <c r="AO85" s="24767">
        <v>1</v>
      </c>
      <c r="AP85" s="24768">
        <f>IF(HLOOKUP("Gs",A1:CV300,85,FALSE)=0,0,HLOOKUP("GIB",A1:CV300,85,FALSE)/HLOOKUP("Gs",A1:CV300,85,FALSE))</f>
        <v>1</v>
      </c>
      <c r="AQ85" s="24769">
        <v>1</v>
      </c>
      <c r="AR85" s="24770">
        <f>IF(HLOOKUP("Gs",A1:CV300,85,FALSE)=0,0,HLOOKUP("Gs - Open",A1:CV300,85,FALSE)/HLOOKUP("Gs",A1:CV300,85,FALSE))</f>
        <v>1</v>
      </c>
      <c r="AS85" s="24771">
        <v>0.79</v>
      </c>
      <c r="AT85" s="24772">
        <v>0.62</v>
      </c>
      <c r="AU85" s="24773">
        <f>IF(HLOOKUP("Mins",A1:CV300,85,FALSE)=0,0,HLOOKUP("Pts",A1:CV300,85,FALSE)/HLOOKUP("Mins",A1:CV300,85,FALSE)* 90)</f>
        <v>4.3281471004243279</v>
      </c>
      <c r="AV85" s="24774">
        <f>IF(HLOOKUP("Apps",A1:CV300,85,FALSE)=0,0,HLOOKUP("Pts",A1:CV300,85,FALSE)/HLOOKUP("Apps",A1:CV300,85,FALSE)* 1)</f>
        <v>2.125</v>
      </c>
      <c r="AW85" s="24775">
        <f>IF(HLOOKUP("Mins",A1:CV300,85,FALSE)=0,0,HLOOKUP("Gs",A1:CV300,85,FALSE)/HLOOKUP("Mins",A1:CV300,85,FALSE)* 90)</f>
        <v>0.12729844413012731</v>
      </c>
      <c r="AX85" s="24776">
        <f>IF(HLOOKUP("Mins",A1:CV300,85,FALSE)=0,0,HLOOKUP("Bonus",A1:CV300,85,FALSE)/HLOOKUP("Mins",A1:CV300,85,FALSE)* 90)</f>
        <v>0.38189533239038187</v>
      </c>
      <c r="AY85" s="24777">
        <f>IF(HLOOKUP("Mins",A1:CV300,85,FALSE)=0,0,HLOOKUP("BPS",A1:CV300,85,FALSE)/HLOOKUP("Mins",A1:CV300,85,FALSE)* 90)</f>
        <v>11.202263083451202</v>
      </c>
      <c r="AZ85" s="24778">
        <f>IF(HLOOKUP("Mins",A1:CV300,85,FALSE)=0,0,HLOOKUP("Base BPS",A1:CV300,85,FALSE)/HLOOKUP("Mins",A1:CV300,85,FALSE)* 90)</f>
        <v>7.7652050919377649</v>
      </c>
      <c r="BA85" s="24779">
        <f>IF(HLOOKUP("Mins",A1:CV300,85,FALSE)=0,0,HLOOKUP("PenTchs",A1:CV300,85,FALSE)/HLOOKUP("Mins",A1:CV300,85,FALSE)* 90)</f>
        <v>1.5275813295615275</v>
      </c>
      <c r="BB85" s="24780">
        <f>IF(HLOOKUP("Mins",A1:CV300,85,FALSE)=0,0,HLOOKUP("Shots",A1:CV300,85,FALSE)/HLOOKUP("Mins",A1:CV300,85,FALSE)* 90)</f>
        <v>1.5275813295615275</v>
      </c>
      <c r="BC85" s="24781">
        <f>IF(HLOOKUP("Mins",A1:CV300,85,FALSE)=0,0,HLOOKUP("SIB",A1:CV300,85,FALSE)/HLOOKUP("Mins",A1:CV300,85,FALSE)* 90)</f>
        <v>0.38189533239038187</v>
      </c>
      <c r="BD85" s="24782">
        <f>IF(HLOOKUP("Mins",A1:CV300,85,FALSE)=0,0,HLOOKUP("S6YD",A1:CV300,85,FALSE)/HLOOKUP("Mins",A1:CV300,85,FALSE)* 90)</f>
        <v>0</v>
      </c>
      <c r="BE85" s="24783">
        <f>IF(HLOOKUP("Mins",A1:CV300,85,FALSE)=0,0,HLOOKUP("Headers",A1:CV300,85,FALSE)/HLOOKUP("Mins",A1:CV300,85,FALSE)* 90)</f>
        <v>0.12729844413012731</v>
      </c>
      <c r="BF85" s="24784">
        <f>IF(HLOOKUP("Mins",A1:CV300,85,FALSE)=0,0,HLOOKUP("SOT",A1:CV300,85,FALSE)/HLOOKUP("Mins",A1:CV300,85,FALSE)* 90)</f>
        <v>0.76379066478076374</v>
      </c>
      <c r="BG85" s="24785">
        <f>IF(HLOOKUP("Mins",A1:CV300,85,FALSE)=0,0,HLOOKUP("As",A1:CV300,85,FALSE)/HLOOKUP("Mins",A1:CV300,85,FALSE)* 90)</f>
        <v>0</v>
      </c>
      <c r="BH85" s="24786">
        <f>IF(HLOOKUP("Mins",A1:CV300,85,FALSE)=0,0,HLOOKUP("FPL As",A1:CV300,85,FALSE)/HLOOKUP("Mins",A1:CV300,85,FALSE)* 90)</f>
        <v>0.12729844413012731</v>
      </c>
      <c r="BI85" s="24787">
        <f>IF(HLOOKUP("Mins",A1:CV300,85,FALSE)=0,0,HLOOKUP("BC Created",A1:CV300,85,FALSE)/HLOOKUP("Mins",A1:CV300,85,FALSE)* 90)</f>
        <v>0.12729844413012731</v>
      </c>
      <c r="BJ85" s="24788">
        <f>IF(HLOOKUP("Mins",A1:CV300,85,FALSE)=0,0,HLOOKUP("KP",A1:CV300,85,FALSE)/HLOOKUP("Mins",A1:CV300,85,FALSE)* 90)</f>
        <v>0.63649222065063649</v>
      </c>
      <c r="BK85" s="24789">
        <f>IF(HLOOKUP("Mins",A1:CV300,85,FALSE)=0,0,HLOOKUP("BC",A1:CV300,85,FALSE)/HLOOKUP("Mins",A1:CV300,85,FALSE)* 90)</f>
        <v>0.12729844413012731</v>
      </c>
      <c r="BL85" s="24790">
        <f>IF(HLOOKUP("Mins",A1:CV300,85,FALSE)=0,0,HLOOKUP("BC Miss",A1:CV300,85,FALSE)/HLOOKUP("Mins",A1:CV300,85,FALSE)* 90)</f>
        <v>0.12729844413012731</v>
      </c>
      <c r="BM85" s="24791">
        <f>IF(HLOOKUP("Mins",A1:CV300,85,FALSE)=0,0,HLOOKUP("Gs - BC",A1:CV300,85,FALSE)/HLOOKUP("Mins",A1:CV300,85,FALSE)* 90)</f>
        <v>0</v>
      </c>
      <c r="BN85" s="24792">
        <f>IF(HLOOKUP("Mins",A1:CV300,85,FALSE)=0,0,HLOOKUP("GIB",A1:CV300,85,FALSE)/HLOOKUP("Mins",A1:CV300,85,FALSE)* 90)</f>
        <v>0.12729844413012731</v>
      </c>
      <c r="BO85" s="24793">
        <f>IF(HLOOKUP("Mins",A1:CV300,85,FALSE)=0,0,HLOOKUP("Gs - Open",A1:CV300,85,FALSE)/HLOOKUP("Mins",A1:CV300,85,FALSE)* 90)</f>
        <v>0.12729844413012731</v>
      </c>
      <c r="BP85" s="24794">
        <f>IF(HLOOKUP("Mins",A1:CV300,85,FALSE)=0,0,HLOOKUP("ICT Index",A1:CV300,85,FALSE)/HLOOKUP("Mins",A1:CV300,85,FALSE)* 90)</f>
        <v>3.9717114568599716</v>
      </c>
      <c r="BQ85" s="24795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  <v>9.5473833097595454E-2</v>
      </c>
      <c r="BR85" s="24796">
        <f>0.0885*HLOOKUP("KP/90",A1:CV300,85,FALSE)</f>
        <v>5.6329561527581326E-2</v>
      </c>
      <c r="BS85" s="24797">
        <f>5*HLOOKUP("xG/90",A1:CV300,85,FALSE)+3*HLOOKUP("xA/90",A1:CV300,85,FALSE)</f>
        <v>0.64635785007072122</v>
      </c>
      <c r="BT85" s="24798">
        <f>HLOOKUP("xPts/90",A1:CV300,85,FALSE)-(5*0.75*(HLOOKUP("PK Gs",A1:CV300,85,FALSE)+HLOOKUP("PK Miss",A1:CV300,85,FALSE))*90/HLOOKUP("Mins",A1:CV300,85,FALSE))</f>
        <v>0.64635785007072122</v>
      </c>
      <c r="BU85" s="24799">
        <f>IF(HLOOKUP("Mins",A1:CV300,85,FALSE)=0,0,HLOOKUP("fsXG",A1:CV300,85,FALSE)/HLOOKUP("Mins",A1:CV300,85,FALSE)* 90)</f>
        <v>0.10056577086280057</v>
      </c>
      <c r="BV85" s="24800">
        <f>IF(HLOOKUP("Mins",A1:CV300,85,FALSE)=0,0,HLOOKUP("fsXA",A1:CV300,85,FALSE)/HLOOKUP("Mins",A1:CV300,85,FALSE)* 90)</f>
        <v>7.8925035360678922E-2</v>
      </c>
      <c r="BW85" s="24801">
        <f>5*HLOOKUP("fsXG/90",A1:CV300,85,FALSE)+3*HLOOKUP("fsXA/90",A1:CV300,85,FALSE)</f>
        <v>0.73960396039603959</v>
      </c>
      <c r="BX85" s="24802">
        <v>9.2473171651363373E-2</v>
      </c>
      <c r="BY85" s="24803">
        <v>9.6392273902893066E-2</v>
      </c>
      <c r="BZ85" s="24804">
        <f>5*HLOOKUP("uXG/90",A1:CV300,85,FALSE)+3*HLOOKUP("uXA/90",A1:CV300,85,FALSE)</f>
        <v>0.75154267996549606</v>
      </c>
    </row>
    <row r="86" spans="1:78" x14ac:dyDescent="0.3">
      <c r="A86" s="24805" t="s">
        <v>413</v>
      </c>
      <c r="B86" s="24806" t="s">
        <v>79</v>
      </c>
      <c r="C86" s="24807">
        <v>9.1000003814697266</v>
      </c>
      <c r="D86" s="24808">
        <v>1174</v>
      </c>
      <c r="E86" s="24809">
        <v>19</v>
      </c>
      <c r="F86" s="24810">
        <v>59</v>
      </c>
      <c r="G86" s="24811">
        <v>3</v>
      </c>
      <c r="H86" s="24812">
        <v>5</v>
      </c>
      <c r="I86" s="24813">
        <v>203</v>
      </c>
      <c r="J86" s="24814">
        <f>HLOOKUP("BPS",A1:CV300,86,FALSE)-((-6*HLOOKUP("OG",A1:CV300,86,FALSE))+(-6*HLOOKUP("PK Miss",A1:CV300,86,FALSE))+(9*HLOOKUP("FPL As",A1:CV300,86,FALSE))+(0*HLOOKUP("CS",A1:CV300,86,FALSE))+(18*HLOOKUP("Gs",A1:CV300,86,FALSE)))</f>
        <v>122</v>
      </c>
      <c r="K86" s="24815">
        <v>0</v>
      </c>
      <c r="L86" s="24816">
        <v>2</v>
      </c>
      <c r="M86" s="24817">
        <v>55</v>
      </c>
      <c r="N86" s="24818">
        <v>35</v>
      </c>
      <c r="O86" s="24819">
        <v>19</v>
      </c>
      <c r="P86" s="24820">
        <f>IF(HLOOKUP("Shots",A1:CV300,86,FALSE)=0,0,HLOOKUP("SIB",A1:CV300,86,FALSE)/HLOOKUP("Shots",A1:CV300,86,FALSE))</f>
        <v>0.54285714285714282</v>
      </c>
      <c r="Q86" s="24821">
        <v>2</v>
      </c>
      <c r="R86" s="24822">
        <f>IF(HLOOKUP("Shots",A1:CV300,86,FALSE)=0,0,HLOOKUP("S6YD",A1:CV300,86,FALSE)/HLOOKUP("Shots",A1:CV300,86,FALSE))</f>
        <v>5.7142857142857141E-2</v>
      </c>
      <c r="S86" s="24823">
        <v>1</v>
      </c>
      <c r="T86" s="24824">
        <f>IF(HLOOKUP("Shots",A1:CV300,86,FALSE)=0,0,HLOOKUP("Headers",A1:CV300,86,FALSE)/HLOOKUP("Shots",A1:CV300,86,FALSE))</f>
        <v>2.8571428571428571E-2</v>
      </c>
      <c r="U86" s="24825">
        <v>12</v>
      </c>
      <c r="V86" s="24826">
        <f>IF(HLOOKUP("Shots",A1:CV300,86,FALSE)=0,0,HLOOKUP("SOT",A1:CV300,86,FALSE)/HLOOKUP("Shots",A1:CV300,86,FALSE))</f>
        <v>0.34285714285714286</v>
      </c>
      <c r="W86" s="24827">
        <f>IF(HLOOKUP("Shots",A1:CV300,86,FALSE)=0,0,HLOOKUP("Gs",A1:CV300,86,FALSE)/HLOOKUP("Shots",A1:CV300,86,FALSE))</f>
        <v>8.5714285714285715E-2</v>
      </c>
      <c r="X86" s="24828">
        <v>3</v>
      </c>
      <c r="Y86" s="24829">
        <v>3</v>
      </c>
      <c r="Z86" s="24830">
        <v>23</v>
      </c>
      <c r="AA86" s="24831">
        <f>IF(HLOOKUP("KP",A1:CV300,86,FALSE)=0,0,HLOOKUP("As",A1:CV300,86,FALSE)/HLOOKUP("KP",A1:CV300,86,FALSE))</f>
        <v>0.13043478260869565</v>
      </c>
      <c r="AB86" s="24832">
        <v>110</v>
      </c>
      <c r="AC86" s="24833">
        <v>33</v>
      </c>
      <c r="AD86" s="24834">
        <v>4</v>
      </c>
      <c r="AE86" s="24835">
        <v>4</v>
      </c>
      <c r="AF86" s="24836">
        <v>2</v>
      </c>
      <c r="AG86" s="24837">
        <f>IF(HLOOKUP("BC",A1:CV300,86,FALSE)=0,0,HLOOKUP("Gs - BC",A1:CV300,86,FALSE)/HLOOKUP("BC",A1:CV300,86,FALSE))</f>
        <v>0.5</v>
      </c>
      <c r="AH86" s="24838">
        <f>HLOOKUP("BC",A1:CV300,86,FALSE) - HLOOKUP("BC Miss",A1:CV300,86,FALSE)</f>
        <v>2</v>
      </c>
      <c r="AI86" s="24839">
        <f>IF(HLOOKUP("Gs",A1:CV300,86,FALSE)=0,0,HLOOKUP("Gs - BC",A1:CV300,86,FALSE)/HLOOKUP("Gs",A1:CV300,86,FALSE))</f>
        <v>0.66666666666666663</v>
      </c>
      <c r="AJ86" s="24840">
        <v>1</v>
      </c>
      <c r="AK86" s="24841">
        <v>0</v>
      </c>
      <c r="AL86" s="24842">
        <f>HLOOKUP("BC",A1:CV300,86,FALSE) - (HLOOKUP("PK Gs",A1:CV300,86,FALSE) + HLOOKUP("PK Miss",A1:CV300,86,FALSE))</f>
        <v>3</v>
      </c>
      <c r="AM86" s="24843">
        <f>HLOOKUP("BC Miss",A1:CV300,86,FALSE) - HLOOKUP("PK Miss",A1:CV300,86,FALSE)</f>
        <v>2</v>
      </c>
      <c r="AN86" s="24844">
        <f>IF(HLOOKUP("BC - Open",A1:CV300,86,FALSE)=0,0,HLOOKUP("BC - Open Miss",A1:CV300,86,FALSE)/HLOOKUP("BC - Open",A1:CV300,86,FALSE))</f>
        <v>0.66666666666666663</v>
      </c>
      <c r="AO86" s="24845">
        <v>3</v>
      </c>
      <c r="AP86" s="24846">
        <f>IF(HLOOKUP("Gs",A1:CV300,86,FALSE)=0,0,HLOOKUP("GIB",A1:CV300,86,FALSE)/HLOOKUP("Gs",A1:CV300,86,FALSE))</f>
        <v>1</v>
      </c>
      <c r="AQ86" s="24847">
        <v>2</v>
      </c>
      <c r="AR86" s="24848">
        <f>IF(HLOOKUP("Gs",A1:CV300,86,FALSE)=0,0,HLOOKUP("Gs - Open",A1:CV300,86,FALSE)/HLOOKUP("Gs",A1:CV300,86,FALSE))</f>
        <v>0.66666666666666663</v>
      </c>
      <c r="AS86" s="24849">
        <v>3.84</v>
      </c>
      <c r="AT86" s="24850">
        <v>1.86</v>
      </c>
      <c r="AU86" s="24851">
        <f>IF(HLOOKUP("Mins",A1:CV300,86,FALSE)=0,0,HLOOKUP("Pts",A1:CV300,86,FALSE)/HLOOKUP("Mins",A1:CV300,86,FALSE)* 90)</f>
        <v>4.5229982964224869</v>
      </c>
      <c r="AV86" s="24852">
        <f>IF(HLOOKUP("Apps",A1:CV300,86,FALSE)=0,0,HLOOKUP("Pts",A1:CV300,86,FALSE)/HLOOKUP("Apps",A1:CV300,86,FALSE)* 1)</f>
        <v>3.1052631578947367</v>
      </c>
      <c r="AW86" s="24853">
        <f>IF(HLOOKUP("Mins",A1:CV300,86,FALSE)=0,0,HLOOKUP("Gs",A1:CV300,86,FALSE)/HLOOKUP("Mins",A1:CV300,86,FALSE)* 90)</f>
        <v>0.22998296422487222</v>
      </c>
      <c r="AX86" s="24854">
        <f>IF(HLOOKUP("Mins",A1:CV300,86,FALSE)=0,0,HLOOKUP("Bonus",A1:CV300,86,FALSE)/HLOOKUP("Mins",A1:CV300,86,FALSE)* 90)</f>
        <v>0.38330494037478702</v>
      </c>
      <c r="AY86" s="24855">
        <f>IF(HLOOKUP("Mins",A1:CV300,86,FALSE)=0,0,HLOOKUP("BPS",A1:CV300,86,FALSE)/HLOOKUP("Mins",A1:CV300,86,FALSE)* 90)</f>
        <v>15.562180579216355</v>
      </c>
      <c r="AZ86" s="24856">
        <f>IF(HLOOKUP("Mins",A1:CV300,86,FALSE)=0,0,HLOOKUP("Base BPS",A1:CV300,86,FALSE)/HLOOKUP("Mins",A1:CV300,86,FALSE)* 90)</f>
        <v>9.3526405451448031</v>
      </c>
      <c r="BA86" s="24857">
        <f>IF(HLOOKUP("Mins",A1:CV300,86,FALSE)=0,0,HLOOKUP("PenTchs",A1:CV300,86,FALSE)/HLOOKUP("Mins",A1:CV300,86,FALSE)* 90)</f>
        <v>4.2163543441226574</v>
      </c>
      <c r="BB86" s="24858">
        <f>IF(HLOOKUP("Mins",A1:CV300,86,FALSE)=0,0,HLOOKUP("Shots",A1:CV300,86,FALSE)/HLOOKUP("Mins",A1:CV300,86,FALSE)* 90)</f>
        <v>2.6831345826235093</v>
      </c>
      <c r="BC86" s="24859">
        <f>IF(HLOOKUP("Mins",A1:CV300,86,FALSE)=0,0,HLOOKUP("SIB",A1:CV300,86,FALSE)/HLOOKUP("Mins",A1:CV300,86,FALSE)* 90)</f>
        <v>1.4565587734241907</v>
      </c>
      <c r="BD86" s="24860">
        <f>IF(HLOOKUP("Mins",A1:CV300,86,FALSE)=0,0,HLOOKUP("S6YD",A1:CV300,86,FALSE)/HLOOKUP("Mins",A1:CV300,86,FALSE)* 90)</f>
        <v>0.15332197614991483</v>
      </c>
      <c r="BE86" s="24861">
        <f>IF(HLOOKUP("Mins",A1:CV300,86,FALSE)=0,0,HLOOKUP("Headers",A1:CV300,86,FALSE)/HLOOKUP("Mins",A1:CV300,86,FALSE)* 90)</f>
        <v>7.6660988074957415E-2</v>
      </c>
      <c r="BF86" s="24862">
        <f>IF(HLOOKUP("Mins",A1:CV300,86,FALSE)=0,0,HLOOKUP("SOT",A1:CV300,86,FALSE)/HLOOKUP("Mins",A1:CV300,86,FALSE)* 90)</f>
        <v>0.91993185689948886</v>
      </c>
      <c r="BG86" s="24863">
        <f>IF(HLOOKUP("Mins",A1:CV300,86,FALSE)=0,0,HLOOKUP("As",A1:CV300,86,FALSE)/HLOOKUP("Mins",A1:CV300,86,FALSE)* 90)</f>
        <v>0.22998296422487222</v>
      </c>
      <c r="BH86" s="24864">
        <f>IF(HLOOKUP("Mins",A1:CV300,86,FALSE)=0,0,HLOOKUP("FPL As",A1:CV300,86,FALSE)/HLOOKUP("Mins",A1:CV300,86,FALSE)* 90)</f>
        <v>0.22998296422487222</v>
      </c>
      <c r="BI86" s="24865">
        <f>IF(HLOOKUP("Mins",A1:CV300,86,FALSE)=0,0,HLOOKUP("BC Created",A1:CV300,86,FALSE)/HLOOKUP("Mins",A1:CV300,86,FALSE)* 90)</f>
        <v>0.30664395229982966</v>
      </c>
      <c r="BJ86" s="24866">
        <f>IF(HLOOKUP("Mins",A1:CV300,86,FALSE)=0,0,HLOOKUP("KP",A1:CV300,86,FALSE)/HLOOKUP("Mins",A1:CV300,86,FALSE)* 90)</f>
        <v>1.7632027257240206</v>
      </c>
      <c r="BK86" s="24867">
        <f>IF(HLOOKUP("Mins",A1:CV300,86,FALSE)=0,0,HLOOKUP("BC",A1:CV300,86,FALSE)/HLOOKUP("Mins",A1:CV300,86,FALSE)* 90)</f>
        <v>0.30664395229982966</v>
      </c>
      <c r="BL86" s="24868">
        <f>IF(HLOOKUP("Mins",A1:CV300,86,FALSE)=0,0,HLOOKUP("BC Miss",A1:CV300,86,FALSE)/HLOOKUP("Mins",A1:CV300,86,FALSE)* 90)</f>
        <v>0.15332197614991483</v>
      </c>
      <c r="BM86" s="24869">
        <f>IF(HLOOKUP("Mins",A1:CV300,86,FALSE)=0,0,HLOOKUP("Gs - BC",A1:CV300,86,FALSE)/HLOOKUP("Mins",A1:CV300,86,FALSE)* 90)</f>
        <v>0.15332197614991483</v>
      </c>
      <c r="BN86" s="24870">
        <f>IF(HLOOKUP("Mins",A1:CV300,86,FALSE)=0,0,HLOOKUP("GIB",A1:CV300,86,FALSE)/HLOOKUP("Mins",A1:CV300,86,FALSE)* 90)</f>
        <v>0.22998296422487222</v>
      </c>
      <c r="BO86" s="24871">
        <f>IF(HLOOKUP("Mins",A1:CV300,86,FALSE)=0,0,HLOOKUP("Gs - Open",A1:CV300,86,FALSE)/HLOOKUP("Mins",A1:CV300,86,FALSE)* 90)</f>
        <v>0.15332197614991483</v>
      </c>
      <c r="BP86" s="24872">
        <f>IF(HLOOKUP("Mins",A1:CV300,86,FALSE)=0,0,HLOOKUP("ICT Index",A1:CV300,86,FALSE)/HLOOKUP("Mins",A1:CV300,86,FALSE)* 90)</f>
        <v>8.4327086882453148</v>
      </c>
      <c r="BQ86" s="24873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  <v>0.29759795570698466</v>
      </c>
      <c r="BR86" s="24874">
        <f>0.0885*HLOOKUP("KP/90",A1:CV300,86,FALSE)</f>
        <v>0.15604344122657582</v>
      </c>
      <c r="BS86" s="24875">
        <f>5*HLOOKUP("xG/90",A1:CV300,86,FALSE)+3*HLOOKUP("xA/90",A1:CV300,86,FALSE)</f>
        <v>1.9561201022146508</v>
      </c>
      <c r="BT86" s="24876">
        <f>HLOOKUP("xPts/90",A1:CV300,86,FALSE)-(5*0.75*(HLOOKUP("PK Gs",A1:CV300,86,FALSE)+HLOOKUP("PK Miss",A1:CV300,86,FALSE))*90/HLOOKUP("Mins",A1:CV300,86,FALSE))</f>
        <v>1.6686413969335605</v>
      </c>
      <c r="BU86" s="24877">
        <f>IF(HLOOKUP("Mins",A1:CV300,86,FALSE)=0,0,HLOOKUP("fsXG",A1:CV300,86,FALSE)/HLOOKUP("Mins",A1:CV300,86,FALSE)* 90)</f>
        <v>0.29437819420783645</v>
      </c>
      <c r="BV86" s="24878">
        <f>IF(HLOOKUP("Mins",A1:CV300,86,FALSE)=0,0,HLOOKUP("fsXA",A1:CV300,86,FALSE)/HLOOKUP("Mins",A1:CV300,86,FALSE)* 90)</f>
        <v>0.14258943781942079</v>
      </c>
      <c r="BW86" s="24879">
        <f>5*HLOOKUP("fsXG/90",A1:CV300,86,FALSE)+3*HLOOKUP("fsXA/90",A1:CV300,86,FALSE)</f>
        <v>1.8996592844974447</v>
      </c>
      <c r="BX86" s="24880">
        <v>0.30165779590606689</v>
      </c>
      <c r="BY86" s="24881">
        <v>0.15508963167667389</v>
      </c>
      <c r="BZ86" s="24882">
        <f>5*HLOOKUP("uXG/90",A1:CV300,86,FALSE)+3*HLOOKUP("uXA/90",A1:CV300,86,FALSE)</f>
        <v>1.9735578745603561</v>
      </c>
    </row>
    <row r="87" spans="1:78" x14ac:dyDescent="0.3">
      <c r="A87" s="24883" t="s">
        <v>414</v>
      </c>
      <c r="B87" s="24884" t="s">
        <v>89</v>
      </c>
      <c r="C87" s="24885">
        <v>8.6000003814697266</v>
      </c>
      <c r="D87" s="24886">
        <v>1045</v>
      </c>
      <c r="E87" s="24887">
        <v>18</v>
      </c>
      <c r="F87" s="24888">
        <v>46</v>
      </c>
      <c r="G87" s="24889">
        <v>2</v>
      </c>
      <c r="H87" s="24890">
        <v>6</v>
      </c>
      <c r="I87" s="24891">
        <v>192</v>
      </c>
      <c r="J87" s="24892">
        <f>HLOOKUP("BPS",A1:CV300,87,FALSE)-((-6*HLOOKUP("OG",A1:CV300,87,FALSE))+(-6*HLOOKUP("PK Miss",A1:CV300,87,FALSE))+(9*HLOOKUP("FPL As",A1:CV300,87,FALSE))+(0*HLOOKUP("CS",A1:CV300,87,FALSE))+(18*HLOOKUP("Gs",A1:CV300,87,FALSE)))</f>
        <v>138</v>
      </c>
      <c r="K87" s="24893">
        <v>0</v>
      </c>
      <c r="L87" s="24894">
        <v>1</v>
      </c>
      <c r="M87" s="24895">
        <v>15</v>
      </c>
      <c r="N87" s="24896">
        <v>24</v>
      </c>
      <c r="O87" s="24897">
        <v>3</v>
      </c>
      <c r="P87" s="24898">
        <f>IF(HLOOKUP("Shots",A1:CV300,87,FALSE)=0,0,HLOOKUP("SIB",A1:CV300,87,FALSE)/HLOOKUP("Shots",A1:CV300,87,FALSE))</f>
        <v>0.125</v>
      </c>
      <c r="Q87" s="24899">
        <v>1</v>
      </c>
      <c r="R87" s="24900">
        <f>IF(HLOOKUP("Shots",A1:CV300,87,FALSE)=0,0,HLOOKUP("S6YD",A1:CV300,87,FALSE)/HLOOKUP("Shots",A1:CV300,87,FALSE))</f>
        <v>4.1666666666666664E-2</v>
      </c>
      <c r="S87" s="24901">
        <v>0</v>
      </c>
      <c r="T87" s="24902">
        <f>IF(HLOOKUP("Shots",A1:CV300,87,FALSE)=0,0,HLOOKUP("Headers",A1:CV300,87,FALSE)/HLOOKUP("Shots",A1:CV300,87,FALSE))</f>
        <v>0</v>
      </c>
      <c r="U87" s="24903">
        <v>9</v>
      </c>
      <c r="V87" s="24904">
        <f>IF(HLOOKUP("Shots",A1:CV300,87,FALSE)=0,0,HLOOKUP("SOT",A1:CV300,87,FALSE)/HLOOKUP("Shots",A1:CV300,87,FALSE))</f>
        <v>0.375</v>
      </c>
      <c r="W87" s="24905">
        <f>IF(HLOOKUP("Shots",A1:CV300,87,FALSE)=0,0,HLOOKUP("Gs",A1:CV300,87,FALSE)/HLOOKUP("Shots",A1:CV300,87,FALSE))</f>
        <v>8.3333333333333329E-2</v>
      </c>
      <c r="X87" s="24906">
        <v>2</v>
      </c>
      <c r="Y87" s="24907">
        <v>2</v>
      </c>
      <c r="Z87" s="24908">
        <v>23</v>
      </c>
      <c r="AA87" s="24909">
        <f>IF(HLOOKUP("KP",A1:CV300,87,FALSE)=0,0,HLOOKUP("As",A1:CV300,87,FALSE)/HLOOKUP("KP",A1:CV300,87,FALSE))</f>
        <v>8.6956521739130432E-2</v>
      </c>
      <c r="AB87" s="24910">
        <v>80.8</v>
      </c>
      <c r="AC87" s="24911">
        <v>21</v>
      </c>
      <c r="AD87" s="24912">
        <v>3</v>
      </c>
      <c r="AE87" s="24913">
        <v>1</v>
      </c>
      <c r="AF87" s="24914">
        <v>0</v>
      </c>
      <c r="AG87" s="24915">
        <f>IF(HLOOKUP("BC",A1:CV300,87,FALSE)=0,0,HLOOKUP("Gs - BC",A1:CV300,87,FALSE)/HLOOKUP("BC",A1:CV300,87,FALSE))</f>
        <v>1</v>
      </c>
      <c r="AH87" s="24916">
        <f>HLOOKUP("BC",A1:CV300,87,FALSE) - HLOOKUP("BC Miss",A1:CV300,87,FALSE)</f>
        <v>1</v>
      </c>
      <c r="AI87" s="24917">
        <f>IF(HLOOKUP("Gs",A1:CV300,87,FALSE)=0,0,HLOOKUP("Gs - BC",A1:CV300,87,FALSE)/HLOOKUP("Gs",A1:CV300,87,FALSE))</f>
        <v>0.5</v>
      </c>
      <c r="AJ87" s="24918">
        <v>0</v>
      </c>
      <c r="AK87" s="24919">
        <v>0</v>
      </c>
      <c r="AL87" s="24920">
        <f>HLOOKUP("BC",A1:CV300,87,FALSE) - (HLOOKUP("PK Gs",A1:CV300,87,FALSE) + HLOOKUP("PK Miss",A1:CV300,87,FALSE))</f>
        <v>1</v>
      </c>
      <c r="AM87" s="24921">
        <f>HLOOKUP("BC Miss",A1:CV300,87,FALSE) - HLOOKUP("PK Miss",A1:CV300,87,FALSE)</f>
        <v>0</v>
      </c>
      <c r="AN87" s="24922">
        <f>IF(HLOOKUP("BC - Open",A1:CV300,87,FALSE)=0,0,HLOOKUP("BC - Open Miss",A1:CV300,87,FALSE)/HLOOKUP("BC - Open",A1:CV300,87,FALSE))</f>
        <v>0</v>
      </c>
      <c r="AO87" s="24923">
        <v>1</v>
      </c>
      <c r="AP87" s="24924">
        <f>IF(HLOOKUP("Gs",A1:CV300,87,FALSE)=0,0,HLOOKUP("GIB",A1:CV300,87,FALSE)/HLOOKUP("Gs",A1:CV300,87,FALSE))</f>
        <v>0.5</v>
      </c>
      <c r="AQ87" s="24925">
        <v>1</v>
      </c>
      <c r="AR87" s="24926">
        <f>IF(HLOOKUP("Gs",A1:CV300,87,FALSE)=0,0,HLOOKUP("Gs - Open",A1:CV300,87,FALSE)/HLOOKUP("Gs",A1:CV300,87,FALSE))</f>
        <v>0.5</v>
      </c>
      <c r="AS87" s="24927">
        <v>1.77</v>
      </c>
      <c r="AT87" s="24928">
        <v>1.8</v>
      </c>
      <c r="AU87" s="24929">
        <f>IF(HLOOKUP("Mins",A1:CV300,87,FALSE)=0,0,HLOOKUP("Pts",A1:CV300,87,FALSE)/HLOOKUP("Mins",A1:CV300,87,FALSE)* 90)</f>
        <v>3.9617224880382773</v>
      </c>
      <c r="AV87" s="24930">
        <f>IF(HLOOKUP("Apps",A1:CV300,87,FALSE)=0,0,HLOOKUP("Pts",A1:CV300,87,FALSE)/HLOOKUP("Apps",A1:CV300,87,FALSE)* 1)</f>
        <v>2.5555555555555554</v>
      </c>
      <c r="AW87" s="24931">
        <f>IF(HLOOKUP("Mins",A1:CV300,87,FALSE)=0,0,HLOOKUP("Gs",A1:CV300,87,FALSE)/HLOOKUP("Mins",A1:CV300,87,FALSE)* 90)</f>
        <v>0.17224880382775121</v>
      </c>
      <c r="AX87" s="24932">
        <f>IF(HLOOKUP("Mins",A1:CV300,87,FALSE)=0,0,HLOOKUP("Bonus",A1:CV300,87,FALSE)/HLOOKUP("Mins",A1:CV300,87,FALSE)* 90)</f>
        <v>0.51674641148325362</v>
      </c>
      <c r="AY87" s="24933">
        <f>IF(HLOOKUP("Mins",A1:CV300,87,FALSE)=0,0,HLOOKUP("BPS",A1:CV300,87,FALSE)/HLOOKUP("Mins",A1:CV300,87,FALSE)* 90)</f>
        <v>16.535885167464116</v>
      </c>
      <c r="AZ87" s="24934">
        <f>IF(HLOOKUP("Mins",A1:CV300,87,FALSE)=0,0,HLOOKUP("Base BPS",A1:CV300,87,FALSE)/HLOOKUP("Mins",A1:CV300,87,FALSE)* 90)</f>
        <v>11.885167464114833</v>
      </c>
      <c r="BA87" s="24935">
        <f>IF(HLOOKUP("Mins",A1:CV300,87,FALSE)=0,0,HLOOKUP("PenTchs",A1:CV300,87,FALSE)/HLOOKUP("Mins",A1:CV300,87,FALSE)* 90)</f>
        <v>1.2918660287081341</v>
      </c>
      <c r="BB87" s="24936">
        <f>IF(HLOOKUP("Mins",A1:CV300,87,FALSE)=0,0,HLOOKUP("Shots",A1:CV300,87,FALSE)/HLOOKUP("Mins",A1:CV300,87,FALSE)* 90)</f>
        <v>2.0669856459330145</v>
      </c>
      <c r="BC87" s="24937">
        <f>IF(HLOOKUP("Mins",A1:CV300,87,FALSE)=0,0,HLOOKUP("SIB",A1:CV300,87,FALSE)/HLOOKUP("Mins",A1:CV300,87,FALSE)* 90)</f>
        <v>0.25837320574162681</v>
      </c>
      <c r="BD87" s="24938">
        <f>IF(HLOOKUP("Mins",A1:CV300,87,FALSE)=0,0,HLOOKUP("S6YD",A1:CV300,87,FALSE)/HLOOKUP("Mins",A1:CV300,87,FALSE)* 90)</f>
        <v>8.6124401913875603E-2</v>
      </c>
      <c r="BE87" s="24939">
        <f>IF(HLOOKUP("Mins",A1:CV300,87,FALSE)=0,0,HLOOKUP("Headers",A1:CV300,87,FALSE)/HLOOKUP("Mins",A1:CV300,87,FALSE)* 90)</f>
        <v>0</v>
      </c>
      <c r="BF87" s="24940">
        <f>IF(HLOOKUP("Mins",A1:CV300,87,FALSE)=0,0,HLOOKUP("SOT",A1:CV300,87,FALSE)/HLOOKUP("Mins",A1:CV300,87,FALSE)* 90)</f>
        <v>0.77511961722488032</v>
      </c>
      <c r="BG87" s="24941">
        <f>IF(HLOOKUP("Mins",A1:CV300,87,FALSE)=0,0,HLOOKUP("As",A1:CV300,87,FALSE)/HLOOKUP("Mins",A1:CV300,87,FALSE)* 90)</f>
        <v>0.17224880382775121</v>
      </c>
      <c r="BH87" s="24942">
        <f>IF(HLOOKUP("Mins",A1:CV300,87,FALSE)=0,0,HLOOKUP("FPL As",A1:CV300,87,FALSE)/HLOOKUP("Mins",A1:CV300,87,FALSE)* 90)</f>
        <v>0.17224880382775121</v>
      </c>
      <c r="BI87" s="24943">
        <f>IF(HLOOKUP("Mins",A1:CV300,87,FALSE)=0,0,HLOOKUP("BC Created",A1:CV300,87,FALSE)/HLOOKUP("Mins",A1:CV300,87,FALSE)* 90)</f>
        <v>0.25837320574162681</v>
      </c>
      <c r="BJ87" s="24944">
        <f>IF(HLOOKUP("Mins",A1:CV300,87,FALSE)=0,0,HLOOKUP("KP",A1:CV300,87,FALSE)/HLOOKUP("Mins",A1:CV300,87,FALSE)* 90)</f>
        <v>1.9808612440191387</v>
      </c>
      <c r="BK87" s="24945">
        <f>IF(HLOOKUP("Mins",A1:CV300,87,FALSE)=0,0,HLOOKUP("BC",A1:CV300,87,FALSE)/HLOOKUP("Mins",A1:CV300,87,FALSE)* 90)</f>
        <v>8.6124401913875603E-2</v>
      </c>
      <c r="BL87" s="24946">
        <f>IF(HLOOKUP("Mins",A1:CV300,87,FALSE)=0,0,HLOOKUP("BC Miss",A1:CV300,87,FALSE)/HLOOKUP("Mins",A1:CV300,87,FALSE)* 90)</f>
        <v>0</v>
      </c>
      <c r="BM87" s="24947">
        <f>IF(HLOOKUP("Mins",A1:CV300,87,FALSE)=0,0,HLOOKUP("Gs - BC",A1:CV300,87,FALSE)/HLOOKUP("Mins",A1:CV300,87,FALSE)* 90)</f>
        <v>8.6124401913875603E-2</v>
      </c>
      <c r="BN87" s="24948">
        <f>IF(HLOOKUP("Mins",A1:CV300,87,FALSE)=0,0,HLOOKUP("GIB",A1:CV300,87,FALSE)/HLOOKUP("Mins",A1:CV300,87,FALSE)* 90)</f>
        <v>8.6124401913875603E-2</v>
      </c>
      <c r="BO87" s="24949">
        <f>IF(HLOOKUP("Mins",A1:CV300,87,FALSE)=0,0,HLOOKUP("Gs - Open",A1:CV300,87,FALSE)/HLOOKUP("Mins",A1:CV300,87,FALSE)* 90)</f>
        <v>8.6124401913875603E-2</v>
      </c>
      <c r="BP87" s="24950">
        <f>IF(HLOOKUP("Mins",A1:CV300,87,FALSE)=0,0,HLOOKUP("ICT Index",A1:CV300,87,FALSE)/HLOOKUP("Mins",A1:CV300,87,FALSE)* 90)</f>
        <v>6.9588516746411484</v>
      </c>
      <c r="BQ87" s="24951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  <v>0.10179904306220094</v>
      </c>
      <c r="BR87" s="24952">
        <f>0.0885*HLOOKUP("KP/90",A1:CV300,87,FALSE)</f>
        <v>0.17530622009569377</v>
      </c>
      <c r="BS87" s="24953">
        <f>5*HLOOKUP("xG/90",A1:CV300,87,FALSE)+3*HLOOKUP("xA/90",A1:CV300,87,FALSE)</f>
        <v>1.034913875598086</v>
      </c>
      <c r="BT87" s="24954">
        <f>HLOOKUP("xPts/90",A1:CV300,87,FALSE)-(5*0.75*(HLOOKUP("PK Gs",A1:CV300,87,FALSE)+HLOOKUP("PK Miss",A1:CV300,87,FALSE))*90/HLOOKUP("Mins",A1:CV300,87,FALSE))</f>
        <v>1.034913875598086</v>
      </c>
      <c r="BU87" s="24955">
        <f>IF(HLOOKUP("Mins",A1:CV300,87,FALSE)=0,0,HLOOKUP("fsXG",A1:CV300,87,FALSE)/HLOOKUP("Mins",A1:CV300,87,FALSE)* 90)</f>
        <v>0.15244019138755979</v>
      </c>
      <c r="BV87" s="24956">
        <f>IF(HLOOKUP("Mins",A1:CV300,87,FALSE)=0,0,HLOOKUP("fsXA",A1:CV300,87,FALSE)/HLOOKUP("Mins",A1:CV300,87,FALSE)* 90)</f>
        <v>0.15502392344497606</v>
      </c>
      <c r="BW87" s="24957">
        <f>5*HLOOKUP("fsXG/90",A1:CV300,87,FALSE)+3*HLOOKUP("fsXA/90",A1:CV300,87,FALSE)</f>
        <v>1.2272727272727271</v>
      </c>
      <c r="BX87" s="24958">
        <v>0.1428726464509964</v>
      </c>
      <c r="BY87" s="24959">
        <v>0.19229961931705475</v>
      </c>
      <c r="BZ87" s="24960">
        <f>5*HLOOKUP("uXG/90",A1:CV300,87,FALSE)+3*HLOOKUP("uXA/90",A1:CV300,87,FALSE)</f>
        <v>1.2912620902061462</v>
      </c>
    </row>
    <row r="88" spans="1:78" x14ac:dyDescent="0.3">
      <c r="A88" s="24961" t="s">
        <v>415</v>
      </c>
      <c r="B88" s="24962" t="s">
        <v>132</v>
      </c>
      <c r="C88" s="24963">
        <v>5.8000001907348633</v>
      </c>
      <c r="D88" s="24964">
        <v>313</v>
      </c>
      <c r="E88" s="24965">
        <v>11</v>
      </c>
      <c r="F88" s="24966">
        <v>23</v>
      </c>
      <c r="G88" s="24967">
        <v>1</v>
      </c>
      <c r="H88" s="24968">
        <v>1</v>
      </c>
      <c r="I88" s="24969">
        <v>79</v>
      </c>
      <c r="J88" s="24970">
        <f>HLOOKUP("BPS",A1:CV300,88,FALSE)-((-6*HLOOKUP("OG",A1:CV300,88,FALSE))+(-6*HLOOKUP("PK Miss",A1:CV300,88,FALSE))+(9*HLOOKUP("FPL As",A1:CV300,88,FALSE))+(0*HLOOKUP("CS",A1:CV300,88,FALSE))+(18*HLOOKUP("Gs",A1:CV300,88,FALSE)))</f>
        <v>52</v>
      </c>
      <c r="K88" s="24971">
        <v>0</v>
      </c>
      <c r="L88" s="24972">
        <v>1</v>
      </c>
      <c r="M88" s="24973">
        <v>12</v>
      </c>
      <c r="N88" s="24974">
        <v>3</v>
      </c>
      <c r="O88" s="24975">
        <v>2</v>
      </c>
      <c r="P88" s="24976">
        <f>IF(HLOOKUP("Shots",A1:CV300,88,FALSE)=0,0,HLOOKUP("SIB",A1:CV300,88,FALSE)/HLOOKUP("Shots",A1:CV300,88,FALSE))</f>
        <v>0.66666666666666663</v>
      </c>
      <c r="Q88" s="24977">
        <v>1</v>
      </c>
      <c r="R88" s="24978">
        <f>IF(HLOOKUP("Shots",A1:CV300,88,FALSE)=0,0,HLOOKUP("S6YD",A1:CV300,88,FALSE)/HLOOKUP("Shots",A1:CV300,88,FALSE))</f>
        <v>0.33333333333333331</v>
      </c>
      <c r="S88" s="24979">
        <v>0</v>
      </c>
      <c r="T88" s="24980">
        <f>IF(HLOOKUP("Shots",A1:CV300,88,FALSE)=0,0,HLOOKUP("Headers",A1:CV300,88,FALSE)/HLOOKUP("Shots",A1:CV300,88,FALSE))</f>
        <v>0</v>
      </c>
      <c r="U88" s="24981">
        <v>1</v>
      </c>
      <c r="V88" s="24982">
        <f>IF(HLOOKUP("Shots",A1:CV300,88,FALSE)=0,0,HLOOKUP("SOT",A1:CV300,88,FALSE)/HLOOKUP("Shots",A1:CV300,88,FALSE))</f>
        <v>0.33333333333333331</v>
      </c>
      <c r="W88" s="24983">
        <f>IF(HLOOKUP("Shots",A1:CV300,88,FALSE)=0,0,HLOOKUP("Gs",A1:CV300,88,FALSE)/HLOOKUP("Shots",A1:CV300,88,FALSE))</f>
        <v>0.33333333333333331</v>
      </c>
      <c r="X88" s="24984">
        <v>1</v>
      </c>
      <c r="Y88" s="24985">
        <v>1</v>
      </c>
      <c r="Z88" s="24986">
        <v>4</v>
      </c>
      <c r="AA88" s="24987">
        <f>IF(HLOOKUP("KP",A1:CV300,88,FALSE)=0,0,HLOOKUP("As",A1:CV300,88,FALSE)/HLOOKUP("KP",A1:CV300,88,FALSE))</f>
        <v>0.25</v>
      </c>
      <c r="AB88" s="24988">
        <v>22</v>
      </c>
      <c r="AC88" s="24989">
        <v>29</v>
      </c>
      <c r="AD88" s="24990">
        <v>1</v>
      </c>
      <c r="AE88" s="24991">
        <v>1</v>
      </c>
      <c r="AF88" s="24992">
        <v>0</v>
      </c>
      <c r="AG88" s="24993">
        <f>IF(HLOOKUP("BC",A1:CV300,88,FALSE)=0,0,HLOOKUP("Gs - BC",A1:CV300,88,FALSE)/HLOOKUP("BC",A1:CV300,88,FALSE))</f>
        <v>1</v>
      </c>
      <c r="AH88" s="24994">
        <f>HLOOKUP("BC",A1:CV300,88,FALSE) - HLOOKUP("BC Miss",A1:CV300,88,FALSE)</f>
        <v>1</v>
      </c>
      <c r="AI88" s="24995">
        <f>IF(HLOOKUP("Gs",A1:CV300,88,FALSE)=0,0,HLOOKUP("Gs - BC",A1:CV300,88,FALSE)/HLOOKUP("Gs",A1:CV300,88,FALSE))</f>
        <v>1</v>
      </c>
      <c r="AJ88" s="24996">
        <v>0</v>
      </c>
      <c r="AK88" s="24997">
        <v>0</v>
      </c>
      <c r="AL88" s="24998">
        <f>HLOOKUP("BC",A1:CV300,88,FALSE) - (HLOOKUP("PK Gs",A1:CV300,88,FALSE) + HLOOKUP("PK Miss",A1:CV300,88,FALSE))</f>
        <v>1</v>
      </c>
      <c r="AM88" s="24999">
        <f>HLOOKUP("BC Miss",A1:CV300,88,FALSE) - HLOOKUP("PK Miss",A1:CV300,88,FALSE)</f>
        <v>0</v>
      </c>
      <c r="AN88" s="25000">
        <f>IF(HLOOKUP("BC - Open",A1:CV300,88,FALSE)=0,0,HLOOKUP("BC - Open Miss",A1:CV300,88,FALSE)/HLOOKUP("BC - Open",A1:CV300,88,FALSE))</f>
        <v>0</v>
      </c>
      <c r="AO88" s="25001">
        <v>1</v>
      </c>
      <c r="AP88" s="25002">
        <f>IF(HLOOKUP("Gs",A1:CV300,88,FALSE)=0,0,HLOOKUP("GIB",A1:CV300,88,FALSE)/HLOOKUP("Gs",A1:CV300,88,FALSE))</f>
        <v>1</v>
      </c>
      <c r="AQ88" s="25003">
        <v>1</v>
      </c>
      <c r="AR88" s="25004">
        <f>IF(HLOOKUP("Gs",A1:CV300,88,FALSE)=0,0,HLOOKUP("Gs - Open",A1:CV300,88,FALSE)/HLOOKUP("Gs",A1:CV300,88,FALSE))</f>
        <v>1</v>
      </c>
      <c r="AS88" s="25005">
        <v>0.69</v>
      </c>
      <c r="AT88" s="25006">
        <v>0.3</v>
      </c>
      <c r="AU88" s="25007">
        <f>IF(HLOOKUP("Mins",A1:CV300,88,FALSE)=0,0,HLOOKUP("Pts",A1:CV300,88,FALSE)/HLOOKUP("Mins",A1:CV300,88,FALSE)* 90)</f>
        <v>6.6134185303514377</v>
      </c>
      <c r="AV88" s="25008">
        <f>IF(HLOOKUP("Apps",A1:CV300,88,FALSE)=0,0,HLOOKUP("Pts",A1:CV300,88,FALSE)/HLOOKUP("Apps",A1:CV300,88,FALSE)* 1)</f>
        <v>2.0909090909090908</v>
      </c>
      <c r="AW88" s="25009">
        <f>IF(HLOOKUP("Mins",A1:CV300,88,FALSE)=0,0,HLOOKUP("Gs",A1:CV300,88,FALSE)/HLOOKUP("Mins",A1:CV300,88,FALSE)* 90)</f>
        <v>0.28753993610223638</v>
      </c>
      <c r="AX88" s="25010">
        <f>IF(HLOOKUP("Mins",A1:CV300,88,FALSE)=0,0,HLOOKUP("Bonus",A1:CV300,88,FALSE)/HLOOKUP("Mins",A1:CV300,88,FALSE)* 90)</f>
        <v>0.28753993610223638</v>
      </c>
      <c r="AY88" s="25011">
        <f>IF(HLOOKUP("Mins",A1:CV300,88,FALSE)=0,0,HLOOKUP("BPS",A1:CV300,88,FALSE)/HLOOKUP("Mins",A1:CV300,88,FALSE)* 90)</f>
        <v>22.715654952076676</v>
      </c>
      <c r="AZ88" s="25012">
        <f>IF(HLOOKUP("Mins",A1:CV300,88,FALSE)=0,0,HLOOKUP("Base BPS",A1:CV300,88,FALSE)/HLOOKUP("Mins",A1:CV300,88,FALSE)* 90)</f>
        <v>14.952076677316294</v>
      </c>
      <c r="BA88" s="25013">
        <f>IF(HLOOKUP("Mins",A1:CV300,88,FALSE)=0,0,HLOOKUP("PenTchs",A1:CV300,88,FALSE)/HLOOKUP("Mins",A1:CV300,88,FALSE)* 90)</f>
        <v>3.450479233226837</v>
      </c>
      <c r="BB88" s="25014">
        <f>IF(HLOOKUP("Mins",A1:CV300,88,FALSE)=0,0,HLOOKUP("Shots",A1:CV300,88,FALSE)/HLOOKUP("Mins",A1:CV300,88,FALSE)* 90)</f>
        <v>0.86261980830670926</v>
      </c>
      <c r="BC88" s="25015">
        <f>IF(HLOOKUP("Mins",A1:CV300,88,FALSE)=0,0,HLOOKUP("SIB",A1:CV300,88,FALSE)/HLOOKUP("Mins",A1:CV300,88,FALSE)* 90)</f>
        <v>0.57507987220447276</v>
      </c>
      <c r="BD88" s="25016">
        <f>IF(HLOOKUP("Mins",A1:CV300,88,FALSE)=0,0,HLOOKUP("S6YD",A1:CV300,88,FALSE)/HLOOKUP("Mins",A1:CV300,88,FALSE)* 90)</f>
        <v>0.28753993610223638</v>
      </c>
      <c r="BE88" s="25017">
        <f>IF(HLOOKUP("Mins",A1:CV300,88,FALSE)=0,0,HLOOKUP("Headers",A1:CV300,88,FALSE)/HLOOKUP("Mins",A1:CV300,88,FALSE)* 90)</f>
        <v>0</v>
      </c>
      <c r="BF88" s="25018">
        <f>IF(HLOOKUP("Mins",A1:CV300,88,FALSE)=0,0,HLOOKUP("SOT",A1:CV300,88,FALSE)/HLOOKUP("Mins",A1:CV300,88,FALSE)* 90)</f>
        <v>0.28753993610223638</v>
      </c>
      <c r="BG88" s="25019">
        <f>IF(HLOOKUP("Mins",A1:CV300,88,FALSE)=0,0,HLOOKUP("As",A1:CV300,88,FALSE)/HLOOKUP("Mins",A1:CV300,88,FALSE)* 90)</f>
        <v>0.28753993610223638</v>
      </c>
      <c r="BH88" s="25020">
        <f>IF(HLOOKUP("Mins",A1:CV300,88,FALSE)=0,0,HLOOKUP("FPL As",A1:CV300,88,FALSE)/HLOOKUP("Mins",A1:CV300,88,FALSE)* 90)</f>
        <v>0.28753993610223638</v>
      </c>
      <c r="BI88" s="25021">
        <f>IF(HLOOKUP("Mins",A1:CV300,88,FALSE)=0,0,HLOOKUP("BC Created",A1:CV300,88,FALSE)/HLOOKUP("Mins",A1:CV300,88,FALSE)* 90)</f>
        <v>0.28753993610223638</v>
      </c>
      <c r="BJ88" s="25022">
        <f>IF(HLOOKUP("Mins",A1:CV300,88,FALSE)=0,0,HLOOKUP("KP",A1:CV300,88,FALSE)/HLOOKUP("Mins",A1:CV300,88,FALSE)* 90)</f>
        <v>1.1501597444089455</v>
      </c>
      <c r="BK88" s="25023">
        <f>IF(HLOOKUP("Mins",A1:CV300,88,FALSE)=0,0,HLOOKUP("BC",A1:CV300,88,FALSE)/HLOOKUP("Mins",A1:CV300,88,FALSE)* 90)</f>
        <v>0.28753993610223638</v>
      </c>
      <c r="BL88" s="25024">
        <f>IF(HLOOKUP("Mins",A1:CV300,88,FALSE)=0,0,HLOOKUP("BC Miss",A1:CV300,88,FALSE)/HLOOKUP("Mins",A1:CV300,88,FALSE)* 90)</f>
        <v>0</v>
      </c>
      <c r="BM88" s="25025">
        <f>IF(HLOOKUP("Mins",A1:CV300,88,FALSE)=0,0,HLOOKUP("Gs - BC",A1:CV300,88,FALSE)/HLOOKUP("Mins",A1:CV300,88,FALSE)* 90)</f>
        <v>0.28753993610223638</v>
      </c>
      <c r="BN88" s="25026">
        <f>IF(HLOOKUP("Mins",A1:CV300,88,FALSE)=0,0,HLOOKUP("GIB",A1:CV300,88,FALSE)/HLOOKUP("Mins",A1:CV300,88,FALSE)* 90)</f>
        <v>0.28753993610223638</v>
      </c>
      <c r="BO88" s="25027">
        <f>IF(HLOOKUP("Mins",A1:CV300,88,FALSE)=0,0,HLOOKUP("Gs - Open",A1:CV300,88,FALSE)/HLOOKUP("Mins",A1:CV300,88,FALSE)* 90)</f>
        <v>0.28753993610223638</v>
      </c>
      <c r="BP88" s="25028">
        <f>IF(HLOOKUP("Mins",A1:CV300,88,FALSE)=0,0,HLOOKUP("ICT Index",A1:CV300,88,FALSE)/HLOOKUP("Mins",A1:CV300,88,FALSE)* 90)</f>
        <v>6.3258785942492013</v>
      </c>
      <c r="BQ88" s="25029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  <v>9.201277955271564E-2</v>
      </c>
      <c r="BR88" s="25030">
        <f>0.0885*HLOOKUP("KP/90",A1:CV300,88,FALSE)</f>
        <v>0.10178913738019167</v>
      </c>
      <c r="BS88" s="25031">
        <f>5*HLOOKUP("xG/90",A1:CV300,88,FALSE)+3*HLOOKUP("xA/90",A1:CV300,88,FALSE)</f>
        <v>0.7654313099041532</v>
      </c>
      <c r="BT88" s="25032">
        <f>HLOOKUP("xPts/90",A1:CV300,88,FALSE)-(5*0.75*(HLOOKUP("PK Gs",A1:CV300,88,FALSE)+HLOOKUP("PK Miss",A1:CV300,88,FALSE))*90/HLOOKUP("Mins",A1:CV300,88,FALSE))</f>
        <v>0.7654313099041532</v>
      </c>
      <c r="BU88" s="25033">
        <f>IF(HLOOKUP("Mins",A1:CV300,88,FALSE)=0,0,HLOOKUP("fsXG",A1:CV300,88,FALSE)/HLOOKUP("Mins",A1:CV300,88,FALSE)* 90)</f>
        <v>0.19840255591054312</v>
      </c>
      <c r="BV88" s="25034">
        <f>IF(HLOOKUP("Mins",A1:CV300,88,FALSE)=0,0,HLOOKUP("fsXA",A1:CV300,88,FALSE)/HLOOKUP("Mins",A1:CV300,88,FALSE)* 90)</f>
        <v>8.6261980830670923E-2</v>
      </c>
      <c r="BW88" s="25035">
        <f>5*HLOOKUP("fsXG/90",A1:CV300,88,FALSE)+3*HLOOKUP("fsXA/90",A1:CV300,88,FALSE)</f>
        <v>1.2507987220447283</v>
      </c>
      <c r="BX88" s="25036">
        <v>0.21830920875072479</v>
      </c>
      <c r="BY88" s="25037">
        <v>0.18795667588710785</v>
      </c>
      <c r="BZ88" s="25038">
        <f>5*HLOOKUP("uXG/90",A1:CV300,88,FALSE)+3*HLOOKUP("uXA/90",A1:CV300,88,FALSE)</f>
        <v>1.6554160714149475</v>
      </c>
    </row>
    <row r="89" spans="1:78" x14ac:dyDescent="0.3">
      <c r="A89" s="25039" t="s">
        <v>416</v>
      </c>
      <c r="B89" s="25040" t="s">
        <v>79</v>
      </c>
      <c r="C89" s="25041">
        <v>5.0999999046325684</v>
      </c>
      <c r="D89" s="25042">
        <v>1368</v>
      </c>
      <c r="E89" s="25043">
        <v>16</v>
      </c>
      <c r="F89" s="25044">
        <v>35</v>
      </c>
      <c r="G89" s="25045">
        <v>0</v>
      </c>
      <c r="H89" s="25046">
        <v>0</v>
      </c>
      <c r="I89" s="25047">
        <v>202</v>
      </c>
      <c r="J89" s="25048">
        <f>HLOOKUP("BPS",A1:CV300,89,FALSE)-((-6*HLOOKUP("OG",A1:CV300,89,FALSE))+(-6*HLOOKUP("PK Miss",A1:CV300,89,FALSE))+(9*HLOOKUP("FPL As",A1:CV300,89,FALSE))+(0*HLOOKUP("CS",A1:CV300,89,FALSE))+(18*HLOOKUP("Gs",A1:CV300,89,FALSE)))</f>
        <v>193</v>
      </c>
      <c r="K89" s="25049">
        <v>0</v>
      </c>
      <c r="L89" s="25050">
        <v>4</v>
      </c>
      <c r="M89" s="25051">
        <v>15</v>
      </c>
      <c r="N89" s="25052">
        <v>8</v>
      </c>
      <c r="O89" s="25053">
        <v>3</v>
      </c>
      <c r="P89" s="25054">
        <f>IF(HLOOKUP("Shots",A1:CV300,89,FALSE)=0,0,HLOOKUP("SIB",A1:CV300,89,FALSE)/HLOOKUP("Shots",A1:CV300,89,FALSE))</f>
        <v>0.375</v>
      </c>
      <c r="Q89" s="25055">
        <v>0</v>
      </c>
      <c r="R89" s="25056">
        <f>IF(HLOOKUP("Shots",A1:CV300,89,FALSE)=0,0,HLOOKUP("S6YD",A1:CV300,89,FALSE)/HLOOKUP("Shots",A1:CV300,89,FALSE))</f>
        <v>0</v>
      </c>
      <c r="S89" s="25057">
        <v>3</v>
      </c>
      <c r="T89" s="25058">
        <f>IF(HLOOKUP("Shots",A1:CV300,89,FALSE)=0,0,HLOOKUP("Headers",A1:CV300,89,FALSE)/HLOOKUP("Shots",A1:CV300,89,FALSE))</f>
        <v>0.375</v>
      </c>
      <c r="U89" s="25059">
        <v>2</v>
      </c>
      <c r="V89" s="25060">
        <f>IF(HLOOKUP("Shots",A1:CV300,89,FALSE)=0,0,HLOOKUP("SOT",A1:CV300,89,FALSE)/HLOOKUP("Shots",A1:CV300,89,FALSE))</f>
        <v>0.25</v>
      </c>
      <c r="W89" s="25061">
        <f>IF(HLOOKUP("Shots",A1:CV300,89,FALSE)=0,0,HLOOKUP("Gs",A1:CV300,89,FALSE)/HLOOKUP("Shots",A1:CV300,89,FALSE))</f>
        <v>0</v>
      </c>
      <c r="X89" s="25062">
        <v>1</v>
      </c>
      <c r="Y89" s="25063">
        <v>1</v>
      </c>
      <c r="Z89" s="25064">
        <v>12</v>
      </c>
      <c r="AA89" s="25065">
        <f>IF(HLOOKUP("KP",A1:CV300,89,FALSE)=0,0,HLOOKUP("As",A1:CV300,89,FALSE)/HLOOKUP("KP",A1:CV300,89,FALSE))</f>
        <v>8.3333333333333329E-2</v>
      </c>
      <c r="AB89" s="25066">
        <v>50.8</v>
      </c>
      <c r="AC89" s="25067">
        <v>5</v>
      </c>
      <c r="AD89" s="25068">
        <v>0</v>
      </c>
      <c r="AE89" s="25069">
        <v>0</v>
      </c>
      <c r="AF89" s="25070">
        <v>0</v>
      </c>
      <c r="AG89" s="25071">
        <f>IF(HLOOKUP("BC",A1:CV300,89,FALSE)=0,0,HLOOKUP("Gs - BC",A1:CV300,89,FALSE)/HLOOKUP("BC",A1:CV300,89,FALSE))</f>
        <v>0</v>
      </c>
      <c r="AH89" s="25072">
        <f>HLOOKUP("BC",A1:CV300,89,FALSE) - HLOOKUP("BC Miss",A1:CV300,89,FALSE)</f>
        <v>0</v>
      </c>
      <c r="AI89" s="25073">
        <f>IF(HLOOKUP("Gs",A1:CV300,89,FALSE)=0,0,HLOOKUP("Gs - BC",A1:CV300,89,FALSE)/HLOOKUP("Gs",A1:CV300,89,FALSE))</f>
        <v>0</v>
      </c>
      <c r="AJ89" s="25074">
        <v>0</v>
      </c>
      <c r="AK89" s="25075">
        <v>0</v>
      </c>
      <c r="AL89" s="25076">
        <f>HLOOKUP("BC",A1:CV300,89,FALSE) - (HLOOKUP("PK Gs",A1:CV300,89,FALSE) + HLOOKUP("PK Miss",A1:CV300,89,FALSE))</f>
        <v>0</v>
      </c>
      <c r="AM89" s="25077">
        <f>HLOOKUP("BC Miss",A1:CV300,89,FALSE) - HLOOKUP("PK Miss",A1:CV300,89,FALSE)</f>
        <v>0</v>
      </c>
      <c r="AN89" s="25078">
        <f>IF(HLOOKUP("BC - Open",A1:CV300,89,FALSE)=0,0,HLOOKUP("BC - Open Miss",A1:CV300,89,FALSE)/HLOOKUP("BC - Open",A1:CV300,89,FALSE))</f>
        <v>0</v>
      </c>
      <c r="AO89" s="25079">
        <v>0</v>
      </c>
      <c r="AP89" s="25080">
        <f>IF(HLOOKUP("Gs",A1:CV300,89,FALSE)=0,0,HLOOKUP("GIB",A1:CV300,89,FALSE)/HLOOKUP("Gs",A1:CV300,89,FALSE))</f>
        <v>0</v>
      </c>
      <c r="AQ89" s="25081">
        <v>0</v>
      </c>
      <c r="AR89" s="25082">
        <f>IF(HLOOKUP("Gs",A1:CV300,89,FALSE)=0,0,HLOOKUP("Gs - Open",A1:CV300,89,FALSE)/HLOOKUP("Gs",A1:CV300,89,FALSE))</f>
        <v>0</v>
      </c>
      <c r="AS89" s="25083">
        <v>0.23</v>
      </c>
      <c r="AT89" s="25084">
        <v>0.84</v>
      </c>
      <c r="AU89" s="25085">
        <f>IF(HLOOKUP("Mins",A1:CV300,89,FALSE)=0,0,HLOOKUP("Pts",A1:CV300,89,FALSE)/HLOOKUP("Mins",A1:CV300,89,FALSE)* 90)</f>
        <v>2.3026315789473681</v>
      </c>
      <c r="AV89" s="25086">
        <f>IF(HLOOKUP("Apps",A1:CV300,89,FALSE)=0,0,HLOOKUP("Pts",A1:CV300,89,FALSE)/HLOOKUP("Apps",A1:CV300,89,FALSE)* 1)</f>
        <v>2.1875</v>
      </c>
      <c r="AW89" s="25087">
        <f>IF(HLOOKUP("Mins",A1:CV300,89,FALSE)=0,0,HLOOKUP("Gs",A1:CV300,89,FALSE)/HLOOKUP("Mins",A1:CV300,89,FALSE)* 90)</f>
        <v>0</v>
      </c>
      <c r="AX89" s="25088">
        <f>IF(HLOOKUP("Mins",A1:CV300,89,FALSE)=0,0,HLOOKUP("Bonus",A1:CV300,89,FALSE)/HLOOKUP("Mins",A1:CV300,89,FALSE)* 90)</f>
        <v>0</v>
      </c>
      <c r="AY89" s="25089">
        <f>IF(HLOOKUP("Mins",A1:CV300,89,FALSE)=0,0,HLOOKUP("BPS",A1:CV300,89,FALSE)/HLOOKUP("Mins",A1:CV300,89,FALSE)* 90)</f>
        <v>13.289473684210527</v>
      </c>
      <c r="AZ89" s="25090">
        <f>IF(HLOOKUP("Mins",A1:CV300,89,FALSE)=0,0,HLOOKUP("Base BPS",A1:CV300,89,FALSE)/HLOOKUP("Mins",A1:CV300,89,FALSE)* 90)</f>
        <v>12.697368421052634</v>
      </c>
      <c r="BA89" s="25091">
        <f>IF(HLOOKUP("Mins",A1:CV300,89,FALSE)=0,0,HLOOKUP("PenTchs",A1:CV300,89,FALSE)/HLOOKUP("Mins",A1:CV300,89,FALSE)* 90)</f>
        <v>0.98684210526315785</v>
      </c>
      <c r="BB89" s="25092">
        <f>IF(HLOOKUP("Mins",A1:CV300,89,FALSE)=0,0,HLOOKUP("Shots",A1:CV300,89,FALSE)/HLOOKUP("Mins",A1:CV300,89,FALSE)* 90)</f>
        <v>0.52631578947368418</v>
      </c>
      <c r="BC89" s="25093">
        <f>IF(HLOOKUP("Mins",A1:CV300,89,FALSE)=0,0,HLOOKUP("SIB",A1:CV300,89,FALSE)/HLOOKUP("Mins",A1:CV300,89,FALSE)* 90)</f>
        <v>0.19736842105263158</v>
      </c>
      <c r="BD89" s="25094">
        <f>IF(HLOOKUP("Mins",A1:CV300,89,FALSE)=0,0,HLOOKUP("S6YD",A1:CV300,89,FALSE)/HLOOKUP("Mins",A1:CV300,89,FALSE)* 90)</f>
        <v>0</v>
      </c>
      <c r="BE89" s="25095">
        <f>IF(HLOOKUP("Mins",A1:CV300,89,FALSE)=0,0,HLOOKUP("Headers",A1:CV300,89,FALSE)/HLOOKUP("Mins",A1:CV300,89,FALSE)* 90)</f>
        <v>0.19736842105263158</v>
      </c>
      <c r="BF89" s="25096">
        <f>IF(HLOOKUP("Mins",A1:CV300,89,FALSE)=0,0,HLOOKUP("SOT",A1:CV300,89,FALSE)/HLOOKUP("Mins",A1:CV300,89,FALSE)* 90)</f>
        <v>0.13157894736842105</v>
      </c>
      <c r="BG89" s="25097">
        <f>IF(HLOOKUP("Mins",A1:CV300,89,FALSE)=0,0,HLOOKUP("As",A1:CV300,89,FALSE)/HLOOKUP("Mins",A1:CV300,89,FALSE)* 90)</f>
        <v>6.5789473684210523E-2</v>
      </c>
      <c r="BH89" s="25098">
        <f>IF(HLOOKUP("Mins",A1:CV300,89,FALSE)=0,0,HLOOKUP("FPL As",A1:CV300,89,FALSE)/HLOOKUP("Mins",A1:CV300,89,FALSE)* 90)</f>
        <v>6.5789473684210523E-2</v>
      </c>
      <c r="BI89" s="25099">
        <f>IF(HLOOKUP("Mins",A1:CV300,89,FALSE)=0,0,HLOOKUP("BC Created",A1:CV300,89,FALSE)/HLOOKUP("Mins",A1:CV300,89,FALSE)* 90)</f>
        <v>0</v>
      </c>
      <c r="BJ89" s="25100">
        <f>IF(HLOOKUP("Mins",A1:CV300,89,FALSE)=0,0,HLOOKUP("KP",A1:CV300,89,FALSE)/HLOOKUP("Mins",A1:CV300,89,FALSE)* 90)</f>
        <v>0.78947368421052633</v>
      </c>
      <c r="BK89" s="25101">
        <f>IF(HLOOKUP("Mins",A1:CV300,89,FALSE)=0,0,HLOOKUP("BC",A1:CV300,89,FALSE)/HLOOKUP("Mins",A1:CV300,89,FALSE)* 90)</f>
        <v>0</v>
      </c>
      <c r="BL89" s="25102">
        <f>IF(HLOOKUP("Mins",A1:CV300,89,FALSE)=0,0,HLOOKUP("BC Miss",A1:CV300,89,FALSE)/HLOOKUP("Mins",A1:CV300,89,FALSE)* 90)</f>
        <v>0</v>
      </c>
      <c r="BM89" s="25103">
        <f>IF(HLOOKUP("Mins",A1:CV300,89,FALSE)=0,0,HLOOKUP("Gs - BC",A1:CV300,89,FALSE)/HLOOKUP("Mins",A1:CV300,89,FALSE)* 90)</f>
        <v>0</v>
      </c>
      <c r="BN89" s="25104">
        <f>IF(HLOOKUP("Mins",A1:CV300,89,FALSE)=0,0,HLOOKUP("GIB",A1:CV300,89,FALSE)/HLOOKUP("Mins",A1:CV300,89,FALSE)* 90)</f>
        <v>0</v>
      </c>
      <c r="BO89" s="25105">
        <f>IF(HLOOKUP("Mins",A1:CV300,89,FALSE)=0,0,HLOOKUP("Gs - Open",A1:CV300,89,FALSE)/HLOOKUP("Mins",A1:CV300,89,FALSE)* 90)</f>
        <v>0</v>
      </c>
      <c r="BP89" s="25106">
        <f>IF(HLOOKUP("Mins",A1:CV300,89,FALSE)=0,0,HLOOKUP("ICT Index",A1:CV300,89,FALSE)/HLOOKUP("Mins",A1:CV300,89,FALSE)* 90)</f>
        <v>3.3421052631578942</v>
      </c>
      <c r="BQ89" s="25107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  <v>3.9868421052631567E-2</v>
      </c>
      <c r="BR89" s="25108">
        <f>0.0885*HLOOKUP("KP/90",A1:CV300,89,FALSE)</f>
        <v>6.986842105263158E-2</v>
      </c>
      <c r="BS89" s="25109">
        <f>5*HLOOKUP("xG/90",A1:CV300,89,FALSE)+3*HLOOKUP("xA/90",A1:CV300,89,FALSE)</f>
        <v>0.40894736842105256</v>
      </c>
      <c r="BT89" s="25110">
        <f>HLOOKUP("xPts/90",A1:CV300,89,FALSE)-(5*0.75*(HLOOKUP("PK Gs",A1:CV300,89,FALSE)+HLOOKUP("PK Miss",A1:CV300,89,FALSE))*90/HLOOKUP("Mins",A1:CV300,89,FALSE))</f>
        <v>0.40894736842105256</v>
      </c>
      <c r="BU89" s="25111">
        <f>IF(HLOOKUP("Mins",A1:CV300,89,FALSE)=0,0,HLOOKUP("fsXG",A1:CV300,89,FALSE)/HLOOKUP("Mins",A1:CV300,89,FALSE)* 90)</f>
        <v>1.5131578947368421E-2</v>
      </c>
      <c r="BV89" s="25112">
        <f>IF(HLOOKUP("Mins",A1:CV300,89,FALSE)=0,0,HLOOKUP("fsXA",A1:CV300,89,FALSE)/HLOOKUP("Mins",A1:CV300,89,FALSE)* 90)</f>
        <v>5.5263157894736847E-2</v>
      </c>
      <c r="BW89" s="25113">
        <f>5*HLOOKUP("fsXG/90",A1:CV300,89,FALSE)+3*HLOOKUP("fsXA/90",A1:CV300,89,FALSE)</f>
        <v>0.24144736842105263</v>
      </c>
      <c r="BX89" s="25114">
        <v>1.2605058029294014E-2</v>
      </c>
      <c r="BY89" s="25115">
        <v>3.5495039075613022E-2</v>
      </c>
      <c r="BZ89" s="25116">
        <f>5*HLOOKUP("uXG/90",A1:CV300,89,FALSE)+3*HLOOKUP("uXA/90",A1:CV300,89,FALSE)</f>
        <v>0.16951040737330914</v>
      </c>
    </row>
    <row r="90" spans="1:78" x14ac:dyDescent="0.3">
      <c r="A90" s="25117" t="s">
        <v>417</v>
      </c>
      <c r="B90" s="25118" t="s">
        <v>91</v>
      </c>
      <c r="C90" s="25119">
        <v>4.5</v>
      </c>
      <c r="D90" s="25120">
        <v>756</v>
      </c>
      <c r="E90" s="25121">
        <v>11</v>
      </c>
      <c r="F90" s="25122">
        <v>18</v>
      </c>
      <c r="G90" s="25123">
        <v>0</v>
      </c>
      <c r="H90" s="25124">
        <v>0</v>
      </c>
      <c r="I90" s="25125">
        <v>122</v>
      </c>
      <c r="J90" s="25126">
        <f>HLOOKUP("BPS",A1:CV300,90,FALSE)-((-6*HLOOKUP("OG",A1:CV300,90,FALSE))+(-6*HLOOKUP("PK Miss",A1:CV300,90,FALSE))+(9*HLOOKUP("FPL As",A1:CV300,90,FALSE))+(0*HLOOKUP("CS",A1:CV300,90,FALSE))+(18*HLOOKUP("Gs",A1:CV300,90,FALSE)))</f>
        <v>122</v>
      </c>
      <c r="K90" s="25127">
        <v>0</v>
      </c>
      <c r="L90" s="25128">
        <v>1</v>
      </c>
      <c r="M90" s="25129">
        <v>4</v>
      </c>
      <c r="N90" s="25130">
        <v>6</v>
      </c>
      <c r="O90" s="25131">
        <v>3</v>
      </c>
      <c r="P90" s="25132">
        <f>IF(HLOOKUP("Shots",A1:CV300,90,FALSE)=0,0,HLOOKUP("SIB",A1:CV300,90,FALSE)/HLOOKUP("Shots",A1:CV300,90,FALSE))</f>
        <v>0.5</v>
      </c>
      <c r="Q90" s="25133">
        <v>1</v>
      </c>
      <c r="R90" s="25134">
        <f>IF(HLOOKUP("Shots",A1:CV300,90,FALSE)=0,0,HLOOKUP("S6YD",A1:CV300,90,FALSE)/HLOOKUP("Shots",A1:CV300,90,FALSE))</f>
        <v>0.16666666666666666</v>
      </c>
      <c r="S90" s="25135">
        <v>2</v>
      </c>
      <c r="T90" s="25136">
        <f>IF(HLOOKUP("Shots",A1:CV300,90,FALSE)=0,0,HLOOKUP("Headers",A1:CV300,90,FALSE)/HLOOKUP("Shots",A1:CV300,90,FALSE))</f>
        <v>0.33333333333333331</v>
      </c>
      <c r="U90" s="25137">
        <v>1</v>
      </c>
      <c r="V90" s="25138">
        <f>IF(HLOOKUP("Shots",A1:CV300,90,FALSE)=0,0,HLOOKUP("SOT",A1:CV300,90,FALSE)/HLOOKUP("Shots",A1:CV300,90,FALSE))</f>
        <v>0.16666666666666666</v>
      </c>
      <c r="W90" s="25139">
        <f>IF(HLOOKUP("Shots",A1:CV300,90,FALSE)=0,0,HLOOKUP("Gs",A1:CV300,90,FALSE)/HLOOKUP("Shots",A1:CV300,90,FALSE))</f>
        <v>0</v>
      </c>
      <c r="X90" s="25140">
        <v>0</v>
      </c>
      <c r="Y90" s="25141">
        <v>0</v>
      </c>
      <c r="Z90" s="25142">
        <v>1</v>
      </c>
      <c r="AA90" s="25143">
        <f>IF(HLOOKUP("KP",A1:CV300,90,FALSE)=0,0,HLOOKUP("As",A1:CV300,90,FALSE)/HLOOKUP("KP",A1:CV300,90,FALSE))</f>
        <v>0</v>
      </c>
      <c r="AB90" s="25144">
        <v>22.1</v>
      </c>
      <c r="AC90" s="25145">
        <v>0</v>
      </c>
      <c r="AD90" s="25146">
        <v>0</v>
      </c>
      <c r="AE90" s="25147">
        <v>1</v>
      </c>
      <c r="AF90" s="25148">
        <v>1</v>
      </c>
      <c r="AG90" s="25149">
        <f>IF(HLOOKUP("BC",A1:CV300,90,FALSE)=0,0,HLOOKUP("Gs - BC",A1:CV300,90,FALSE)/HLOOKUP("BC",A1:CV300,90,FALSE))</f>
        <v>0</v>
      </c>
      <c r="AH90" s="25150">
        <f>HLOOKUP("BC",A1:CV300,90,FALSE) - HLOOKUP("BC Miss",A1:CV300,90,FALSE)</f>
        <v>0</v>
      </c>
      <c r="AI90" s="25151">
        <f>IF(HLOOKUP("Gs",A1:CV300,90,FALSE)=0,0,HLOOKUP("Gs - BC",A1:CV300,90,FALSE)/HLOOKUP("Gs",A1:CV300,90,FALSE))</f>
        <v>0</v>
      </c>
      <c r="AJ90" s="25152">
        <v>0</v>
      </c>
      <c r="AK90" s="25153">
        <v>0</v>
      </c>
      <c r="AL90" s="25154">
        <f>HLOOKUP("BC",A1:CV300,90,FALSE) - (HLOOKUP("PK Gs",A1:CV300,90,FALSE) + HLOOKUP("PK Miss",A1:CV300,90,FALSE))</f>
        <v>1</v>
      </c>
      <c r="AM90" s="25155">
        <f>HLOOKUP("BC Miss",A1:CV300,90,FALSE) - HLOOKUP("PK Miss",A1:CV300,90,FALSE)</f>
        <v>1</v>
      </c>
      <c r="AN90" s="25156">
        <f>IF(HLOOKUP("BC - Open",A1:CV300,90,FALSE)=0,0,HLOOKUP("BC - Open Miss",A1:CV300,90,FALSE)/HLOOKUP("BC - Open",A1:CV300,90,FALSE))</f>
        <v>1</v>
      </c>
      <c r="AO90" s="25157">
        <v>0</v>
      </c>
      <c r="AP90" s="25158">
        <f>IF(HLOOKUP("Gs",A1:CV300,90,FALSE)=0,0,HLOOKUP("GIB",A1:CV300,90,FALSE)/HLOOKUP("Gs",A1:CV300,90,FALSE))</f>
        <v>0</v>
      </c>
      <c r="AQ90" s="25159">
        <v>0</v>
      </c>
      <c r="AR90" s="25160">
        <f>IF(HLOOKUP("Gs",A1:CV300,90,FALSE)=0,0,HLOOKUP("Gs - Open",A1:CV300,90,FALSE)/HLOOKUP("Gs",A1:CV300,90,FALSE))</f>
        <v>0</v>
      </c>
      <c r="AS90" s="25161">
        <v>0.77</v>
      </c>
      <c r="AT90" s="25162">
        <v>0.04</v>
      </c>
      <c r="AU90" s="25163">
        <f>IF(HLOOKUP("Mins",A1:CV300,90,FALSE)=0,0,HLOOKUP("Pts",A1:CV300,90,FALSE)/HLOOKUP("Mins",A1:CV300,90,FALSE)* 90)</f>
        <v>2.1428571428571428</v>
      </c>
      <c r="AV90" s="25164">
        <f>IF(HLOOKUP("Apps",A1:CV300,90,FALSE)=0,0,HLOOKUP("Pts",A1:CV300,90,FALSE)/HLOOKUP("Apps",A1:CV300,90,FALSE)* 1)</f>
        <v>1.6363636363636365</v>
      </c>
      <c r="AW90" s="25165">
        <f>IF(HLOOKUP("Mins",A1:CV300,90,FALSE)=0,0,HLOOKUP("Gs",A1:CV300,90,FALSE)/HLOOKUP("Mins",A1:CV300,90,FALSE)* 90)</f>
        <v>0</v>
      </c>
      <c r="AX90" s="25166">
        <f>IF(HLOOKUP("Mins",A1:CV300,90,FALSE)=0,0,HLOOKUP("Bonus",A1:CV300,90,FALSE)/HLOOKUP("Mins",A1:CV300,90,FALSE)* 90)</f>
        <v>0</v>
      </c>
      <c r="AY90" s="25167">
        <f>IF(HLOOKUP("Mins",A1:CV300,90,FALSE)=0,0,HLOOKUP("BPS",A1:CV300,90,FALSE)/HLOOKUP("Mins",A1:CV300,90,FALSE)* 90)</f>
        <v>14.523809523809524</v>
      </c>
      <c r="AZ90" s="25168">
        <f>IF(HLOOKUP("Mins",A1:CV300,90,FALSE)=0,0,HLOOKUP("Base BPS",A1:CV300,90,FALSE)/HLOOKUP("Mins",A1:CV300,90,FALSE)* 90)</f>
        <v>14.523809523809524</v>
      </c>
      <c r="BA90" s="25169">
        <f>IF(HLOOKUP("Mins",A1:CV300,90,FALSE)=0,0,HLOOKUP("PenTchs",A1:CV300,90,FALSE)/HLOOKUP("Mins",A1:CV300,90,FALSE)* 90)</f>
        <v>0.47619047619047616</v>
      </c>
      <c r="BB90" s="25170">
        <f>IF(HLOOKUP("Mins",A1:CV300,90,FALSE)=0,0,HLOOKUP("Shots",A1:CV300,90,FALSE)/HLOOKUP("Mins",A1:CV300,90,FALSE)* 90)</f>
        <v>0.71428571428571419</v>
      </c>
      <c r="BC90" s="25171">
        <f>IF(HLOOKUP("Mins",A1:CV300,90,FALSE)=0,0,HLOOKUP("SIB",A1:CV300,90,FALSE)/HLOOKUP("Mins",A1:CV300,90,FALSE)* 90)</f>
        <v>0.3571428571428571</v>
      </c>
      <c r="BD90" s="25172">
        <f>IF(HLOOKUP("Mins",A1:CV300,90,FALSE)=0,0,HLOOKUP("S6YD",A1:CV300,90,FALSE)/HLOOKUP("Mins",A1:CV300,90,FALSE)* 90)</f>
        <v>0.11904761904761904</v>
      </c>
      <c r="BE90" s="25173">
        <f>IF(HLOOKUP("Mins",A1:CV300,90,FALSE)=0,0,HLOOKUP("Headers",A1:CV300,90,FALSE)/HLOOKUP("Mins",A1:CV300,90,FALSE)* 90)</f>
        <v>0.23809523809523808</v>
      </c>
      <c r="BF90" s="25174">
        <f>IF(HLOOKUP("Mins",A1:CV300,90,FALSE)=0,0,HLOOKUP("SOT",A1:CV300,90,FALSE)/HLOOKUP("Mins",A1:CV300,90,FALSE)* 90)</f>
        <v>0.11904761904761904</v>
      </c>
      <c r="BG90" s="25175">
        <f>IF(HLOOKUP("Mins",A1:CV300,90,FALSE)=0,0,HLOOKUP("As",A1:CV300,90,FALSE)/HLOOKUP("Mins",A1:CV300,90,FALSE)* 90)</f>
        <v>0</v>
      </c>
      <c r="BH90" s="25176">
        <f>IF(HLOOKUP("Mins",A1:CV300,90,FALSE)=0,0,HLOOKUP("FPL As",A1:CV300,90,FALSE)/HLOOKUP("Mins",A1:CV300,90,FALSE)* 90)</f>
        <v>0</v>
      </c>
      <c r="BI90" s="25177">
        <f>IF(HLOOKUP("Mins",A1:CV300,90,FALSE)=0,0,HLOOKUP("BC Created",A1:CV300,90,FALSE)/HLOOKUP("Mins",A1:CV300,90,FALSE)* 90)</f>
        <v>0</v>
      </c>
      <c r="BJ90" s="25178">
        <f>IF(HLOOKUP("Mins",A1:CV300,90,FALSE)=0,0,HLOOKUP("KP",A1:CV300,90,FALSE)/HLOOKUP("Mins",A1:CV300,90,FALSE)* 90)</f>
        <v>0.11904761904761904</v>
      </c>
      <c r="BK90" s="25179">
        <f>IF(HLOOKUP("Mins",A1:CV300,90,FALSE)=0,0,HLOOKUP("BC",A1:CV300,90,FALSE)/HLOOKUP("Mins",A1:CV300,90,FALSE)* 90)</f>
        <v>0.11904761904761904</v>
      </c>
      <c r="BL90" s="25180">
        <f>IF(HLOOKUP("Mins",A1:CV300,90,FALSE)=0,0,HLOOKUP("BC Miss",A1:CV300,90,FALSE)/HLOOKUP("Mins",A1:CV300,90,FALSE)* 90)</f>
        <v>0.11904761904761904</v>
      </c>
      <c r="BM90" s="25181">
        <f>IF(HLOOKUP("Mins",A1:CV300,90,FALSE)=0,0,HLOOKUP("Gs - BC",A1:CV300,90,FALSE)/HLOOKUP("Mins",A1:CV300,90,FALSE)* 90)</f>
        <v>0</v>
      </c>
      <c r="BN90" s="25182">
        <f>IF(HLOOKUP("Mins",A1:CV300,90,FALSE)=0,0,HLOOKUP("GIB",A1:CV300,90,FALSE)/HLOOKUP("Mins",A1:CV300,90,FALSE)* 90)</f>
        <v>0</v>
      </c>
      <c r="BO90" s="25183">
        <f>IF(HLOOKUP("Mins",A1:CV300,90,FALSE)=0,0,HLOOKUP("Gs - Open",A1:CV300,90,FALSE)/HLOOKUP("Mins",A1:CV300,90,FALSE)* 90)</f>
        <v>0</v>
      </c>
      <c r="BP90" s="25184">
        <f>IF(HLOOKUP("Mins",A1:CV300,90,FALSE)=0,0,HLOOKUP("ICT Index",A1:CV300,90,FALSE)/HLOOKUP("Mins",A1:CV300,90,FALSE)* 90)</f>
        <v>2.6309523809523814</v>
      </c>
      <c r="BQ90" s="25185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  <v>6.357142857142857E-2</v>
      </c>
      <c r="BR90" s="25186">
        <f>0.0885*HLOOKUP("KP/90",A1:CV300,90,FALSE)</f>
        <v>1.0535714285714285E-2</v>
      </c>
      <c r="BS90" s="25187">
        <f>5*HLOOKUP("xG/90",A1:CV300,90,FALSE)+3*HLOOKUP("xA/90",A1:CV300,90,FALSE)</f>
        <v>0.34946428571428567</v>
      </c>
      <c r="BT90" s="25188">
        <f>HLOOKUP("xPts/90",A1:CV300,90,FALSE)-(5*0.75*(HLOOKUP("PK Gs",A1:CV300,90,FALSE)+HLOOKUP("PK Miss",A1:CV300,90,FALSE))*90/HLOOKUP("Mins",A1:CV300,90,FALSE))</f>
        <v>0.34946428571428567</v>
      </c>
      <c r="BU90" s="25189">
        <f>IF(HLOOKUP("Mins",A1:CV300,90,FALSE)=0,0,HLOOKUP("fsXG",A1:CV300,90,FALSE)/HLOOKUP("Mins",A1:CV300,90,FALSE)* 90)</f>
        <v>9.1666666666666674E-2</v>
      </c>
      <c r="BV90" s="25190">
        <f>IF(HLOOKUP("Mins",A1:CV300,90,FALSE)=0,0,HLOOKUP("fsXA",A1:CV300,90,FALSE)/HLOOKUP("Mins",A1:CV300,90,FALSE)* 90)</f>
        <v>4.7619047619047623E-3</v>
      </c>
      <c r="BW90" s="25191">
        <f>5*HLOOKUP("fsXG/90",A1:CV300,90,FALSE)+3*HLOOKUP("fsXA/90",A1:CV300,90,FALSE)</f>
        <v>0.47261904761904766</v>
      </c>
      <c r="BX90" s="25192">
        <v>7.0472262799739838E-2</v>
      </c>
      <c r="BY90" s="25193">
        <v>5.9785470366477966E-3</v>
      </c>
      <c r="BZ90" s="25194">
        <f>5*HLOOKUP("uXG/90",A1:CV300,90,FALSE)+3*HLOOKUP("uXA/90",A1:CV300,90,FALSE)</f>
        <v>0.37029695510864258</v>
      </c>
    </row>
    <row r="91" spans="1:78" x14ac:dyDescent="0.3">
      <c r="A91" s="25195" t="s">
        <v>418</v>
      </c>
      <c r="B91" s="25196" t="s">
        <v>81</v>
      </c>
      <c r="C91" s="25197">
        <v>5.9000000953674316</v>
      </c>
      <c r="D91" s="25198">
        <v>1141</v>
      </c>
      <c r="E91" s="25199">
        <v>20</v>
      </c>
      <c r="F91" s="25200">
        <v>61</v>
      </c>
      <c r="G91" s="25201">
        <v>1</v>
      </c>
      <c r="H91" s="25202">
        <v>3</v>
      </c>
      <c r="I91" s="25203">
        <v>169</v>
      </c>
      <c r="J91" s="25204">
        <f>HLOOKUP("BPS",A1:CV300,91,FALSE)-((-6*HLOOKUP("OG",A1:CV300,91,FALSE))+(-6*HLOOKUP("PK Miss",A1:CV300,91,FALSE))+(9*HLOOKUP("FPL As",A1:CV300,91,FALSE))+(0*HLOOKUP("CS",A1:CV300,91,FALSE))+(18*HLOOKUP("Gs",A1:CV300,91,FALSE)))</f>
        <v>97</v>
      </c>
      <c r="K91" s="25205">
        <v>0</v>
      </c>
      <c r="L91" s="25206">
        <v>5</v>
      </c>
      <c r="M91" s="25207">
        <v>77</v>
      </c>
      <c r="N91" s="25208">
        <v>33</v>
      </c>
      <c r="O91" s="25209">
        <v>23</v>
      </c>
      <c r="P91" s="25210">
        <f>IF(HLOOKUP("Shots",A1:CV300,91,FALSE)=0,0,HLOOKUP("SIB",A1:CV300,91,FALSE)/HLOOKUP("Shots",A1:CV300,91,FALSE))</f>
        <v>0.69696969696969702</v>
      </c>
      <c r="Q91" s="25211">
        <v>1</v>
      </c>
      <c r="R91" s="25212">
        <f>IF(HLOOKUP("Shots",A1:CV300,91,FALSE)=0,0,HLOOKUP("S6YD",A1:CV300,91,FALSE)/HLOOKUP("Shots",A1:CV300,91,FALSE))</f>
        <v>3.0303030303030304E-2</v>
      </c>
      <c r="S91" s="25213">
        <v>2</v>
      </c>
      <c r="T91" s="25214">
        <f>IF(HLOOKUP("Shots",A1:CV300,91,FALSE)=0,0,HLOOKUP("Headers",A1:CV300,91,FALSE)/HLOOKUP("Shots",A1:CV300,91,FALSE))</f>
        <v>6.0606060606060608E-2</v>
      </c>
      <c r="U91" s="25215">
        <v>13</v>
      </c>
      <c r="V91" s="25216">
        <f>IF(HLOOKUP("Shots",A1:CV300,91,FALSE)=0,0,HLOOKUP("SOT",A1:CV300,91,FALSE)/HLOOKUP("Shots",A1:CV300,91,FALSE))</f>
        <v>0.39393939393939392</v>
      </c>
      <c r="W91" s="25217">
        <f>IF(HLOOKUP("Shots",A1:CV300,91,FALSE)=0,0,HLOOKUP("Gs",A1:CV300,91,FALSE)/HLOOKUP("Shots",A1:CV300,91,FALSE))</f>
        <v>3.0303030303030304E-2</v>
      </c>
      <c r="X91" s="25218">
        <v>5</v>
      </c>
      <c r="Y91" s="25219">
        <v>6</v>
      </c>
      <c r="Z91" s="25220">
        <v>18</v>
      </c>
      <c r="AA91" s="25221">
        <f>IF(HLOOKUP("KP",A1:CV300,91,FALSE)=0,0,HLOOKUP("As",A1:CV300,91,FALSE)/HLOOKUP("KP",A1:CV300,91,FALSE))</f>
        <v>0.27777777777777779</v>
      </c>
      <c r="AB91" s="25222">
        <v>92.5</v>
      </c>
      <c r="AC91" s="25223">
        <v>29</v>
      </c>
      <c r="AD91" s="25224">
        <v>4</v>
      </c>
      <c r="AE91" s="25225">
        <v>5</v>
      </c>
      <c r="AF91" s="25226">
        <v>5</v>
      </c>
      <c r="AG91" s="25227">
        <f>IF(HLOOKUP("BC",A1:CV300,91,FALSE)=0,0,HLOOKUP("Gs - BC",A1:CV300,91,FALSE)/HLOOKUP("BC",A1:CV300,91,FALSE))</f>
        <v>0</v>
      </c>
      <c r="AH91" s="25228">
        <f>HLOOKUP("BC",A1:CV300,91,FALSE) - HLOOKUP("BC Miss",A1:CV300,91,FALSE)</f>
        <v>0</v>
      </c>
      <c r="AI91" s="25229">
        <f>IF(HLOOKUP("Gs",A1:CV300,91,FALSE)=0,0,HLOOKUP("Gs - BC",A1:CV300,91,FALSE)/HLOOKUP("Gs",A1:CV300,91,FALSE))</f>
        <v>0</v>
      </c>
      <c r="AJ91" s="25230">
        <v>0</v>
      </c>
      <c r="AK91" s="25231">
        <v>0</v>
      </c>
      <c r="AL91" s="25232">
        <f>HLOOKUP("BC",A1:CV300,91,FALSE) - (HLOOKUP("PK Gs",A1:CV300,91,FALSE) + HLOOKUP("PK Miss",A1:CV300,91,FALSE))</f>
        <v>5</v>
      </c>
      <c r="AM91" s="25233">
        <f>HLOOKUP("BC Miss",A1:CV300,91,FALSE) - HLOOKUP("PK Miss",A1:CV300,91,FALSE)</f>
        <v>5</v>
      </c>
      <c r="AN91" s="25234">
        <f>IF(HLOOKUP("BC - Open",A1:CV300,91,FALSE)=0,0,HLOOKUP("BC - Open Miss",A1:CV300,91,FALSE)/HLOOKUP("BC - Open",A1:CV300,91,FALSE))</f>
        <v>1</v>
      </c>
      <c r="AO91" s="25235">
        <v>1</v>
      </c>
      <c r="AP91" s="25236">
        <f>IF(HLOOKUP("Gs",A1:CV300,91,FALSE)=0,0,HLOOKUP("GIB",A1:CV300,91,FALSE)/HLOOKUP("Gs",A1:CV300,91,FALSE))</f>
        <v>1</v>
      </c>
      <c r="AQ91" s="25237">
        <v>0</v>
      </c>
      <c r="AR91" s="25238">
        <f>IF(HLOOKUP("Gs",A1:CV300,91,FALSE)=0,0,HLOOKUP("Gs - Open",A1:CV300,91,FALSE)/HLOOKUP("Gs",A1:CV300,91,FALSE))</f>
        <v>0</v>
      </c>
      <c r="AS91" s="25239">
        <v>3.68</v>
      </c>
      <c r="AT91" s="25240">
        <v>1.98</v>
      </c>
      <c r="AU91" s="25241">
        <f>IF(HLOOKUP("Mins",A1:CV300,91,FALSE)=0,0,HLOOKUP("Pts",A1:CV300,91,FALSE)/HLOOKUP("Mins",A1:CV300,91,FALSE)* 90)</f>
        <v>4.8115687992988603</v>
      </c>
      <c r="AV91" s="25242">
        <f>IF(HLOOKUP("Apps",A1:CV300,91,FALSE)=0,0,HLOOKUP("Pts",A1:CV300,91,FALSE)/HLOOKUP("Apps",A1:CV300,91,FALSE)* 1)</f>
        <v>3.05</v>
      </c>
      <c r="AW91" s="25243">
        <f>IF(HLOOKUP("Mins",A1:CV300,91,FALSE)=0,0,HLOOKUP("Gs",A1:CV300,91,FALSE)/HLOOKUP("Mins",A1:CV300,91,FALSE)* 90)</f>
        <v>7.8878177037686237E-2</v>
      </c>
      <c r="AX91" s="25244">
        <f>IF(HLOOKUP("Mins",A1:CV300,91,FALSE)=0,0,HLOOKUP("Bonus",A1:CV300,91,FALSE)/HLOOKUP("Mins",A1:CV300,91,FALSE)* 90)</f>
        <v>0.23663453111305874</v>
      </c>
      <c r="AY91" s="25245">
        <f>IF(HLOOKUP("Mins",A1:CV300,91,FALSE)=0,0,HLOOKUP("BPS",A1:CV300,91,FALSE)/HLOOKUP("Mins",A1:CV300,91,FALSE)* 90)</f>
        <v>13.330411919368974</v>
      </c>
      <c r="AZ91" s="25246">
        <f>IF(HLOOKUP("Mins",A1:CV300,91,FALSE)=0,0,HLOOKUP("Base BPS",A1:CV300,91,FALSE)/HLOOKUP("Mins",A1:CV300,91,FALSE)* 90)</f>
        <v>7.6511831726555659</v>
      </c>
      <c r="BA91" s="25247">
        <f>IF(HLOOKUP("Mins",A1:CV300,91,FALSE)=0,0,HLOOKUP("PenTchs",A1:CV300,91,FALSE)/HLOOKUP("Mins",A1:CV300,91,FALSE)* 90)</f>
        <v>6.0736196319018401</v>
      </c>
      <c r="BB91" s="25248">
        <f>IF(HLOOKUP("Mins",A1:CV300,91,FALSE)=0,0,HLOOKUP("Shots",A1:CV300,91,FALSE)/HLOOKUP("Mins",A1:CV300,91,FALSE)* 90)</f>
        <v>2.6029798422436459</v>
      </c>
      <c r="BC91" s="25249">
        <f>IF(HLOOKUP("Mins",A1:CV300,91,FALSE)=0,0,HLOOKUP("SIB",A1:CV300,91,FALSE)/HLOOKUP("Mins",A1:CV300,91,FALSE)* 90)</f>
        <v>1.8141980718667834</v>
      </c>
      <c r="BD91" s="25250">
        <f>IF(HLOOKUP("Mins",A1:CV300,91,FALSE)=0,0,HLOOKUP("S6YD",A1:CV300,91,FALSE)/HLOOKUP("Mins",A1:CV300,91,FALSE)* 90)</f>
        <v>7.8878177037686237E-2</v>
      </c>
      <c r="BE91" s="25251">
        <f>IF(HLOOKUP("Mins",A1:CV300,91,FALSE)=0,0,HLOOKUP("Headers",A1:CV300,91,FALSE)/HLOOKUP("Mins",A1:CV300,91,FALSE)* 90)</f>
        <v>0.15775635407537247</v>
      </c>
      <c r="BF91" s="25252">
        <f>IF(HLOOKUP("Mins",A1:CV300,91,FALSE)=0,0,HLOOKUP("SOT",A1:CV300,91,FALSE)/HLOOKUP("Mins",A1:CV300,91,FALSE)* 90)</f>
        <v>1.0254163014899211</v>
      </c>
      <c r="BG91" s="25253">
        <f>IF(HLOOKUP("Mins",A1:CV300,91,FALSE)=0,0,HLOOKUP("As",A1:CV300,91,FALSE)/HLOOKUP("Mins",A1:CV300,91,FALSE)* 90)</f>
        <v>0.39439088518843118</v>
      </c>
      <c r="BH91" s="25254">
        <f>IF(HLOOKUP("Mins",A1:CV300,91,FALSE)=0,0,HLOOKUP("FPL As",A1:CV300,91,FALSE)/HLOOKUP("Mins",A1:CV300,91,FALSE)* 90)</f>
        <v>0.47326906222611748</v>
      </c>
      <c r="BI91" s="25255">
        <f>IF(HLOOKUP("Mins",A1:CV300,91,FALSE)=0,0,HLOOKUP("BC Created",A1:CV300,91,FALSE)/HLOOKUP("Mins",A1:CV300,91,FALSE)* 90)</f>
        <v>0.31551270815074495</v>
      </c>
      <c r="BJ91" s="25256">
        <f>IF(HLOOKUP("Mins",A1:CV300,91,FALSE)=0,0,HLOOKUP("KP",A1:CV300,91,FALSE)/HLOOKUP("Mins",A1:CV300,91,FALSE)* 90)</f>
        <v>1.4198071866783522</v>
      </c>
      <c r="BK91" s="25257">
        <f>IF(HLOOKUP("Mins",A1:CV300,91,FALSE)=0,0,HLOOKUP("BC",A1:CV300,91,FALSE)/HLOOKUP("Mins",A1:CV300,91,FALSE)* 90)</f>
        <v>0.39439088518843118</v>
      </c>
      <c r="BL91" s="25258">
        <f>IF(HLOOKUP("Mins",A1:CV300,91,FALSE)=0,0,HLOOKUP("BC Miss",A1:CV300,91,FALSE)/HLOOKUP("Mins",A1:CV300,91,FALSE)* 90)</f>
        <v>0.39439088518843118</v>
      </c>
      <c r="BM91" s="25259">
        <f>IF(HLOOKUP("Mins",A1:CV300,91,FALSE)=0,0,HLOOKUP("Gs - BC",A1:CV300,91,FALSE)/HLOOKUP("Mins",A1:CV300,91,FALSE)* 90)</f>
        <v>0</v>
      </c>
      <c r="BN91" s="25260">
        <f>IF(HLOOKUP("Mins",A1:CV300,91,FALSE)=0,0,HLOOKUP("GIB",A1:CV300,91,FALSE)/HLOOKUP("Mins",A1:CV300,91,FALSE)* 90)</f>
        <v>7.8878177037686237E-2</v>
      </c>
      <c r="BO91" s="25261">
        <f>IF(HLOOKUP("Mins",A1:CV300,91,FALSE)=0,0,HLOOKUP("Gs - Open",A1:CV300,91,FALSE)/HLOOKUP("Mins",A1:CV300,91,FALSE)* 90)</f>
        <v>0</v>
      </c>
      <c r="BP91" s="25262">
        <f>IF(HLOOKUP("Mins",A1:CV300,91,FALSE)=0,0,HLOOKUP("ICT Index",A1:CV300,91,FALSE)/HLOOKUP("Mins",A1:CV300,91,FALSE)* 90)</f>
        <v>7.296231375985978</v>
      </c>
      <c r="BQ91" s="25263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  <v>0.28601226993865025</v>
      </c>
      <c r="BR91" s="25264">
        <f>0.0885*HLOOKUP("KP/90",A1:CV300,91,FALSE)</f>
        <v>0.12565293602103417</v>
      </c>
      <c r="BS91" s="25265">
        <f>5*HLOOKUP("xG/90",A1:CV300,91,FALSE)+3*HLOOKUP("xA/90",A1:CV300,91,FALSE)</f>
        <v>1.8070201577563538</v>
      </c>
      <c r="BT91" s="25266">
        <f>HLOOKUP("xPts/90",A1:CV300,91,FALSE)-(5*0.75*(HLOOKUP("PK Gs",A1:CV300,91,FALSE)+HLOOKUP("PK Miss",A1:CV300,91,FALSE))*90/HLOOKUP("Mins",A1:CV300,91,FALSE))</f>
        <v>1.8070201577563538</v>
      </c>
      <c r="BU91" s="25267">
        <f>IF(HLOOKUP("Mins",A1:CV300,91,FALSE)=0,0,HLOOKUP("fsXG",A1:CV300,91,FALSE)/HLOOKUP("Mins",A1:CV300,91,FALSE)* 90)</f>
        <v>0.29027169149868537</v>
      </c>
      <c r="BV91" s="25268">
        <f>IF(HLOOKUP("Mins",A1:CV300,91,FALSE)=0,0,HLOOKUP("fsXA",A1:CV300,91,FALSE)/HLOOKUP("Mins",A1:CV300,91,FALSE)* 90)</f>
        <v>0.15617879053461875</v>
      </c>
      <c r="BW91" s="25269">
        <f>5*HLOOKUP("fsXG/90",A1:CV300,91,FALSE)+3*HLOOKUP("fsXA/90",A1:CV300,91,FALSE)</f>
        <v>1.919894829097283</v>
      </c>
      <c r="BX91" s="25270">
        <v>0.2925180196762085</v>
      </c>
      <c r="BY91" s="25271">
        <v>0.18786275386810303</v>
      </c>
      <c r="BZ91" s="25272">
        <f>5*HLOOKUP("uXG/90",A1:CV300,91,FALSE)+3*HLOOKUP("uXA/90",A1:CV300,91,FALSE)</f>
        <v>2.0261783599853516</v>
      </c>
    </row>
    <row r="92" spans="1:78" x14ac:dyDescent="0.3">
      <c r="A92" s="25273" t="s">
        <v>419</v>
      </c>
      <c r="B92" s="25274" t="s">
        <v>113</v>
      </c>
      <c r="C92" s="25275">
        <v>4.6999998092651367</v>
      </c>
      <c r="D92" s="25276">
        <v>1890</v>
      </c>
      <c r="E92" s="25277">
        <v>21</v>
      </c>
      <c r="F92" s="25278">
        <v>48</v>
      </c>
      <c r="G92" s="25279">
        <v>0</v>
      </c>
      <c r="H92" s="25280">
        <v>1</v>
      </c>
      <c r="I92" s="25281">
        <v>328</v>
      </c>
      <c r="J92" s="25282">
        <f>HLOOKUP("BPS",A1:CV300,92,FALSE)-((-6*HLOOKUP("OG",A1:CV300,92,FALSE))+(-6*HLOOKUP("PK Miss",A1:CV300,92,FALSE))+(9*HLOOKUP("FPL As",A1:CV300,92,FALSE))+(0*HLOOKUP("CS",A1:CV300,92,FALSE))+(18*HLOOKUP("Gs",A1:CV300,92,FALSE)))</f>
        <v>319</v>
      </c>
      <c r="K92" s="25283">
        <v>0</v>
      </c>
      <c r="L92" s="25284">
        <v>6</v>
      </c>
      <c r="M92" s="25285">
        <v>11</v>
      </c>
      <c r="N92" s="25286">
        <v>13</v>
      </c>
      <c r="O92" s="25287">
        <v>3</v>
      </c>
      <c r="P92" s="25288">
        <f>IF(HLOOKUP("Shots",A1:CV300,92,FALSE)=0,0,HLOOKUP("SIB",A1:CV300,92,FALSE)/HLOOKUP("Shots",A1:CV300,92,FALSE))</f>
        <v>0.23076923076923078</v>
      </c>
      <c r="Q92" s="25289">
        <v>0</v>
      </c>
      <c r="R92" s="25290">
        <f>IF(HLOOKUP("Shots",A1:CV300,92,FALSE)=0,0,HLOOKUP("S6YD",A1:CV300,92,FALSE)/HLOOKUP("Shots",A1:CV300,92,FALSE))</f>
        <v>0</v>
      </c>
      <c r="S92" s="25291">
        <v>2</v>
      </c>
      <c r="T92" s="25292">
        <f>IF(HLOOKUP("Shots",A1:CV300,92,FALSE)=0,0,HLOOKUP("Headers",A1:CV300,92,FALSE)/HLOOKUP("Shots",A1:CV300,92,FALSE))</f>
        <v>0.15384615384615385</v>
      </c>
      <c r="U92" s="25293">
        <v>5</v>
      </c>
      <c r="V92" s="25294">
        <f>IF(HLOOKUP("Shots",A1:CV300,92,FALSE)=0,0,HLOOKUP("SOT",A1:CV300,92,FALSE)/HLOOKUP("Shots",A1:CV300,92,FALSE))</f>
        <v>0.38461538461538464</v>
      </c>
      <c r="W92" s="25295">
        <f>IF(HLOOKUP("Shots",A1:CV300,92,FALSE)=0,0,HLOOKUP("Gs",A1:CV300,92,FALSE)/HLOOKUP("Shots",A1:CV300,92,FALSE))</f>
        <v>0</v>
      </c>
      <c r="X92" s="25296">
        <v>1</v>
      </c>
      <c r="Y92" s="25297">
        <v>1</v>
      </c>
      <c r="Z92" s="25298">
        <v>8</v>
      </c>
      <c r="AA92" s="25299">
        <f>IF(HLOOKUP("KP",A1:CV300,92,FALSE)=0,0,HLOOKUP("As",A1:CV300,92,FALSE)/HLOOKUP("KP",A1:CV300,92,FALSE))</f>
        <v>0.125</v>
      </c>
      <c r="AB92" s="25300">
        <v>62.6</v>
      </c>
      <c r="AC92" s="25301">
        <v>4</v>
      </c>
      <c r="AD92" s="25302">
        <v>1</v>
      </c>
      <c r="AE92" s="25303">
        <v>0</v>
      </c>
      <c r="AF92" s="25304">
        <v>0</v>
      </c>
      <c r="AG92" s="25305">
        <f>IF(HLOOKUP("BC",A1:CV300,92,FALSE)=0,0,HLOOKUP("Gs - BC",A1:CV300,92,FALSE)/HLOOKUP("BC",A1:CV300,92,FALSE))</f>
        <v>0</v>
      </c>
      <c r="AH92" s="25306">
        <f>HLOOKUP("BC",A1:CV300,92,FALSE) - HLOOKUP("BC Miss",A1:CV300,92,FALSE)</f>
        <v>0</v>
      </c>
      <c r="AI92" s="25307">
        <f>IF(HLOOKUP("Gs",A1:CV300,92,FALSE)=0,0,HLOOKUP("Gs - BC",A1:CV300,92,FALSE)/HLOOKUP("Gs",A1:CV300,92,FALSE))</f>
        <v>0</v>
      </c>
      <c r="AJ92" s="25308">
        <v>0</v>
      </c>
      <c r="AK92" s="25309">
        <v>0</v>
      </c>
      <c r="AL92" s="25310">
        <f>HLOOKUP("BC",A1:CV300,92,FALSE) - (HLOOKUP("PK Gs",A1:CV300,92,FALSE) + HLOOKUP("PK Miss",A1:CV300,92,FALSE))</f>
        <v>0</v>
      </c>
      <c r="AM92" s="25311">
        <f>HLOOKUP("BC Miss",A1:CV300,92,FALSE) - HLOOKUP("PK Miss",A1:CV300,92,FALSE)</f>
        <v>0</v>
      </c>
      <c r="AN92" s="25312">
        <f>IF(HLOOKUP("BC - Open",A1:CV300,92,FALSE)=0,0,HLOOKUP("BC - Open Miss",A1:CV300,92,FALSE)/HLOOKUP("BC - Open",A1:CV300,92,FALSE))</f>
        <v>0</v>
      </c>
      <c r="AO92" s="25313">
        <v>0</v>
      </c>
      <c r="AP92" s="25314">
        <f>IF(HLOOKUP("Gs",A1:CV300,92,FALSE)=0,0,HLOOKUP("GIB",A1:CV300,92,FALSE)/HLOOKUP("Gs",A1:CV300,92,FALSE))</f>
        <v>0</v>
      </c>
      <c r="AQ92" s="25315">
        <v>0</v>
      </c>
      <c r="AR92" s="25316">
        <f>IF(HLOOKUP("Gs",A1:CV300,92,FALSE)=0,0,HLOOKUP("Gs - Open",A1:CV300,92,FALSE)/HLOOKUP("Gs",A1:CV300,92,FALSE))</f>
        <v>0</v>
      </c>
      <c r="AS92" s="25317">
        <v>0.63</v>
      </c>
      <c r="AT92" s="25318">
        <v>0.5</v>
      </c>
      <c r="AU92" s="25319">
        <f>IF(HLOOKUP("Mins",A1:CV300,92,FALSE)=0,0,HLOOKUP("Pts",A1:CV300,92,FALSE)/HLOOKUP("Mins",A1:CV300,92,FALSE)* 90)</f>
        <v>2.2857142857142856</v>
      </c>
      <c r="AV92" s="25320">
        <f>IF(HLOOKUP("Apps",A1:CV300,92,FALSE)=0,0,HLOOKUP("Pts",A1:CV300,92,FALSE)/HLOOKUP("Apps",A1:CV300,92,FALSE)* 1)</f>
        <v>2.2857142857142856</v>
      </c>
      <c r="AW92" s="25321">
        <f>IF(HLOOKUP("Mins",A1:CV300,92,FALSE)=0,0,HLOOKUP("Gs",A1:CV300,92,FALSE)/HLOOKUP("Mins",A1:CV300,92,FALSE)* 90)</f>
        <v>0</v>
      </c>
      <c r="AX92" s="25322">
        <f>IF(HLOOKUP("Mins",A1:CV300,92,FALSE)=0,0,HLOOKUP("Bonus",A1:CV300,92,FALSE)/HLOOKUP("Mins",A1:CV300,92,FALSE)* 90)</f>
        <v>4.7619047619047623E-2</v>
      </c>
      <c r="AY92" s="25323">
        <f>IF(HLOOKUP("Mins",A1:CV300,92,FALSE)=0,0,HLOOKUP("BPS",A1:CV300,92,FALSE)/HLOOKUP("Mins",A1:CV300,92,FALSE)* 90)</f>
        <v>15.61904761904762</v>
      </c>
      <c r="AZ92" s="25324">
        <f>IF(HLOOKUP("Mins",A1:CV300,92,FALSE)=0,0,HLOOKUP("Base BPS",A1:CV300,92,FALSE)/HLOOKUP("Mins",A1:CV300,92,FALSE)* 90)</f>
        <v>15.19047619047619</v>
      </c>
      <c r="BA92" s="25325">
        <f>IF(HLOOKUP("Mins",A1:CV300,92,FALSE)=0,0,HLOOKUP("PenTchs",A1:CV300,92,FALSE)/HLOOKUP("Mins",A1:CV300,92,FALSE)* 90)</f>
        <v>0.52380952380952384</v>
      </c>
      <c r="BB92" s="25326">
        <f>IF(HLOOKUP("Mins",A1:CV300,92,FALSE)=0,0,HLOOKUP("Shots",A1:CV300,92,FALSE)/HLOOKUP("Mins",A1:CV300,92,FALSE)* 90)</f>
        <v>0.61904761904761907</v>
      </c>
      <c r="BC92" s="25327">
        <f>IF(HLOOKUP("Mins",A1:CV300,92,FALSE)=0,0,HLOOKUP("SIB",A1:CV300,92,FALSE)/HLOOKUP("Mins",A1:CV300,92,FALSE)* 90)</f>
        <v>0.14285714285714285</v>
      </c>
      <c r="BD92" s="25328">
        <f>IF(HLOOKUP("Mins",A1:CV300,92,FALSE)=0,0,HLOOKUP("S6YD",A1:CV300,92,FALSE)/HLOOKUP("Mins",A1:CV300,92,FALSE)* 90)</f>
        <v>0</v>
      </c>
      <c r="BE92" s="25329">
        <f>IF(HLOOKUP("Mins",A1:CV300,92,FALSE)=0,0,HLOOKUP("Headers",A1:CV300,92,FALSE)/HLOOKUP("Mins",A1:CV300,92,FALSE)* 90)</f>
        <v>9.5238095238095247E-2</v>
      </c>
      <c r="BF92" s="25330">
        <f>IF(HLOOKUP("Mins",A1:CV300,92,FALSE)=0,0,HLOOKUP("SOT",A1:CV300,92,FALSE)/HLOOKUP("Mins",A1:CV300,92,FALSE)* 90)</f>
        <v>0.23809523809523808</v>
      </c>
      <c r="BG92" s="25331">
        <f>IF(HLOOKUP("Mins",A1:CV300,92,FALSE)=0,0,HLOOKUP("As",A1:CV300,92,FALSE)/HLOOKUP("Mins",A1:CV300,92,FALSE)* 90)</f>
        <v>4.7619047619047623E-2</v>
      </c>
      <c r="BH92" s="25332">
        <f>IF(HLOOKUP("Mins",A1:CV300,92,FALSE)=0,0,HLOOKUP("FPL As",A1:CV300,92,FALSE)/HLOOKUP("Mins",A1:CV300,92,FALSE)* 90)</f>
        <v>4.7619047619047623E-2</v>
      </c>
      <c r="BI92" s="25333">
        <f>IF(HLOOKUP("Mins",A1:CV300,92,FALSE)=0,0,HLOOKUP("BC Created",A1:CV300,92,FALSE)/HLOOKUP("Mins",A1:CV300,92,FALSE)* 90)</f>
        <v>4.7619047619047623E-2</v>
      </c>
      <c r="BJ92" s="25334">
        <f>IF(HLOOKUP("Mins",A1:CV300,92,FALSE)=0,0,HLOOKUP("KP",A1:CV300,92,FALSE)/HLOOKUP("Mins",A1:CV300,92,FALSE)* 90)</f>
        <v>0.38095238095238099</v>
      </c>
      <c r="BK92" s="25335">
        <f>IF(HLOOKUP("Mins",A1:CV300,92,FALSE)=0,0,HLOOKUP("BC",A1:CV300,92,FALSE)/HLOOKUP("Mins",A1:CV300,92,FALSE)* 90)</f>
        <v>0</v>
      </c>
      <c r="BL92" s="25336">
        <f>IF(HLOOKUP("Mins",A1:CV300,92,FALSE)=0,0,HLOOKUP("BC Miss",A1:CV300,92,FALSE)/HLOOKUP("Mins",A1:CV300,92,FALSE)* 90)</f>
        <v>0</v>
      </c>
      <c r="BM92" s="25337">
        <f>IF(HLOOKUP("Mins",A1:CV300,92,FALSE)=0,0,HLOOKUP("Gs - BC",A1:CV300,92,FALSE)/HLOOKUP("Mins",A1:CV300,92,FALSE)* 90)</f>
        <v>0</v>
      </c>
      <c r="BN92" s="25338">
        <f>IF(HLOOKUP("Mins",A1:CV300,92,FALSE)=0,0,HLOOKUP("GIB",A1:CV300,92,FALSE)/HLOOKUP("Mins",A1:CV300,92,FALSE)* 90)</f>
        <v>0</v>
      </c>
      <c r="BO92" s="25339">
        <f>IF(HLOOKUP("Mins",A1:CV300,92,FALSE)=0,0,HLOOKUP("Gs - Open",A1:CV300,92,FALSE)/HLOOKUP("Mins",A1:CV300,92,FALSE)* 90)</f>
        <v>0</v>
      </c>
      <c r="BP92" s="25340">
        <f>IF(HLOOKUP("Mins",A1:CV300,92,FALSE)=0,0,HLOOKUP("ICT Index",A1:CV300,92,FALSE)/HLOOKUP("Mins",A1:CV300,92,FALSE)* 90)</f>
        <v>2.980952380952381</v>
      </c>
      <c r="BQ92" s="25341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  <v>3.7428571428571422E-2</v>
      </c>
      <c r="BR92" s="25342">
        <f>0.0885*HLOOKUP("KP/90",A1:CV300,92,FALSE)</f>
        <v>3.3714285714285717E-2</v>
      </c>
      <c r="BS92" s="25343">
        <f>5*HLOOKUP("xG/90",A1:CV300,92,FALSE)+3*HLOOKUP("xA/90",A1:CV300,92,FALSE)</f>
        <v>0.28828571428571426</v>
      </c>
      <c r="BT92" s="25344">
        <f>HLOOKUP("xPts/90",A1:CV300,92,FALSE)-(5*0.75*(HLOOKUP("PK Gs",A1:CV300,92,FALSE)+HLOOKUP("PK Miss",A1:CV300,92,FALSE))*90/HLOOKUP("Mins",A1:CV300,92,FALSE))</f>
        <v>0.28828571428571426</v>
      </c>
      <c r="BU92" s="25345">
        <f>IF(HLOOKUP("Mins",A1:CV300,92,FALSE)=0,0,HLOOKUP("fsXG",A1:CV300,92,FALSE)/HLOOKUP("Mins",A1:CV300,92,FALSE)* 90)</f>
        <v>0.03</v>
      </c>
      <c r="BV92" s="25346">
        <f>IF(HLOOKUP("Mins",A1:CV300,92,FALSE)=0,0,HLOOKUP("fsXA",A1:CV300,92,FALSE)/HLOOKUP("Mins",A1:CV300,92,FALSE)* 90)</f>
        <v>2.3809523809523812E-2</v>
      </c>
      <c r="BW92" s="25347">
        <f>5*HLOOKUP("fsXG/90",A1:CV300,92,FALSE)+3*HLOOKUP("fsXA/90",A1:CV300,92,FALSE)</f>
        <v>0.22142857142857142</v>
      </c>
      <c r="BX92" s="25348">
        <v>1.8829785287380219E-2</v>
      </c>
      <c r="BY92" s="25349">
        <v>1.7840482294559479E-2</v>
      </c>
      <c r="BZ92" s="25350">
        <f>5*HLOOKUP("uXG/90",A1:CV300,92,FALSE)+3*HLOOKUP("uXA/90",A1:CV300,92,FALSE)</f>
        <v>0.14767037332057953</v>
      </c>
    </row>
    <row r="93" spans="1:78" x14ac:dyDescent="0.3">
      <c r="A93" s="25351" t="s">
        <v>420</v>
      </c>
      <c r="B93" s="25352" t="s">
        <v>109</v>
      </c>
      <c r="C93" s="25353">
        <v>5.8000001907348633</v>
      </c>
      <c r="D93" s="25354">
        <v>965</v>
      </c>
      <c r="E93" s="25355">
        <v>16</v>
      </c>
      <c r="F93" s="25356">
        <v>54</v>
      </c>
      <c r="G93" s="25357">
        <v>2</v>
      </c>
      <c r="H93" s="25358">
        <v>3</v>
      </c>
      <c r="I93" s="25359">
        <v>211</v>
      </c>
      <c r="J93" s="25360">
        <f>HLOOKUP("BPS",A1:CV300,93,FALSE)-((-6*HLOOKUP("OG",A1:CV300,93,FALSE))+(-6*HLOOKUP("PK Miss",A1:CV300,93,FALSE))+(9*HLOOKUP("FPL As",A1:CV300,93,FALSE))+(0*HLOOKUP("CS",A1:CV300,93,FALSE))+(18*HLOOKUP("Gs",A1:CV300,93,FALSE)))</f>
        <v>130</v>
      </c>
      <c r="K93" s="25361">
        <v>0</v>
      </c>
      <c r="L93" s="25362">
        <v>1</v>
      </c>
      <c r="M93" s="25363">
        <v>53</v>
      </c>
      <c r="N93" s="25364">
        <v>18</v>
      </c>
      <c r="O93" s="25365">
        <v>12</v>
      </c>
      <c r="P93" s="25366">
        <f>IF(HLOOKUP("Shots",A1:CV300,93,FALSE)=0,0,HLOOKUP("SIB",A1:CV300,93,FALSE)/HLOOKUP("Shots",A1:CV300,93,FALSE))</f>
        <v>0.66666666666666663</v>
      </c>
      <c r="Q93" s="25367">
        <v>1</v>
      </c>
      <c r="R93" s="25368">
        <f>IF(HLOOKUP("Shots",A1:CV300,93,FALSE)=0,0,HLOOKUP("S6YD",A1:CV300,93,FALSE)/HLOOKUP("Shots",A1:CV300,93,FALSE))</f>
        <v>5.5555555555555552E-2</v>
      </c>
      <c r="S93" s="25369">
        <v>0</v>
      </c>
      <c r="T93" s="25370">
        <f>IF(HLOOKUP("Shots",A1:CV300,93,FALSE)=0,0,HLOOKUP("Headers",A1:CV300,93,FALSE)/HLOOKUP("Shots",A1:CV300,93,FALSE))</f>
        <v>0</v>
      </c>
      <c r="U93" s="25371">
        <v>5</v>
      </c>
      <c r="V93" s="25372">
        <f>IF(HLOOKUP("Shots",A1:CV300,93,FALSE)=0,0,HLOOKUP("SOT",A1:CV300,93,FALSE)/HLOOKUP("Shots",A1:CV300,93,FALSE))</f>
        <v>0.27777777777777779</v>
      </c>
      <c r="W93" s="25373">
        <f>IF(HLOOKUP("Shots",A1:CV300,93,FALSE)=0,0,HLOOKUP("Gs",A1:CV300,93,FALSE)/HLOOKUP("Shots",A1:CV300,93,FALSE))</f>
        <v>0.1111111111111111</v>
      </c>
      <c r="X93" s="25374">
        <v>3</v>
      </c>
      <c r="Y93" s="25375">
        <v>5</v>
      </c>
      <c r="Z93" s="25376">
        <v>27</v>
      </c>
      <c r="AA93" s="25377">
        <f>IF(HLOOKUP("KP",A1:CV300,93,FALSE)=0,0,HLOOKUP("As",A1:CV300,93,FALSE)/HLOOKUP("KP",A1:CV300,93,FALSE))</f>
        <v>0.1111111111111111</v>
      </c>
      <c r="AB93" s="25378">
        <v>89.2</v>
      </c>
      <c r="AC93" s="25379">
        <v>54</v>
      </c>
      <c r="AD93" s="25380">
        <v>3</v>
      </c>
      <c r="AE93" s="25381">
        <v>5</v>
      </c>
      <c r="AF93" s="25382">
        <v>4</v>
      </c>
      <c r="AG93" s="25383">
        <f>IF(HLOOKUP("BC",A1:CV300,93,FALSE)=0,0,HLOOKUP("Gs - BC",A1:CV300,93,FALSE)/HLOOKUP("BC",A1:CV300,93,FALSE))</f>
        <v>0.2</v>
      </c>
      <c r="AH93" s="25384">
        <f>HLOOKUP("BC",A1:CV300,93,FALSE) - HLOOKUP("BC Miss",A1:CV300,93,FALSE)</f>
        <v>1</v>
      </c>
      <c r="AI93" s="25385">
        <f>IF(HLOOKUP("Gs",A1:CV300,93,FALSE)=0,0,HLOOKUP("Gs - BC",A1:CV300,93,FALSE)/HLOOKUP("Gs",A1:CV300,93,FALSE))</f>
        <v>0.5</v>
      </c>
      <c r="AJ93" s="25386">
        <v>0</v>
      </c>
      <c r="AK93" s="25387">
        <v>0</v>
      </c>
      <c r="AL93" s="25388">
        <f>HLOOKUP("BC",A1:CV300,93,FALSE) - (HLOOKUP("PK Gs",A1:CV300,93,FALSE) + HLOOKUP("PK Miss",A1:CV300,93,FALSE))</f>
        <v>5</v>
      </c>
      <c r="AM93" s="25389">
        <f>HLOOKUP("BC Miss",A1:CV300,93,FALSE) - HLOOKUP("PK Miss",A1:CV300,93,FALSE)</f>
        <v>4</v>
      </c>
      <c r="AN93" s="25390">
        <f>IF(HLOOKUP("BC - Open",A1:CV300,93,FALSE)=0,0,HLOOKUP("BC - Open Miss",A1:CV300,93,FALSE)/HLOOKUP("BC - Open",A1:CV300,93,FALSE))</f>
        <v>0.8</v>
      </c>
      <c r="AO93" s="25391">
        <v>1</v>
      </c>
      <c r="AP93" s="25392">
        <f>IF(HLOOKUP("Gs",A1:CV300,93,FALSE)=0,0,HLOOKUP("GIB",A1:CV300,93,FALSE)/HLOOKUP("Gs",A1:CV300,93,FALSE))</f>
        <v>0.5</v>
      </c>
      <c r="AQ93" s="25393">
        <v>2</v>
      </c>
      <c r="AR93" s="25394">
        <f>IF(HLOOKUP("Gs",A1:CV300,93,FALSE)=0,0,HLOOKUP("Gs - Open",A1:CV300,93,FALSE)/HLOOKUP("Gs",A1:CV300,93,FALSE))</f>
        <v>1</v>
      </c>
      <c r="AS93" s="25395">
        <v>1.97</v>
      </c>
      <c r="AT93" s="25396">
        <v>1.98</v>
      </c>
      <c r="AU93" s="25397">
        <f>IF(HLOOKUP("Mins",A1:CV300,93,FALSE)=0,0,HLOOKUP("Pts",A1:CV300,93,FALSE)/HLOOKUP("Mins",A1:CV300,93,FALSE)* 90)</f>
        <v>5.0362694300518136</v>
      </c>
      <c r="AV93" s="25398">
        <f>IF(HLOOKUP("Apps",A1:CV300,93,FALSE)=0,0,HLOOKUP("Pts",A1:CV300,93,FALSE)/HLOOKUP("Apps",A1:CV300,93,FALSE)* 1)</f>
        <v>3.375</v>
      </c>
      <c r="AW93" s="25399">
        <f>IF(HLOOKUP("Mins",A1:CV300,93,FALSE)=0,0,HLOOKUP("Gs",A1:CV300,93,FALSE)/HLOOKUP("Mins",A1:CV300,93,FALSE)* 90)</f>
        <v>0.18652849740932642</v>
      </c>
      <c r="AX93" s="25400">
        <f>IF(HLOOKUP("Mins",A1:CV300,93,FALSE)=0,0,HLOOKUP("Bonus",A1:CV300,93,FALSE)/HLOOKUP("Mins",A1:CV300,93,FALSE)* 90)</f>
        <v>0.27979274611398963</v>
      </c>
      <c r="AY93" s="25401">
        <f>IF(HLOOKUP("Mins",A1:CV300,93,FALSE)=0,0,HLOOKUP("BPS",A1:CV300,93,FALSE)/HLOOKUP("Mins",A1:CV300,93,FALSE)* 90)</f>
        <v>19.678756476683937</v>
      </c>
      <c r="AZ93" s="25402">
        <f>IF(HLOOKUP("Mins",A1:CV300,93,FALSE)=0,0,HLOOKUP("Base BPS",A1:CV300,93,FALSE)/HLOOKUP("Mins",A1:CV300,93,FALSE)* 90)</f>
        <v>12.124352331606218</v>
      </c>
      <c r="BA93" s="25403">
        <f>IF(HLOOKUP("Mins",A1:CV300,93,FALSE)=0,0,HLOOKUP("PenTchs",A1:CV300,93,FALSE)/HLOOKUP("Mins",A1:CV300,93,FALSE)* 90)</f>
        <v>4.9430051813471501</v>
      </c>
      <c r="BB93" s="25404">
        <f>IF(HLOOKUP("Mins",A1:CV300,93,FALSE)=0,0,HLOOKUP("Shots",A1:CV300,93,FALSE)/HLOOKUP("Mins",A1:CV300,93,FALSE)* 90)</f>
        <v>1.6787564766839376</v>
      </c>
      <c r="BC93" s="25405">
        <f>IF(HLOOKUP("Mins",A1:CV300,93,FALSE)=0,0,HLOOKUP("SIB",A1:CV300,93,FALSE)/HLOOKUP("Mins",A1:CV300,93,FALSE)* 90)</f>
        <v>1.1191709844559585</v>
      </c>
      <c r="BD93" s="25406">
        <f>IF(HLOOKUP("Mins",A1:CV300,93,FALSE)=0,0,HLOOKUP("S6YD",A1:CV300,93,FALSE)/HLOOKUP("Mins",A1:CV300,93,FALSE)* 90)</f>
        <v>9.3264248704663211E-2</v>
      </c>
      <c r="BE93" s="25407">
        <f>IF(HLOOKUP("Mins",A1:CV300,93,FALSE)=0,0,HLOOKUP("Headers",A1:CV300,93,FALSE)/HLOOKUP("Mins",A1:CV300,93,FALSE)* 90)</f>
        <v>0</v>
      </c>
      <c r="BF93" s="25408">
        <f>IF(HLOOKUP("Mins",A1:CV300,93,FALSE)=0,0,HLOOKUP("SOT",A1:CV300,93,FALSE)/HLOOKUP("Mins",A1:CV300,93,FALSE)* 90)</f>
        <v>0.46632124352331605</v>
      </c>
      <c r="BG93" s="25409">
        <f>IF(HLOOKUP("Mins",A1:CV300,93,FALSE)=0,0,HLOOKUP("As",A1:CV300,93,FALSE)/HLOOKUP("Mins",A1:CV300,93,FALSE)* 90)</f>
        <v>0.27979274611398963</v>
      </c>
      <c r="BH93" s="25410">
        <f>IF(HLOOKUP("Mins",A1:CV300,93,FALSE)=0,0,HLOOKUP("FPL As",A1:CV300,93,FALSE)/HLOOKUP("Mins",A1:CV300,93,FALSE)* 90)</f>
        <v>0.46632124352331605</v>
      </c>
      <c r="BI93" s="25411">
        <f>IF(HLOOKUP("Mins",A1:CV300,93,FALSE)=0,0,HLOOKUP("BC Created",A1:CV300,93,FALSE)/HLOOKUP("Mins",A1:CV300,93,FALSE)* 90)</f>
        <v>0.27979274611398963</v>
      </c>
      <c r="BJ93" s="25412">
        <f>IF(HLOOKUP("Mins",A1:CV300,93,FALSE)=0,0,HLOOKUP("KP",A1:CV300,93,FALSE)/HLOOKUP("Mins",A1:CV300,93,FALSE)* 90)</f>
        <v>2.5181347150259068</v>
      </c>
      <c r="BK93" s="25413">
        <f>IF(HLOOKUP("Mins",A1:CV300,93,FALSE)=0,0,HLOOKUP("BC",A1:CV300,93,FALSE)/HLOOKUP("Mins",A1:CV300,93,FALSE)* 90)</f>
        <v>0.46632124352331605</v>
      </c>
      <c r="BL93" s="25414">
        <f>IF(HLOOKUP("Mins",A1:CV300,93,FALSE)=0,0,HLOOKUP("BC Miss",A1:CV300,93,FALSE)/HLOOKUP("Mins",A1:CV300,93,FALSE)* 90)</f>
        <v>0.37305699481865284</v>
      </c>
      <c r="BM93" s="25415">
        <f>IF(HLOOKUP("Mins",A1:CV300,93,FALSE)=0,0,HLOOKUP("Gs - BC",A1:CV300,93,FALSE)/HLOOKUP("Mins",A1:CV300,93,FALSE)* 90)</f>
        <v>9.3264248704663211E-2</v>
      </c>
      <c r="BN93" s="25416">
        <f>IF(HLOOKUP("Mins",A1:CV300,93,FALSE)=0,0,HLOOKUP("GIB",A1:CV300,93,FALSE)/HLOOKUP("Mins",A1:CV300,93,FALSE)* 90)</f>
        <v>9.3264248704663211E-2</v>
      </c>
      <c r="BO93" s="25417">
        <f>IF(HLOOKUP("Mins",A1:CV300,93,FALSE)=0,0,HLOOKUP("Gs - Open",A1:CV300,93,FALSE)/HLOOKUP("Mins",A1:CV300,93,FALSE)* 90)</f>
        <v>0.18652849740932642</v>
      </c>
      <c r="BP93" s="25418">
        <f>IF(HLOOKUP("Mins",A1:CV300,93,FALSE)=0,0,HLOOKUP("ICT Index",A1:CV300,93,FALSE)/HLOOKUP("Mins",A1:CV300,93,FALSE)* 90)</f>
        <v>8.31917098445596</v>
      </c>
      <c r="BQ93" s="25419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  <v>0.17906735751295336</v>
      </c>
      <c r="BR93" s="25420">
        <f>0.0885*HLOOKUP("KP/90",A1:CV300,93,FALSE)</f>
        <v>0.22285492227979273</v>
      </c>
      <c r="BS93" s="25421">
        <f>5*HLOOKUP("xG/90",A1:CV300,93,FALSE)+3*HLOOKUP("xA/90",A1:CV300,93,FALSE)</f>
        <v>1.5639015544041448</v>
      </c>
      <c r="BT93" s="25422">
        <f>HLOOKUP("xPts/90",A1:CV300,93,FALSE)-(5*0.75*(HLOOKUP("PK Gs",A1:CV300,93,FALSE)+HLOOKUP("PK Miss",A1:CV300,93,FALSE))*90/HLOOKUP("Mins",A1:CV300,93,FALSE))</f>
        <v>1.5639015544041448</v>
      </c>
      <c r="BU93" s="25423">
        <f>IF(HLOOKUP("Mins",A1:CV300,93,FALSE)=0,0,HLOOKUP("fsXG",A1:CV300,93,FALSE)/HLOOKUP("Mins",A1:CV300,93,FALSE)* 90)</f>
        <v>0.18373056994818651</v>
      </c>
      <c r="BV93" s="25424">
        <f>IF(HLOOKUP("Mins",A1:CV300,93,FALSE)=0,0,HLOOKUP("fsXA",A1:CV300,93,FALSE)/HLOOKUP("Mins",A1:CV300,93,FALSE)* 90)</f>
        <v>0.18466321243523318</v>
      </c>
      <c r="BW93" s="25425">
        <f>5*HLOOKUP("fsXG/90",A1:CV300,93,FALSE)+3*HLOOKUP("fsXA/90",A1:CV300,93,FALSE)</f>
        <v>1.4726424870466319</v>
      </c>
      <c r="BX93" s="25426">
        <v>0.20996305346488953</v>
      </c>
      <c r="BY93" s="25427">
        <v>0.27236297726631165</v>
      </c>
      <c r="BZ93" s="25428">
        <f>5*HLOOKUP("uXG/90",A1:CV300,93,FALSE)+3*HLOOKUP("uXA/90",A1:CV300,93,FALSE)</f>
        <v>1.8669041991233826</v>
      </c>
    </row>
    <row r="94" spans="1:78" x14ac:dyDescent="0.3">
      <c r="A94" s="25429" t="s">
        <v>421</v>
      </c>
      <c r="B94" s="25430" t="s">
        <v>91</v>
      </c>
      <c r="C94" s="25431">
        <v>5.0999999046325684</v>
      </c>
      <c r="D94" s="25432">
        <v>24</v>
      </c>
      <c r="E94" s="25433">
        <v>3</v>
      </c>
      <c r="F94" s="25434">
        <v>3</v>
      </c>
      <c r="G94" s="25435">
        <v>0</v>
      </c>
      <c r="H94" s="25436">
        <v>0</v>
      </c>
      <c r="I94" s="25437">
        <v>12</v>
      </c>
      <c r="J94" s="25438">
        <f>HLOOKUP("BPS",A1:CV300,94,FALSE)-((-6*HLOOKUP("OG",A1:CV300,94,FALSE))+(-6*HLOOKUP("PK Miss",A1:CV300,94,FALSE))+(9*HLOOKUP("FPL As",A1:CV300,94,FALSE))+(0*HLOOKUP("CS",A1:CV300,94,FALSE))+(18*HLOOKUP("Gs",A1:CV300,94,FALSE)))</f>
        <v>12</v>
      </c>
      <c r="K94" s="25439">
        <v>0</v>
      </c>
      <c r="L94" s="25440">
        <v>0</v>
      </c>
      <c r="M94" s="25441">
        <v>0</v>
      </c>
      <c r="N94" s="25442">
        <v>0</v>
      </c>
      <c r="O94" s="25443">
        <v>0</v>
      </c>
      <c r="P94" s="25444">
        <f>IF(HLOOKUP("Shots",A1:CV300,94,FALSE)=0,0,HLOOKUP("SIB",A1:CV300,94,FALSE)/HLOOKUP("Shots",A1:CV300,94,FALSE))</f>
        <v>0</v>
      </c>
      <c r="Q94" s="25445">
        <v>0</v>
      </c>
      <c r="R94" s="25446">
        <f>IF(HLOOKUP("Shots",A1:CV300,94,FALSE)=0,0,HLOOKUP("S6YD",A1:CV300,94,FALSE)/HLOOKUP("Shots",A1:CV300,94,FALSE))</f>
        <v>0</v>
      </c>
      <c r="S94" s="25447">
        <v>0</v>
      </c>
      <c r="T94" s="25448">
        <f>IF(HLOOKUP("Shots",A1:CV300,94,FALSE)=0,0,HLOOKUP("Headers",A1:CV300,94,FALSE)/HLOOKUP("Shots",A1:CV300,94,FALSE))</f>
        <v>0</v>
      </c>
      <c r="U94" s="25449">
        <v>0</v>
      </c>
      <c r="V94" s="25450">
        <f>IF(HLOOKUP("Shots",A1:CV300,94,FALSE)=0,0,HLOOKUP("SOT",A1:CV300,94,FALSE)/HLOOKUP("Shots",A1:CV300,94,FALSE))</f>
        <v>0</v>
      </c>
      <c r="W94" s="25451">
        <f>IF(HLOOKUP("Shots",A1:CV300,94,FALSE)=0,0,HLOOKUP("Gs",A1:CV300,94,FALSE)/HLOOKUP("Shots",A1:CV300,94,FALSE))</f>
        <v>0</v>
      </c>
      <c r="X94" s="25452">
        <v>0</v>
      </c>
      <c r="Y94" s="25453">
        <v>0</v>
      </c>
      <c r="Z94" s="25454">
        <v>0</v>
      </c>
      <c r="AA94" s="25455">
        <f>IF(HLOOKUP("KP",A1:CV300,94,FALSE)=0,0,HLOOKUP("As",A1:CV300,94,FALSE)/HLOOKUP("KP",A1:CV300,94,FALSE))</f>
        <v>0</v>
      </c>
      <c r="AB94" s="25456">
        <v>0.4</v>
      </c>
      <c r="AC94" s="25457">
        <v>0</v>
      </c>
      <c r="AD94" s="25458">
        <v>0</v>
      </c>
      <c r="AE94" s="25459">
        <v>0</v>
      </c>
      <c r="AF94" s="25460">
        <v>0</v>
      </c>
      <c r="AG94" s="25461">
        <f>IF(HLOOKUP("BC",A1:CV300,94,FALSE)=0,0,HLOOKUP("Gs - BC",A1:CV300,94,FALSE)/HLOOKUP("BC",A1:CV300,94,FALSE))</f>
        <v>0</v>
      </c>
      <c r="AH94" s="25462">
        <f>HLOOKUP("BC",A1:CV300,94,FALSE) - HLOOKUP("BC Miss",A1:CV300,94,FALSE)</f>
        <v>0</v>
      </c>
      <c r="AI94" s="25463">
        <f>IF(HLOOKUP("Gs",A1:CV300,94,FALSE)=0,0,HLOOKUP("Gs - BC",A1:CV300,94,FALSE)/HLOOKUP("Gs",A1:CV300,94,FALSE))</f>
        <v>0</v>
      </c>
      <c r="AJ94" s="25464">
        <v>0</v>
      </c>
      <c r="AK94" s="25465">
        <v>0</v>
      </c>
      <c r="AL94" s="25466">
        <f>HLOOKUP("BC",A1:CV300,94,FALSE) - (HLOOKUP("PK Gs",A1:CV300,94,FALSE) + HLOOKUP("PK Miss",A1:CV300,94,FALSE))</f>
        <v>0</v>
      </c>
      <c r="AM94" s="25467">
        <f>HLOOKUP("BC Miss",A1:CV300,94,FALSE) - HLOOKUP("PK Miss",A1:CV300,94,FALSE)</f>
        <v>0</v>
      </c>
      <c r="AN94" s="25468">
        <f>IF(HLOOKUP("BC - Open",A1:CV300,94,FALSE)=0,0,HLOOKUP("BC - Open Miss",A1:CV300,94,FALSE)/HLOOKUP("BC - Open",A1:CV300,94,FALSE))</f>
        <v>0</v>
      </c>
      <c r="AO94" s="25469">
        <v>0</v>
      </c>
      <c r="AP94" s="25470">
        <f>IF(HLOOKUP("Gs",A1:CV300,94,FALSE)=0,0,HLOOKUP("GIB",A1:CV300,94,FALSE)/HLOOKUP("Gs",A1:CV300,94,FALSE))</f>
        <v>0</v>
      </c>
      <c r="AQ94" s="25471">
        <v>0</v>
      </c>
      <c r="AR94" s="25472">
        <f>IF(HLOOKUP("Gs",A1:CV300,94,FALSE)=0,0,HLOOKUP("Gs - Open",A1:CV300,94,FALSE)/HLOOKUP("Gs",A1:CV300,94,FALSE))</f>
        <v>0</v>
      </c>
      <c r="AS94" s="25473">
        <v>0</v>
      </c>
      <c r="AT94" s="25474">
        <v>0</v>
      </c>
      <c r="AU94" s="25475">
        <f>IF(HLOOKUP("Mins",A1:CV300,94,FALSE)=0,0,HLOOKUP("Pts",A1:CV300,94,FALSE)/HLOOKUP("Mins",A1:CV300,94,FALSE)* 90)</f>
        <v>11.25</v>
      </c>
      <c r="AV94" s="25476">
        <f>IF(HLOOKUP("Apps",A1:CV300,94,FALSE)=0,0,HLOOKUP("Pts",A1:CV300,94,FALSE)/HLOOKUP("Apps",A1:CV300,94,FALSE)* 1)</f>
        <v>1</v>
      </c>
      <c r="AW94" s="25477">
        <f>IF(HLOOKUP("Mins",A1:CV300,94,FALSE)=0,0,HLOOKUP("Gs",A1:CV300,94,FALSE)/HLOOKUP("Mins",A1:CV300,94,FALSE)* 90)</f>
        <v>0</v>
      </c>
      <c r="AX94" s="25478">
        <f>IF(HLOOKUP("Mins",A1:CV300,94,FALSE)=0,0,HLOOKUP("Bonus",A1:CV300,94,FALSE)/HLOOKUP("Mins",A1:CV300,94,FALSE)* 90)</f>
        <v>0</v>
      </c>
      <c r="AY94" s="25479">
        <f>IF(HLOOKUP("Mins",A1:CV300,94,FALSE)=0,0,HLOOKUP("BPS",A1:CV300,94,FALSE)/HLOOKUP("Mins",A1:CV300,94,FALSE)* 90)</f>
        <v>45</v>
      </c>
      <c r="AZ94" s="25480">
        <f>IF(HLOOKUP("Mins",A1:CV300,94,FALSE)=0,0,HLOOKUP("Base BPS",A1:CV300,94,FALSE)/HLOOKUP("Mins",A1:CV300,94,FALSE)* 90)</f>
        <v>45</v>
      </c>
      <c r="BA94" s="25481">
        <f>IF(HLOOKUP("Mins",A1:CV300,94,FALSE)=0,0,HLOOKUP("PenTchs",A1:CV300,94,FALSE)/HLOOKUP("Mins",A1:CV300,94,FALSE)* 90)</f>
        <v>0</v>
      </c>
      <c r="BB94" s="25482">
        <f>IF(HLOOKUP("Mins",A1:CV300,94,FALSE)=0,0,HLOOKUP("Shots",A1:CV300,94,FALSE)/HLOOKUP("Mins",A1:CV300,94,FALSE)* 90)</f>
        <v>0</v>
      </c>
      <c r="BC94" s="25483">
        <f>IF(HLOOKUP("Mins",A1:CV300,94,FALSE)=0,0,HLOOKUP("SIB",A1:CV300,94,FALSE)/HLOOKUP("Mins",A1:CV300,94,FALSE)* 90)</f>
        <v>0</v>
      </c>
      <c r="BD94" s="25484">
        <f>IF(HLOOKUP("Mins",A1:CV300,94,FALSE)=0,0,HLOOKUP("S6YD",A1:CV300,94,FALSE)/HLOOKUP("Mins",A1:CV300,94,FALSE)* 90)</f>
        <v>0</v>
      </c>
      <c r="BE94" s="25485">
        <f>IF(HLOOKUP("Mins",A1:CV300,94,FALSE)=0,0,HLOOKUP("Headers",A1:CV300,94,FALSE)/HLOOKUP("Mins",A1:CV300,94,FALSE)* 90)</f>
        <v>0</v>
      </c>
      <c r="BF94" s="25486">
        <f>IF(HLOOKUP("Mins",A1:CV300,94,FALSE)=0,0,HLOOKUP("SOT",A1:CV300,94,FALSE)/HLOOKUP("Mins",A1:CV300,94,FALSE)* 90)</f>
        <v>0</v>
      </c>
      <c r="BG94" s="25487">
        <f>IF(HLOOKUP("Mins",A1:CV300,94,FALSE)=0,0,HLOOKUP("As",A1:CV300,94,FALSE)/HLOOKUP("Mins",A1:CV300,94,FALSE)* 90)</f>
        <v>0</v>
      </c>
      <c r="BH94" s="25488">
        <f>IF(HLOOKUP("Mins",A1:CV300,94,FALSE)=0,0,HLOOKUP("FPL As",A1:CV300,94,FALSE)/HLOOKUP("Mins",A1:CV300,94,FALSE)* 90)</f>
        <v>0</v>
      </c>
      <c r="BI94" s="25489">
        <f>IF(HLOOKUP("Mins",A1:CV300,94,FALSE)=0,0,HLOOKUP("BC Created",A1:CV300,94,FALSE)/HLOOKUP("Mins",A1:CV300,94,FALSE)* 90)</f>
        <v>0</v>
      </c>
      <c r="BJ94" s="25490">
        <f>IF(HLOOKUP("Mins",A1:CV300,94,FALSE)=0,0,HLOOKUP("KP",A1:CV300,94,FALSE)/HLOOKUP("Mins",A1:CV300,94,FALSE)* 90)</f>
        <v>0</v>
      </c>
      <c r="BK94" s="25491">
        <f>IF(HLOOKUP("Mins",A1:CV300,94,FALSE)=0,0,HLOOKUP("BC",A1:CV300,94,FALSE)/HLOOKUP("Mins",A1:CV300,94,FALSE)* 90)</f>
        <v>0</v>
      </c>
      <c r="BL94" s="25492">
        <f>IF(HLOOKUP("Mins",A1:CV300,94,FALSE)=0,0,HLOOKUP("BC Miss",A1:CV300,94,FALSE)/HLOOKUP("Mins",A1:CV300,94,FALSE)* 90)</f>
        <v>0</v>
      </c>
      <c r="BM94" s="25493">
        <f>IF(HLOOKUP("Mins",A1:CV300,94,FALSE)=0,0,HLOOKUP("Gs - BC",A1:CV300,94,FALSE)/HLOOKUP("Mins",A1:CV300,94,FALSE)* 90)</f>
        <v>0</v>
      </c>
      <c r="BN94" s="25494">
        <f>IF(HLOOKUP("Mins",A1:CV300,94,FALSE)=0,0,HLOOKUP("GIB",A1:CV300,94,FALSE)/HLOOKUP("Mins",A1:CV300,94,FALSE)* 90)</f>
        <v>0</v>
      </c>
      <c r="BO94" s="25495">
        <f>IF(HLOOKUP("Mins",A1:CV300,94,FALSE)=0,0,HLOOKUP("Gs - Open",A1:CV300,94,FALSE)/HLOOKUP("Mins",A1:CV300,94,FALSE)* 90)</f>
        <v>0</v>
      </c>
      <c r="BP94" s="25496">
        <f>IF(HLOOKUP("Mins",A1:CV300,94,FALSE)=0,0,HLOOKUP("ICT Index",A1:CV300,94,FALSE)/HLOOKUP("Mins",A1:CV300,94,FALSE)* 90)</f>
        <v>1.5</v>
      </c>
      <c r="BQ94" s="25497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  <v>0</v>
      </c>
      <c r="BR94" s="25498">
        <f>0.0885*HLOOKUP("KP/90",A1:CV300,94,FALSE)</f>
        <v>0</v>
      </c>
      <c r="BS94" s="25499">
        <f>5*HLOOKUP("xG/90",A1:CV300,94,FALSE)+3*HLOOKUP("xA/90",A1:CV300,94,FALSE)</f>
        <v>0</v>
      </c>
      <c r="BT94" s="25500">
        <f>HLOOKUP("xPts/90",A1:CV300,94,FALSE)-(5*0.75*(HLOOKUP("PK Gs",A1:CV300,94,FALSE)+HLOOKUP("PK Miss",A1:CV300,94,FALSE))*90/HLOOKUP("Mins",A1:CV300,94,FALSE))</f>
        <v>0</v>
      </c>
      <c r="BU94" s="25501">
        <f>IF(HLOOKUP("Mins",A1:CV300,94,FALSE)=0,0,HLOOKUP("fsXG",A1:CV300,94,FALSE)/HLOOKUP("Mins",A1:CV300,94,FALSE)* 90)</f>
        <v>0</v>
      </c>
      <c r="BV94" s="25502">
        <f>IF(HLOOKUP("Mins",A1:CV300,94,FALSE)=0,0,HLOOKUP("fsXA",A1:CV300,94,FALSE)/HLOOKUP("Mins",A1:CV300,94,FALSE)* 90)</f>
        <v>0</v>
      </c>
      <c r="BW94" s="25503">
        <f>5*HLOOKUP("fsXG/90",A1:CV300,94,FALSE)+3*HLOOKUP("fsXA/90",A1:CV300,94,FALSE)</f>
        <v>0</v>
      </c>
      <c r="BX94" s="25504">
        <v>0</v>
      </c>
      <c r="BY94" s="25505">
        <v>0</v>
      </c>
      <c r="BZ94" s="25506">
        <f>5*HLOOKUP("uXG/90",A1:CV300,94,FALSE)+3*HLOOKUP("uXA/90",A1:CV300,94,FALSE)</f>
        <v>0</v>
      </c>
    </row>
    <row r="95" spans="1:78" x14ac:dyDescent="0.3">
      <c r="A95" s="25507" t="s">
        <v>422</v>
      </c>
      <c r="B95" s="25508" t="s">
        <v>81</v>
      </c>
      <c r="C95" s="25509">
        <v>6.0999999046325684</v>
      </c>
      <c r="D95" s="25510">
        <v>1194</v>
      </c>
      <c r="E95" s="25511">
        <v>19</v>
      </c>
      <c r="F95" s="25512">
        <v>85</v>
      </c>
      <c r="G95" s="25513">
        <v>5</v>
      </c>
      <c r="H95" s="25514">
        <v>6</v>
      </c>
      <c r="I95" s="25515">
        <v>243</v>
      </c>
      <c r="J95" s="25516">
        <f>HLOOKUP("BPS",A1:CV300,95,FALSE)-((-6*HLOOKUP("OG",A1:CV300,95,FALSE))+(-6*HLOOKUP("PK Miss",A1:CV300,95,FALSE))+(9*HLOOKUP("FPL As",A1:CV300,95,FALSE))+(0*HLOOKUP("CS",A1:CV300,95,FALSE))+(18*HLOOKUP("Gs",A1:CV300,95,FALSE)))</f>
        <v>108</v>
      </c>
      <c r="K95" s="25517">
        <v>0</v>
      </c>
      <c r="L95" s="25518">
        <v>6</v>
      </c>
      <c r="M95" s="25519">
        <v>83</v>
      </c>
      <c r="N95" s="25520">
        <v>26</v>
      </c>
      <c r="O95" s="25521">
        <v>21</v>
      </c>
      <c r="P95" s="25522">
        <f>IF(HLOOKUP("Shots",A1:CV300,95,FALSE)=0,0,HLOOKUP("SIB",A1:CV300,95,FALSE)/HLOOKUP("Shots",A1:CV300,95,FALSE))</f>
        <v>0.80769230769230771</v>
      </c>
      <c r="Q95" s="25523">
        <v>3</v>
      </c>
      <c r="R95" s="25524">
        <f>IF(HLOOKUP("Shots",A1:CV300,95,FALSE)=0,0,HLOOKUP("S6YD",A1:CV300,95,FALSE)/HLOOKUP("Shots",A1:CV300,95,FALSE))</f>
        <v>0.11538461538461539</v>
      </c>
      <c r="S95" s="25525">
        <v>3</v>
      </c>
      <c r="T95" s="25526">
        <f>IF(HLOOKUP("Shots",A1:CV300,95,FALSE)=0,0,HLOOKUP("Headers",A1:CV300,95,FALSE)/HLOOKUP("Shots",A1:CV300,95,FALSE))</f>
        <v>0.11538461538461539</v>
      </c>
      <c r="U95" s="25527">
        <v>14</v>
      </c>
      <c r="V95" s="25528">
        <f>IF(HLOOKUP("Shots",A1:CV300,95,FALSE)=0,0,HLOOKUP("SOT",A1:CV300,95,FALSE)/HLOOKUP("Shots",A1:CV300,95,FALSE))</f>
        <v>0.53846153846153844</v>
      </c>
      <c r="W95" s="25529">
        <f>IF(HLOOKUP("Shots",A1:CV300,95,FALSE)=0,0,HLOOKUP("Gs",A1:CV300,95,FALSE)/HLOOKUP("Shots",A1:CV300,95,FALSE))</f>
        <v>0.19230769230769232</v>
      </c>
      <c r="X95" s="25530">
        <v>4</v>
      </c>
      <c r="Y95" s="25531">
        <v>5</v>
      </c>
      <c r="Z95" s="25532">
        <v>17</v>
      </c>
      <c r="AA95" s="25533">
        <f>IF(HLOOKUP("KP",A1:CV300,95,FALSE)=0,0,HLOOKUP("As",A1:CV300,95,FALSE)/HLOOKUP("KP",A1:CV300,95,FALSE))</f>
        <v>0.23529411764705882</v>
      </c>
      <c r="AB95" s="25534">
        <v>106.4</v>
      </c>
      <c r="AC95" s="25535">
        <v>40</v>
      </c>
      <c r="AD95" s="25536">
        <v>5</v>
      </c>
      <c r="AE95" s="25537">
        <v>7</v>
      </c>
      <c r="AF95" s="25538">
        <v>3</v>
      </c>
      <c r="AG95" s="25539">
        <f>IF(HLOOKUP("BC",A1:CV300,95,FALSE)=0,0,HLOOKUP("Gs - BC",A1:CV300,95,FALSE)/HLOOKUP("BC",A1:CV300,95,FALSE))</f>
        <v>0.5714285714285714</v>
      </c>
      <c r="AH95" s="25540">
        <f>HLOOKUP("BC",A1:CV300,95,FALSE) - HLOOKUP("BC Miss",A1:CV300,95,FALSE)</f>
        <v>4</v>
      </c>
      <c r="AI95" s="25541">
        <f>IF(HLOOKUP("Gs",A1:CV300,95,FALSE)=0,0,HLOOKUP("Gs - BC",A1:CV300,95,FALSE)/HLOOKUP("Gs",A1:CV300,95,FALSE))</f>
        <v>0.8</v>
      </c>
      <c r="AJ95" s="25542">
        <v>0</v>
      </c>
      <c r="AK95" s="25543">
        <v>0</v>
      </c>
      <c r="AL95" s="25544">
        <f>HLOOKUP("BC",A1:CV300,95,FALSE) - (HLOOKUP("PK Gs",A1:CV300,95,FALSE) + HLOOKUP("PK Miss",A1:CV300,95,FALSE))</f>
        <v>7</v>
      </c>
      <c r="AM95" s="25545">
        <f>HLOOKUP("BC Miss",A1:CV300,95,FALSE) - HLOOKUP("PK Miss",A1:CV300,95,FALSE)</f>
        <v>3</v>
      </c>
      <c r="AN95" s="25546">
        <f>IF(HLOOKUP("BC - Open",A1:CV300,95,FALSE)=0,0,HLOOKUP("BC - Open Miss",A1:CV300,95,FALSE)/HLOOKUP("BC - Open",A1:CV300,95,FALSE))</f>
        <v>0.42857142857142855</v>
      </c>
      <c r="AO95" s="25547">
        <v>5</v>
      </c>
      <c r="AP95" s="25548">
        <f>IF(HLOOKUP("Gs",A1:CV300,95,FALSE)=0,0,HLOOKUP("GIB",A1:CV300,95,FALSE)/HLOOKUP("Gs",A1:CV300,95,FALSE))</f>
        <v>1</v>
      </c>
      <c r="AQ95" s="25549">
        <v>4</v>
      </c>
      <c r="AR95" s="25550">
        <f>IF(HLOOKUP("Gs",A1:CV300,95,FALSE)=0,0,HLOOKUP("Gs - Open",A1:CV300,95,FALSE)/HLOOKUP("Gs",A1:CV300,95,FALSE))</f>
        <v>0.8</v>
      </c>
      <c r="AS95" s="25551">
        <v>4.25</v>
      </c>
      <c r="AT95" s="25552">
        <v>1.71</v>
      </c>
      <c r="AU95" s="25553">
        <f>IF(HLOOKUP("Mins",A1:CV300,95,FALSE)=0,0,HLOOKUP("Pts",A1:CV300,95,FALSE)/HLOOKUP("Mins",A1:CV300,95,FALSE)* 90)</f>
        <v>6.4070351758793969</v>
      </c>
      <c r="AV95" s="25554">
        <f>IF(HLOOKUP("Apps",A1:CV300,95,FALSE)=0,0,HLOOKUP("Pts",A1:CV300,95,FALSE)/HLOOKUP("Apps",A1:CV300,95,FALSE)* 1)</f>
        <v>4.4736842105263159</v>
      </c>
      <c r="AW95" s="25555">
        <f>IF(HLOOKUP("Mins",A1:CV300,95,FALSE)=0,0,HLOOKUP("Gs",A1:CV300,95,FALSE)/HLOOKUP("Mins",A1:CV300,95,FALSE)* 90)</f>
        <v>0.37688442211055273</v>
      </c>
      <c r="AX95" s="25556">
        <f>IF(HLOOKUP("Mins",A1:CV300,95,FALSE)=0,0,HLOOKUP("Bonus",A1:CV300,95,FALSE)/HLOOKUP("Mins",A1:CV300,95,FALSE)* 90)</f>
        <v>0.45226130653266333</v>
      </c>
      <c r="AY95" s="25557">
        <f>IF(HLOOKUP("Mins",A1:CV300,95,FALSE)=0,0,HLOOKUP("BPS",A1:CV300,95,FALSE)/HLOOKUP("Mins",A1:CV300,95,FALSE)* 90)</f>
        <v>18.316582914572862</v>
      </c>
      <c r="AZ95" s="25558">
        <f>IF(HLOOKUP("Mins",A1:CV300,95,FALSE)=0,0,HLOOKUP("Base BPS",A1:CV300,95,FALSE)/HLOOKUP("Mins",A1:CV300,95,FALSE)* 90)</f>
        <v>8.1407035175879408</v>
      </c>
      <c r="BA95" s="25559">
        <f>IF(HLOOKUP("Mins",A1:CV300,95,FALSE)=0,0,HLOOKUP("PenTchs",A1:CV300,95,FALSE)/HLOOKUP("Mins",A1:CV300,95,FALSE)* 90)</f>
        <v>6.2562814070351767</v>
      </c>
      <c r="BB95" s="25560">
        <f>IF(HLOOKUP("Mins",A1:CV300,95,FALSE)=0,0,HLOOKUP("Shots",A1:CV300,95,FALSE)/HLOOKUP("Mins",A1:CV300,95,FALSE)* 90)</f>
        <v>1.9597989949748744</v>
      </c>
      <c r="BC95" s="25561">
        <f>IF(HLOOKUP("Mins",A1:CV300,95,FALSE)=0,0,HLOOKUP("SIB",A1:CV300,95,FALSE)/HLOOKUP("Mins",A1:CV300,95,FALSE)* 90)</f>
        <v>1.5829145728643217</v>
      </c>
      <c r="BD95" s="25562">
        <f>IF(HLOOKUP("Mins",A1:CV300,95,FALSE)=0,0,HLOOKUP("S6YD",A1:CV300,95,FALSE)/HLOOKUP("Mins",A1:CV300,95,FALSE)* 90)</f>
        <v>0.22613065326633167</v>
      </c>
      <c r="BE95" s="25563">
        <f>IF(HLOOKUP("Mins",A1:CV300,95,FALSE)=0,0,HLOOKUP("Headers",A1:CV300,95,FALSE)/HLOOKUP("Mins",A1:CV300,95,FALSE)* 90)</f>
        <v>0.22613065326633167</v>
      </c>
      <c r="BF95" s="25564">
        <f>IF(HLOOKUP("Mins",A1:CV300,95,FALSE)=0,0,HLOOKUP("SOT",A1:CV300,95,FALSE)/HLOOKUP("Mins",A1:CV300,95,FALSE)* 90)</f>
        <v>1.0552763819095476</v>
      </c>
      <c r="BG95" s="25565">
        <f>IF(HLOOKUP("Mins",A1:CV300,95,FALSE)=0,0,HLOOKUP("As",A1:CV300,95,FALSE)/HLOOKUP("Mins",A1:CV300,95,FALSE)* 90)</f>
        <v>0.30150753768844224</v>
      </c>
      <c r="BH95" s="25566">
        <f>IF(HLOOKUP("Mins",A1:CV300,95,FALSE)=0,0,HLOOKUP("FPL As",A1:CV300,95,FALSE)/HLOOKUP("Mins",A1:CV300,95,FALSE)* 90)</f>
        <v>0.37688442211055273</v>
      </c>
      <c r="BI95" s="25567">
        <f>IF(HLOOKUP("Mins",A1:CV300,95,FALSE)=0,0,HLOOKUP("BC Created",A1:CV300,95,FALSE)/HLOOKUP("Mins",A1:CV300,95,FALSE)* 90)</f>
        <v>0.37688442211055273</v>
      </c>
      <c r="BJ95" s="25568">
        <f>IF(HLOOKUP("Mins",A1:CV300,95,FALSE)=0,0,HLOOKUP("KP",A1:CV300,95,FALSE)/HLOOKUP("Mins",A1:CV300,95,FALSE)* 90)</f>
        <v>1.2814070351758793</v>
      </c>
      <c r="BK95" s="25569">
        <f>IF(HLOOKUP("Mins",A1:CV300,95,FALSE)=0,0,HLOOKUP("BC",A1:CV300,95,FALSE)/HLOOKUP("Mins",A1:CV300,95,FALSE)* 90)</f>
        <v>0.52763819095477382</v>
      </c>
      <c r="BL95" s="25570">
        <f>IF(HLOOKUP("Mins",A1:CV300,95,FALSE)=0,0,HLOOKUP("BC Miss",A1:CV300,95,FALSE)/HLOOKUP("Mins",A1:CV300,95,FALSE)* 90)</f>
        <v>0.22613065326633167</v>
      </c>
      <c r="BM95" s="25571">
        <f>IF(HLOOKUP("Mins",A1:CV300,95,FALSE)=0,0,HLOOKUP("Gs - BC",A1:CV300,95,FALSE)/HLOOKUP("Mins",A1:CV300,95,FALSE)* 90)</f>
        <v>0.30150753768844224</v>
      </c>
      <c r="BN95" s="25572">
        <f>IF(HLOOKUP("Mins",A1:CV300,95,FALSE)=0,0,HLOOKUP("GIB",A1:CV300,95,FALSE)/HLOOKUP("Mins",A1:CV300,95,FALSE)* 90)</f>
        <v>0.37688442211055273</v>
      </c>
      <c r="BO95" s="25573">
        <f>IF(HLOOKUP("Mins",A1:CV300,95,FALSE)=0,0,HLOOKUP("Gs - Open",A1:CV300,95,FALSE)/HLOOKUP("Mins",A1:CV300,95,FALSE)* 90)</f>
        <v>0.30150753768844224</v>
      </c>
      <c r="BP95" s="25574">
        <f>IF(HLOOKUP("Mins",A1:CV300,95,FALSE)=0,0,HLOOKUP("ICT Index",A1:CV300,95,FALSE)/HLOOKUP("Mins",A1:CV300,95,FALSE)* 90)</f>
        <v>8.0201005025125642</v>
      </c>
      <c r="BQ95" s="25575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  <v>0.23834170854271358</v>
      </c>
      <c r="BR95" s="25576">
        <f>0.0885*HLOOKUP("KP/90",A1:CV300,95,FALSE)</f>
        <v>0.11340452261306531</v>
      </c>
      <c r="BS95" s="25577">
        <f>5*HLOOKUP("xG/90",A1:CV300,95,FALSE)+3*HLOOKUP("xA/90",A1:CV300,95,FALSE)</f>
        <v>1.5319221105527638</v>
      </c>
      <c r="BT95" s="25578">
        <f>HLOOKUP("xPts/90",A1:CV300,95,FALSE)-(5*0.75*(HLOOKUP("PK Gs",A1:CV300,95,FALSE)+HLOOKUP("PK Miss",A1:CV300,95,FALSE))*90/HLOOKUP("Mins",A1:CV300,95,FALSE))</f>
        <v>1.5319221105527638</v>
      </c>
      <c r="BU95" s="25579">
        <f>IF(HLOOKUP("Mins",A1:CV300,95,FALSE)=0,0,HLOOKUP("fsXG",A1:CV300,95,FALSE)/HLOOKUP("Mins",A1:CV300,95,FALSE)* 90)</f>
        <v>0.32035175879396982</v>
      </c>
      <c r="BV95" s="25580">
        <f>IF(HLOOKUP("Mins",A1:CV300,95,FALSE)=0,0,HLOOKUP("fsXA",A1:CV300,95,FALSE)/HLOOKUP("Mins",A1:CV300,95,FALSE)* 90)</f>
        <v>0.12889447236180904</v>
      </c>
      <c r="BW95" s="25581">
        <f>5*HLOOKUP("fsXG/90",A1:CV300,95,FALSE)+3*HLOOKUP("fsXA/90",A1:CV300,95,FALSE)</f>
        <v>1.9884422110552764</v>
      </c>
      <c r="BX95" s="25582">
        <v>0.33680227398872375</v>
      </c>
      <c r="BY95" s="25583">
        <v>0.17664846777915955</v>
      </c>
      <c r="BZ95" s="25584">
        <f>5*HLOOKUP("uXG/90",A1:CV300,95,FALSE)+3*HLOOKUP("uXA/90",A1:CV300,95,FALSE)</f>
        <v>2.2139567732810974</v>
      </c>
    </row>
    <row r="96" spans="1:78" x14ac:dyDescent="0.3">
      <c r="A96" s="25585" t="s">
        <v>423</v>
      </c>
      <c r="B96" s="25586" t="s">
        <v>132</v>
      </c>
      <c r="C96" s="25587">
        <v>4.5</v>
      </c>
      <c r="D96" s="25588">
        <v>1</v>
      </c>
      <c r="E96" s="25589">
        <v>1</v>
      </c>
      <c r="F96" s="25590">
        <v>1</v>
      </c>
      <c r="G96" s="25591">
        <v>0</v>
      </c>
      <c r="H96" s="25592">
        <v>0</v>
      </c>
      <c r="I96" s="25593">
        <v>3</v>
      </c>
      <c r="J96" s="25594">
        <f>HLOOKUP("BPS",A1:CV300,96,FALSE)-((-6*HLOOKUP("OG",A1:CV300,96,FALSE))+(-6*HLOOKUP("PK Miss",A1:CV300,96,FALSE))+(9*HLOOKUP("FPL As",A1:CV300,96,FALSE))+(0*HLOOKUP("CS",A1:CV300,96,FALSE))+(18*HLOOKUP("Gs",A1:CV300,96,FALSE)))</f>
        <v>3</v>
      </c>
      <c r="K96" s="25595">
        <v>0</v>
      </c>
      <c r="L96" s="25596">
        <v>0</v>
      </c>
      <c r="M96" s="25597">
        <v>0</v>
      </c>
      <c r="N96" s="25598">
        <v>0</v>
      </c>
      <c r="O96" s="25599">
        <v>0</v>
      </c>
      <c r="P96" s="25600">
        <f>IF(HLOOKUP("Shots",A1:CV300,96,FALSE)=0,0,HLOOKUP("SIB",A1:CV300,96,FALSE)/HLOOKUP("Shots",A1:CV300,96,FALSE))</f>
        <v>0</v>
      </c>
      <c r="Q96" s="25601">
        <v>0</v>
      </c>
      <c r="R96" s="25602">
        <f>IF(HLOOKUP("Shots",A1:CV300,96,FALSE)=0,0,HLOOKUP("S6YD",A1:CV300,96,FALSE)/HLOOKUP("Shots",A1:CV300,96,FALSE))</f>
        <v>0</v>
      </c>
      <c r="S96" s="25603">
        <v>0</v>
      </c>
      <c r="T96" s="25604">
        <f>IF(HLOOKUP("Shots",A1:CV300,96,FALSE)=0,0,HLOOKUP("Headers",A1:CV300,96,FALSE)/HLOOKUP("Shots",A1:CV300,96,FALSE))</f>
        <v>0</v>
      </c>
      <c r="U96" s="25605">
        <v>0</v>
      </c>
      <c r="V96" s="25606">
        <f>IF(HLOOKUP("Shots",A1:CV300,96,FALSE)=0,0,HLOOKUP("SOT",A1:CV300,96,FALSE)/HLOOKUP("Shots",A1:CV300,96,FALSE))</f>
        <v>0</v>
      </c>
      <c r="W96" s="25607">
        <f>IF(HLOOKUP("Shots",A1:CV300,96,FALSE)=0,0,HLOOKUP("Gs",A1:CV300,96,FALSE)/HLOOKUP("Shots",A1:CV300,96,FALSE))</f>
        <v>0</v>
      </c>
      <c r="X96" s="25608">
        <v>0</v>
      </c>
      <c r="Y96" s="25609">
        <v>0</v>
      </c>
      <c r="Z96" s="25610">
        <v>0</v>
      </c>
      <c r="AA96" s="25611">
        <f>IF(HLOOKUP("KP",A1:CV300,96,FALSE)=0,0,HLOOKUP("As",A1:CV300,96,FALSE)/HLOOKUP("KP",A1:CV300,96,FALSE))</f>
        <v>0</v>
      </c>
      <c r="AB96" s="25612">
        <v>0</v>
      </c>
      <c r="AC96" s="25613">
        <v>0</v>
      </c>
      <c r="AD96" s="25614">
        <v>0</v>
      </c>
      <c r="AE96" s="25615">
        <v>0</v>
      </c>
      <c r="AF96" s="25616">
        <v>0</v>
      </c>
      <c r="AG96" s="25617">
        <f>IF(HLOOKUP("BC",A1:CV300,96,FALSE)=0,0,HLOOKUP("Gs - BC",A1:CV300,96,FALSE)/HLOOKUP("BC",A1:CV300,96,FALSE))</f>
        <v>0</v>
      </c>
      <c r="AH96" s="25618">
        <f>HLOOKUP("BC",A1:CV300,96,FALSE) - HLOOKUP("BC Miss",A1:CV300,96,FALSE)</f>
        <v>0</v>
      </c>
      <c r="AI96" s="25619">
        <f>IF(HLOOKUP("Gs",A1:CV300,96,FALSE)=0,0,HLOOKUP("Gs - BC",A1:CV300,96,FALSE)/HLOOKUP("Gs",A1:CV300,96,FALSE))</f>
        <v>0</v>
      </c>
      <c r="AJ96" s="25620">
        <v>0</v>
      </c>
      <c r="AK96" s="25621">
        <v>0</v>
      </c>
      <c r="AL96" s="25622">
        <f>HLOOKUP("BC",A1:CV300,96,FALSE) - (HLOOKUP("PK Gs",A1:CV300,96,FALSE) + HLOOKUP("PK Miss",A1:CV300,96,FALSE))</f>
        <v>0</v>
      </c>
      <c r="AM96" s="25623">
        <f>HLOOKUP("BC Miss",A1:CV300,96,FALSE) - HLOOKUP("PK Miss",A1:CV300,96,FALSE)</f>
        <v>0</v>
      </c>
      <c r="AN96" s="25624">
        <f>IF(HLOOKUP("BC - Open",A1:CV300,96,FALSE)=0,0,HLOOKUP("BC - Open Miss",A1:CV300,96,FALSE)/HLOOKUP("BC - Open",A1:CV300,96,FALSE))</f>
        <v>0</v>
      </c>
      <c r="AO96" s="25625">
        <v>0</v>
      </c>
      <c r="AP96" s="25626">
        <f>IF(HLOOKUP("Gs",A1:CV300,96,FALSE)=0,0,HLOOKUP("GIB",A1:CV300,96,FALSE)/HLOOKUP("Gs",A1:CV300,96,FALSE))</f>
        <v>0</v>
      </c>
      <c r="AQ96" s="25627">
        <v>0</v>
      </c>
      <c r="AR96" s="25628">
        <f>IF(HLOOKUP("Gs",A1:CV300,96,FALSE)=0,0,HLOOKUP("Gs - Open",A1:CV300,96,FALSE)/HLOOKUP("Gs",A1:CV300,96,FALSE))</f>
        <v>0</v>
      </c>
      <c r="AS96" s="25629">
        <v>0</v>
      </c>
      <c r="AT96" s="25630">
        <v>0</v>
      </c>
      <c r="AU96" s="25631">
        <f>IF(HLOOKUP("Mins",A1:CV300,96,FALSE)=0,0,HLOOKUP("Pts",A1:CV300,96,FALSE)/HLOOKUP("Mins",A1:CV300,96,FALSE)* 90)</f>
        <v>90</v>
      </c>
      <c r="AV96" s="25632">
        <f>IF(HLOOKUP("Apps",A1:CV300,96,FALSE)=0,0,HLOOKUP("Pts",A1:CV300,96,FALSE)/HLOOKUP("Apps",A1:CV300,96,FALSE)* 1)</f>
        <v>1</v>
      </c>
      <c r="AW96" s="25633">
        <f>IF(HLOOKUP("Mins",A1:CV300,96,FALSE)=0,0,HLOOKUP("Gs",A1:CV300,96,FALSE)/HLOOKUP("Mins",A1:CV300,96,FALSE)* 90)</f>
        <v>0</v>
      </c>
      <c r="AX96" s="25634">
        <f>IF(HLOOKUP("Mins",A1:CV300,96,FALSE)=0,0,HLOOKUP("Bonus",A1:CV300,96,FALSE)/HLOOKUP("Mins",A1:CV300,96,FALSE)* 90)</f>
        <v>0</v>
      </c>
      <c r="AY96" s="25635">
        <f>IF(HLOOKUP("Mins",A1:CV300,96,FALSE)=0,0,HLOOKUP("BPS",A1:CV300,96,FALSE)/HLOOKUP("Mins",A1:CV300,96,FALSE)* 90)</f>
        <v>270</v>
      </c>
      <c r="AZ96" s="25636">
        <f>IF(HLOOKUP("Mins",A1:CV300,96,FALSE)=0,0,HLOOKUP("Base BPS",A1:CV300,96,FALSE)/HLOOKUP("Mins",A1:CV300,96,FALSE)* 90)</f>
        <v>270</v>
      </c>
      <c r="BA96" s="25637">
        <f>IF(HLOOKUP("Mins",A1:CV300,96,FALSE)=0,0,HLOOKUP("PenTchs",A1:CV300,96,FALSE)/HLOOKUP("Mins",A1:CV300,96,FALSE)* 90)</f>
        <v>0</v>
      </c>
      <c r="BB96" s="25638">
        <f>IF(HLOOKUP("Mins",A1:CV300,96,FALSE)=0,0,HLOOKUP("Shots",A1:CV300,96,FALSE)/HLOOKUP("Mins",A1:CV300,96,FALSE)* 90)</f>
        <v>0</v>
      </c>
      <c r="BC96" s="25639">
        <f>IF(HLOOKUP("Mins",A1:CV300,96,FALSE)=0,0,HLOOKUP("SIB",A1:CV300,96,FALSE)/HLOOKUP("Mins",A1:CV300,96,FALSE)* 90)</f>
        <v>0</v>
      </c>
      <c r="BD96" s="25640">
        <f>IF(HLOOKUP("Mins",A1:CV300,96,FALSE)=0,0,HLOOKUP("S6YD",A1:CV300,96,FALSE)/HLOOKUP("Mins",A1:CV300,96,FALSE)* 90)</f>
        <v>0</v>
      </c>
      <c r="BE96" s="25641">
        <f>IF(HLOOKUP("Mins",A1:CV300,96,FALSE)=0,0,HLOOKUP("Headers",A1:CV300,96,FALSE)/HLOOKUP("Mins",A1:CV300,96,FALSE)* 90)</f>
        <v>0</v>
      </c>
      <c r="BF96" s="25642">
        <f>IF(HLOOKUP("Mins",A1:CV300,96,FALSE)=0,0,HLOOKUP("SOT",A1:CV300,96,FALSE)/HLOOKUP("Mins",A1:CV300,96,FALSE)* 90)</f>
        <v>0</v>
      </c>
      <c r="BG96" s="25643">
        <f>IF(HLOOKUP("Mins",A1:CV300,96,FALSE)=0,0,HLOOKUP("As",A1:CV300,96,FALSE)/HLOOKUP("Mins",A1:CV300,96,FALSE)* 90)</f>
        <v>0</v>
      </c>
      <c r="BH96" s="25644">
        <f>IF(HLOOKUP("Mins",A1:CV300,96,FALSE)=0,0,HLOOKUP("FPL As",A1:CV300,96,FALSE)/HLOOKUP("Mins",A1:CV300,96,FALSE)* 90)</f>
        <v>0</v>
      </c>
      <c r="BI96" s="25645">
        <f>IF(HLOOKUP("Mins",A1:CV300,96,FALSE)=0,0,HLOOKUP("BC Created",A1:CV300,96,FALSE)/HLOOKUP("Mins",A1:CV300,96,FALSE)* 90)</f>
        <v>0</v>
      </c>
      <c r="BJ96" s="25646">
        <f>IF(HLOOKUP("Mins",A1:CV300,96,FALSE)=0,0,HLOOKUP("KP",A1:CV300,96,FALSE)/HLOOKUP("Mins",A1:CV300,96,FALSE)* 90)</f>
        <v>0</v>
      </c>
      <c r="BK96" s="25647">
        <f>IF(HLOOKUP("Mins",A1:CV300,96,FALSE)=0,0,HLOOKUP("BC",A1:CV300,96,FALSE)/HLOOKUP("Mins",A1:CV300,96,FALSE)* 90)</f>
        <v>0</v>
      </c>
      <c r="BL96" s="25648">
        <f>IF(HLOOKUP("Mins",A1:CV300,96,FALSE)=0,0,HLOOKUP("BC Miss",A1:CV300,96,FALSE)/HLOOKUP("Mins",A1:CV300,96,FALSE)* 90)</f>
        <v>0</v>
      </c>
      <c r="BM96" s="25649">
        <f>IF(HLOOKUP("Mins",A1:CV300,96,FALSE)=0,0,HLOOKUP("Gs - BC",A1:CV300,96,FALSE)/HLOOKUP("Mins",A1:CV300,96,FALSE)* 90)</f>
        <v>0</v>
      </c>
      <c r="BN96" s="25650">
        <f>IF(HLOOKUP("Mins",A1:CV300,96,FALSE)=0,0,HLOOKUP("GIB",A1:CV300,96,FALSE)/HLOOKUP("Mins",A1:CV300,96,FALSE)* 90)</f>
        <v>0</v>
      </c>
      <c r="BO96" s="25651">
        <f>IF(HLOOKUP("Mins",A1:CV300,96,FALSE)=0,0,HLOOKUP("Gs - Open",A1:CV300,96,FALSE)/HLOOKUP("Mins",A1:CV300,96,FALSE)* 90)</f>
        <v>0</v>
      </c>
      <c r="BP96" s="25652">
        <f>IF(HLOOKUP("Mins",A1:CV300,96,FALSE)=0,0,HLOOKUP("ICT Index",A1:CV300,96,FALSE)/HLOOKUP("Mins",A1:CV300,96,FALSE)* 90)</f>
        <v>0</v>
      </c>
      <c r="BQ96" s="25653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  <v>0</v>
      </c>
      <c r="BR96" s="25654">
        <f>0.0885*HLOOKUP("KP/90",A1:CV300,96,FALSE)</f>
        <v>0</v>
      </c>
      <c r="BS96" s="25655">
        <f>5*HLOOKUP("xG/90",A1:CV300,96,FALSE)+3*HLOOKUP("xA/90",A1:CV300,96,FALSE)</f>
        <v>0</v>
      </c>
      <c r="BT96" s="25656">
        <f>HLOOKUP("xPts/90",A1:CV300,96,FALSE)-(5*0.75*(HLOOKUP("PK Gs",A1:CV300,96,FALSE)+HLOOKUP("PK Miss",A1:CV300,96,FALSE))*90/HLOOKUP("Mins",A1:CV300,96,FALSE))</f>
        <v>0</v>
      </c>
      <c r="BU96" s="25657">
        <f>IF(HLOOKUP("Mins",A1:CV300,96,FALSE)=0,0,HLOOKUP("fsXG",A1:CV300,96,FALSE)/HLOOKUP("Mins",A1:CV300,96,FALSE)* 90)</f>
        <v>0</v>
      </c>
      <c r="BV96" s="25658">
        <f>IF(HLOOKUP("Mins",A1:CV300,96,FALSE)=0,0,HLOOKUP("fsXA",A1:CV300,96,FALSE)/HLOOKUP("Mins",A1:CV300,96,FALSE)* 90)</f>
        <v>0</v>
      </c>
      <c r="BW96" s="25659">
        <f>5*HLOOKUP("fsXG/90",A1:CV300,96,FALSE)+3*HLOOKUP("fsXA/90",A1:CV300,96,FALSE)</f>
        <v>0</v>
      </c>
      <c r="BX96" s="25660">
        <v>0</v>
      </c>
      <c r="BY96" s="25661">
        <v>0</v>
      </c>
      <c r="BZ96" s="25662">
        <f>5*HLOOKUP("uXG/90",A1:CV300,96,FALSE)+3*HLOOKUP("uXA/90",A1:CV300,96,FALSE)</f>
        <v>0</v>
      </c>
    </row>
    <row r="97" spans="1:78" x14ac:dyDescent="0.3">
      <c r="A97" s="25663" t="s">
        <v>424</v>
      </c>
      <c r="B97" s="25664" t="s">
        <v>100</v>
      </c>
      <c r="C97" s="25665">
        <v>5.6999998092651367</v>
      </c>
      <c r="D97" s="25666">
        <v>1672</v>
      </c>
      <c r="E97" s="25667">
        <v>21</v>
      </c>
      <c r="F97" s="25668">
        <v>85</v>
      </c>
      <c r="G97" s="25669">
        <v>4</v>
      </c>
      <c r="H97" s="25670">
        <v>12</v>
      </c>
      <c r="I97" s="25671">
        <v>364</v>
      </c>
      <c r="J97" s="25672">
        <f>HLOOKUP("BPS",A1:CV300,97,FALSE)-((-6*HLOOKUP("OG",A1:CV300,97,FALSE))+(-6*HLOOKUP("PK Miss",A1:CV300,97,FALSE))+(9*HLOOKUP("FPL As",A1:CV300,97,FALSE))+(0*HLOOKUP("CS",A1:CV300,97,FALSE))+(18*HLOOKUP("Gs",A1:CV300,97,FALSE)))</f>
        <v>256</v>
      </c>
      <c r="K97" s="25673">
        <v>0</v>
      </c>
      <c r="L97" s="25674">
        <v>3</v>
      </c>
      <c r="M97" s="25675">
        <v>73</v>
      </c>
      <c r="N97" s="25676">
        <v>25</v>
      </c>
      <c r="O97" s="25677">
        <v>14</v>
      </c>
      <c r="P97" s="25678">
        <f>IF(HLOOKUP("Shots",A1:CV300,97,FALSE)=0,0,HLOOKUP("SIB",A1:CV300,97,FALSE)/HLOOKUP("Shots",A1:CV300,97,FALSE))</f>
        <v>0.56000000000000005</v>
      </c>
      <c r="Q97" s="25679">
        <v>0</v>
      </c>
      <c r="R97" s="25680">
        <f>IF(HLOOKUP("Shots",A1:CV300,97,FALSE)=0,0,HLOOKUP("S6YD",A1:CV300,97,FALSE)/HLOOKUP("Shots",A1:CV300,97,FALSE))</f>
        <v>0</v>
      </c>
      <c r="S97" s="25681">
        <v>0</v>
      </c>
      <c r="T97" s="25682">
        <f>IF(HLOOKUP("Shots",A1:CV300,97,FALSE)=0,0,HLOOKUP("Headers",A1:CV300,97,FALSE)/HLOOKUP("Shots",A1:CV300,97,FALSE))</f>
        <v>0</v>
      </c>
      <c r="U97" s="25683">
        <v>7</v>
      </c>
      <c r="V97" s="25684">
        <f>IF(HLOOKUP("Shots",A1:CV300,97,FALSE)=0,0,HLOOKUP("SOT",A1:CV300,97,FALSE)/HLOOKUP("Shots",A1:CV300,97,FALSE))</f>
        <v>0.28000000000000003</v>
      </c>
      <c r="W97" s="25685">
        <f>IF(HLOOKUP("Shots",A1:CV300,97,FALSE)=0,0,HLOOKUP("Gs",A1:CV300,97,FALSE)/HLOOKUP("Shots",A1:CV300,97,FALSE))</f>
        <v>0.16</v>
      </c>
      <c r="X97" s="25686">
        <v>4</v>
      </c>
      <c r="Y97" s="25687">
        <v>4</v>
      </c>
      <c r="Z97" s="25688">
        <v>28</v>
      </c>
      <c r="AA97" s="25689">
        <f>IF(HLOOKUP("KP",A1:CV300,97,FALSE)=0,0,HLOOKUP("As",A1:CV300,97,FALSE)/HLOOKUP("KP",A1:CV300,97,FALSE))</f>
        <v>0.14285714285714285</v>
      </c>
      <c r="AB97" s="25690">
        <v>134.1</v>
      </c>
      <c r="AC97" s="25691">
        <v>28</v>
      </c>
      <c r="AD97" s="25692">
        <v>5</v>
      </c>
      <c r="AE97" s="25693">
        <v>2</v>
      </c>
      <c r="AF97" s="25694">
        <v>0</v>
      </c>
      <c r="AG97" s="25695">
        <f>IF(HLOOKUP("BC",A1:CV300,97,FALSE)=0,0,HLOOKUP("Gs - BC",A1:CV300,97,FALSE)/HLOOKUP("BC",A1:CV300,97,FALSE))</f>
        <v>1</v>
      </c>
      <c r="AH97" s="25696">
        <f>HLOOKUP("BC",A1:CV300,97,FALSE) - HLOOKUP("BC Miss",A1:CV300,97,FALSE)</f>
        <v>2</v>
      </c>
      <c r="AI97" s="25697">
        <f>IF(HLOOKUP("Gs",A1:CV300,97,FALSE)=0,0,HLOOKUP("Gs - BC",A1:CV300,97,FALSE)/HLOOKUP("Gs",A1:CV300,97,FALSE))</f>
        <v>0.5</v>
      </c>
      <c r="AJ97" s="25698">
        <v>0</v>
      </c>
      <c r="AK97" s="25699">
        <v>0</v>
      </c>
      <c r="AL97" s="25700">
        <f>HLOOKUP("BC",A1:CV300,97,FALSE) - (HLOOKUP("PK Gs",A1:CV300,97,FALSE) + HLOOKUP("PK Miss",A1:CV300,97,FALSE))</f>
        <v>2</v>
      </c>
      <c r="AM97" s="25701">
        <f>HLOOKUP("BC Miss",A1:CV300,97,FALSE) - HLOOKUP("PK Miss",A1:CV300,97,FALSE)</f>
        <v>0</v>
      </c>
      <c r="AN97" s="25702">
        <f>IF(HLOOKUP("BC - Open",A1:CV300,97,FALSE)=0,0,HLOOKUP("BC - Open Miss",A1:CV300,97,FALSE)/HLOOKUP("BC - Open",A1:CV300,97,FALSE))</f>
        <v>0</v>
      </c>
      <c r="AO97" s="25703">
        <v>1</v>
      </c>
      <c r="AP97" s="25704">
        <f>IF(HLOOKUP("Gs",A1:CV300,97,FALSE)=0,0,HLOOKUP("GIB",A1:CV300,97,FALSE)/HLOOKUP("Gs",A1:CV300,97,FALSE))</f>
        <v>0.25</v>
      </c>
      <c r="AQ97" s="25705">
        <v>2</v>
      </c>
      <c r="AR97" s="25706">
        <f>IF(HLOOKUP("Gs",A1:CV300,97,FALSE)=0,0,HLOOKUP("Gs - Open",A1:CV300,97,FALSE)/HLOOKUP("Gs",A1:CV300,97,FALSE))</f>
        <v>0.5</v>
      </c>
      <c r="AS97" s="25707">
        <v>1.72</v>
      </c>
      <c r="AT97" s="25708">
        <v>4.0599999999999996</v>
      </c>
      <c r="AU97" s="25709">
        <f>IF(HLOOKUP("Mins",A1:CV300,97,FALSE)=0,0,HLOOKUP("Pts",A1:CV300,97,FALSE)/HLOOKUP("Mins",A1:CV300,97,FALSE)* 90)</f>
        <v>4.5753588516746415</v>
      </c>
      <c r="AV97" s="25710">
        <f>IF(HLOOKUP("Apps",A1:CV300,97,FALSE)=0,0,HLOOKUP("Pts",A1:CV300,97,FALSE)/HLOOKUP("Apps",A1:CV300,97,FALSE)* 1)</f>
        <v>4.0476190476190474</v>
      </c>
      <c r="AW97" s="25711">
        <f>IF(HLOOKUP("Mins",A1:CV300,97,FALSE)=0,0,HLOOKUP("Gs",A1:CV300,97,FALSE)/HLOOKUP("Mins",A1:CV300,97,FALSE)* 90)</f>
        <v>0.21531100478468898</v>
      </c>
      <c r="AX97" s="25712">
        <f>IF(HLOOKUP("Mins",A1:CV300,97,FALSE)=0,0,HLOOKUP("Bonus",A1:CV300,97,FALSE)/HLOOKUP("Mins",A1:CV300,97,FALSE)* 90)</f>
        <v>0.64593301435406703</v>
      </c>
      <c r="AY97" s="25713">
        <f>IF(HLOOKUP("Mins",A1:CV300,97,FALSE)=0,0,HLOOKUP("BPS",A1:CV300,97,FALSE)/HLOOKUP("Mins",A1:CV300,97,FALSE)* 90)</f>
        <v>19.593301435406698</v>
      </c>
      <c r="AZ97" s="25714">
        <f>IF(HLOOKUP("Mins",A1:CV300,97,FALSE)=0,0,HLOOKUP("Base BPS",A1:CV300,97,FALSE)/HLOOKUP("Mins",A1:CV300,97,FALSE)* 90)</f>
        <v>13.779904306220095</v>
      </c>
      <c r="BA97" s="25715">
        <f>IF(HLOOKUP("Mins",A1:CV300,97,FALSE)=0,0,HLOOKUP("PenTchs",A1:CV300,97,FALSE)/HLOOKUP("Mins",A1:CV300,97,FALSE)* 90)</f>
        <v>3.9294258373205739</v>
      </c>
      <c r="BB97" s="25716">
        <f>IF(HLOOKUP("Mins",A1:CV300,97,FALSE)=0,0,HLOOKUP("Shots",A1:CV300,97,FALSE)/HLOOKUP("Mins",A1:CV300,97,FALSE)* 90)</f>
        <v>1.3456937799043063</v>
      </c>
      <c r="BC97" s="25717">
        <f>IF(HLOOKUP("Mins",A1:CV300,97,FALSE)=0,0,HLOOKUP("SIB",A1:CV300,97,FALSE)/HLOOKUP("Mins",A1:CV300,97,FALSE)* 90)</f>
        <v>0.75358851674641147</v>
      </c>
      <c r="BD97" s="25718">
        <f>IF(HLOOKUP("Mins",A1:CV300,97,FALSE)=0,0,HLOOKUP("S6YD",A1:CV300,97,FALSE)/HLOOKUP("Mins",A1:CV300,97,FALSE)* 90)</f>
        <v>0</v>
      </c>
      <c r="BE97" s="25719">
        <f>IF(HLOOKUP("Mins",A1:CV300,97,FALSE)=0,0,HLOOKUP("Headers",A1:CV300,97,FALSE)/HLOOKUP("Mins",A1:CV300,97,FALSE)* 90)</f>
        <v>0</v>
      </c>
      <c r="BF97" s="25720">
        <f>IF(HLOOKUP("Mins",A1:CV300,97,FALSE)=0,0,HLOOKUP("SOT",A1:CV300,97,FALSE)/HLOOKUP("Mins",A1:CV300,97,FALSE)* 90)</f>
        <v>0.37679425837320574</v>
      </c>
      <c r="BG97" s="25721">
        <f>IF(HLOOKUP("Mins",A1:CV300,97,FALSE)=0,0,HLOOKUP("As",A1:CV300,97,FALSE)/HLOOKUP("Mins",A1:CV300,97,FALSE)* 90)</f>
        <v>0.21531100478468898</v>
      </c>
      <c r="BH97" s="25722">
        <f>IF(HLOOKUP("Mins",A1:CV300,97,FALSE)=0,0,HLOOKUP("FPL As",A1:CV300,97,FALSE)/HLOOKUP("Mins",A1:CV300,97,FALSE)* 90)</f>
        <v>0.21531100478468898</v>
      </c>
      <c r="BI97" s="25723">
        <f>IF(HLOOKUP("Mins",A1:CV300,97,FALSE)=0,0,HLOOKUP("BC Created",A1:CV300,97,FALSE)/HLOOKUP("Mins",A1:CV300,97,FALSE)* 90)</f>
        <v>0.26913875598086123</v>
      </c>
      <c r="BJ97" s="25724">
        <f>IF(HLOOKUP("Mins",A1:CV300,97,FALSE)=0,0,HLOOKUP("KP",A1:CV300,97,FALSE)/HLOOKUP("Mins",A1:CV300,97,FALSE)* 90)</f>
        <v>1.5071770334928229</v>
      </c>
      <c r="BK97" s="25725">
        <f>IF(HLOOKUP("Mins",A1:CV300,97,FALSE)=0,0,HLOOKUP("BC",A1:CV300,97,FALSE)/HLOOKUP("Mins",A1:CV300,97,FALSE)* 90)</f>
        <v>0.10765550239234449</v>
      </c>
      <c r="BL97" s="25726">
        <f>IF(HLOOKUP("Mins",A1:CV300,97,FALSE)=0,0,HLOOKUP("BC Miss",A1:CV300,97,FALSE)/HLOOKUP("Mins",A1:CV300,97,FALSE)* 90)</f>
        <v>0</v>
      </c>
      <c r="BM97" s="25727">
        <f>IF(HLOOKUP("Mins",A1:CV300,97,FALSE)=0,0,HLOOKUP("Gs - BC",A1:CV300,97,FALSE)/HLOOKUP("Mins",A1:CV300,97,FALSE)* 90)</f>
        <v>0.10765550239234449</v>
      </c>
      <c r="BN97" s="25728">
        <f>IF(HLOOKUP("Mins",A1:CV300,97,FALSE)=0,0,HLOOKUP("GIB",A1:CV300,97,FALSE)/HLOOKUP("Mins",A1:CV300,97,FALSE)* 90)</f>
        <v>5.3827751196172245E-2</v>
      </c>
      <c r="BO97" s="25729">
        <f>IF(HLOOKUP("Mins",A1:CV300,97,FALSE)=0,0,HLOOKUP("Gs - Open",A1:CV300,97,FALSE)/HLOOKUP("Mins",A1:CV300,97,FALSE)* 90)</f>
        <v>0.10765550239234449</v>
      </c>
      <c r="BP97" s="25730">
        <f>IF(HLOOKUP("Mins",A1:CV300,97,FALSE)=0,0,HLOOKUP("ICT Index",A1:CV300,97,FALSE)/HLOOKUP("Mins",A1:CV300,97,FALSE)* 90)</f>
        <v>7.2183014354066986</v>
      </c>
      <c r="BQ97" s="25731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  <v>0.12832535885167462</v>
      </c>
      <c r="BR97" s="25732">
        <f>0.0885*HLOOKUP("KP/90",A1:CV300,97,FALSE)</f>
        <v>0.13338516746411483</v>
      </c>
      <c r="BS97" s="25733">
        <f>5*HLOOKUP("xG/90",A1:CV300,97,FALSE)+3*HLOOKUP("xA/90",A1:CV300,97,FALSE)</f>
        <v>1.0417822966507175</v>
      </c>
      <c r="BT97" s="25734">
        <f>HLOOKUP("xPts/90",A1:CV300,97,FALSE)-(5*0.75*(HLOOKUP("PK Gs",A1:CV300,97,FALSE)+HLOOKUP("PK Miss",A1:CV300,97,FALSE))*90/HLOOKUP("Mins",A1:CV300,97,FALSE))</f>
        <v>1.0417822966507175</v>
      </c>
      <c r="BU97" s="25735">
        <f>IF(HLOOKUP("Mins",A1:CV300,97,FALSE)=0,0,HLOOKUP("fsXG",A1:CV300,97,FALSE)/HLOOKUP("Mins",A1:CV300,97,FALSE)* 90)</f>
        <v>9.2583732057416268E-2</v>
      </c>
      <c r="BV97" s="25736">
        <f>IF(HLOOKUP("Mins",A1:CV300,97,FALSE)=0,0,HLOOKUP("fsXA",A1:CV300,97,FALSE)/HLOOKUP("Mins",A1:CV300,97,FALSE)* 90)</f>
        <v>0.21854066985645931</v>
      </c>
      <c r="BW97" s="25737">
        <f>5*HLOOKUP("fsXG/90",A1:CV300,97,FALSE)+3*HLOOKUP("fsXA/90",A1:CV300,97,FALSE)</f>
        <v>1.1185406698564593</v>
      </c>
      <c r="BX97" s="25738">
        <v>9.4186030328273773E-2</v>
      </c>
      <c r="BY97" s="25739">
        <v>0.23048010468482971</v>
      </c>
      <c r="BZ97" s="25740">
        <f>5*HLOOKUP("uXG/90",A1:CV300,97,FALSE)+3*HLOOKUP("uXA/90",A1:CV300,97,FALSE)</f>
        <v>1.162370465695858</v>
      </c>
    </row>
    <row r="98" spans="1:78" x14ac:dyDescent="0.3">
      <c r="A98" s="25741" t="s">
        <v>425</v>
      </c>
      <c r="B98" s="25742" t="s">
        <v>91</v>
      </c>
      <c r="C98" s="25743">
        <v>4.3000001907348633</v>
      </c>
      <c r="D98" s="25744">
        <v>684</v>
      </c>
      <c r="E98" s="25745">
        <v>9</v>
      </c>
      <c r="F98" s="25746">
        <v>16</v>
      </c>
      <c r="G98" s="25747">
        <v>0</v>
      </c>
      <c r="H98" s="25748">
        <v>0</v>
      </c>
      <c r="I98" s="25749">
        <v>102</v>
      </c>
      <c r="J98" s="25750">
        <f>HLOOKUP("BPS",A1:CV300,98,FALSE)-((-6*HLOOKUP("OG",A1:CV300,98,FALSE))+(-6*HLOOKUP("PK Miss",A1:CV300,98,FALSE))+(9*HLOOKUP("FPL As",A1:CV300,98,FALSE))+(0*HLOOKUP("CS",A1:CV300,98,FALSE))+(18*HLOOKUP("Gs",A1:CV300,98,FALSE)))</f>
        <v>102</v>
      </c>
      <c r="K98" s="25751">
        <v>0</v>
      </c>
      <c r="L98" s="25752">
        <v>1</v>
      </c>
      <c r="M98" s="25753">
        <v>11</v>
      </c>
      <c r="N98" s="25754">
        <v>8</v>
      </c>
      <c r="O98" s="25755">
        <v>2</v>
      </c>
      <c r="P98" s="25756">
        <f>IF(HLOOKUP("Shots",A1:CV300,98,FALSE)=0,0,HLOOKUP("SIB",A1:CV300,98,FALSE)/HLOOKUP("Shots",A1:CV300,98,FALSE))</f>
        <v>0.25</v>
      </c>
      <c r="Q98" s="25757">
        <v>0</v>
      </c>
      <c r="R98" s="25758">
        <f>IF(HLOOKUP("Shots",A1:CV300,98,FALSE)=0,0,HLOOKUP("S6YD",A1:CV300,98,FALSE)/HLOOKUP("Shots",A1:CV300,98,FALSE))</f>
        <v>0</v>
      </c>
      <c r="S98" s="25759">
        <v>0</v>
      </c>
      <c r="T98" s="25760">
        <f>IF(HLOOKUP("Shots",A1:CV300,98,FALSE)=0,0,HLOOKUP("Headers",A1:CV300,98,FALSE)/HLOOKUP("Shots",A1:CV300,98,FALSE))</f>
        <v>0</v>
      </c>
      <c r="U98" s="25761">
        <v>0</v>
      </c>
      <c r="V98" s="25762">
        <f>IF(HLOOKUP("Shots",A1:CV300,98,FALSE)=0,0,HLOOKUP("SOT",A1:CV300,98,FALSE)/HLOOKUP("Shots",A1:CV300,98,FALSE))</f>
        <v>0</v>
      </c>
      <c r="W98" s="25763">
        <f>IF(HLOOKUP("Shots",A1:CV300,98,FALSE)=0,0,HLOOKUP("Gs",A1:CV300,98,FALSE)/HLOOKUP("Shots",A1:CV300,98,FALSE))</f>
        <v>0</v>
      </c>
      <c r="X98" s="25764">
        <v>0</v>
      </c>
      <c r="Y98" s="25765">
        <v>0</v>
      </c>
      <c r="Z98" s="25766">
        <v>7</v>
      </c>
      <c r="AA98" s="25767">
        <f>IF(HLOOKUP("KP",A1:CV300,98,FALSE)=0,0,HLOOKUP("As",A1:CV300,98,FALSE)/HLOOKUP("KP",A1:CV300,98,FALSE))</f>
        <v>0</v>
      </c>
      <c r="AB98" s="25768">
        <v>27.6</v>
      </c>
      <c r="AC98" s="25769">
        <v>0</v>
      </c>
      <c r="AD98" s="25770">
        <v>0</v>
      </c>
      <c r="AE98" s="25771">
        <v>0</v>
      </c>
      <c r="AF98" s="25772">
        <v>0</v>
      </c>
      <c r="AG98" s="25773">
        <f>IF(HLOOKUP("BC",A1:CV300,98,FALSE)=0,0,HLOOKUP("Gs - BC",A1:CV300,98,FALSE)/HLOOKUP("BC",A1:CV300,98,FALSE))</f>
        <v>0</v>
      </c>
      <c r="AH98" s="25774">
        <f>HLOOKUP("BC",A1:CV300,98,FALSE) - HLOOKUP("BC Miss",A1:CV300,98,FALSE)</f>
        <v>0</v>
      </c>
      <c r="AI98" s="25775">
        <f>IF(HLOOKUP("Gs",A1:CV300,98,FALSE)=0,0,HLOOKUP("Gs - BC",A1:CV300,98,FALSE)/HLOOKUP("Gs",A1:CV300,98,FALSE))</f>
        <v>0</v>
      </c>
      <c r="AJ98" s="25776">
        <v>0</v>
      </c>
      <c r="AK98" s="25777">
        <v>0</v>
      </c>
      <c r="AL98" s="25778">
        <f>HLOOKUP("BC",A1:CV300,98,FALSE) - (HLOOKUP("PK Gs",A1:CV300,98,FALSE) + HLOOKUP("PK Miss",A1:CV300,98,FALSE))</f>
        <v>0</v>
      </c>
      <c r="AM98" s="25779">
        <f>HLOOKUP("BC Miss",A1:CV300,98,FALSE) - HLOOKUP("PK Miss",A1:CV300,98,FALSE)</f>
        <v>0</v>
      </c>
      <c r="AN98" s="25780">
        <f>IF(HLOOKUP("BC - Open",A1:CV300,98,FALSE)=0,0,HLOOKUP("BC - Open Miss",A1:CV300,98,FALSE)/HLOOKUP("BC - Open",A1:CV300,98,FALSE))</f>
        <v>0</v>
      </c>
      <c r="AO98" s="25781">
        <v>0</v>
      </c>
      <c r="AP98" s="25782">
        <f>IF(HLOOKUP("Gs",A1:CV300,98,FALSE)=0,0,HLOOKUP("GIB",A1:CV300,98,FALSE)/HLOOKUP("Gs",A1:CV300,98,FALSE))</f>
        <v>0</v>
      </c>
      <c r="AQ98" s="25783">
        <v>0</v>
      </c>
      <c r="AR98" s="25784">
        <f>IF(HLOOKUP("Gs",A1:CV300,98,FALSE)=0,0,HLOOKUP("Gs - Open",A1:CV300,98,FALSE)/HLOOKUP("Gs",A1:CV300,98,FALSE))</f>
        <v>0</v>
      </c>
      <c r="AS98" s="25785">
        <v>0.28000000000000003</v>
      </c>
      <c r="AT98" s="25786">
        <v>0.53</v>
      </c>
      <c r="AU98" s="25787">
        <f>IF(HLOOKUP("Mins",A1:CV300,98,FALSE)=0,0,HLOOKUP("Pts",A1:CV300,98,FALSE)/HLOOKUP("Mins",A1:CV300,98,FALSE)* 90)</f>
        <v>2.1052631578947367</v>
      </c>
      <c r="AV98" s="25788">
        <f>IF(HLOOKUP("Apps",A1:CV300,98,FALSE)=0,0,HLOOKUP("Pts",A1:CV300,98,FALSE)/HLOOKUP("Apps",A1:CV300,98,FALSE)* 1)</f>
        <v>1.7777777777777777</v>
      </c>
      <c r="AW98" s="25789">
        <f>IF(HLOOKUP("Mins",A1:CV300,98,FALSE)=0,0,HLOOKUP("Gs",A1:CV300,98,FALSE)/HLOOKUP("Mins",A1:CV300,98,FALSE)* 90)</f>
        <v>0</v>
      </c>
      <c r="AX98" s="25790">
        <f>IF(HLOOKUP("Mins",A1:CV300,98,FALSE)=0,0,HLOOKUP("Bonus",A1:CV300,98,FALSE)/HLOOKUP("Mins",A1:CV300,98,FALSE)* 90)</f>
        <v>0</v>
      </c>
      <c r="AY98" s="25791">
        <f>IF(HLOOKUP("Mins",A1:CV300,98,FALSE)=0,0,HLOOKUP("BPS",A1:CV300,98,FALSE)/HLOOKUP("Mins",A1:CV300,98,FALSE)* 90)</f>
        <v>13.421052631578947</v>
      </c>
      <c r="AZ98" s="25792">
        <f>IF(HLOOKUP("Mins",A1:CV300,98,FALSE)=0,0,HLOOKUP("Base BPS",A1:CV300,98,FALSE)/HLOOKUP("Mins",A1:CV300,98,FALSE)* 90)</f>
        <v>13.421052631578947</v>
      </c>
      <c r="BA98" s="25793">
        <f>IF(HLOOKUP("Mins",A1:CV300,98,FALSE)=0,0,HLOOKUP("PenTchs",A1:CV300,98,FALSE)/HLOOKUP("Mins",A1:CV300,98,FALSE)* 90)</f>
        <v>1.4473684210526314</v>
      </c>
      <c r="BB98" s="25794">
        <f>IF(HLOOKUP("Mins",A1:CV300,98,FALSE)=0,0,HLOOKUP("Shots",A1:CV300,98,FALSE)/HLOOKUP("Mins",A1:CV300,98,FALSE)* 90)</f>
        <v>1.0526315789473684</v>
      </c>
      <c r="BC98" s="25795">
        <f>IF(HLOOKUP("Mins",A1:CV300,98,FALSE)=0,0,HLOOKUP("SIB",A1:CV300,98,FALSE)/HLOOKUP("Mins",A1:CV300,98,FALSE)* 90)</f>
        <v>0.26315789473684209</v>
      </c>
      <c r="BD98" s="25796">
        <f>IF(HLOOKUP("Mins",A1:CV300,98,FALSE)=0,0,HLOOKUP("S6YD",A1:CV300,98,FALSE)/HLOOKUP("Mins",A1:CV300,98,FALSE)* 90)</f>
        <v>0</v>
      </c>
      <c r="BE98" s="25797">
        <f>IF(HLOOKUP("Mins",A1:CV300,98,FALSE)=0,0,HLOOKUP("Headers",A1:CV300,98,FALSE)/HLOOKUP("Mins",A1:CV300,98,FALSE)* 90)</f>
        <v>0</v>
      </c>
      <c r="BF98" s="25798">
        <f>IF(HLOOKUP("Mins",A1:CV300,98,FALSE)=0,0,HLOOKUP("SOT",A1:CV300,98,FALSE)/HLOOKUP("Mins",A1:CV300,98,FALSE)* 90)</f>
        <v>0</v>
      </c>
      <c r="BG98" s="25799">
        <f>IF(HLOOKUP("Mins",A1:CV300,98,FALSE)=0,0,HLOOKUP("As",A1:CV300,98,FALSE)/HLOOKUP("Mins",A1:CV300,98,FALSE)* 90)</f>
        <v>0</v>
      </c>
      <c r="BH98" s="25800">
        <f>IF(HLOOKUP("Mins",A1:CV300,98,FALSE)=0,0,HLOOKUP("FPL As",A1:CV300,98,FALSE)/HLOOKUP("Mins",A1:CV300,98,FALSE)* 90)</f>
        <v>0</v>
      </c>
      <c r="BI98" s="25801">
        <f>IF(HLOOKUP("Mins",A1:CV300,98,FALSE)=0,0,HLOOKUP("BC Created",A1:CV300,98,FALSE)/HLOOKUP("Mins",A1:CV300,98,FALSE)* 90)</f>
        <v>0</v>
      </c>
      <c r="BJ98" s="25802">
        <f>IF(HLOOKUP("Mins",A1:CV300,98,FALSE)=0,0,HLOOKUP("KP",A1:CV300,98,FALSE)/HLOOKUP("Mins",A1:CV300,98,FALSE)* 90)</f>
        <v>0.92105263157894735</v>
      </c>
      <c r="BK98" s="25803">
        <f>IF(HLOOKUP("Mins",A1:CV300,98,FALSE)=0,0,HLOOKUP("BC",A1:CV300,98,FALSE)/HLOOKUP("Mins",A1:CV300,98,FALSE)* 90)</f>
        <v>0</v>
      </c>
      <c r="BL98" s="25804">
        <f>IF(HLOOKUP("Mins",A1:CV300,98,FALSE)=0,0,HLOOKUP("BC Miss",A1:CV300,98,FALSE)/HLOOKUP("Mins",A1:CV300,98,FALSE)* 90)</f>
        <v>0</v>
      </c>
      <c r="BM98" s="25805">
        <f>IF(HLOOKUP("Mins",A1:CV300,98,FALSE)=0,0,HLOOKUP("Gs - BC",A1:CV300,98,FALSE)/HLOOKUP("Mins",A1:CV300,98,FALSE)* 90)</f>
        <v>0</v>
      </c>
      <c r="BN98" s="25806">
        <f>IF(HLOOKUP("Mins",A1:CV300,98,FALSE)=0,0,HLOOKUP("GIB",A1:CV300,98,FALSE)/HLOOKUP("Mins",A1:CV300,98,FALSE)* 90)</f>
        <v>0</v>
      </c>
      <c r="BO98" s="25807">
        <f>IF(HLOOKUP("Mins",A1:CV300,98,FALSE)=0,0,HLOOKUP("Gs - Open",A1:CV300,98,FALSE)/HLOOKUP("Mins",A1:CV300,98,FALSE)* 90)</f>
        <v>0</v>
      </c>
      <c r="BP98" s="25808">
        <f>IF(HLOOKUP("Mins",A1:CV300,98,FALSE)=0,0,HLOOKUP("ICT Index",A1:CV300,98,FALSE)/HLOOKUP("Mins",A1:CV300,98,FALSE)* 90)</f>
        <v>3.6315789473684212</v>
      </c>
      <c r="BQ98" s="25809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  <v>6.5789473684210523E-2</v>
      </c>
      <c r="BR98" s="25810">
        <f>0.0885*HLOOKUP("KP/90",A1:CV300,98,FALSE)</f>
        <v>8.1513157894736829E-2</v>
      </c>
      <c r="BS98" s="25811">
        <f>5*HLOOKUP("xG/90",A1:CV300,98,FALSE)+3*HLOOKUP("xA/90",A1:CV300,98,FALSE)</f>
        <v>0.57348684210526302</v>
      </c>
      <c r="BT98" s="25812">
        <f>HLOOKUP("xPts/90",A1:CV300,98,FALSE)-(5*0.75*(HLOOKUP("PK Gs",A1:CV300,98,FALSE)+HLOOKUP("PK Miss",A1:CV300,98,FALSE))*90/HLOOKUP("Mins",A1:CV300,98,FALSE))</f>
        <v>0.57348684210526302</v>
      </c>
      <c r="BU98" s="25813">
        <f>IF(HLOOKUP("Mins",A1:CV300,98,FALSE)=0,0,HLOOKUP("fsXG",A1:CV300,98,FALSE)/HLOOKUP("Mins",A1:CV300,98,FALSE)* 90)</f>
        <v>3.6842105263157898E-2</v>
      </c>
      <c r="BV98" s="25814">
        <f>IF(HLOOKUP("Mins",A1:CV300,98,FALSE)=0,0,HLOOKUP("fsXA",A1:CV300,98,FALSE)/HLOOKUP("Mins",A1:CV300,98,FALSE)* 90)</f>
        <v>6.9736842105263167E-2</v>
      </c>
      <c r="BW98" s="25815">
        <f>5*HLOOKUP("fsXG/90",A1:CV300,98,FALSE)+3*HLOOKUP("fsXA/90",A1:CV300,98,FALSE)</f>
        <v>0.393421052631579</v>
      </c>
      <c r="BX98" s="25816">
        <v>2.8451507911086082E-2</v>
      </c>
      <c r="BY98" s="25817">
        <v>4.7543060034513474E-2</v>
      </c>
      <c r="BZ98" s="25818">
        <f>5*HLOOKUP("uXG/90",A1:CV300,98,FALSE)+3*HLOOKUP("uXA/90",A1:CV300,98,FALSE)</f>
        <v>0.28488671965897083</v>
      </c>
    </row>
    <row r="99" spans="1:78" x14ac:dyDescent="0.3">
      <c r="A99" s="25819" t="s">
        <v>426</v>
      </c>
      <c r="B99" s="25820" t="s">
        <v>113</v>
      </c>
      <c r="C99" s="25821">
        <v>6.5999999046325684</v>
      </c>
      <c r="D99" s="25822">
        <v>1347</v>
      </c>
      <c r="E99" s="25823">
        <v>19</v>
      </c>
      <c r="F99" s="25824">
        <v>57</v>
      </c>
      <c r="G99" s="25825">
        <v>1</v>
      </c>
      <c r="H99" s="25826">
        <v>1</v>
      </c>
      <c r="I99" s="25827">
        <v>282</v>
      </c>
      <c r="J99" s="25828">
        <f>HLOOKUP("BPS",A1:CV300,99,FALSE)-((-6*HLOOKUP("OG",A1:CV300,99,FALSE))+(-6*HLOOKUP("PK Miss",A1:CV300,99,FALSE))+(9*HLOOKUP("FPL As",A1:CV300,99,FALSE))+(0*HLOOKUP("CS",A1:CV300,99,FALSE))+(18*HLOOKUP("Gs",A1:CV300,99,FALSE)))</f>
        <v>228</v>
      </c>
      <c r="K99" s="25829">
        <v>0</v>
      </c>
      <c r="L99" s="25830">
        <v>6</v>
      </c>
      <c r="M99" s="25831">
        <v>58</v>
      </c>
      <c r="N99" s="25832">
        <v>21</v>
      </c>
      <c r="O99" s="25833">
        <v>14</v>
      </c>
      <c r="P99" s="25834">
        <f>IF(HLOOKUP("Shots",A1:CV300,99,FALSE)=0,0,HLOOKUP("SIB",A1:CV300,99,FALSE)/HLOOKUP("Shots",A1:CV300,99,FALSE))</f>
        <v>0.66666666666666663</v>
      </c>
      <c r="Q99" s="25835">
        <v>1</v>
      </c>
      <c r="R99" s="25836">
        <f>IF(HLOOKUP("Shots",A1:CV300,99,FALSE)=0,0,HLOOKUP("S6YD",A1:CV300,99,FALSE)/HLOOKUP("Shots",A1:CV300,99,FALSE))</f>
        <v>4.7619047619047616E-2</v>
      </c>
      <c r="S99" s="25837">
        <v>4</v>
      </c>
      <c r="T99" s="25838">
        <f>IF(HLOOKUP("Shots",A1:CV300,99,FALSE)=0,0,HLOOKUP("Headers",A1:CV300,99,FALSE)/HLOOKUP("Shots",A1:CV300,99,FALSE))</f>
        <v>0.19047619047619047</v>
      </c>
      <c r="U99" s="25839">
        <v>8</v>
      </c>
      <c r="V99" s="25840">
        <f>IF(HLOOKUP("Shots",A1:CV300,99,FALSE)=0,0,HLOOKUP("SOT",A1:CV300,99,FALSE)/HLOOKUP("Shots",A1:CV300,99,FALSE))</f>
        <v>0.38095238095238093</v>
      </c>
      <c r="W99" s="25841">
        <f>IF(HLOOKUP("Shots",A1:CV300,99,FALSE)=0,0,HLOOKUP("Gs",A1:CV300,99,FALSE)/HLOOKUP("Shots",A1:CV300,99,FALSE))</f>
        <v>4.7619047619047616E-2</v>
      </c>
      <c r="X99" s="25842">
        <v>4</v>
      </c>
      <c r="Y99" s="25843">
        <v>4</v>
      </c>
      <c r="Z99" s="25844">
        <v>24</v>
      </c>
      <c r="AA99" s="25845">
        <f>IF(HLOOKUP("KP",A1:CV300,99,FALSE)=0,0,HLOOKUP("As",A1:CV300,99,FALSE)/HLOOKUP("KP",A1:CV300,99,FALSE))</f>
        <v>0.16666666666666666</v>
      </c>
      <c r="AB99" s="25846">
        <v>111.5</v>
      </c>
      <c r="AC99" s="25847">
        <v>26</v>
      </c>
      <c r="AD99" s="25848">
        <v>4</v>
      </c>
      <c r="AE99" s="25849">
        <v>4</v>
      </c>
      <c r="AF99" s="25850">
        <v>3</v>
      </c>
      <c r="AG99" s="25851">
        <f>IF(HLOOKUP("BC",A1:CV300,99,FALSE)=0,0,HLOOKUP("Gs - BC",A1:CV300,99,FALSE)/HLOOKUP("BC",A1:CV300,99,FALSE))</f>
        <v>0.25</v>
      </c>
      <c r="AH99" s="25852">
        <f>HLOOKUP("BC",A1:CV300,99,FALSE) - HLOOKUP("BC Miss",A1:CV300,99,FALSE)</f>
        <v>1</v>
      </c>
      <c r="AI99" s="25853">
        <f>IF(HLOOKUP("Gs",A1:CV300,99,FALSE)=0,0,HLOOKUP("Gs - BC",A1:CV300,99,FALSE)/HLOOKUP("Gs",A1:CV300,99,FALSE))</f>
        <v>1</v>
      </c>
      <c r="AJ99" s="25854">
        <v>0</v>
      </c>
      <c r="AK99" s="25855">
        <v>0</v>
      </c>
      <c r="AL99" s="25856">
        <f>HLOOKUP("BC",A1:CV300,99,FALSE) - (HLOOKUP("PK Gs",A1:CV300,99,FALSE) + HLOOKUP("PK Miss",A1:CV300,99,FALSE))</f>
        <v>4</v>
      </c>
      <c r="AM99" s="25857">
        <f>HLOOKUP("BC Miss",A1:CV300,99,FALSE) - HLOOKUP("PK Miss",A1:CV300,99,FALSE)</f>
        <v>3</v>
      </c>
      <c r="AN99" s="25858">
        <f>IF(HLOOKUP("BC - Open",A1:CV300,99,FALSE)=0,0,HLOOKUP("BC - Open Miss",A1:CV300,99,FALSE)/HLOOKUP("BC - Open",A1:CV300,99,FALSE))</f>
        <v>0.75</v>
      </c>
      <c r="AO99" s="25859">
        <v>1</v>
      </c>
      <c r="AP99" s="25860">
        <f>IF(HLOOKUP("Gs",A1:CV300,99,FALSE)=0,0,HLOOKUP("GIB",A1:CV300,99,FALSE)/HLOOKUP("Gs",A1:CV300,99,FALSE))</f>
        <v>1</v>
      </c>
      <c r="AQ99" s="25861">
        <v>1</v>
      </c>
      <c r="AR99" s="25862">
        <f>IF(HLOOKUP("Gs",A1:CV300,99,FALSE)=0,0,HLOOKUP("Gs - Open",A1:CV300,99,FALSE)/HLOOKUP("Gs",A1:CV300,99,FALSE))</f>
        <v>1</v>
      </c>
      <c r="AS99" s="25863">
        <v>2.4900000000000002</v>
      </c>
      <c r="AT99" s="25864">
        <v>2.64</v>
      </c>
      <c r="AU99" s="25865">
        <f>IF(HLOOKUP("Mins",A1:CV300,99,FALSE)=0,0,HLOOKUP("Pts",A1:CV300,99,FALSE)/HLOOKUP("Mins",A1:CV300,99,FALSE)* 90)</f>
        <v>3.8084632516703785</v>
      </c>
      <c r="AV99" s="25866">
        <f>IF(HLOOKUP("Apps",A1:CV300,99,FALSE)=0,0,HLOOKUP("Pts",A1:CV300,99,FALSE)/HLOOKUP("Apps",A1:CV300,99,FALSE)* 1)</f>
        <v>3</v>
      </c>
      <c r="AW99" s="25867">
        <f>IF(HLOOKUP("Mins",A1:CV300,99,FALSE)=0,0,HLOOKUP("Gs",A1:CV300,99,FALSE)/HLOOKUP("Mins",A1:CV300,99,FALSE)* 90)</f>
        <v>6.6815144766146986E-2</v>
      </c>
      <c r="AX99" s="25868">
        <f>IF(HLOOKUP("Mins",A1:CV300,99,FALSE)=0,0,HLOOKUP("Bonus",A1:CV300,99,FALSE)/HLOOKUP("Mins",A1:CV300,99,FALSE)* 90)</f>
        <v>6.6815144766146986E-2</v>
      </c>
      <c r="AY99" s="25869">
        <f>IF(HLOOKUP("Mins",A1:CV300,99,FALSE)=0,0,HLOOKUP("BPS",A1:CV300,99,FALSE)/HLOOKUP("Mins",A1:CV300,99,FALSE)* 90)</f>
        <v>18.841870824053451</v>
      </c>
      <c r="AZ99" s="25870">
        <f>IF(HLOOKUP("Mins",A1:CV300,99,FALSE)=0,0,HLOOKUP("Base BPS",A1:CV300,99,FALSE)/HLOOKUP("Mins",A1:CV300,99,FALSE)* 90)</f>
        <v>15.233853006681514</v>
      </c>
      <c r="BA99" s="25871">
        <f>IF(HLOOKUP("Mins",A1:CV300,99,FALSE)=0,0,HLOOKUP("PenTchs",A1:CV300,99,FALSE)/HLOOKUP("Mins",A1:CV300,99,FALSE)* 90)</f>
        <v>3.8752783964365256</v>
      </c>
      <c r="BB99" s="25872">
        <f>IF(HLOOKUP("Mins",A1:CV300,99,FALSE)=0,0,HLOOKUP("Shots",A1:CV300,99,FALSE)/HLOOKUP("Mins",A1:CV300,99,FALSE)* 90)</f>
        <v>1.4031180400890868</v>
      </c>
      <c r="BC99" s="25873">
        <f>IF(HLOOKUP("Mins",A1:CV300,99,FALSE)=0,0,HLOOKUP("SIB",A1:CV300,99,FALSE)/HLOOKUP("Mins",A1:CV300,99,FALSE)* 90)</f>
        <v>0.93541202672605794</v>
      </c>
      <c r="BD99" s="25874">
        <f>IF(HLOOKUP("Mins",A1:CV300,99,FALSE)=0,0,HLOOKUP("S6YD",A1:CV300,99,FALSE)/HLOOKUP("Mins",A1:CV300,99,FALSE)* 90)</f>
        <v>6.6815144766146986E-2</v>
      </c>
      <c r="BE99" s="25875">
        <f>IF(HLOOKUP("Mins",A1:CV300,99,FALSE)=0,0,HLOOKUP("Headers",A1:CV300,99,FALSE)/HLOOKUP("Mins",A1:CV300,99,FALSE)* 90)</f>
        <v>0.26726057906458794</v>
      </c>
      <c r="BF99" s="25876">
        <f>IF(HLOOKUP("Mins",A1:CV300,99,FALSE)=0,0,HLOOKUP("SOT",A1:CV300,99,FALSE)/HLOOKUP("Mins",A1:CV300,99,FALSE)* 90)</f>
        <v>0.53452115812917589</v>
      </c>
      <c r="BG99" s="25877">
        <f>IF(HLOOKUP("Mins",A1:CV300,99,FALSE)=0,0,HLOOKUP("As",A1:CV300,99,FALSE)/HLOOKUP("Mins",A1:CV300,99,FALSE)* 90)</f>
        <v>0.26726057906458794</v>
      </c>
      <c r="BH99" s="25878">
        <f>IF(HLOOKUP("Mins",A1:CV300,99,FALSE)=0,0,HLOOKUP("FPL As",A1:CV300,99,FALSE)/HLOOKUP("Mins",A1:CV300,99,FALSE)* 90)</f>
        <v>0.26726057906458794</v>
      </c>
      <c r="BI99" s="25879">
        <f>IF(HLOOKUP("Mins",A1:CV300,99,FALSE)=0,0,HLOOKUP("BC Created",A1:CV300,99,FALSE)/HLOOKUP("Mins",A1:CV300,99,FALSE)* 90)</f>
        <v>0.26726057906458794</v>
      </c>
      <c r="BJ99" s="25880">
        <f>IF(HLOOKUP("Mins",A1:CV300,99,FALSE)=0,0,HLOOKUP("KP",A1:CV300,99,FALSE)/HLOOKUP("Mins",A1:CV300,99,FALSE)* 90)</f>
        <v>1.6035634743875278</v>
      </c>
      <c r="BK99" s="25881">
        <f>IF(HLOOKUP("Mins",A1:CV300,99,FALSE)=0,0,HLOOKUP("BC",A1:CV300,99,FALSE)/HLOOKUP("Mins",A1:CV300,99,FALSE)* 90)</f>
        <v>0.26726057906458794</v>
      </c>
      <c r="BL99" s="25882">
        <f>IF(HLOOKUP("Mins",A1:CV300,99,FALSE)=0,0,HLOOKUP("BC Miss",A1:CV300,99,FALSE)/HLOOKUP("Mins",A1:CV300,99,FALSE)* 90)</f>
        <v>0.20044543429844097</v>
      </c>
      <c r="BM99" s="25883">
        <f>IF(HLOOKUP("Mins",A1:CV300,99,FALSE)=0,0,HLOOKUP("Gs - BC",A1:CV300,99,FALSE)/HLOOKUP("Mins",A1:CV300,99,FALSE)* 90)</f>
        <v>6.6815144766146986E-2</v>
      </c>
      <c r="BN99" s="25884">
        <f>IF(HLOOKUP("Mins",A1:CV300,99,FALSE)=0,0,HLOOKUP("GIB",A1:CV300,99,FALSE)/HLOOKUP("Mins",A1:CV300,99,FALSE)* 90)</f>
        <v>6.6815144766146986E-2</v>
      </c>
      <c r="BO99" s="25885">
        <f>IF(HLOOKUP("Mins",A1:CV300,99,FALSE)=0,0,HLOOKUP("Gs - Open",A1:CV300,99,FALSE)/HLOOKUP("Mins",A1:CV300,99,FALSE)* 90)</f>
        <v>6.6815144766146986E-2</v>
      </c>
      <c r="BP99" s="25886">
        <f>IF(HLOOKUP("Mins",A1:CV300,99,FALSE)=0,0,HLOOKUP("ICT Index",A1:CV300,99,FALSE)/HLOOKUP("Mins",A1:CV300,99,FALSE)* 90)</f>
        <v>7.4498886414253906</v>
      </c>
      <c r="BQ99" s="25887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  <v>0.14966592427616923</v>
      </c>
      <c r="BR99" s="25888">
        <f>0.0885*HLOOKUP("KP/90",A1:CV300,99,FALSE)</f>
        <v>0.1419153674832962</v>
      </c>
      <c r="BS99" s="25889">
        <f>5*HLOOKUP("xG/90",A1:CV300,99,FALSE)+3*HLOOKUP("xA/90",A1:CV300,99,FALSE)</f>
        <v>1.1740757238307347</v>
      </c>
      <c r="BT99" s="25890">
        <f>HLOOKUP("xPts/90",A1:CV300,99,FALSE)-(5*0.75*(HLOOKUP("PK Gs",A1:CV300,99,FALSE)+HLOOKUP("PK Miss",A1:CV300,99,FALSE))*90/HLOOKUP("Mins",A1:CV300,99,FALSE))</f>
        <v>1.1740757238307347</v>
      </c>
      <c r="BU99" s="25891">
        <f>IF(HLOOKUP("Mins",A1:CV300,99,FALSE)=0,0,HLOOKUP("fsXG",A1:CV300,99,FALSE)/HLOOKUP("Mins",A1:CV300,99,FALSE)* 90)</f>
        <v>0.16636971046770602</v>
      </c>
      <c r="BV99" s="25892">
        <f>IF(HLOOKUP("Mins",A1:CV300,99,FALSE)=0,0,HLOOKUP("fsXA",A1:CV300,99,FALSE)/HLOOKUP("Mins",A1:CV300,99,FALSE)* 90)</f>
        <v>0.17639198218262808</v>
      </c>
      <c r="BW99" s="25893">
        <f>5*HLOOKUP("fsXG/90",A1:CV300,99,FALSE)+3*HLOOKUP("fsXA/90",A1:CV300,99,FALSE)</f>
        <v>1.3610244988864144</v>
      </c>
      <c r="BX99" s="25894">
        <v>0.15347786247730255</v>
      </c>
      <c r="BY99" s="25895">
        <v>0.16607959568500519</v>
      </c>
      <c r="BZ99" s="25896">
        <f>5*HLOOKUP("uXG/90",A1:CV300,99,FALSE)+3*HLOOKUP("uXA/90",A1:CV300,99,FALSE)</f>
        <v>1.2656280994415283</v>
      </c>
    </row>
    <row r="100" spans="1:78" x14ac:dyDescent="0.3">
      <c r="A100" s="25897" t="s">
        <v>427</v>
      </c>
      <c r="B100" s="25898" t="s">
        <v>115</v>
      </c>
      <c r="C100" s="25899">
        <v>4.8000001907348633</v>
      </c>
      <c r="D100" s="25900">
        <v>1510</v>
      </c>
      <c r="E100" s="25901">
        <v>17</v>
      </c>
      <c r="F100" s="25902">
        <v>42</v>
      </c>
      <c r="G100" s="25903">
        <v>0</v>
      </c>
      <c r="H100" s="25904">
        <v>2</v>
      </c>
      <c r="I100" s="25905">
        <v>225</v>
      </c>
      <c r="J100" s="25906">
        <f>HLOOKUP("BPS",A1:CV300,100,FALSE)-((-6*HLOOKUP("OG",A1:CV300,100,FALSE))+(-6*HLOOKUP("PK Miss",A1:CV300,100,FALSE))+(9*HLOOKUP("FPL As",A1:CV300,100,FALSE))+(0*HLOOKUP("CS",A1:CV300,100,FALSE))+(18*HLOOKUP("Gs",A1:CV300,100,FALSE)))</f>
        <v>207</v>
      </c>
      <c r="K100" s="25907">
        <v>0</v>
      </c>
      <c r="L100" s="25908">
        <v>5</v>
      </c>
      <c r="M100" s="25909">
        <v>7</v>
      </c>
      <c r="N100" s="25910">
        <v>14</v>
      </c>
      <c r="O100" s="25911">
        <v>2</v>
      </c>
      <c r="P100" s="25912">
        <f>IF(HLOOKUP("Shots",A1:CV300,100,FALSE)=0,0,HLOOKUP("SIB",A1:CV300,100,FALSE)/HLOOKUP("Shots",A1:CV300,100,FALSE))</f>
        <v>0.14285714285714285</v>
      </c>
      <c r="Q100" s="25913">
        <v>0</v>
      </c>
      <c r="R100" s="25914">
        <f>IF(HLOOKUP("Shots",A1:CV300,100,FALSE)=0,0,HLOOKUP("S6YD",A1:CV300,100,FALSE)/HLOOKUP("Shots",A1:CV300,100,FALSE))</f>
        <v>0</v>
      </c>
      <c r="S100" s="25915">
        <v>0</v>
      </c>
      <c r="T100" s="25916">
        <f>IF(HLOOKUP("Shots",A1:CV300,100,FALSE)=0,0,HLOOKUP("Headers",A1:CV300,100,FALSE)/HLOOKUP("Shots",A1:CV300,100,FALSE))</f>
        <v>0</v>
      </c>
      <c r="U100" s="25917">
        <v>1</v>
      </c>
      <c r="V100" s="25918">
        <f>IF(HLOOKUP("Shots",A1:CV300,100,FALSE)=0,0,HLOOKUP("SOT",A1:CV300,100,FALSE)/HLOOKUP("Shots",A1:CV300,100,FALSE))</f>
        <v>7.1428571428571425E-2</v>
      </c>
      <c r="W100" s="25919">
        <f>IF(HLOOKUP("Shots",A1:CV300,100,FALSE)=0,0,HLOOKUP("Gs",A1:CV300,100,FALSE)/HLOOKUP("Shots",A1:CV300,100,FALSE))</f>
        <v>0</v>
      </c>
      <c r="X100" s="25920">
        <v>1</v>
      </c>
      <c r="Y100" s="25921">
        <v>2</v>
      </c>
      <c r="Z100" s="25922">
        <v>10</v>
      </c>
      <c r="AA100" s="25923">
        <f>IF(HLOOKUP("KP",A1:CV300,100,FALSE)=0,0,HLOOKUP("As",A1:CV300,100,FALSE)/HLOOKUP("KP",A1:CV300,100,FALSE))</f>
        <v>0.1</v>
      </c>
      <c r="AB100" s="25924">
        <v>51.2</v>
      </c>
      <c r="AC100" s="25925">
        <v>12</v>
      </c>
      <c r="AD100" s="25926">
        <v>1</v>
      </c>
      <c r="AE100" s="25927">
        <v>0</v>
      </c>
      <c r="AF100" s="25928">
        <v>0</v>
      </c>
      <c r="AG100" s="25929">
        <f>IF(HLOOKUP("BC",A1:CV300,100,FALSE)=0,0,HLOOKUP("Gs - BC",A1:CV300,100,FALSE)/HLOOKUP("BC",A1:CV300,100,FALSE))</f>
        <v>0</v>
      </c>
      <c r="AH100" s="25930">
        <f>HLOOKUP("BC",A1:CV300,100,FALSE) - HLOOKUP("BC Miss",A1:CV300,100,FALSE)</f>
        <v>0</v>
      </c>
      <c r="AI100" s="25931">
        <f>IF(HLOOKUP("Gs",A1:CV300,100,FALSE)=0,0,HLOOKUP("Gs - BC",A1:CV300,100,FALSE)/HLOOKUP("Gs",A1:CV300,100,FALSE))</f>
        <v>0</v>
      </c>
      <c r="AJ100" s="25932">
        <v>0</v>
      </c>
      <c r="AK100" s="25933">
        <v>0</v>
      </c>
      <c r="AL100" s="25934">
        <f>HLOOKUP("BC",A1:CV300,100,FALSE) - (HLOOKUP("PK Gs",A1:CV300,100,FALSE) + HLOOKUP("PK Miss",A1:CV300,100,FALSE))</f>
        <v>0</v>
      </c>
      <c r="AM100" s="25935">
        <f>HLOOKUP("BC Miss",A1:CV300,100,FALSE) - HLOOKUP("PK Miss",A1:CV300,100,FALSE)</f>
        <v>0</v>
      </c>
      <c r="AN100" s="25936">
        <f>IF(HLOOKUP("BC - Open",A1:CV300,100,FALSE)=0,0,HLOOKUP("BC - Open Miss",A1:CV300,100,FALSE)/HLOOKUP("BC - Open",A1:CV300,100,FALSE))</f>
        <v>0</v>
      </c>
      <c r="AO100" s="25937">
        <v>0</v>
      </c>
      <c r="AP100" s="25938">
        <f>IF(HLOOKUP("Gs",A1:CV300,100,FALSE)=0,0,HLOOKUP("GIB",A1:CV300,100,FALSE)/HLOOKUP("Gs",A1:CV300,100,FALSE))</f>
        <v>0</v>
      </c>
      <c r="AQ100" s="25939">
        <v>0</v>
      </c>
      <c r="AR100" s="25940">
        <f>IF(HLOOKUP("Gs",A1:CV300,100,FALSE)=0,0,HLOOKUP("Gs - Open",A1:CV300,100,FALSE)/HLOOKUP("Gs",A1:CV300,100,FALSE))</f>
        <v>0</v>
      </c>
      <c r="AS100" s="25941">
        <v>0.62</v>
      </c>
      <c r="AT100" s="25942">
        <v>1.34</v>
      </c>
      <c r="AU100" s="25943">
        <f>IF(HLOOKUP("Mins",A1:CV300,100,FALSE)=0,0,HLOOKUP("Pts",A1:CV300,100,FALSE)/HLOOKUP("Mins",A1:CV300,100,FALSE)* 90)</f>
        <v>2.5033112582781456</v>
      </c>
      <c r="AV100" s="25944">
        <f>IF(HLOOKUP("Apps",A1:CV300,100,FALSE)=0,0,HLOOKUP("Pts",A1:CV300,100,FALSE)/HLOOKUP("Apps",A1:CV300,100,FALSE)* 1)</f>
        <v>2.4705882352941178</v>
      </c>
      <c r="AW100" s="25945">
        <f>IF(HLOOKUP("Mins",A1:CV300,100,FALSE)=0,0,HLOOKUP("Gs",A1:CV300,100,FALSE)/HLOOKUP("Mins",A1:CV300,100,FALSE)* 90)</f>
        <v>0</v>
      </c>
      <c r="AX100" s="25946">
        <f>IF(HLOOKUP("Mins",A1:CV300,100,FALSE)=0,0,HLOOKUP("Bonus",A1:CV300,100,FALSE)/HLOOKUP("Mins",A1:CV300,100,FALSE)* 90)</f>
        <v>0.11920529801324503</v>
      </c>
      <c r="AY100" s="25947">
        <f>IF(HLOOKUP("Mins",A1:CV300,100,FALSE)=0,0,HLOOKUP("BPS",A1:CV300,100,FALSE)/HLOOKUP("Mins",A1:CV300,100,FALSE)* 90)</f>
        <v>13.410596026490067</v>
      </c>
      <c r="AZ100" s="25948">
        <f>IF(HLOOKUP("Mins",A1:CV300,100,FALSE)=0,0,HLOOKUP("Base BPS",A1:CV300,100,FALSE)/HLOOKUP("Mins",A1:CV300,100,FALSE)* 90)</f>
        <v>12.33774834437086</v>
      </c>
      <c r="BA100" s="25949">
        <f>IF(HLOOKUP("Mins",A1:CV300,100,FALSE)=0,0,HLOOKUP("PenTchs",A1:CV300,100,FALSE)/HLOOKUP("Mins",A1:CV300,100,FALSE)* 90)</f>
        <v>0.41721854304635764</v>
      </c>
      <c r="BB100" s="25950">
        <f>IF(HLOOKUP("Mins",A1:CV300,100,FALSE)=0,0,HLOOKUP("Shots",A1:CV300,100,FALSE)/HLOOKUP("Mins",A1:CV300,100,FALSE)* 90)</f>
        <v>0.83443708609271527</v>
      </c>
      <c r="BC100" s="25951">
        <f>IF(HLOOKUP("Mins",A1:CV300,100,FALSE)=0,0,HLOOKUP("SIB",A1:CV300,100,FALSE)/HLOOKUP("Mins",A1:CV300,100,FALSE)* 90)</f>
        <v>0.11920529801324503</v>
      </c>
      <c r="BD100" s="25952">
        <f>IF(HLOOKUP("Mins",A1:CV300,100,FALSE)=0,0,HLOOKUP("S6YD",A1:CV300,100,FALSE)/HLOOKUP("Mins",A1:CV300,100,FALSE)* 90)</f>
        <v>0</v>
      </c>
      <c r="BE100" s="25953">
        <f>IF(HLOOKUP("Mins",A1:CV300,100,FALSE)=0,0,HLOOKUP("Headers",A1:CV300,100,FALSE)/HLOOKUP("Mins",A1:CV300,100,FALSE)* 90)</f>
        <v>0</v>
      </c>
      <c r="BF100" s="25954">
        <f>IF(HLOOKUP("Mins",A1:CV300,100,FALSE)=0,0,HLOOKUP("SOT",A1:CV300,100,FALSE)/HLOOKUP("Mins",A1:CV300,100,FALSE)* 90)</f>
        <v>5.9602649006622516E-2</v>
      </c>
      <c r="BG100" s="25955">
        <f>IF(HLOOKUP("Mins",A1:CV300,100,FALSE)=0,0,HLOOKUP("As",A1:CV300,100,FALSE)/HLOOKUP("Mins",A1:CV300,100,FALSE)* 90)</f>
        <v>5.9602649006622516E-2</v>
      </c>
      <c r="BH100" s="25956">
        <f>IF(HLOOKUP("Mins",A1:CV300,100,FALSE)=0,0,HLOOKUP("FPL As",A1:CV300,100,FALSE)/HLOOKUP("Mins",A1:CV300,100,FALSE)* 90)</f>
        <v>0.11920529801324503</v>
      </c>
      <c r="BI100" s="25957">
        <f>IF(HLOOKUP("Mins",A1:CV300,100,FALSE)=0,0,HLOOKUP("BC Created",A1:CV300,100,FALSE)/HLOOKUP("Mins",A1:CV300,100,FALSE)* 90)</f>
        <v>5.9602649006622516E-2</v>
      </c>
      <c r="BJ100" s="25958">
        <f>IF(HLOOKUP("Mins",A1:CV300,100,FALSE)=0,0,HLOOKUP("KP",A1:CV300,100,FALSE)/HLOOKUP("Mins",A1:CV300,100,FALSE)* 90)</f>
        <v>0.59602649006622521</v>
      </c>
      <c r="BK100" s="25959">
        <f>IF(HLOOKUP("Mins",A1:CV300,100,FALSE)=0,0,HLOOKUP("BC",A1:CV300,100,FALSE)/HLOOKUP("Mins",A1:CV300,100,FALSE)* 90)</f>
        <v>0</v>
      </c>
      <c r="BL100" s="25960">
        <f>IF(HLOOKUP("Mins",A1:CV300,100,FALSE)=0,0,HLOOKUP("BC Miss",A1:CV300,100,FALSE)/HLOOKUP("Mins",A1:CV300,100,FALSE)* 90)</f>
        <v>0</v>
      </c>
      <c r="BM100" s="25961">
        <f>IF(HLOOKUP("Mins",A1:CV300,100,FALSE)=0,0,HLOOKUP("Gs - BC",A1:CV300,100,FALSE)/HLOOKUP("Mins",A1:CV300,100,FALSE)* 90)</f>
        <v>0</v>
      </c>
      <c r="BN100" s="25962">
        <f>IF(HLOOKUP("Mins",A1:CV300,100,FALSE)=0,0,HLOOKUP("GIB",A1:CV300,100,FALSE)/HLOOKUP("Mins",A1:CV300,100,FALSE)* 90)</f>
        <v>0</v>
      </c>
      <c r="BO100" s="25963">
        <f>IF(HLOOKUP("Mins",A1:CV300,100,FALSE)=0,0,HLOOKUP("Gs - Open",A1:CV300,100,FALSE)/HLOOKUP("Mins",A1:CV300,100,FALSE)* 90)</f>
        <v>0</v>
      </c>
      <c r="BP100" s="25964">
        <f>IF(HLOOKUP("Mins",A1:CV300,100,FALSE)=0,0,HLOOKUP("ICT Index",A1:CV300,100,FALSE)/HLOOKUP("Mins",A1:CV300,100,FALSE)* 90)</f>
        <v>3.0516556291390726</v>
      </c>
      <c r="BQ100" s="25965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  <v>4.2675496688741717E-2</v>
      </c>
      <c r="BR100" s="25966">
        <f>0.0885*HLOOKUP("KP/90",A1:CV300,100,FALSE)</f>
        <v>5.2748344370860928E-2</v>
      </c>
      <c r="BS100" s="25967">
        <f>5*HLOOKUP("xG/90",A1:CV300,100,FALSE)+3*HLOOKUP("xA/90",A1:CV300,100,FALSE)</f>
        <v>0.37162251655629136</v>
      </c>
      <c r="BT100" s="25968">
        <f>HLOOKUP("xPts/90",A1:CV300,100,FALSE)-(5*0.75*(HLOOKUP("PK Gs",A1:CV300,100,FALSE)+HLOOKUP("PK Miss",A1:CV300,100,FALSE))*90/HLOOKUP("Mins",A1:CV300,100,FALSE))</f>
        <v>0.37162251655629136</v>
      </c>
      <c r="BU100" s="25969">
        <f>IF(HLOOKUP("Mins",A1:CV300,100,FALSE)=0,0,HLOOKUP("fsXG",A1:CV300,100,FALSE)/HLOOKUP("Mins",A1:CV300,100,FALSE)* 90)</f>
        <v>3.6953642384105957E-2</v>
      </c>
      <c r="BV100" s="25970">
        <f>IF(HLOOKUP("Mins",A1:CV300,100,FALSE)=0,0,HLOOKUP("fsXA",A1:CV300,100,FALSE)/HLOOKUP("Mins",A1:CV300,100,FALSE)* 90)</f>
        <v>7.9867549668874174E-2</v>
      </c>
      <c r="BW100" s="25971">
        <f>5*HLOOKUP("fsXG/90",A1:CV300,100,FALSE)+3*HLOOKUP("fsXA/90",A1:CV300,100,FALSE)</f>
        <v>0.42437086092715232</v>
      </c>
      <c r="BX100" s="25972">
        <v>3.2478794455528259E-2</v>
      </c>
      <c r="BY100" s="25973">
        <v>6.3289515674114227E-2</v>
      </c>
      <c r="BZ100" s="25974">
        <f>5*HLOOKUP("uXG/90",A1:CV300,100,FALSE)+3*HLOOKUP("uXA/90",A1:CV300,100,FALSE)</f>
        <v>0.35226251929998398</v>
      </c>
    </row>
    <row r="101" spans="1:78" x14ac:dyDescent="0.3">
      <c r="A101" s="25975" t="s">
        <v>428</v>
      </c>
      <c r="B101" s="25976" t="s">
        <v>109</v>
      </c>
      <c r="C101" s="25977">
        <v>5</v>
      </c>
      <c r="D101" s="25978">
        <v>405</v>
      </c>
      <c r="E101" s="25979">
        <v>10</v>
      </c>
      <c r="F101" s="25980">
        <v>13</v>
      </c>
      <c r="G101" s="25981">
        <v>0</v>
      </c>
      <c r="H101" s="25982">
        <v>0</v>
      </c>
      <c r="I101" s="25983">
        <v>65</v>
      </c>
      <c r="J101" s="25984">
        <f>HLOOKUP("BPS",A1:CV300,101,FALSE)-((-6*HLOOKUP("OG",A1:CV300,101,FALSE))+(-6*HLOOKUP("PK Miss",A1:CV300,101,FALSE))+(9*HLOOKUP("FPL As",A1:CV300,101,FALSE))+(0*HLOOKUP("CS",A1:CV300,101,FALSE))+(18*HLOOKUP("Gs",A1:CV300,101,FALSE)))</f>
        <v>65</v>
      </c>
      <c r="K101" s="25985">
        <v>0</v>
      </c>
      <c r="L101" s="25986">
        <v>1</v>
      </c>
      <c r="M101" s="25987">
        <v>6</v>
      </c>
      <c r="N101" s="25988">
        <v>6</v>
      </c>
      <c r="O101" s="25989">
        <v>1</v>
      </c>
      <c r="P101" s="25990">
        <f>IF(HLOOKUP("Shots",A1:CV300,101,FALSE)=0,0,HLOOKUP("SIB",A1:CV300,101,FALSE)/HLOOKUP("Shots",A1:CV300,101,FALSE))</f>
        <v>0.16666666666666666</v>
      </c>
      <c r="Q101" s="25991">
        <v>0</v>
      </c>
      <c r="R101" s="25992">
        <f>IF(HLOOKUP("Shots",A1:CV300,101,FALSE)=0,0,HLOOKUP("S6YD",A1:CV300,101,FALSE)/HLOOKUP("Shots",A1:CV300,101,FALSE))</f>
        <v>0</v>
      </c>
      <c r="S101" s="25993">
        <v>0</v>
      </c>
      <c r="T101" s="25994">
        <f>IF(HLOOKUP("Shots",A1:CV300,101,FALSE)=0,0,HLOOKUP("Headers",A1:CV300,101,FALSE)/HLOOKUP("Shots",A1:CV300,101,FALSE))</f>
        <v>0</v>
      </c>
      <c r="U101" s="25995">
        <v>4</v>
      </c>
      <c r="V101" s="25996">
        <f>IF(HLOOKUP("Shots",A1:CV300,101,FALSE)=0,0,HLOOKUP("SOT",A1:CV300,101,FALSE)/HLOOKUP("Shots",A1:CV300,101,FALSE))</f>
        <v>0.66666666666666663</v>
      </c>
      <c r="W101" s="25997">
        <f>IF(HLOOKUP("Shots",A1:CV300,101,FALSE)=0,0,HLOOKUP("Gs",A1:CV300,101,FALSE)/HLOOKUP("Shots",A1:CV300,101,FALSE))</f>
        <v>0</v>
      </c>
      <c r="X101" s="25998">
        <v>0</v>
      </c>
      <c r="Y101" s="25999">
        <v>0</v>
      </c>
      <c r="Z101" s="26000">
        <v>2</v>
      </c>
      <c r="AA101" s="26001">
        <f>IF(HLOOKUP("KP",A1:CV300,101,FALSE)=0,0,HLOOKUP("As",A1:CV300,101,FALSE)/HLOOKUP("KP",A1:CV300,101,FALSE))</f>
        <v>0</v>
      </c>
      <c r="AB101" s="26002">
        <v>18.7</v>
      </c>
      <c r="AC101" s="26003">
        <v>0</v>
      </c>
      <c r="AD101" s="26004">
        <v>0</v>
      </c>
      <c r="AE101" s="26005">
        <v>0</v>
      </c>
      <c r="AF101" s="26006">
        <v>0</v>
      </c>
      <c r="AG101" s="26007">
        <f>IF(HLOOKUP("BC",A1:CV300,101,FALSE)=0,0,HLOOKUP("Gs - BC",A1:CV300,101,FALSE)/HLOOKUP("BC",A1:CV300,101,FALSE))</f>
        <v>0</v>
      </c>
      <c r="AH101" s="26008">
        <f>HLOOKUP("BC",A1:CV300,101,FALSE) - HLOOKUP("BC Miss",A1:CV300,101,FALSE)</f>
        <v>0</v>
      </c>
      <c r="AI101" s="26009">
        <f>IF(HLOOKUP("Gs",A1:CV300,101,FALSE)=0,0,HLOOKUP("Gs - BC",A1:CV300,101,FALSE)/HLOOKUP("Gs",A1:CV300,101,FALSE))</f>
        <v>0</v>
      </c>
      <c r="AJ101" s="26010">
        <v>0</v>
      </c>
      <c r="AK101" s="26011">
        <v>0</v>
      </c>
      <c r="AL101" s="26012">
        <f>HLOOKUP("BC",A1:CV300,101,FALSE) - (HLOOKUP("PK Gs",A1:CV300,101,FALSE) + HLOOKUP("PK Miss",A1:CV300,101,FALSE))</f>
        <v>0</v>
      </c>
      <c r="AM101" s="26013">
        <f>HLOOKUP("BC Miss",A1:CV300,101,FALSE) - HLOOKUP("PK Miss",A1:CV300,101,FALSE)</f>
        <v>0</v>
      </c>
      <c r="AN101" s="26014">
        <f>IF(HLOOKUP("BC - Open",A1:CV300,101,FALSE)=0,0,HLOOKUP("BC - Open Miss",A1:CV300,101,FALSE)/HLOOKUP("BC - Open",A1:CV300,101,FALSE))</f>
        <v>0</v>
      </c>
      <c r="AO101" s="26015">
        <v>0</v>
      </c>
      <c r="AP101" s="26016">
        <f>IF(HLOOKUP("Gs",A1:CV300,101,FALSE)=0,0,HLOOKUP("GIB",A1:CV300,101,FALSE)/HLOOKUP("Gs",A1:CV300,101,FALSE))</f>
        <v>0</v>
      </c>
      <c r="AQ101" s="26017">
        <v>0</v>
      </c>
      <c r="AR101" s="26018">
        <f>IF(HLOOKUP("Gs",A1:CV300,101,FALSE)=0,0,HLOOKUP("Gs - Open",A1:CV300,101,FALSE)/HLOOKUP("Gs",A1:CV300,101,FALSE))</f>
        <v>0</v>
      </c>
      <c r="AS101" s="26019">
        <v>0.16</v>
      </c>
      <c r="AT101" s="26020">
        <v>0.09</v>
      </c>
      <c r="AU101" s="26021">
        <f>IF(HLOOKUP("Mins",A1:CV300,101,FALSE)=0,0,HLOOKUP("Pts",A1:CV300,101,FALSE)/HLOOKUP("Mins",A1:CV300,101,FALSE)* 90)</f>
        <v>2.8888888888888893</v>
      </c>
      <c r="AV101" s="26022">
        <f>IF(HLOOKUP("Apps",A1:CV300,101,FALSE)=0,0,HLOOKUP("Pts",A1:CV300,101,FALSE)/HLOOKUP("Apps",A1:CV300,101,FALSE)* 1)</f>
        <v>1.3</v>
      </c>
      <c r="AW101" s="26023">
        <f>IF(HLOOKUP("Mins",A1:CV300,101,FALSE)=0,0,HLOOKUP("Gs",A1:CV300,101,FALSE)/HLOOKUP("Mins",A1:CV300,101,FALSE)* 90)</f>
        <v>0</v>
      </c>
      <c r="AX101" s="26024">
        <f>IF(HLOOKUP("Mins",A1:CV300,101,FALSE)=0,0,HLOOKUP("Bonus",A1:CV300,101,FALSE)/HLOOKUP("Mins",A1:CV300,101,FALSE)* 90)</f>
        <v>0</v>
      </c>
      <c r="AY101" s="26025">
        <f>IF(HLOOKUP("Mins",A1:CV300,101,FALSE)=0,0,HLOOKUP("BPS",A1:CV300,101,FALSE)/HLOOKUP("Mins",A1:CV300,101,FALSE)* 90)</f>
        <v>14.444444444444443</v>
      </c>
      <c r="AZ101" s="26026">
        <f>IF(HLOOKUP("Mins",A1:CV300,101,FALSE)=0,0,HLOOKUP("Base BPS",A1:CV300,101,FALSE)/HLOOKUP("Mins",A1:CV300,101,FALSE)* 90)</f>
        <v>14.444444444444443</v>
      </c>
      <c r="BA101" s="26027">
        <f>IF(HLOOKUP("Mins",A1:CV300,101,FALSE)=0,0,HLOOKUP("PenTchs",A1:CV300,101,FALSE)/HLOOKUP("Mins",A1:CV300,101,FALSE)* 90)</f>
        <v>1.3333333333333335</v>
      </c>
      <c r="BB101" s="26028">
        <f>IF(HLOOKUP("Mins",A1:CV300,101,FALSE)=0,0,HLOOKUP("Shots",A1:CV300,101,FALSE)/HLOOKUP("Mins",A1:CV300,101,FALSE)* 90)</f>
        <v>1.3333333333333335</v>
      </c>
      <c r="BC101" s="26029">
        <f>IF(HLOOKUP("Mins",A1:CV300,101,FALSE)=0,0,HLOOKUP("SIB",A1:CV300,101,FALSE)/HLOOKUP("Mins",A1:CV300,101,FALSE)* 90)</f>
        <v>0.22222222222222221</v>
      </c>
      <c r="BD101" s="26030">
        <f>IF(HLOOKUP("Mins",A1:CV300,101,FALSE)=0,0,HLOOKUP("S6YD",A1:CV300,101,FALSE)/HLOOKUP("Mins",A1:CV300,101,FALSE)* 90)</f>
        <v>0</v>
      </c>
      <c r="BE101" s="26031">
        <f>IF(HLOOKUP("Mins",A1:CV300,101,FALSE)=0,0,HLOOKUP("Headers",A1:CV300,101,FALSE)/HLOOKUP("Mins",A1:CV300,101,FALSE)* 90)</f>
        <v>0</v>
      </c>
      <c r="BF101" s="26032">
        <f>IF(HLOOKUP("Mins",A1:CV300,101,FALSE)=0,0,HLOOKUP("SOT",A1:CV300,101,FALSE)/HLOOKUP("Mins",A1:CV300,101,FALSE)* 90)</f>
        <v>0.88888888888888884</v>
      </c>
      <c r="BG101" s="26033">
        <f>IF(HLOOKUP("Mins",A1:CV300,101,FALSE)=0,0,HLOOKUP("As",A1:CV300,101,FALSE)/HLOOKUP("Mins",A1:CV300,101,FALSE)* 90)</f>
        <v>0</v>
      </c>
      <c r="BH101" s="26034">
        <f>IF(HLOOKUP("Mins",A1:CV300,101,FALSE)=0,0,HLOOKUP("FPL As",A1:CV300,101,FALSE)/HLOOKUP("Mins",A1:CV300,101,FALSE)* 90)</f>
        <v>0</v>
      </c>
      <c r="BI101" s="26035">
        <f>IF(HLOOKUP("Mins",A1:CV300,101,FALSE)=0,0,HLOOKUP("BC Created",A1:CV300,101,FALSE)/HLOOKUP("Mins",A1:CV300,101,FALSE)* 90)</f>
        <v>0</v>
      </c>
      <c r="BJ101" s="26036">
        <f>IF(HLOOKUP("Mins",A1:CV300,101,FALSE)=0,0,HLOOKUP("KP",A1:CV300,101,FALSE)/HLOOKUP("Mins",A1:CV300,101,FALSE)* 90)</f>
        <v>0.44444444444444442</v>
      </c>
      <c r="BK101" s="26037">
        <f>IF(HLOOKUP("Mins",A1:CV300,101,FALSE)=0,0,HLOOKUP("BC",A1:CV300,101,FALSE)/HLOOKUP("Mins",A1:CV300,101,FALSE)* 90)</f>
        <v>0</v>
      </c>
      <c r="BL101" s="26038">
        <f>IF(HLOOKUP("Mins",A1:CV300,101,FALSE)=0,0,HLOOKUP("BC Miss",A1:CV300,101,FALSE)/HLOOKUP("Mins",A1:CV300,101,FALSE)* 90)</f>
        <v>0</v>
      </c>
      <c r="BM101" s="26039">
        <f>IF(HLOOKUP("Mins",A1:CV300,101,FALSE)=0,0,HLOOKUP("Gs - BC",A1:CV300,101,FALSE)/HLOOKUP("Mins",A1:CV300,101,FALSE)* 90)</f>
        <v>0</v>
      </c>
      <c r="BN101" s="26040">
        <f>IF(HLOOKUP("Mins",A1:CV300,101,FALSE)=0,0,HLOOKUP("GIB",A1:CV300,101,FALSE)/HLOOKUP("Mins",A1:CV300,101,FALSE)* 90)</f>
        <v>0</v>
      </c>
      <c r="BO101" s="26041">
        <f>IF(HLOOKUP("Mins",A1:CV300,101,FALSE)=0,0,HLOOKUP("Gs - Open",A1:CV300,101,FALSE)/HLOOKUP("Mins",A1:CV300,101,FALSE)* 90)</f>
        <v>0</v>
      </c>
      <c r="BP101" s="26042">
        <f>IF(HLOOKUP("Mins",A1:CV300,101,FALSE)=0,0,HLOOKUP("ICT Index",A1:CV300,101,FALSE)/HLOOKUP("Mins",A1:CV300,101,FALSE)* 90)</f>
        <v>4.1555555555555559</v>
      </c>
      <c r="BQ101" s="26043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  <v>7.1555555555555539E-2</v>
      </c>
      <c r="BR101" s="26044">
        <f>0.0885*HLOOKUP("KP/90",A1:CV300,101,FALSE)</f>
        <v>3.9333333333333331E-2</v>
      </c>
      <c r="BS101" s="26045">
        <f>5*HLOOKUP("xG/90",A1:CV300,101,FALSE)+3*HLOOKUP("xA/90",A1:CV300,101,FALSE)</f>
        <v>0.47577777777777769</v>
      </c>
      <c r="BT101" s="26046">
        <f>HLOOKUP("xPts/90",A1:CV300,101,FALSE)-(5*0.75*(HLOOKUP("PK Gs",A1:CV300,101,FALSE)+HLOOKUP("PK Miss",A1:CV300,101,FALSE))*90/HLOOKUP("Mins",A1:CV300,101,FALSE))</f>
        <v>0.47577777777777769</v>
      </c>
      <c r="BU101" s="26047">
        <f>IF(HLOOKUP("Mins",A1:CV300,101,FALSE)=0,0,HLOOKUP("fsXG",A1:CV300,101,FALSE)/HLOOKUP("Mins",A1:CV300,101,FALSE)* 90)</f>
        <v>3.5555555555555556E-2</v>
      </c>
      <c r="BV101" s="26048">
        <f>IF(HLOOKUP("Mins",A1:CV300,101,FALSE)=0,0,HLOOKUP("fsXA",A1:CV300,101,FALSE)/HLOOKUP("Mins",A1:CV300,101,FALSE)* 90)</f>
        <v>1.9999999999999997E-2</v>
      </c>
      <c r="BW101" s="26049">
        <f>5*HLOOKUP("fsXG/90",A1:CV300,101,FALSE)+3*HLOOKUP("fsXA/90",A1:CV300,101,FALSE)</f>
        <v>0.23777777777777778</v>
      </c>
      <c r="BX101" s="26050">
        <v>3.6876965314149857E-2</v>
      </c>
      <c r="BY101" s="26051">
        <v>1.1608594097197056E-2</v>
      </c>
      <c r="BZ101" s="26052">
        <f>5*HLOOKUP("uXG/90",A1:CV300,101,FALSE)+3*HLOOKUP("uXA/90",A1:CV300,101,FALSE)</f>
        <v>0.21921060886234045</v>
      </c>
    </row>
    <row r="102" spans="1:78" x14ac:dyDescent="0.3">
      <c r="A102" s="26053" t="s">
        <v>429</v>
      </c>
      <c r="B102" s="26054" t="s">
        <v>118</v>
      </c>
      <c r="C102" s="26055">
        <v>8.1000003814697266</v>
      </c>
      <c r="D102" s="26056">
        <v>1908</v>
      </c>
      <c r="E102" s="26057">
        <v>22</v>
      </c>
      <c r="F102" s="26058">
        <v>108</v>
      </c>
      <c r="G102" s="26059">
        <v>8</v>
      </c>
      <c r="H102" s="26060">
        <v>10</v>
      </c>
      <c r="I102" s="26061">
        <v>340</v>
      </c>
      <c r="J102" s="26062">
        <f>HLOOKUP("BPS",A1:CV300,102,FALSE)-((-6*HLOOKUP("OG",A1:CV300,102,FALSE))+(-6*HLOOKUP("PK Miss",A1:CV300,102,FALSE))+(9*HLOOKUP("FPL As",A1:CV300,102,FALSE))+(0*HLOOKUP("CS",A1:CV300,102,FALSE))+(18*HLOOKUP("Gs",A1:CV300,102,FALSE)))</f>
        <v>160</v>
      </c>
      <c r="K102" s="26063">
        <v>0</v>
      </c>
      <c r="L102" s="26064">
        <v>6</v>
      </c>
      <c r="M102" s="26065">
        <v>125</v>
      </c>
      <c r="N102" s="26066">
        <v>56</v>
      </c>
      <c r="O102" s="26067">
        <v>44</v>
      </c>
      <c r="P102" s="26068">
        <f>IF(HLOOKUP("Shots",A1:CV300,102,FALSE)=0,0,HLOOKUP("SIB",A1:CV300,102,FALSE)/HLOOKUP("Shots",A1:CV300,102,FALSE))</f>
        <v>0.7857142857142857</v>
      </c>
      <c r="Q102" s="26069">
        <v>2</v>
      </c>
      <c r="R102" s="26070">
        <f>IF(HLOOKUP("Shots",A1:CV300,102,FALSE)=0,0,HLOOKUP("S6YD",A1:CV300,102,FALSE)/HLOOKUP("Shots",A1:CV300,102,FALSE))</f>
        <v>3.5714285714285712E-2</v>
      </c>
      <c r="S102" s="26071">
        <v>18</v>
      </c>
      <c r="T102" s="26072">
        <f>IF(HLOOKUP("Shots",A1:CV300,102,FALSE)=0,0,HLOOKUP("Headers",A1:CV300,102,FALSE)/HLOOKUP("Shots",A1:CV300,102,FALSE))</f>
        <v>0.32142857142857145</v>
      </c>
      <c r="U102" s="26073">
        <v>21</v>
      </c>
      <c r="V102" s="26074">
        <f>IF(HLOOKUP("Shots",A1:CV300,102,FALSE)=0,0,HLOOKUP("SOT",A1:CV300,102,FALSE)/HLOOKUP("Shots",A1:CV300,102,FALSE))</f>
        <v>0.375</v>
      </c>
      <c r="W102" s="26075">
        <f>IF(HLOOKUP("Shots",A1:CV300,102,FALSE)=0,0,HLOOKUP("Gs",A1:CV300,102,FALSE)/HLOOKUP("Shots",A1:CV300,102,FALSE))</f>
        <v>0.14285714285714285</v>
      </c>
      <c r="X102" s="26076">
        <v>3</v>
      </c>
      <c r="Y102" s="26077">
        <v>4</v>
      </c>
      <c r="Z102" s="26078">
        <v>23</v>
      </c>
      <c r="AA102" s="26079">
        <f>IF(HLOOKUP("KP",A1:CV300,102,FALSE)=0,0,HLOOKUP("As",A1:CV300,102,FALSE)/HLOOKUP("KP",A1:CV300,102,FALSE))</f>
        <v>0.13043478260869565</v>
      </c>
      <c r="AB102" s="26080">
        <v>169.7</v>
      </c>
      <c r="AC102" s="26081">
        <v>50</v>
      </c>
      <c r="AD102" s="26082">
        <v>6</v>
      </c>
      <c r="AE102" s="26083">
        <v>9</v>
      </c>
      <c r="AF102" s="26084">
        <v>3</v>
      </c>
      <c r="AG102" s="26085">
        <f>IF(HLOOKUP("BC",A1:CV300,102,FALSE)=0,0,HLOOKUP("Gs - BC",A1:CV300,102,FALSE)/HLOOKUP("BC",A1:CV300,102,FALSE))</f>
        <v>0.66666666666666663</v>
      </c>
      <c r="AH102" s="26086">
        <f>HLOOKUP("BC",A1:CV300,102,FALSE) - HLOOKUP("BC Miss",A1:CV300,102,FALSE)</f>
        <v>6</v>
      </c>
      <c r="AI102" s="26087">
        <f>IF(HLOOKUP("Gs",A1:CV300,102,FALSE)=0,0,HLOOKUP("Gs - BC",A1:CV300,102,FALSE)/HLOOKUP("Gs",A1:CV300,102,FALSE))</f>
        <v>0.75</v>
      </c>
      <c r="AJ102" s="26088">
        <v>0</v>
      </c>
      <c r="AK102" s="26089">
        <v>0</v>
      </c>
      <c r="AL102" s="26090">
        <f>HLOOKUP("BC",A1:CV300,102,FALSE) - (HLOOKUP("PK Gs",A1:CV300,102,FALSE) + HLOOKUP("PK Miss",A1:CV300,102,FALSE))</f>
        <v>9</v>
      </c>
      <c r="AM102" s="26091">
        <f>HLOOKUP("BC Miss",A1:CV300,102,FALSE) - HLOOKUP("PK Miss",A1:CV300,102,FALSE)</f>
        <v>3</v>
      </c>
      <c r="AN102" s="26092">
        <f>IF(HLOOKUP("BC - Open",A1:CV300,102,FALSE)=0,0,HLOOKUP("BC - Open Miss",A1:CV300,102,FALSE)/HLOOKUP("BC - Open",A1:CV300,102,FALSE))</f>
        <v>0.33333333333333331</v>
      </c>
      <c r="AO102" s="26093">
        <v>8</v>
      </c>
      <c r="AP102" s="26094">
        <f>IF(HLOOKUP("Gs",A1:CV300,102,FALSE)=0,0,HLOOKUP("GIB",A1:CV300,102,FALSE)/HLOOKUP("Gs",A1:CV300,102,FALSE))</f>
        <v>1</v>
      </c>
      <c r="AQ102" s="26095">
        <v>8</v>
      </c>
      <c r="AR102" s="26096">
        <f>IF(HLOOKUP("Gs",A1:CV300,102,FALSE)=0,0,HLOOKUP("Gs - Open",A1:CV300,102,FALSE)/HLOOKUP("Gs",A1:CV300,102,FALSE))</f>
        <v>1</v>
      </c>
      <c r="AS102" s="26097">
        <v>5.81</v>
      </c>
      <c r="AT102" s="26098">
        <v>2.39</v>
      </c>
      <c r="AU102" s="26099">
        <f>IF(HLOOKUP("Mins",A1:CV300,102,FALSE)=0,0,HLOOKUP("Pts",A1:CV300,102,FALSE)/HLOOKUP("Mins",A1:CV300,102,FALSE)* 90)</f>
        <v>5.0943396226415096</v>
      </c>
      <c r="AV102" s="26100">
        <f>IF(HLOOKUP("Apps",A1:CV300,102,FALSE)=0,0,HLOOKUP("Pts",A1:CV300,102,FALSE)/HLOOKUP("Apps",A1:CV300,102,FALSE)* 1)</f>
        <v>4.9090909090909092</v>
      </c>
      <c r="AW102" s="26101">
        <f>IF(HLOOKUP("Mins",A1:CV300,102,FALSE)=0,0,HLOOKUP("Gs",A1:CV300,102,FALSE)/HLOOKUP("Mins",A1:CV300,102,FALSE)* 90)</f>
        <v>0.37735849056603776</v>
      </c>
      <c r="AX102" s="26102">
        <f>IF(HLOOKUP("Mins",A1:CV300,102,FALSE)=0,0,HLOOKUP("Bonus",A1:CV300,102,FALSE)/HLOOKUP("Mins",A1:CV300,102,FALSE)* 90)</f>
        <v>0.47169811320754718</v>
      </c>
      <c r="AY102" s="26103">
        <f>IF(HLOOKUP("Mins",A1:CV300,102,FALSE)=0,0,HLOOKUP("BPS",A1:CV300,102,FALSE)/HLOOKUP("Mins",A1:CV300,102,FALSE)* 90)</f>
        <v>16.037735849056602</v>
      </c>
      <c r="AZ102" s="26104">
        <f>IF(HLOOKUP("Mins",A1:CV300,102,FALSE)=0,0,HLOOKUP("Base BPS",A1:CV300,102,FALSE)/HLOOKUP("Mins",A1:CV300,102,FALSE)* 90)</f>
        <v>7.5471698113207548</v>
      </c>
      <c r="BA102" s="26105">
        <f>IF(HLOOKUP("Mins",A1:CV300,102,FALSE)=0,0,HLOOKUP("PenTchs",A1:CV300,102,FALSE)/HLOOKUP("Mins",A1:CV300,102,FALSE)* 90)</f>
        <v>5.8962264150943398</v>
      </c>
      <c r="BB102" s="26106">
        <f>IF(HLOOKUP("Mins",A1:CV300,102,FALSE)=0,0,HLOOKUP("Shots",A1:CV300,102,FALSE)/HLOOKUP("Mins",A1:CV300,102,FALSE)* 90)</f>
        <v>2.6415094339622645</v>
      </c>
      <c r="BC102" s="26107">
        <f>IF(HLOOKUP("Mins",A1:CV300,102,FALSE)=0,0,HLOOKUP("SIB",A1:CV300,102,FALSE)/HLOOKUP("Mins",A1:CV300,102,FALSE)* 90)</f>
        <v>2.0754716981132075</v>
      </c>
      <c r="BD102" s="26108">
        <f>IF(HLOOKUP("Mins",A1:CV300,102,FALSE)=0,0,HLOOKUP("S6YD",A1:CV300,102,FALSE)/HLOOKUP("Mins",A1:CV300,102,FALSE)* 90)</f>
        <v>9.4339622641509441E-2</v>
      </c>
      <c r="BE102" s="26109">
        <f>IF(HLOOKUP("Mins",A1:CV300,102,FALSE)=0,0,HLOOKUP("Headers",A1:CV300,102,FALSE)/HLOOKUP("Mins",A1:CV300,102,FALSE)* 90)</f>
        <v>0.84905660377358483</v>
      </c>
      <c r="BF102" s="26110">
        <f>IF(HLOOKUP("Mins",A1:CV300,102,FALSE)=0,0,HLOOKUP("SOT",A1:CV300,102,FALSE)/HLOOKUP("Mins",A1:CV300,102,FALSE)* 90)</f>
        <v>0.99056603773584895</v>
      </c>
      <c r="BG102" s="26111">
        <f>IF(HLOOKUP("Mins",A1:CV300,102,FALSE)=0,0,HLOOKUP("As",A1:CV300,102,FALSE)/HLOOKUP("Mins",A1:CV300,102,FALSE)* 90)</f>
        <v>0.14150943396226415</v>
      </c>
      <c r="BH102" s="26112">
        <f>IF(HLOOKUP("Mins",A1:CV300,102,FALSE)=0,0,HLOOKUP("FPL As",A1:CV300,102,FALSE)/HLOOKUP("Mins",A1:CV300,102,FALSE)* 90)</f>
        <v>0.18867924528301888</v>
      </c>
      <c r="BI102" s="26113">
        <f>IF(HLOOKUP("Mins",A1:CV300,102,FALSE)=0,0,HLOOKUP("BC Created",A1:CV300,102,FALSE)/HLOOKUP("Mins",A1:CV300,102,FALSE)* 90)</f>
        <v>0.28301886792452829</v>
      </c>
      <c r="BJ102" s="26114">
        <f>IF(HLOOKUP("Mins",A1:CV300,102,FALSE)=0,0,HLOOKUP("KP",A1:CV300,102,FALSE)/HLOOKUP("Mins",A1:CV300,102,FALSE)* 90)</f>
        <v>1.0849056603773586</v>
      </c>
      <c r="BK102" s="26115">
        <f>IF(HLOOKUP("Mins",A1:CV300,102,FALSE)=0,0,HLOOKUP("BC",A1:CV300,102,FALSE)/HLOOKUP("Mins",A1:CV300,102,FALSE)* 90)</f>
        <v>0.42452830188679241</v>
      </c>
      <c r="BL102" s="26116">
        <f>IF(HLOOKUP("Mins",A1:CV300,102,FALSE)=0,0,HLOOKUP("BC Miss",A1:CV300,102,FALSE)/HLOOKUP("Mins",A1:CV300,102,FALSE)* 90)</f>
        <v>0.14150943396226415</v>
      </c>
      <c r="BM102" s="26117">
        <f>IF(HLOOKUP("Mins",A1:CV300,102,FALSE)=0,0,HLOOKUP("Gs - BC",A1:CV300,102,FALSE)/HLOOKUP("Mins",A1:CV300,102,FALSE)* 90)</f>
        <v>0.28301886792452829</v>
      </c>
      <c r="BN102" s="26118">
        <f>IF(HLOOKUP("Mins",A1:CV300,102,FALSE)=0,0,HLOOKUP("GIB",A1:CV300,102,FALSE)/HLOOKUP("Mins",A1:CV300,102,FALSE)* 90)</f>
        <v>0.37735849056603776</v>
      </c>
      <c r="BO102" s="26119">
        <f>IF(HLOOKUP("Mins",A1:CV300,102,FALSE)=0,0,HLOOKUP("Gs - Open",A1:CV300,102,FALSE)/HLOOKUP("Mins",A1:CV300,102,FALSE)* 90)</f>
        <v>0.37735849056603776</v>
      </c>
      <c r="BP102" s="26120">
        <f>IF(HLOOKUP("Mins",A1:CV300,102,FALSE)=0,0,HLOOKUP("ICT Index",A1:CV300,102,FALSE)/HLOOKUP("Mins",A1:CV300,102,FALSE)* 90)</f>
        <v>8.0047169811320753</v>
      </c>
      <c r="BQ102" s="26121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  <v>0.31509433962264149</v>
      </c>
      <c r="BR102" s="26122">
        <f>0.0885*HLOOKUP("KP/90",A1:CV300,102,FALSE)</f>
        <v>9.6014150943396229E-2</v>
      </c>
      <c r="BS102" s="26123">
        <f>5*HLOOKUP("xG/90",A1:CV300,102,FALSE)+3*HLOOKUP("xA/90",A1:CV300,102,FALSE)</f>
        <v>1.8635141509433963</v>
      </c>
      <c r="BT102" s="26124">
        <f>HLOOKUP("xPts/90",A1:CV300,102,FALSE)-(5*0.75*(HLOOKUP("PK Gs",A1:CV300,102,FALSE)+HLOOKUP("PK Miss",A1:CV300,102,FALSE))*90/HLOOKUP("Mins",A1:CV300,102,FALSE))</f>
        <v>1.8635141509433963</v>
      </c>
      <c r="BU102" s="26125">
        <f>IF(HLOOKUP("Mins",A1:CV300,102,FALSE)=0,0,HLOOKUP("fsXG",A1:CV300,102,FALSE)/HLOOKUP("Mins",A1:CV300,102,FALSE)* 90)</f>
        <v>0.27405660377358487</v>
      </c>
      <c r="BV102" s="26126">
        <f>IF(HLOOKUP("Mins",A1:CV300,102,FALSE)=0,0,HLOOKUP("fsXA",A1:CV300,102,FALSE)/HLOOKUP("Mins",A1:CV300,102,FALSE)* 90)</f>
        <v>0.11273584905660379</v>
      </c>
      <c r="BW102" s="26127">
        <f>5*HLOOKUP("fsXG/90",A1:CV300,102,FALSE)+3*HLOOKUP("fsXA/90",A1:CV300,102,FALSE)</f>
        <v>1.7084905660377356</v>
      </c>
      <c r="BX102" s="26128">
        <v>0.28745806217193604</v>
      </c>
      <c r="BY102" s="26129">
        <v>0.15625053644180298</v>
      </c>
      <c r="BZ102" s="26130">
        <f>5*HLOOKUP("uXG/90",A1:CV300,102,FALSE)+3*HLOOKUP("uXA/90",A1:CV300,102,FALSE)</f>
        <v>1.9060419201850891</v>
      </c>
    </row>
    <row r="103" spans="1:78" x14ac:dyDescent="0.3">
      <c r="A103" s="26131" t="s">
        <v>430</v>
      </c>
      <c r="B103" s="26132" t="s">
        <v>118</v>
      </c>
      <c r="C103" s="26133">
        <v>4.4000000953674316</v>
      </c>
      <c r="D103" s="26134">
        <v>742</v>
      </c>
      <c r="E103" s="26135">
        <v>11</v>
      </c>
      <c r="F103" s="26136">
        <v>13</v>
      </c>
      <c r="G103" s="26137">
        <v>0</v>
      </c>
      <c r="H103" s="26138">
        <v>0</v>
      </c>
      <c r="I103" s="26139">
        <v>86</v>
      </c>
      <c r="J103" s="26140">
        <f>HLOOKUP("BPS",A1:CV300,103,FALSE)-((-6*HLOOKUP("OG",A1:CV300,103,FALSE))+(-6*HLOOKUP("PK Miss",A1:CV300,103,FALSE))+(9*HLOOKUP("FPL As",A1:CV300,103,FALSE))+(0*HLOOKUP("CS",A1:CV300,103,FALSE))+(18*HLOOKUP("Gs",A1:CV300,103,FALSE)))</f>
        <v>86</v>
      </c>
      <c r="K103" s="26141">
        <v>0</v>
      </c>
      <c r="L103" s="26142">
        <v>1</v>
      </c>
      <c r="M103" s="26143">
        <v>3</v>
      </c>
      <c r="N103" s="26144">
        <v>5</v>
      </c>
      <c r="O103" s="26145">
        <v>1</v>
      </c>
      <c r="P103" s="26146">
        <f>IF(HLOOKUP("Shots",A1:CV300,103,FALSE)=0,0,HLOOKUP("SIB",A1:CV300,103,FALSE)/HLOOKUP("Shots",A1:CV300,103,FALSE))</f>
        <v>0.2</v>
      </c>
      <c r="Q103" s="26147">
        <v>0</v>
      </c>
      <c r="R103" s="26148">
        <f>IF(HLOOKUP("Shots",A1:CV300,103,FALSE)=0,0,HLOOKUP("S6YD",A1:CV300,103,FALSE)/HLOOKUP("Shots",A1:CV300,103,FALSE))</f>
        <v>0</v>
      </c>
      <c r="S103" s="26149">
        <v>0</v>
      </c>
      <c r="T103" s="26150">
        <f>IF(HLOOKUP("Shots",A1:CV300,103,FALSE)=0,0,HLOOKUP("Headers",A1:CV300,103,FALSE)/HLOOKUP("Shots",A1:CV300,103,FALSE))</f>
        <v>0</v>
      </c>
      <c r="U103" s="26151">
        <v>0</v>
      </c>
      <c r="V103" s="26152">
        <f>IF(HLOOKUP("Shots",A1:CV300,103,FALSE)=0,0,HLOOKUP("SOT",A1:CV300,103,FALSE)/HLOOKUP("Shots",A1:CV300,103,FALSE))</f>
        <v>0</v>
      </c>
      <c r="W103" s="26153">
        <f>IF(HLOOKUP("Shots",A1:CV300,103,FALSE)=0,0,HLOOKUP("Gs",A1:CV300,103,FALSE)/HLOOKUP("Shots",A1:CV300,103,FALSE))</f>
        <v>0</v>
      </c>
      <c r="X103" s="26154">
        <v>0</v>
      </c>
      <c r="Y103" s="26155">
        <v>0</v>
      </c>
      <c r="Z103" s="26156">
        <v>3</v>
      </c>
      <c r="AA103" s="26157">
        <f>IF(HLOOKUP("KP",A1:CV300,103,FALSE)=0,0,HLOOKUP("As",A1:CV300,103,FALSE)/HLOOKUP("KP",A1:CV300,103,FALSE))</f>
        <v>0</v>
      </c>
      <c r="AB103" s="26158">
        <v>17.600000000000001</v>
      </c>
      <c r="AC103" s="26159">
        <v>0</v>
      </c>
      <c r="AD103" s="26160">
        <v>0</v>
      </c>
      <c r="AE103" s="26161">
        <v>0</v>
      </c>
      <c r="AF103" s="26162">
        <v>0</v>
      </c>
      <c r="AG103" s="26163">
        <f>IF(HLOOKUP("BC",A1:CV300,103,FALSE)=0,0,HLOOKUP("Gs - BC",A1:CV300,103,FALSE)/HLOOKUP("BC",A1:CV300,103,FALSE))</f>
        <v>0</v>
      </c>
      <c r="AH103" s="26164">
        <f>HLOOKUP("BC",A1:CV300,103,FALSE) - HLOOKUP("BC Miss",A1:CV300,103,FALSE)</f>
        <v>0</v>
      </c>
      <c r="AI103" s="26165">
        <f>IF(HLOOKUP("Gs",A1:CV300,103,FALSE)=0,0,HLOOKUP("Gs - BC",A1:CV300,103,FALSE)/HLOOKUP("Gs",A1:CV300,103,FALSE))</f>
        <v>0</v>
      </c>
      <c r="AJ103" s="26166">
        <v>0</v>
      </c>
      <c r="AK103" s="26167">
        <v>0</v>
      </c>
      <c r="AL103" s="26168">
        <f>HLOOKUP("BC",A1:CV300,103,FALSE) - (HLOOKUP("PK Gs",A1:CV300,103,FALSE) + HLOOKUP("PK Miss",A1:CV300,103,FALSE))</f>
        <v>0</v>
      </c>
      <c r="AM103" s="26169">
        <f>HLOOKUP("BC Miss",A1:CV300,103,FALSE) - HLOOKUP("PK Miss",A1:CV300,103,FALSE)</f>
        <v>0</v>
      </c>
      <c r="AN103" s="26170">
        <f>IF(HLOOKUP("BC - Open",A1:CV300,103,FALSE)=0,0,HLOOKUP("BC - Open Miss",A1:CV300,103,FALSE)/HLOOKUP("BC - Open",A1:CV300,103,FALSE))</f>
        <v>0</v>
      </c>
      <c r="AO103" s="26171">
        <v>0</v>
      </c>
      <c r="AP103" s="26172">
        <f>IF(HLOOKUP("Gs",A1:CV300,103,FALSE)=0,0,HLOOKUP("GIB",A1:CV300,103,FALSE)/HLOOKUP("Gs",A1:CV300,103,FALSE))</f>
        <v>0</v>
      </c>
      <c r="AQ103" s="26173">
        <v>0</v>
      </c>
      <c r="AR103" s="26174">
        <f>IF(HLOOKUP("Gs",A1:CV300,103,FALSE)=0,0,HLOOKUP("Gs - Open",A1:CV300,103,FALSE)/HLOOKUP("Gs",A1:CV300,103,FALSE))</f>
        <v>0</v>
      </c>
      <c r="AS103" s="26175">
        <v>0.16</v>
      </c>
      <c r="AT103" s="26176">
        <v>0.17</v>
      </c>
      <c r="AU103" s="26177">
        <f>IF(HLOOKUP("Mins",A1:CV300,103,FALSE)=0,0,HLOOKUP("Pts",A1:CV300,103,FALSE)/HLOOKUP("Mins",A1:CV300,103,FALSE)* 90)</f>
        <v>1.5768194070080863</v>
      </c>
      <c r="AV103" s="26178">
        <f>IF(HLOOKUP("Apps",A1:CV300,103,FALSE)=0,0,HLOOKUP("Pts",A1:CV300,103,FALSE)/HLOOKUP("Apps",A1:CV300,103,FALSE)* 1)</f>
        <v>1.1818181818181819</v>
      </c>
      <c r="AW103" s="26179">
        <f>IF(HLOOKUP("Mins",A1:CV300,103,FALSE)=0,0,HLOOKUP("Gs",A1:CV300,103,FALSE)/HLOOKUP("Mins",A1:CV300,103,FALSE)* 90)</f>
        <v>0</v>
      </c>
      <c r="AX103" s="26180">
        <f>IF(HLOOKUP("Mins",A1:CV300,103,FALSE)=0,0,HLOOKUP("Bonus",A1:CV300,103,FALSE)/HLOOKUP("Mins",A1:CV300,103,FALSE)* 90)</f>
        <v>0</v>
      </c>
      <c r="AY103" s="26181">
        <f>IF(HLOOKUP("Mins",A1:CV300,103,FALSE)=0,0,HLOOKUP("BPS",A1:CV300,103,FALSE)/HLOOKUP("Mins",A1:CV300,103,FALSE)* 90)</f>
        <v>10.431266846361185</v>
      </c>
      <c r="AZ103" s="26182">
        <f>IF(HLOOKUP("Mins",A1:CV300,103,FALSE)=0,0,HLOOKUP("Base BPS",A1:CV300,103,FALSE)/HLOOKUP("Mins",A1:CV300,103,FALSE)* 90)</f>
        <v>10.431266846361185</v>
      </c>
      <c r="BA103" s="26183">
        <f>IF(HLOOKUP("Mins",A1:CV300,103,FALSE)=0,0,HLOOKUP("PenTchs",A1:CV300,103,FALSE)/HLOOKUP("Mins",A1:CV300,103,FALSE)* 90)</f>
        <v>0.36388140161725069</v>
      </c>
      <c r="BB103" s="26184">
        <f>IF(HLOOKUP("Mins",A1:CV300,103,FALSE)=0,0,HLOOKUP("Shots",A1:CV300,103,FALSE)/HLOOKUP("Mins",A1:CV300,103,FALSE)* 90)</f>
        <v>0.60646900269541781</v>
      </c>
      <c r="BC103" s="26185">
        <f>IF(HLOOKUP("Mins",A1:CV300,103,FALSE)=0,0,HLOOKUP("SIB",A1:CV300,103,FALSE)/HLOOKUP("Mins",A1:CV300,103,FALSE)* 90)</f>
        <v>0.12129380053908356</v>
      </c>
      <c r="BD103" s="26186">
        <f>IF(HLOOKUP("Mins",A1:CV300,103,FALSE)=0,0,HLOOKUP("S6YD",A1:CV300,103,FALSE)/HLOOKUP("Mins",A1:CV300,103,FALSE)* 90)</f>
        <v>0</v>
      </c>
      <c r="BE103" s="26187">
        <f>IF(HLOOKUP("Mins",A1:CV300,103,FALSE)=0,0,HLOOKUP("Headers",A1:CV300,103,FALSE)/HLOOKUP("Mins",A1:CV300,103,FALSE)* 90)</f>
        <v>0</v>
      </c>
      <c r="BF103" s="26188">
        <f>IF(HLOOKUP("Mins",A1:CV300,103,FALSE)=0,0,HLOOKUP("SOT",A1:CV300,103,FALSE)/HLOOKUP("Mins",A1:CV300,103,FALSE)* 90)</f>
        <v>0</v>
      </c>
      <c r="BG103" s="26189">
        <f>IF(HLOOKUP("Mins",A1:CV300,103,FALSE)=0,0,HLOOKUP("As",A1:CV300,103,FALSE)/HLOOKUP("Mins",A1:CV300,103,FALSE)* 90)</f>
        <v>0</v>
      </c>
      <c r="BH103" s="26190">
        <f>IF(HLOOKUP("Mins",A1:CV300,103,FALSE)=0,0,HLOOKUP("FPL As",A1:CV300,103,FALSE)/HLOOKUP("Mins",A1:CV300,103,FALSE)* 90)</f>
        <v>0</v>
      </c>
      <c r="BI103" s="26191">
        <f>IF(HLOOKUP("Mins",A1:CV300,103,FALSE)=0,0,HLOOKUP("BC Created",A1:CV300,103,FALSE)/HLOOKUP("Mins",A1:CV300,103,FALSE)* 90)</f>
        <v>0</v>
      </c>
      <c r="BJ103" s="26192">
        <f>IF(HLOOKUP("Mins",A1:CV300,103,FALSE)=0,0,HLOOKUP("KP",A1:CV300,103,FALSE)/HLOOKUP("Mins",A1:CV300,103,FALSE)* 90)</f>
        <v>0.36388140161725069</v>
      </c>
      <c r="BK103" s="26193">
        <f>IF(HLOOKUP("Mins",A1:CV300,103,FALSE)=0,0,HLOOKUP("BC",A1:CV300,103,FALSE)/HLOOKUP("Mins",A1:CV300,103,FALSE)* 90)</f>
        <v>0</v>
      </c>
      <c r="BL103" s="26194">
        <f>IF(HLOOKUP("Mins",A1:CV300,103,FALSE)=0,0,HLOOKUP("BC Miss",A1:CV300,103,FALSE)/HLOOKUP("Mins",A1:CV300,103,FALSE)* 90)</f>
        <v>0</v>
      </c>
      <c r="BM103" s="26195">
        <f>IF(HLOOKUP("Mins",A1:CV300,103,FALSE)=0,0,HLOOKUP("Gs - BC",A1:CV300,103,FALSE)/HLOOKUP("Mins",A1:CV300,103,FALSE)* 90)</f>
        <v>0</v>
      </c>
      <c r="BN103" s="26196">
        <f>IF(HLOOKUP("Mins",A1:CV300,103,FALSE)=0,0,HLOOKUP("GIB",A1:CV300,103,FALSE)/HLOOKUP("Mins",A1:CV300,103,FALSE)* 90)</f>
        <v>0</v>
      </c>
      <c r="BO103" s="26197">
        <f>IF(HLOOKUP("Mins",A1:CV300,103,FALSE)=0,0,HLOOKUP("Gs - Open",A1:CV300,103,FALSE)/HLOOKUP("Mins",A1:CV300,103,FALSE)* 90)</f>
        <v>0</v>
      </c>
      <c r="BP103" s="26198">
        <f>IF(HLOOKUP("Mins",A1:CV300,103,FALSE)=0,0,HLOOKUP("ICT Index",A1:CV300,103,FALSE)/HLOOKUP("Mins",A1:CV300,103,FALSE)* 90)</f>
        <v>2.134770889487871</v>
      </c>
      <c r="BQ103" s="26199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  <v>3.4690026954177895E-2</v>
      </c>
      <c r="BR103" s="26200">
        <f>0.0885*HLOOKUP("KP/90",A1:CV300,103,FALSE)</f>
        <v>3.2203504043126684E-2</v>
      </c>
      <c r="BS103" s="26201">
        <f>5*HLOOKUP("xG/90",A1:CV300,103,FALSE)+3*HLOOKUP("xA/90",A1:CV300,103,FALSE)</f>
        <v>0.27006064690026954</v>
      </c>
      <c r="BT103" s="26202">
        <f>HLOOKUP("xPts/90",A1:CV300,103,FALSE)-(5*0.75*(HLOOKUP("PK Gs",A1:CV300,103,FALSE)+HLOOKUP("PK Miss",A1:CV300,103,FALSE))*90/HLOOKUP("Mins",A1:CV300,103,FALSE))</f>
        <v>0.27006064690026954</v>
      </c>
      <c r="BU103" s="26203">
        <f>IF(HLOOKUP("Mins",A1:CV300,103,FALSE)=0,0,HLOOKUP("fsXG",A1:CV300,103,FALSE)/HLOOKUP("Mins",A1:CV300,103,FALSE)* 90)</f>
        <v>1.9407008086253369E-2</v>
      </c>
      <c r="BV103" s="26204">
        <f>IF(HLOOKUP("Mins",A1:CV300,103,FALSE)=0,0,HLOOKUP("fsXA",A1:CV300,103,FALSE)/HLOOKUP("Mins",A1:CV300,103,FALSE)* 90)</f>
        <v>2.0619946091644206E-2</v>
      </c>
      <c r="BW103" s="26205">
        <f>5*HLOOKUP("fsXG/90",A1:CV300,103,FALSE)+3*HLOOKUP("fsXA/90",A1:CV300,103,FALSE)</f>
        <v>0.15889487870619945</v>
      </c>
      <c r="BX103" s="26206">
        <v>2.4738851934671402E-2</v>
      </c>
      <c r="BY103" s="26207">
        <v>1.081746444106102E-2</v>
      </c>
      <c r="BZ103" s="26208">
        <f>5*HLOOKUP("uXG/90",A1:CV300,103,FALSE)+3*HLOOKUP("uXA/90",A1:CV300,103,FALSE)</f>
        <v>0.15614665299654007</v>
      </c>
    </row>
    <row r="104" spans="1:78" x14ac:dyDescent="0.3">
      <c r="A104" s="26209" t="s">
        <v>431</v>
      </c>
      <c r="B104" s="26210" t="s">
        <v>118</v>
      </c>
      <c r="C104" s="26211">
        <v>7.3000001907348633</v>
      </c>
      <c r="D104" s="26212">
        <v>1575</v>
      </c>
      <c r="E104" s="26213">
        <v>21</v>
      </c>
      <c r="F104" s="26214">
        <v>55</v>
      </c>
      <c r="G104" s="26215">
        <v>1</v>
      </c>
      <c r="H104" s="26216">
        <v>2</v>
      </c>
      <c r="I104" s="26217">
        <v>255</v>
      </c>
      <c r="J104" s="26218">
        <f>HLOOKUP("BPS",A1:CV300,104,FALSE)-((-6*HLOOKUP("OG",A1:CV300,104,FALSE))+(-6*HLOOKUP("PK Miss",A1:CV300,104,FALSE))+(9*HLOOKUP("FPL As",A1:CV300,104,FALSE))+(0*HLOOKUP("CS",A1:CV300,104,FALSE))+(18*HLOOKUP("Gs",A1:CV300,104,FALSE)))</f>
        <v>219</v>
      </c>
      <c r="K104" s="26219">
        <v>0</v>
      </c>
      <c r="L104" s="26220">
        <v>5</v>
      </c>
      <c r="M104" s="26221">
        <v>38</v>
      </c>
      <c r="N104" s="26222">
        <v>31</v>
      </c>
      <c r="O104" s="26223">
        <v>12</v>
      </c>
      <c r="P104" s="26224">
        <f>IF(HLOOKUP("Shots",A1:CV300,104,FALSE)=0,0,HLOOKUP("SIB",A1:CV300,104,FALSE)/HLOOKUP("Shots",A1:CV300,104,FALSE))</f>
        <v>0.38709677419354838</v>
      </c>
      <c r="Q104" s="26225">
        <v>0</v>
      </c>
      <c r="R104" s="26226">
        <f>IF(HLOOKUP("Shots",A1:CV300,104,FALSE)=0,0,HLOOKUP("S6YD",A1:CV300,104,FALSE)/HLOOKUP("Shots",A1:CV300,104,FALSE))</f>
        <v>0</v>
      </c>
      <c r="S104" s="26227">
        <v>1</v>
      </c>
      <c r="T104" s="26228">
        <f>IF(HLOOKUP("Shots",A1:CV300,104,FALSE)=0,0,HLOOKUP("Headers",A1:CV300,104,FALSE)/HLOOKUP("Shots",A1:CV300,104,FALSE))</f>
        <v>3.2258064516129031E-2</v>
      </c>
      <c r="U104" s="26229">
        <v>10</v>
      </c>
      <c r="V104" s="26230">
        <f>IF(HLOOKUP("Shots",A1:CV300,104,FALSE)=0,0,HLOOKUP("SOT",A1:CV300,104,FALSE)/HLOOKUP("Shots",A1:CV300,104,FALSE))</f>
        <v>0.32258064516129031</v>
      </c>
      <c r="W104" s="26231">
        <f>IF(HLOOKUP("Shots",A1:CV300,104,FALSE)=0,0,HLOOKUP("Gs",A1:CV300,104,FALSE)/HLOOKUP("Shots",A1:CV300,104,FALSE))</f>
        <v>3.2258064516129031E-2</v>
      </c>
      <c r="X104" s="26232">
        <v>1</v>
      </c>
      <c r="Y104" s="26233">
        <v>2</v>
      </c>
      <c r="Z104" s="26234">
        <v>39</v>
      </c>
      <c r="AA104" s="26235">
        <f>IF(HLOOKUP("KP",A1:CV300,104,FALSE)=0,0,HLOOKUP("As",A1:CV300,104,FALSE)/HLOOKUP("KP",A1:CV300,104,FALSE))</f>
        <v>2.564102564102564E-2</v>
      </c>
      <c r="AB104" s="26236">
        <v>120.1</v>
      </c>
      <c r="AC104" s="26237">
        <v>14</v>
      </c>
      <c r="AD104" s="26238">
        <v>4</v>
      </c>
      <c r="AE104" s="26239">
        <v>1</v>
      </c>
      <c r="AF104" s="26240">
        <v>1</v>
      </c>
      <c r="AG104" s="26241">
        <f>IF(HLOOKUP("BC",A1:CV300,104,FALSE)=0,0,HLOOKUP("Gs - BC",A1:CV300,104,FALSE)/HLOOKUP("BC",A1:CV300,104,FALSE))</f>
        <v>0</v>
      </c>
      <c r="AH104" s="26242">
        <f>HLOOKUP("BC",A1:CV300,104,FALSE) - HLOOKUP("BC Miss",A1:CV300,104,FALSE)</f>
        <v>0</v>
      </c>
      <c r="AI104" s="26243">
        <f>IF(HLOOKUP("Gs",A1:CV300,104,FALSE)=0,0,HLOOKUP("Gs - BC",A1:CV300,104,FALSE)/HLOOKUP("Gs",A1:CV300,104,FALSE))</f>
        <v>0</v>
      </c>
      <c r="AJ104" s="26244">
        <v>0</v>
      </c>
      <c r="AK104" s="26245">
        <v>0</v>
      </c>
      <c r="AL104" s="26246">
        <f>HLOOKUP("BC",A1:CV300,104,FALSE) - (HLOOKUP("PK Gs",A1:CV300,104,FALSE) + HLOOKUP("PK Miss",A1:CV300,104,FALSE))</f>
        <v>1</v>
      </c>
      <c r="AM104" s="26247">
        <f>HLOOKUP("BC Miss",A1:CV300,104,FALSE) - HLOOKUP("PK Miss",A1:CV300,104,FALSE)</f>
        <v>1</v>
      </c>
      <c r="AN104" s="26248">
        <f>IF(HLOOKUP("BC - Open",A1:CV300,104,FALSE)=0,0,HLOOKUP("BC - Open Miss",A1:CV300,104,FALSE)/HLOOKUP("BC - Open",A1:CV300,104,FALSE))</f>
        <v>1</v>
      </c>
      <c r="AO104" s="26249">
        <v>0</v>
      </c>
      <c r="AP104" s="26250">
        <f>IF(HLOOKUP("Gs",A1:CV300,104,FALSE)=0,0,HLOOKUP("GIB",A1:CV300,104,FALSE)/HLOOKUP("Gs",A1:CV300,104,FALSE))</f>
        <v>0</v>
      </c>
      <c r="AQ104" s="26251">
        <v>1</v>
      </c>
      <c r="AR104" s="26252">
        <f>IF(HLOOKUP("Gs",A1:CV300,104,FALSE)=0,0,HLOOKUP("Gs - Open",A1:CV300,104,FALSE)/HLOOKUP("Gs",A1:CV300,104,FALSE))</f>
        <v>1</v>
      </c>
      <c r="AS104" s="26253">
        <v>1.77</v>
      </c>
      <c r="AT104" s="26254">
        <v>3.03</v>
      </c>
      <c r="AU104" s="26255">
        <f>IF(HLOOKUP("Mins",A1:CV300,104,FALSE)=0,0,HLOOKUP("Pts",A1:CV300,104,FALSE)/HLOOKUP("Mins",A1:CV300,104,FALSE)* 90)</f>
        <v>3.1428571428571428</v>
      </c>
      <c r="AV104" s="26256">
        <f>IF(HLOOKUP("Apps",A1:CV300,104,FALSE)=0,0,HLOOKUP("Pts",A1:CV300,104,FALSE)/HLOOKUP("Apps",A1:CV300,104,FALSE)* 1)</f>
        <v>2.6190476190476191</v>
      </c>
      <c r="AW104" s="26257">
        <f>IF(HLOOKUP("Mins",A1:CV300,104,FALSE)=0,0,HLOOKUP("Gs",A1:CV300,104,FALSE)/HLOOKUP("Mins",A1:CV300,104,FALSE)* 90)</f>
        <v>5.7142857142857141E-2</v>
      </c>
      <c r="AX104" s="26258">
        <f>IF(HLOOKUP("Mins",A1:CV300,104,FALSE)=0,0,HLOOKUP("Bonus",A1:CV300,104,FALSE)/HLOOKUP("Mins",A1:CV300,104,FALSE)* 90)</f>
        <v>0.11428571428571428</v>
      </c>
      <c r="AY104" s="26259">
        <f>IF(HLOOKUP("Mins",A1:CV300,104,FALSE)=0,0,HLOOKUP("BPS",A1:CV300,104,FALSE)/HLOOKUP("Mins",A1:CV300,104,FALSE)* 90)</f>
        <v>14.571428571428573</v>
      </c>
      <c r="AZ104" s="26260">
        <f>IF(HLOOKUP("Mins",A1:CV300,104,FALSE)=0,0,HLOOKUP("Base BPS",A1:CV300,104,FALSE)/HLOOKUP("Mins",A1:CV300,104,FALSE)* 90)</f>
        <v>12.514285714285716</v>
      </c>
      <c r="BA104" s="26261">
        <f>IF(HLOOKUP("Mins",A1:CV300,104,FALSE)=0,0,HLOOKUP("PenTchs",A1:CV300,104,FALSE)/HLOOKUP("Mins",A1:CV300,104,FALSE)* 90)</f>
        <v>2.1714285714285717</v>
      </c>
      <c r="BB104" s="26262">
        <f>IF(HLOOKUP("Mins",A1:CV300,104,FALSE)=0,0,HLOOKUP("Shots",A1:CV300,104,FALSE)/HLOOKUP("Mins",A1:CV300,104,FALSE)* 90)</f>
        <v>1.7714285714285716</v>
      </c>
      <c r="BC104" s="26263">
        <f>IF(HLOOKUP("Mins",A1:CV300,104,FALSE)=0,0,HLOOKUP("SIB",A1:CV300,104,FALSE)/HLOOKUP("Mins",A1:CV300,104,FALSE)* 90)</f>
        <v>0.68571428571428572</v>
      </c>
      <c r="BD104" s="26264">
        <f>IF(HLOOKUP("Mins",A1:CV300,104,FALSE)=0,0,HLOOKUP("S6YD",A1:CV300,104,FALSE)/HLOOKUP("Mins",A1:CV300,104,FALSE)* 90)</f>
        <v>0</v>
      </c>
      <c r="BE104" s="26265">
        <f>IF(HLOOKUP("Mins",A1:CV300,104,FALSE)=0,0,HLOOKUP("Headers",A1:CV300,104,FALSE)/HLOOKUP("Mins",A1:CV300,104,FALSE)* 90)</f>
        <v>5.7142857142857141E-2</v>
      </c>
      <c r="BF104" s="26266">
        <f>IF(HLOOKUP("Mins",A1:CV300,104,FALSE)=0,0,HLOOKUP("SOT",A1:CV300,104,FALSE)/HLOOKUP("Mins",A1:CV300,104,FALSE)* 90)</f>
        <v>0.5714285714285714</v>
      </c>
      <c r="BG104" s="26267">
        <f>IF(HLOOKUP("Mins",A1:CV300,104,FALSE)=0,0,HLOOKUP("As",A1:CV300,104,FALSE)/HLOOKUP("Mins",A1:CV300,104,FALSE)* 90)</f>
        <v>5.7142857142857141E-2</v>
      </c>
      <c r="BH104" s="26268">
        <f>IF(HLOOKUP("Mins",A1:CV300,104,FALSE)=0,0,HLOOKUP("FPL As",A1:CV300,104,FALSE)/HLOOKUP("Mins",A1:CV300,104,FALSE)* 90)</f>
        <v>0.11428571428571428</v>
      </c>
      <c r="BI104" s="26269">
        <f>IF(HLOOKUP("Mins",A1:CV300,104,FALSE)=0,0,HLOOKUP("BC Created",A1:CV300,104,FALSE)/HLOOKUP("Mins",A1:CV300,104,FALSE)* 90)</f>
        <v>0.22857142857142856</v>
      </c>
      <c r="BJ104" s="26270">
        <f>IF(HLOOKUP("Mins",A1:CV300,104,FALSE)=0,0,HLOOKUP("KP",A1:CV300,104,FALSE)/HLOOKUP("Mins",A1:CV300,104,FALSE)* 90)</f>
        <v>2.2285714285714286</v>
      </c>
      <c r="BK104" s="26271">
        <f>IF(HLOOKUP("Mins",A1:CV300,104,FALSE)=0,0,HLOOKUP("BC",A1:CV300,104,FALSE)/HLOOKUP("Mins",A1:CV300,104,FALSE)* 90)</f>
        <v>5.7142857142857141E-2</v>
      </c>
      <c r="BL104" s="26272">
        <f>IF(HLOOKUP("Mins",A1:CV300,104,FALSE)=0,0,HLOOKUP("BC Miss",A1:CV300,104,FALSE)/HLOOKUP("Mins",A1:CV300,104,FALSE)* 90)</f>
        <v>5.7142857142857141E-2</v>
      </c>
      <c r="BM104" s="26273">
        <f>IF(HLOOKUP("Mins",A1:CV300,104,FALSE)=0,0,HLOOKUP("Gs - BC",A1:CV300,104,FALSE)/HLOOKUP("Mins",A1:CV300,104,FALSE)* 90)</f>
        <v>0</v>
      </c>
      <c r="BN104" s="26274">
        <f>IF(HLOOKUP("Mins",A1:CV300,104,FALSE)=0,0,HLOOKUP("GIB",A1:CV300,104,FALSE)/HLOOKUP("Mins",A1:CV300,104,FALSE)* 90)</f>
        <v>0</v>
      </c>
      <c r="BO104" s="26275">
        <f>IF(HLOOKUP("Mins",A1:CV300,104,FALSE)=0,0,HLOOKUP("Gs - Open",A1:CV300,104,FALSE)/HLOOKUP("Mins",A1:CV300,104,FALSE)* 90)</f>
        <v>5.7142857142857141E-2</v>
      </c>
      <c r="BP104" s="26276">
        <f>IF(HLOOKUP("Mins",A1:CV300,104,FALSE)=0,0,HLOOKUP("ICT Index",A1:CV300,104,FALSE)/HLOOKUP("Mins",A1:CV300,104,FALSE)* 90)</f>
        <v>6.862857142857143</v>
      </c>
      <c r="BQ104" s="26277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  <v>0.13645714285714286</v>
      </c>
      <c r="BR104" s="26278">
        <f>0.0885*HLOOKUP("KP/90",A1:CV300,104,FALSE)</f>
        <v>0.19722857142857142</v>
      </c>
      <c r="BS104" s="26279">
        <f>5*HLOOKUP("xG/90",A1:CV300,104,FALSE)+3*HLOOKUP("xA/90",A1:CV300,104,FALSE)</f>
        <v>1.2739714285714285</v>
      </c>
      <c r="BT104" s="26280">
        <f>HLOOKUP("xPts/90",A1:CV300,104,FALSE)-(5*0.75*(HLOOKUP("PK Gs",A1:CV300,104,FALSE)+HLOOKUP("PK Miss",A1:CV300,104,FALSE))*90/HLOOKUP("Mins",A1:CV300,104,FALSE))</f>
        <v>1.2739714285714285</v>
      </c>
      <c r="BU104" s="26281">
        <f>IF(HLOOKUP("Mins",A1:CV300,104,FALSE)=0,0,HLOOKUP("fsXG",A1:CV300,104,FALSE)/HLOOKUP("Mins",A1:CV300,104,FALSE)* 90)</f>
        <v>0.10114285714285715</v>
      </c>
      <c r="BV104" s="26282">
        <f>IF(HLOOKUP("Mins",A1:CV300,104,FALSE)=0,0,HLOOKUP("fsXA",A1:CV300,104,FALSE)/HLOOKUP("Mins",A1:CV300,104,FALSE)* 90)</f>
        <v>0.17314285714285713</v>
      </c>
      <c r="BW104" s="26283">
        <f>5*HLOOKUP("fsXG/90",A1:CV300,104,FALSE)+3*HLOOKUP("fsXA/90",A1:CV300,104,FALSE)</f>
        <v>1.0251428571428571</v>
      </c>
      <c r="BX104" s="26284">
        <v>0.10511500388383865</v>
      </c>
      <c r="BY104" s="26285">
        <v>0.17736797034740448</v>
      </c>
      <c r="BZ104" s="26286">
        <f>5*HLOOKUP("uXG/90",A1:CV300,104,FALSE)+3*HLOOKUP("uXA/90",A1:CV300,104,FALSE)</f>
        <v>1.0576789304614067</v>
      </c>
    </row>
    <row r="105" spans="1:78" x14ac:dyDescent="0.3">
      <c r="A105" s="26287" t="s">
        <v>432</v>
      </c>
      <c r="B105" s="26288" t="s">
        <v>107</v>
      </c>
      <c r="C105" s="26289">
        <v>4.5</v>
      </c>
      <c r="D105" s="26290">
        <v>385</v>
      </c>
      <c r="E105" s="26291">
        <v>6</v>
      </c>
      <c r="F105" s="26292">
        <v>9</v>
      </c>
      <c r="G105" s="26293">
        <v>0</v>
      </c>
      <c r="H105" s="26294">
        <v>0</v>
      </c>
      <c r="I105" s="26295">
        <v>60</v>
      </c>
      <c r="J105" s="26296">
        <f>HLOOKUP("BPS",A1:CV300,105,FALSE)-((-6*HLOOKUP("OG",A1:CV300,105,FALSE))+(-6*HLOOKUP("PK Miss",A1:CV300,105,FALSE))+(9*HLOOKUP("FPL As",A1:CV300,105,FALSE))+(0*HLOOKUP("CS",A1:CV300,105,FALSE))+(18*HLOOKUP("Gs",A1:CV300,105,FALSE)))</f>
        <v>60</v>
      </c>
      <c r="K105" s="26297">
        <v>0</v>
      </c>
      <c r="L105" s="26298">
        <v>0</v>
      </c>
      <c r="M105" s="26299">
        <v>3</v>
      </c>
      <c r="N105" s="26300">
        <v>2</v>
      </c>
      <c r="O105" s="26301">
        <v>0</v>
      </c>
      <c r="P105" s="26302">
        <f>IF(HLOOKUP("Shots",A1:CV300,105,FALSE)=0,0,HLOOKUP("SIB",A1:CV300,105,FALSE)/HLOOKUP("Shots",A1:CV300,105,FALSE))</f>
        <v>0</v>
      </c>
      <c r="Q105" s="26303">
        <v>0</v>
      </c>
      <c r="R105" s="26304">
        <f>IF(HLOOKUP("Shots",A1:CV300,105,FALSE)=0,0,HLOOKUP("S6YD",A1:CV300,105,FALSE)/HLOOKUP("Shots",A1:CV300,105,FALSE))</f>
        <v>0</v>
      </c>
      <c r="S105" s="26305">
        <v>0</v>
      </c>
      <c r="T105" s="26306">
        <f>IF(HLOOKUP("Shots",A1:CV300,105,FALSE)=0,0,HLOOKUP("Headers",A1:CV300,105,FALSE)/HLOOKUP("Shots",A1:CV300,105,FALSE))</f>
        <v>0</v>
      </c>
      <c r="U105" s="26307">
        <v>0</v>
      </c>
      <c r="V105" s="26308">
        <f>IF(HLOOKUP("Shots",A1:CV300,105,FALSE)=0,0,HLOOKUP("SOT",A1:CV300,105,FALSE)/HLOOKUP("Shots",A1:CV300,105,FALSE))</f>
        <v>0</v>
      </c>
      <c r="W105" s="26309">
        <f>IF(HLOOKUP("Shots",A1:CV300,105,FALSE)=0,0,HLOOKUP("Gs",A1:CV300,105,FALSE)/HLOOKUP("Shots",A1:CV300,105,FALSE))</f>
        <v>0</v>
      </c>
      <c r="X105" s="26310">
        <v>0</v>
      </c>
      <c r="Y105" s="26311">
        <v>0</v>
      </c>
      <c r="Z105" s="26312">
        <v>1</v>
      </c>
      <c r="AA105" s="26313">
        <f>IF(HLOOKUP("KP",A1:CV300,105,FALSE)=0,0,HLOOKUP("As",A1:CV300,105,FALSE)/HLOOKUP("KP",A1:CV300,105,FALSE))</f>
        <v>0</v>
      </c>
      <c r="AB105" s="26314">
        <v>10.4</v>
      </c>
      <c r="AC105" s="26315">
        <v>0</v>
      </c>
      <c r="AD105" s="26316">
        <v>1</v>
      </c>
      <c r="AE105" s="26317">
        <v>0</v>
      </c>
      <c r="AF105" s="26318">
        <v>0</v>
      </c>
      <c r="AG105" s="26319">
        <f>IF(HLOOKUP("BC",A1:CV300,105,FALSE)=0,0,HLOOKUP("Gs - BC",A1:CV300,105,FALSE)/HLOOKUP("BC",A1:CV300,105,FALSE))</f>
        <v>0</v>
      </c>
      <c r="AH105" s="26320">
        <f>HLOOKUP("BC",A1:CV300,105,FALSE) - HLOOKUP("BC Miss",A1:CV300,105,FALSE)</f>
        <v>0</v>
      </c>
      <c r="AI105" s="26321">
        <f>IF(HLOOKUP("Gs",A1:CV300,105,FALSE)=0,0,HLOOKUP("Gs - BC",A1:CV300,105,FALSE)/HLOOKUP("Gs",A1:CV300,105,FALSE))</f>
        <v>0</v>
      </c>
      <c r="AJ105" s="26322">
        <v>0</v>
      </c>
      <c r="AK105" s="26323">
        <v>0</v>
      </c>
      <c r="AL105" s="26324">
        <f>HLOOKUP("BC",A1:CV300,105,FALSE) - (HLOOKUP("PK Gs",A1:CV300,105,FALSE) + HLOOKUP("PK Miss",A1:CV300,105,FALSE))</f>
        <v>0</v>
      </c>
      <c r="AM105" s="26325">
        <f>HLOOKUP("BC Miss",A1:CV300,105,FALSE) - HLOOKUP("PK Miss",A1:CV300,105,FALSE)</f>
        <v>0</v>
      </c>
      <c r="AN105" s="26326">
        <f>IF(HLOOKUP("BC - Open",A1:CV300,105,FALSE)=0,0,HLOOKUP("BC - Open Miss",A1:CV300,105,FALSE)/HLOOKUP("BC - Open",A1:CV300,105,FALSE))</f>
        <v>0</v>
      </c>
      <c r="AO105" s="26327">
        <v>0</v>
      </c>
      <c r="AP105" s="26328">
        <f>IF(HLOOKUP("Gs",A1:CV300,105,FALSE)=0,0,HLOOKUP("GIB",A1:CV300,105,FALSE)/HLOOKUP("Gs",A1:CV300,105,FALSE))</f>
        <v>0</v>
      </c>
      <c r="AQ105" s="26329">
        <v>0</v>
      </c>
      <c r="AR105" s="26330">
        <f>IF(HLOOKUP("Gs",A1:CV300,105,FALSE)=0,0,HLOOKUP("Gs - Open",A1:CV300,105,FALSE)/HLOOKUP("Gs",A1:CV300,105,FALSE))</f>
        <v>0</v>
      </c>
      <c r="AS105" s="26331">
        <v>0.05</v>
      </c>
      <c r="AT105" s="26332">
        <v>0.19</v>
      </c>
      <c r="AU105" s="26333">
        <f>IF(HLOOKUP("Mins",A1:CV300,105,FALSE)=0,0,HLOOKUP("Pts",A1:CV300,105,FALSE)/HLOOKUP("Mins",A1:CV300,105,FALSE)* 90)</f>
        <v>2.1038961038961039</v>
      </c>
      <c r="AV105" s="26334">
        <f>IF(HLOOKUP("Apps",A1:CV300,105,FALSE)=0,0,HLOOKUP("Pts",A1:CV300,105,FALSE)/HLOOKUP("Apps",A1:CV300,105,FALSE)* 1)</f>
        <v>1.5</v>
      </c>
      <c r="AW105" s="26335">
        <f>IF(HLOOKUP("Mins",A1:CV300,105,FALSE)=0,0,HLOOKUP("Gs",A1:CV300,105,FALSE)/HLOOKUP("Mins",A1:CV300,105,FALSE)* 90)</f>
        <v>0</v>
      </c>
      <c r="AX105" s="26336">
        <f>IF(HLOOKUP("Mins",A1:CV300,105,FALSE)=0,0,HLOOKUP("Bonus",A1:CV300,105,FALSE)/HLOOKUP("Mins",A1:CV300,105,FALSE)* 90)</f>
        <v>0</v>
      </c>
      <c r="AY105" s="26337">
        <f>IF(HLOOKUP("Mins",A1:CV300,105,FALSE)=0,0,HLOOKUP("BPS",A1:CV300,105,FALSE)/HLOOKUP("Mins",A1:CV300,105,FALSE)* 90)</f>
        <v>14.025974025974026</v>
      </c>
      <c r="AZ105" s="26338">
        <f>IF(HLOOKUP("Mins",A1:CV300,105,FALSE)=0,0,HLOOKUP("Base BPS",A1:CV300,105,FALSE)/HLOOKUP("Mins",A1:CV300,105,FALSE)* 90)</f>
        <v>14.025974025974026</v>
      </c>
      <c r="BA105" s="26339">
        <f>IF(HLOOKUP("Mins",A1:CV300,105,FALSE)=0,0,HLOOKUP("PenTchs",A1:CV300,105,FALSE)/HLOOKUP("Mins",A1:CV300,105,FALSE)* 90)</f>
        <v>0.70129870129870131</v>
      </c>
      <c r="BB105" s="26340">
        <f>IF(HLOOKUP("Mins",A1:CV300,105,FALSE)=0,0,HLOOKUP("Shots",A1:CV300,105,FALSE)/HLOOKUP("Mins",A1:CV300,105,FALSE)* 90)</f>
        <v>0.46753246753246752</v>
      </c>
      <c r="BC105" s="26341">
        <f>IF(HLOOKUP("Mins",A1:CV300,105,FALSE)=0,0,HLOOKUP("SIB",A1:CV300,105,FALSE)/HLOOKUP("Mins",A1:CV300,105,FALSE)* 90)</f>
        <v>0</v>
      </c>
      <c r="BD105" s="26342">
        <f>IF(HLOOKUP("Mins",A1:CV300,105,FALSE)=0,0,HLOOKUP("S6YD",A1:CV300,105,FALSE)/HLOOKUP("Mins",A1:CV300,105,FALSE)* 90)</f>
        <v>0</v>
      </c>
      <c r="BE105" s="26343">
        <f>IF(HLOOKUP("Mins",A1:CV300,105,FALSE)=0,0,HLOOKUP("Headers",A1:CV300,105,FALSE)/HLOOKUP("Mins",A1:CV300,105,FALSE)* 90)</f>
        <v>0</v>
      </c>
      <c r="BF105" s="26344">
        <f>IF(HLOOKUP("Mins",A1:CV300,105,FALSE)=0,0,HLOOKUP("SOT",A1:CV300,105,FALSE)/HLOOKUP("Mins",A1:CV300,105,FALSE)* 90)</f>
        <v>0</v>
      </c>
      <c r="BG105" s="26345">
        <f>IF(HLOOKUP("Mins",A1:CV300,105,FALSE)=0,0,HLOOKUP("As",A1:CV300,105,FALSE)/HLOOKUP("Mins",A1:CV300,105,FALSE)* 90)</f>
        <v>0</v>
      </c>
      <c r="BH105" s="26346">
        <f>IF(HLOOKUP("Mins",A1:CV300,105,FALSE)=0,0,HLOOKUP("FPL As",A1:CV300,105,FALSE)/HLOOKUP("Mins",A1:CV300,105,FALSE)* 90)</f>
        <v>0</v>
      </c>
      <c r="BI105" s="26347">
        <f>IF(HLOOKUP("Mins",A1:CV300,105,FALSE)=0,0,HLOOKUP("BC Created",A1:CV300,105,FALSE)/HLOOKUP("Mins",A1:CV300,105,FALSE)* 90)</f>
        <v>0.23376623376623376</v>
      </c>
      <c r="BJ105" s="26348">
        <f>IF(HLOOKUP("Mins",A1:CV300,105,FALSE)=0,0,HLOOKUP("KP",A1:CV300,105,FALSE)/HLOOKUP("Mins",A1:CV300,105,FALSE)* 90)</f>
        <v>0.23376623376623376</v>
      </c>
      <c r="BK105" s="26349">
        <f>IF(HLOOKUP("Mins",A1:CV300,105,FALSE)=0,0,HLOOKUP("BC",A1:CV300,105,FALSE)/HLOOKUP("Mins",A1:CV300,105,FALSE)* 90)</f>
        <v>0</v>
      </c>
      <c r="BL105" s="26350">
        <f>IF(HLOOKUP("Mins",A1:CV300,105,FALSE)=0,0,HLOOKUP("BC Miss",A1:CV300,105,FALSE)/HLOOKUP("Mins",A1:CV300,105,FALSE)* 90)</f>
        <v>0</v>
      </c>
      <c r="BM105" s="26351">
        <f>IF(HLOOKUP("Mins",A1:CV300,105,FALSE)=0,0,HLOOKUP("Gs - BC",A1:CV300,105,FALSE)/HLOOKUP("Mins",A1:CV300,105,FALSE)* 90)</f>
        <v>0</v>
      </c>
      <c r="BN105" s="26352">
        <f>IF(HLOOKUP("Mins",A1:CV300,105,FALSE)=0,0,HLOOKUP("GIB",A1:CV300,105,FALSE)/HLOOKUP("Mins",A1:CV300,105,FALSE)* 90)</f>
        <v>0</v>
      </c>
      <c r="BO105" s="26353">
        <f>IF(HLOOKUP("Mins",A1:CV300,105,FALSE)=0,0,HLOOKUP("Gs - Open",A1:CV300,105,FALSE)/HLOOKUP("Mins",A1:CV300,105,FALSE)* 90)</f>
        <v>0</v>
      </c>
      <c r="BP105" s="26354">
        <f>IF(HLOOKUP("Mins",A1:CV300,105,FALSE)=0,0,HLOOKUP("ICT Index",A1:CV300,105,FALSE)/HLOOKUP("Mins",A1:CV300,105,FALSE)* 90)</f>
        <v>2.4311688311688311</v>
      </c>
      <c r="BQ105" s="26355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  <v>1.6831168831168832E-2</v>
      </c>
      <c r="BR105" s="26356">
        <f>0.0885*HLOOKUP("KP/90",A1:CV300,105,FALSE)</f>
        <v>2.0688311688311686E-2</v>
      </c>
      <c r="BS105" s="26357">
        <f>5*HLOOKUP("xG/90",A1:CV300,105,FALSE)+3*HLOOKUP("xA/90",A1:CV300,105,FALSE)</f>
        <v>0.14622077922077922</v>
      </c>
      <c r="BT105" s="26358">
        <f>HLOOKUP("xPts/90",A1:CV300,105,FALSE)-(5*0.75*(HLOOKUP("PK Gs",A1:CV300,105,FALSE)+HLOOKUP("PK Miss",A1:CV300,105,FALSE))*90/HLOOKUP("Mins",A1:CV300,105,FALSE))</f>
        <v>0.14622077922077922</v>
      </c>
      <c r="BU105" s="26359">
        <f>IF(HLOOKUP("Mins",A1:CV300,105,FALSE)=0,0,HLOOKUP("fsXG",A1:CV300,105,FALSE)/HLOOKUP("Mins",A1:CV300,105,FALSE)* 90)</f>
        <v>1.1688311688311689E-2</v>
      </c>
      <c r="BV105" s="26360">
        <f>IF(HLOOKUP("Mins",A1:CV300,105,FALSE)=0,0,HLOOKUP("fsXA",A1:CV300,105,FALSE)/HLOOKUP("Mins",A1:CV300,105,FALSE)* 90)</f>
        <v>4.4415584415584415E-2</v>
      </c>
      <c r="BW105" s="26361">
        <f>5*HLOOKUP("fsXG/90",A1:CV300,105,FALSE)+3*HLOOKUP("fsXA/90",A1:CV300,105,FALSE)</f>
        <v>0.19168831168831169</v>
      </c>
      <c r="BX105" s="26362">
        <v>6.8805934861302376E-3</v>
      </c>
      <c r="BY105" s="26363">
        <v>9.3024522066116333E-2</v>
      </c>
      <c r="BZ105" s="26364">
        <f>5*HLOOKUP("uXG/90",A1:CV300,105,FALSE)+3*HLOOKUP("uXA/90",A1:CV300,105,FALSE)</f>
        <v>0.31347653362900019</v>
      </c>
    </row>
    <row r="106" spans="1:78" x14ac:dyDescent="0.3">
      <c r="A106" s="26365" t="s">
        <v>433</v>
      </c>
      <c r="B106" s="26366" t="s">
        <v>113</v>
      </c>
      <c r="C106" s="26367">
        <v>4.5</v>
      </c>
      <c r="D106" s="26368">
        <v>31</v>
      </c>
      <c r="E106" s="26369">
        <v>2</v>
      </c>
      <c r="F106" s="26370">
        <v>2</v>
      </c>
      <c r="G106" s="26371">
        <v>0</v>
      </c>
      <c r="H106" s="26372">
        <v>0</v>
      </c>
      <c r="I106" s="26373">
        <v>10</v>
      </c>
      <c r="J106" s="26374">
        <f>HLOOKUP("BPS",A1:CV300,106,FALSE)-((-6*HLOOKUP("OG",A1:CV300,106,FALSE))+(-6*HLOOKUP("PK Miss",A1:CV300,106,FALSE))+(9*HLOOKUP("FPL As",A1:CV300,106,FALSE))+(0*HLOOKUP("CS",A1:CV300,106,FALSE))+(18*HLOOKUP("Gs",A1:CV300,106,FALSE)))</f>
        <v>10</v>
      </c>
      <c r="K106" s="26375">
        <v>0</v>
      </c>
      <c r="L106" s="26376">
        <v>0</v>
      </c>
      <c r="M106" s="26377">
        <v>1</v>
      </c>
      <c r="N106" s="26378">
        <v>1</v>
      </c>
      <c r="O106" s="26379">
        <v>0</v>
      </c>
      <c r="P106" s="26380">
        <f>IF(HLOOKUP("Shots",A1:CV300,106,FALSE)=0,0,HLOOKUP("SIB",A1:CV300,106,FALSE)/HLOOKUP("Shots",A1:CV300,106,FALSE))</f>
        <v>0</v>
      </c>
      <c r="Q106" s="26381">
        <v>0</v>
      </c>
      <c r="R106" s="26382">
        <f>IF(HLOOKUP("Shots",A1:CV300,106,FALSE)=0,0,HLOOKUP("S6YD",A1:CV300,106,FALSE)/HLOOKUP("Shots",A1:CV300,106,FALSE))</f>
        <v>0</v>
      </c>
      <c r="S106" s="26383">
        <v>0</v>
      </c>
      <c r="T106" s="26384">
        <f>IF(HLOOKUP("Shots",A1:CV300,106,FALSE)=0,0,HLOOKUP("Headers",A1:CV300,106,FALSE)/HLOOKUP("Shots",A1:CV300,106,FALSE))</f>
        <v>0</v>
      </c>
      <c r="U106" s="26385">
        <v>1</v>
      </c>
      <c r="V106" s="26386">
        <f>IF(HLOOKUP("Shots",A1:CV300,106,FALSE)=0,0,HLOOKUP("SOT",A1:CV300,106,FALSE)/HLOOKUP("Shots",A1:CV300,106,FALSE))</f>
        <v>1</v>
      </c>
      <c r="W106" s="26387">
        <f>IF(HLOOKUP("Shots",A1:CV300,106,FALSE)=0,0,HLOOKUP("Gs",A1:CV300,106,FALSE)/HLOOKUP("Shots",A1:CV300,106,FALSE))</f>
        <v>0</v>
      </c>
      <c r="X106" s="26388">
        <v>0</v>
      </c>
      <c r="Y106" s="26389">
        <v>0</v>
      </c>
      <c r="Z106" s="26390">
        <v>0</v>
      </c>
      <c r="AA106" s="26391">
        <f>IF(HLOOKUP("KP",A1:CV300,106,FALSE)=0,0,HLOOKUP("As",A1:CV300,106,FALSE)/HLOOKUP("KP",A1:CV300,106,FALSE))</f>
        <v>0</v>
      </c>
      <c r="AB106" s="26392">
        <v>2.5</v>
      </c>
      <c r="AC106" s="26393">
        <v>0</v>
      </c>
      <c r="AD106" s="26394">
        <v>0</v>
      </c>
      <c r="AE106" s="26395">
        <v>0</v>
      </c>
      <c r="AF106" s="26396">
        <v>0</v>
      </c>
      <c r="AG106" s="26397">
        <f>IF(HLOOKUP("BC",A1:CV300,106,FALSE)=0,0,HLOOKUP("Gs - BC",A1:CV300,106,FALSE)/HLOOKUP("BC",A1:CV300,106,FALSE))</f>
        <v>0</v>
      </c>
      <c r="AH106" s="26398">
        <f>HLOOKUP("BC",A1:CV300,106,FALSE) - HLOOKUP("BC Miss",A1:CV300,106,FALSE)</f>
        <v>0</v>
      </c>
      <c r="AI106" s="26399">
        <f>IF(HLOOKUP("Gs",A1:CV300,106,FALSE)=0,0,HLOOKUP("Gs - BC",A1:CV300,106,FALSE)/HLOOKUP("Gs",A1:CV300,106,FALSE))</f>
        <v>0</v>
      </c>
      <c r="AJ106" s="26400">
        <v>0</v>
      </c>
      <c r="AK106" s="26401">
        <v>0</v>
      </c>
      <c r="AL106" s="26402">
        <f>HLOOKUP("BC",A1:CV300,106,FALSE) - (HLOOKUP("PK Gs",A1:CV300,106,FALSE) + HLOOKUP("PK Miss",A1:CV300,106,FALSE))</f>
        <v>0</v>
      </c>
      <c r="AM106" s="26403">
        <f>HLOOKUP("BC Miss",A1:CV300,106,FALSE) - HLOOKUP("PK Miss",A1:CV300,106,FALSE)</f>
        <v>0</v>
      </c>
      <c r="AN106" s="26404">
        <f>IF(HLOOKUP("BC - Open",A1:CV300,106,FALSE)=0,0,HLOOKUP("BC - Open Miss",A1:CV300,106,FALSE)/HLOOKUP("BC - Open",A1:CV300,106,FALSE))</f>
        <v>0</v>
      </c>
      <c r="AO106" s="26405">
        <v>0</v>
      </c>
      <c r="AP106" s="26406">
        <f>IF(HLOOKUP("Gs",A1:CV300,106,FALSE)=0,0,HLOOKUP("GIB",A1:CV300,106,FALSE)/HLOOKUP("Gs",A1:CV300,106,FALSE))</f>
        <v>0</v>
      </c>
      <c r="AQ106" s="26407">
        <v>0</v>
      </c>
      <c r="AR106" s="26408">
        <f>IF(HLOOKUP("Gs",A1:CV300,106,FALSE)=0,0,HLOOKUP("Gs - Open",A1:CV300,106,FALSE)/HLOOKUP("Gs",A1:CV300,106,FALSE))</f>
        <v>0</v>
      </c>
      <c r="AS106" s="26409">
        <v>0.02</v>
      </c>
      <c r="AT106" s="26410">
        <v>0.01</v>
      </c>
      <c r="AU106" s="26411">
        <f>IF(HLOOKUP("Mins",A1:CV300,106,FALSE)=0,0,HLOOKUP("Pts",A1:CV300,106,FALSE)/HLOOKUP("Mins",A1:CV300,106,FALSE)* 90)</f>
        <v>5.806451612903226</v>
      </c>
      <c r="AV106" s="26412">
        <f>IF(HLOOKUP("Apps",A1:CV300,106,FALSE)=0,0,HLOOKUP("Pts",A1:CV300,106,FALSE)/HLOOKUP("Apps",A1:CV300,106,FALSE)* 1)</f>
        <v>1</v>
      </c>
      <c r="AW106" s="26413">
        <f>IF(HLOOKUP("Mins",A1:CV300,106,FALSE)=0,0,HLOOKUP("Gs",A1:CV300,106,FALSE)/HLOOKUP("Mins",A1:CV300,106,FALSE)* 90)</f>
        <v>0</v>
      </c>
      <c r="AX106" s="26414">
        <f>IF(HLOOKUP("Mins",A1:CV300,106,FALSE)=0,0,HLOOKUP("Bonus",A1:CV300,106,FALSE)/HLOOKUP("Mins",A1:CV300,106,FALSE)* 90)</f>
        <v>0</v>
      </c>
      <c r="AY106" s="26415">
        <f>IF(HLOOKUP("Mins",A1:CV300,106,FALSE)=0,0,HLOOKUP("BPS",A1:CV300,106,FALSE)/HLOOKUP("Mins",A1:CV300,106,FALSE)* 90)</f>
        <v>29.032258064516128</v>
      </c>
      <c r="AZ106" s="26416">
        <f>IF(HLOOKUP("Mins",A1:CV300,106,FALSE)=0,0,HLOOKUP("Base BPS",A1:CV300,106,FALSE)/HLOOKUP("Mins",A1:CV300,106,FALSE)* 90)</f>
        <v>29.032258064516128</v>
      </c>
      <c r="BA106" s="26417">
        <f>IF(HLOOKUP("Mins",A1:CV300,106,FALSE)=0,0,HLOOKUP("PenTchs",A1:CV300,106,FALSE)/HLOOKUP("Mins",A1:CV300,106,FALSE)* 90)</f>
        <v>2.903225806451613</v>
      </c>
      <c r="BB106" s="26418">
        <f>IF(HLOOKUP("Mins",A1:CV300,106,FALSE)=0,0,HLOOKUP("Shots",A1:CV300,106,FALSE)/HLOOKUP("Mins",A1:CV300,106,FALSE)* 90)</f>
        <v>2.903225806451613</v>
      </c>
      <c r="BC106" s="26419">
        <f>IF(HLOOKUP("Mins",A1:CV300,106,FALSE)=0,0,HLOOKUP("SIB",A1:CV300,106,FALSE)/HLOOKUP("Mins",A1:CV300,106,FALSE)* 90)</f>
        <v>0</v>
      </c>
      <c r="BD106" s="26420">
        <f>IF(HLOOKUP("Mins",A1:CV300,106,FALSE)=0,0,HLOOKUP("S6YD",A1:CV300,106,FALSE)/HLOOKUP("Mins",A1:CV300,106,FALSE)* 90)</f>
        <v>0</v>
      </c>
      <c r="BE106" s="26421">
        <f>IF(HLOOKUP("Mins",A1:CV300,106,FALSE)=0,0,HLOOKUP("Headers",A1:CV300,106,FALSE)/HLOOKUP("Mins",A1:CV300,106,FALSE)* 90)</f>
        <v>0</v>
      </c>
      <c r="BF106" s="26422">
        <f>IF(HLOOKUP("Mins",A1:CV300,106,FALSE)=0,0,HLOOKUP("SOT",A1:CV300,106,FALSE)/HLOOKUP("Mins",A1:CV300,106,FALSE)* 90)</f>
        <v>2.903225806451613</v>
      </c>
      <c r="BG106" s="26423">
        <f>IF(HLOOKUP("Mins",A1:CV300,106,FALSE)=0,0,HLOOKUP("As",A1:CV300,106,FALSE)/HLOOKUP("Mins",A1:CV300,106,FALSE)* 90)</f>
        <v>0</v>
      </c>
      <c r="BH106" s="26424">
        <f>IF(HLOOKUP("Mins",A1:CV300,106,FALSE)=0,0,HLOOKUP("FPL As",A1:CV300,106,FALSE)/HLOOKUP("Mins",A1:CV300,106,FALSE)* 90)</f>
        <v>0</v>
      </c>
      <c r="BI106" s="26425">
        <f>IF(HLOOKUP("Mins",A1:CV300,106,FALSE)=0,0,HLOOKUP("BC Created",A1:CV300,106,FALSE)/HLOOKUP("Mins",A1:CV300,106,FALSE)* 90)</f>
        <v>0</v>
      </c>
      <c r="BJ106" s="26426">
        <f>IF(HLOOKUP("Mins",A1:CV300,106,FALSE)=0,0,HLOOKUP("KP",A1:CV300,106,FALSE)/HLOOKUP("Mins",A1:CV300,106,FALSE)* 90)</f>
        <v>0</v>
      </c>
      <c r="BK106" s="26427">
        <f>IF(HLOOKUP("Mins",A1:CV300,106,FALSE)=0,0,HLOOKUP("BC",A1:CV300,106,FALSE)/HLOOKUP("Mins",A1:CV300,106,FALSE)* 90)</f>
        <v>0</v>
      </c>
      <c r="BL106" s="26428">
        <f>IF(HLOOKUP("Mins",A1:CV300,106,FALSE)=0,0,HLOOKUP("BC Miss",A1:CV300,106,FALSE)/HLOOKUP("Mins",A1:CV300,106,FALSE)* 90)</f>
        <v>0</v>
      </c>
      <c r="BM106" s="26429">
        <f>IF(HLOOKUP("Mins",A1:CV300,106,FALSE)=0,0,HLOOKUP("Gs - BC",A1:CV300,106,FALSE)/HLOOKUP("Mins",A1:CV300,106,FALSE)* 90)</f>
        <v>0</v>
      </c>
      <c r="BN106" s="26430">
        <f>IF(HLOOKUP("Mins",A1:CV300,106,FALSE)=0,0,HLOOKUP("GIB",A1:CV300,106,FALSE)/HLOOKUP("Mins",A1:CV300,106,FALSE)* 90)</f>
        <v>0</v>
      </c>
      <c r="BO106" s="26431">
        <f>IF(HLOOKUP("Mins",A1:CV300,106,FALSE)=0,0,HLOOKUP("Gs - Open",A1:CV300,106,FALSE)/HLOOKUP("Mins",A1:CV300,106,FALSE)* 90)</f>
        <v>0</v>
      </c>
      <c r="BP106" s="26432">
        <f>IF(HLOOKUP("Mins",A1:CV300,106,FALSE)=0,0,HLOOKUP("ICT Index",A1:CV300,106,FALSE)/HLOOKUP("Mins",A1:CV300,106,FALSE)* 90)</f>
        <v>7.258064516129032</v>
      </c>
      <c r="BQ106" s="26433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  <v>0.10451612903225806</v>
      </c>
      <c r="BR106" s="26434">
        <f>0.0885*HLOOKUP("KP/90",A1:CV300,106,FALSE)</f>
        <v>0</v>
      </c>
      <c r="BS106" s="26435">
        <f>5*HLOOKUP("xG/90",A1:CV300,106,FALSE)+3*HLOOKUP("xA/90",A1:CV300,106,FALSE)</f>
        <v>0.52258064516129032</v>
      </c>
      <c r="BT106" s="26436">
        <f>HLOOKUP("xPts/90",A1:CV300,106,FALSE)-(5*0.75*(HLOOKUP("PK Gs",A1:CV300,106,FALSE)+HLOOKUP("PK Miss",A1:CV300,106,FALSE))*90/HLOOKUP("Mins",A1:CV300,106,FALSE))</f>
        <v>0.52258064516129032</v>
      </c>
      <c r="BU106" s="26437">
        <f>IF(HLOOKUP("Mins",A1:CV300,106,FALSE)=0,0,HLOOKUP("fsXG",A1:CV300,106,FALSE)/HLOOKUP("Mins",A1:CV300,106,FALSE)* 90)</f>
        <v>5.8064516129032261E-2</v>
      </c>
      <c r="BV106" s="26438">
        <f>IF(HLOOKUP("Mins",A1:CV300,106,FALSE)=0,0,HLOOKUP("fsXA",A1:CV300,106,FALSE)/HLOOKUP("Mins",A1:CV300,106,FALSE)* 90)</f>
        <v>2.903225806451613E-2</v>
      </c>
      <c r="BW106" s="26439">
        <f>5*HLOOKUP("fsXG/90",A1:CV300,106,FALSE)+3*HLOOKUP("fsXA/90",A1:CV300,106,FALSE)</f>
        <v>0.3774193548387097</v>
      </c>
      <c r="BX106" s="26440">
        <v>3.666381910443306E-2</v>
      </c>
      <c r="BY106" s="26441">
        <v>0</v>
      </c>
      <c r="BZ106" s="26442">
        <f>5*HLOOKUP("uXG/90",A1:CV300,106,FALSE)+3*HLOOKUP("uXA/90",A1:CV300,106,FALSE)</f>
        <v>0.1833190955221653</v>
      </c>
    </row>
    <row r="107" spans="1:78" x14ac:dyDescent="0.3">
      <c r="A107" s="26443" t="s">
        <v>434</v>
      </c>
      <c r="B107" s="26444" t="s">
        <v>89</v>
      </c>
      <c r="C107" s="26445">
        <v>5.6999998092651367</v>
      </c>
      <c r="D107" s="26446">
        <v>659</v>
      </c>
      <c r="E107" s="26447">
        <v>12</v>
      </c>
      <c r="F107" s="26448">
        <v>35</v>
      </c>
      <c r="G107" s="26449">
        <v>2</v>
      </c>
      <c r="H107" s="26450">
        <v>2</v>
      </c>
      <c r="I107" s="26451">
        <v>141</v>
      </c>
      <c r="J107" s="26452">
        <f>HLOOKUP("BPS",A1:CV300,107,FALSE)-((-6*HLOOKUP("OG",A1:CV300,107,FALSE))+(-6*HLOOKUP("PK Miss",A1:CV300,107,FALSE))+(9*HLOOKUP("FPL As",A1:CV300,107,FALSE))+(0*HLOOKUP("CS",A1:CV300,107,FALSE))+(18*HLOOKUP("Gs",A1:CV300,107,FALSE)))</f>
        <v>87</v>
      </c>
      <c r="K107" s="26453">
        <v>0</v>
      </c>
      <c r="L107" s="26454">
        <v>1</v>
      </c>
      <c r="M107" s="26455">
        <v>16</v>
      </c>
      <c r="N107" s="26456">
        <v>14</v>
      </c>
      <c r="O107" s="26457">
        <v>4</v>
      </c>
      <c r="P107" s="26458">
        <f>IF(HLOOKUP("Shots",A1:CV300,107,FALSE)=0,0,HLOOKUP("SIB",A1:CV300,107,FALSE)/HLOOKUP("Shots",A1:CV300,107,FALSE))</f>
        <v>0.2857142857142857</v>
      </c>
      <c r="Q107" s="26459">
        <v>0</v>
      </c>
      <c r="R107" s="26460">
        <f>IF(HLOOKUP("Shots",A1:CV300,107,FALSE)=0,0,HLOOKUP("S6YD",A1:CV300,107,FALSE)/HLOOKUP("Shots",A1:CV300,107,FALSE))</f>
        <v>0</v>
      </c>
      <c r="S107" s="26461">
        <v>0</v>
      </c>
      <c r="T107" s="26462">
        <f>IF(HLOOKUP("Shots",A1:CV300,107,FALSE)=0,0,HLOOKUP("Headers",A1:CV300,107,FALSE)/HLOOKUP("Shots",A1:CV300,107,FALSE))</f>
        <v>0</v>
      </c>
      <c r="U107" s="26463">
        <v>5</v>
      </c>
      <c r="V107" s="26464">
        <f>IF(HLOOKUP("Shots",A1:CV300,107,FALSE)=0,0,HLOOKUP("SOT",A1:CV300,107,FALSE)/HLOOKUP("Shots",A1:CV300,107,FALSE))</f>
        <v>0.35714285714285715</v>
      </c>
      <c r="W107" s="26465">
        <f>IF(HLOOKUP("Shots",A1:CV300,107,FALSE)=0,0,HLOOKUP("Gs",A1:CV300,107,FALSE)/HLOOKUP("Shots",A1:CV300,107,FALSE))</f>
        <v>0.14285714285714285</v>
      </c>
      <c r="X107" s="26466">
        <v>1</v>
      </c>
      <c r="Y107" s="26467">
        <v>2</v>
      </c>
      <c r="Z107" s="26468">
        <v>14</v>
      </c>
      <c r="AA107" s="26469">
        <f>IF(HLOOKUP("KP",A1:CV300,107,FALSE)=0,0,HLOOKUP("As",A1:CV300,107,FALSE)/HLOOKUP("KP",A1:CV300,107,FALSE))</f>
        <v>7.1428571428571425E-2</v>
      </c>
      <c r="AB107" s="26470">
        <v>52.2</v>
      </c>
      <c r="AC107" s="26471">
        <v>31</v>
      </c>
      <c r="AD107" s="26472">
        <v>0</v>
      </c>
      <c r="AE107" s="26473">
        <v>1</v>
      </c>
      <c r="AF107" s="26474">
        <v>0</v>
      </c>
      <c r="AG107" s="26475">
        <f>IF(HLOOKUP("BC",A1:CV300,107,FALSE)=0,0,HLOOKUP("Gs - BC",A1:CV300,107,FALSE)/HLOOKUP("BC",A1:CV300,107,FALSE))</f>
        <v>1</v>
      </c>
      <c r="AH107" s="26476">
        <f>HLOOKUP("BC",A1:CV300,107,FALSE) - HLOOKUP("BC Miss",A1:CV300,107,FALSE)</f>
        <v>1</v>
      </c>
      <c r="AI107" s="26477">
        <f>IF(HLOOKUP("Gs",A1:CV300,107,FALSE)=0,0,HLOOKUP("Gs - BC",A1:CV300,107,FALSE)/HLOOKUP("Gs",A1:CV300,107,FALSE))</f>
        <v>0.5</v>
      </c>
      <c r="AJ107" s="26478">
        <v>0</v>
      </c>
      <c r="AK107" s="26479">
        <v>0</v>
      </c>
      <c r="AL107" s="26480">
        <f>HLOOKUP("BC",A1:CV300,107,FALSE) - (HLOOKUP("PK Gs",A1:CV300,107,FALSE) + HLOOKUP("PK Miss",A1:CV300,107,FALSE))</f>
        <v>1</v>
      </c>
      <c r="AM107" s="26481">
        <f>HLOOKUP("BC Miss",A1:CV300,107,FALSE) - HLOOKUP("PK Miss",A1:CV300,107,FALSE)</f>
        <v>0</v>
      </c>
      <c r="AN107" s="26482">
        <f>IF(HLOOKUP("BC - Open",A1:CV300,107,FALSE)=0,0,HLOOKUP("BC - Open Miss",A1:CV300,107,FALSE)/HLOOKUP("BC - Open",A1:CV300,107,FALSE))</f>
        <v>0</v>
      </c>
      <c r="AO107" s="26483">
        <v>1</v>
      </c>
      <c r="AP107" s="26484">
        <f>IF(HLOOKUP("Gs",A1:CV300,107,FALSE)=0,0,HLOOKUP("GIB",A1:CV300,107,FALSE)/HLOOKUP("Gs",A1:CV300,107,FALSE))</f>
        <v>0.5</v>
      </c>
      <c r="AQ107" s="26485">
        <v>1</v>
      </c>
      <c r="AR107" s="26486">
        <f>IF(HLOOKUP("Gs",A1:CV300,107,FALSE)=0,0,HLOOKUP("Gs - Open",A1:CV300,107,FALSE)/HLOOKUP("Gs",A1:CV300,107,FALSE))</f>
        <v>0.5</v>
      </c>
      <c r="AS107" s="26487">
        <v>1.1000000000000001</v>
      </c>
      <c r="AT107" s="26488">
        <v>0.93</v>
      </c>
      <c r="AU107" s="26489">
        <f>IF(HLOOKUP("Mins",A1:CV300,107,FALSE)=0,0,HLOOKUP("Pts",A1:CV300,107,FALSE)/HLOOKUP("Mins",A1:CV300,107,FALSE)* 90)</f>
        <v>4.7799696509863425</v>
      </c>
      <c r="AV107" s="26490">
        <f>IF(HLOOKUP("Apps",A1:CV300,107,FALSE)=0,0,HLOOKUP("Pts",A1:CV300,107,FALSE)/HLOOKUP("Apps",A1:CV300,107,FALSE)* 1)</f>
        <v>2.9166666666666665</v>
      </c>
      <c r="AW107" s="26491">
        <f>IF(HLOOKUP("Mins",A1:CV300,107,FALSE)=0,0,HLOOKUP("Gs",A1:CV300,107,FALSE)/HLOOKUP("Mins",A1:CV300,107,FALSE)* 90)</f>
        <v>0.27314112291350534</v>
      </c>
      <c r="AX107" s="26492">
        <f>IF(HLOOKUP("Mins",A1:CV300,107,FALSE)=0,0,HLOOKUP("Bonus",A1:CV300,107,FALSE)/HLOOKUP("Mins",A1:CV300,107,FALSE)* 90)</f>
        <v>0.27314112291350534</v>
      </c>
      <c r="AY107" s="26493">
        <f>IF(HLOOKUP("Mins",A1:CV300,107,FALSE)=0,0,HLOOKUP("BPS",A1:CV300,107,FALSE)/HLOOKUP("Mins",A1:CV300,107,FALSE)* 90)</f>
        <v>19.256449165402124</v>
      </c>
      <c r="AZ107" s="26494">
        <f>IF(HLOOKUP("Mins",A1:CV300,107,FALSE)=0,0,HLOOKUP("Base BPS",A1:CV300,107,FALSE)/HLOOKUP("Mins",A1:CV300,107,FALSE)* 90)</f>
        <v>11.881638846737481</v>
      </c>
      <c r="BA107" s="26495">
        <f>IF(HLOOKUP("Mins",A1:CV300,107,FALSE)=0,0,HLOOKUP("PenTchs",A1:CV300,107,FALSE)/HLOOKUP("Mins",A1:CV300,107,FALSE)* 90)</f>
        <v>2.1851289833080427</v>
      </c>
      <c r="BB107" s="26496">
        <f>IF(HLOOKUP("Mins",A1:CV300,107,FALSE)=0,0,HLOOKUP("Shots",A1:CV300,107,FALSE)/HLOOKUP("Mins",A1:CV300,107,FALSE)* 90)</f>
        <v>1.9119878603945373</v>
      </c>
      <c r="BC107" s="26497">
        <f>IF(HLOOKUP("Mins",A1:CV300,107,FALSE)=0,0,HLOOKUP("SIB",A1:CV300,107,FALSE)/HLOOKUP("Mins",A1:CV300,107,FALSE)* 90)</f>
        <v>0.54628224582701068</v>
      </c>
      <c r="BD107" s="26498">
        <f>IF(HLOOKUP("Mins",A1:CV300,107,FALSE)=0,0,HLOOKUP("S6YD",A1:CV300,107,FALSE)/HLOOKUP("Mins",A1:CV300,107,FALSE)* 90)</f>
        <v>0</v>
      </c>
      <c r="BE107" s="26499">
        <f>IF(HLOOKUP("Mins",A1:CV300,107,FALSE)=0,0,HLOOKUP("Headers",A1:CV300,107,FALSE)/HLOOKUP("Mins",A1:CV300,107,FALSE)* 90)</f>
        <v>0</v>
      </c>
      <c r="BF107" s="26500">
        <f>IF(HLOOKUP("Mins",A1:CV300,107,FALSE)=0,0,HLOOKUP("SOT",A1:CV300,107,FALSE)/HLOOKUP("Mins",A1:CV300,107,FALSE)* 90)</f>
        <v>0.6828528072837633</v>
      </c>
      <c r="BG107" s="26501">
        <f>IF(HLOOKUP("Mins",A1:CV300,107,FALSE)=0,0,HLOOKUP("As",A1:CV300,107,FALSE)/HLOOKUP("Mins",A1:CV300,107,FALSE)* 90)</f>
        <v>0.13657056145675267</v>
      </c>
      <c r="BH107" s="26502">
        <f>IF(HLOOKUP("Mins",A1:CV300,107,FALSE)=0,0,HLOOKUP("FPL As",A1:CV300,107,FALSE)/HLOOKUP("Mins",A1:CV300,107,FALSE)* 90)</f>
        <v>0.27314112291350534</v>
      </c>
      <c r="BI107" s="26503">
        <f>IF(HLOOKUP("Mins",A1:CV300,107,FALSE)=0,0,HLOOKUP("BC Created",A1:CV300,107,FALSE)/HLOOKUP("Mins",A1:CV300,107,FALSE)* 90)</f>
        <v>0</v>
      </c>
      <c r="BJ107" s="26504">
        <f>IF(HLOOKUP("Mins",A1:CV300,107,FALSE)=0,0,HLOOKUP("KP",A1:CV300,107,FALSE)/HLOOKUP("Mins",A1:CV300,107,FALSE)* 90)</f>
        <v>1.9119878603945373</v>
      </c>
      <c r="BK107" s="26505">
        <f>IF(HLOOKUP("Mins",A1:CV300,107,FALSE)=0,0,HLOOKUP("BC",A1:CV300,107,FALSE)/HLOOKUP("Mins",A1:CV300,107,FALSE)* 90)</f>
        <v>0.13657056145675267</v>
      </c>
      <c r="BL107" s="26506">
        <f>IF(HLOOKUP("Mins",A1:CV300,107,FALSE)=0,0,HLOOKUP("BC Miss",A1:CV300,107,FALSE)/HLOOKUP("Mins",A1:CV300,107,FALSE)* 90)</f>
        <v>0</v>
      </c>
      <c r="BM107" s="26507">
        <f>IF(HLOOKUP("Mins",A1:CV300,107,FALSE)=0,0,HLOOKUP("Gs - BC",A1:CV300,107,FALSE)/HLOOKUP("Mins",A1:CV300,107,FALSE)* 90)</f>
        <v>0.13657056145675267</v>
      </c>
      <c r="BN107" s="26508">
        <f>IF(HLOOKUP("Mins",A1:CV300,107,FALSE)=0,0,HLOOKUP("GIB",A1:CV300,107,FALSE)/HLOOKUP("Mins",A1:CV300,107,FALSE)* 90)</f>
        <v>0.13657056145675267</v>
      </c>
      <c r="BO107" s="26509">
        <f>IF(HLOOKUP("Mins",A1:CV300,107,FALSE)=0,0,HLOOKUP("Gs - Open",A1:CV300,107,FALSE)/HLOOKUP("Mins",A1:CV300,107,FALSE)* 90)</f>
        <v>0.13657056145675267</v>
      </c>
      <c r="BP107" s="26510">
        <f>IF(HLOOKUP("Mins",A1:CV300,107,FALSE)=0,0,HLOOKUP("ICT Index",A1:CV300,107,FALSE)/HLOOKUP("Mins",A1:CV300,107,FALSE)* 90)</f>
        <v>7.1289833080424883</v>
      </c>
      <c r="BQ107" s="26511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  <v>0.12673748103186647</v>
      </c>
      <c r="BR107" s="26512">
        <f>0.0885*HLOOKUP("KP/90",A1:CV300,107,FALSE)</f>
        <v>0.16921092564491655</v>
      </c>
      <c r="BS107" s="26513">
        <f>5*HLOOKUP("xG/90",A1:CV300,107,FALSE)+3*HLOOKUP("xA/90",A1:CV300,107,FALSE)</f>
        <v>1.1413201820940819</v>
      </c>
      <c r="BT107" s="26514">
        <f>HLOOKUP("xPts/90",A1:CV300,107,FALSE)-(5*0.75*(HLOOKUP("PK Gs",A1:CV300,107,FALSE)+HLOOKUP("PK Miss",A1:CV300,107,FALSE))*90/HLOOKUP("Mins",A1:CV300,107,FALSE))</f>
        <v>1.1413201820940819</v>
      </c>
      <c r="BU107" s="26515">
        <f>IF(HLOOKUP("Mins",A1:CV300,107,FALSE)=0,0,HLOOKUP("fsXG",A1:CV300,107,FALSE)/HLOOKUP("Mins",A1:CV300,107,FALSE)* 90)</f>
        <v>0.15022761760242795</v>
      </c>
      <c r="BV107" s="26516">
        <f>IF(HLOOKUP("Mins",A1:CV300,107,FALSE)=0,0,HLOOKUP("fsXA",A1:CV300,107,FALSE)/HLOOKUP("Mins",A1:CV300,107,FALSE)* 90)</f>
        <v>0.12701062215477998</v>
      </c>
      <c r="BW107" s="26517">
        <f>5*HLOOKUP("fsXG/90",A1:CV300,107,FALSE)+3*HLOOKUP("fsXA/90",A1:CV300,107,FALSE)</f>
        <v>1.1321699544764798</v>
      </c>
      <c r="BX107" s="26518">
        <v>0.14786475896835327</v>
      </c>
      <c r="BY107" s="26519">
        <v>0.11986629664897919</v>
      </c>
      <c r="BZ107" s="26520">
        <f>5*HLOOKUP("uXG/90",A1:CV300,107,FALSE)+3*HLOOKUP("uXA/90",A1:CV300,107,FALSE)</f>
        <v>1.0989226847887039</v>
      </c>
    </row>
    <row r="108" spans="1:78" x14ac:dyDescent="0.3">
      <c r="A108" s="26521" t="s">
        <v>435</v>
      </c>
      <c r="B108" s="26522" t="s">
        <v>84</v>
      </c>
    </row>
    <row r="109" spans="1:78" x14ac:dyDescent="0.3">
      <c r="A109" s="26523" t="s">
        <v>436</v>
      </c>
      <c r="B109" s="26524" t="s">
        <v>93</v>
      </c>
      <c r="C109" s="26525">
        <v>5.9000000953674316</v>
      </c>
      <c r="D109" s="26526">
        <v>107</v>
      </c>
      <c r="E109" s="26527">
        <v>2</v>
      </c>
      <c r="F109" s="26528">
        <v>3</v>
      </c>
      <c r="G109" s="26529">
        <v>0</v>
      </c>
      <c r="H109" s="26530">
        <v>0</v>
      </c>
      <c r="I109" s="26531">
        <v>16</v>
      </c>
      <c r="J109" s="26532">
        <f>HLOOKUP("BPS",A1:CV300,109,FALSE)-((-6*HLOOKUP("OG",A1:CV300,109,FALSE))+(-6*HLOOKUP("PK Miss",A1:CV300,109,FALSE))+(9*HLOOKUP("FPL As",A1:CV300,109,FALSE))+(0*HLOOKUP("CS",A1:CV300,109,FALSE))+(18*HLOOKUP("Gs",A1:CV300,109,FALSE)))</f>
        <v>16</v>
      </c>
      <c r="K109" s="26533">
        <v>0</v>
      </c>
      <c r="L109" s="26534">
        <v>0</v>
      </c>
      <c r="M109" s="26535">
        <v>2</v>
      </c>
      <c r="N109" s="26536">
        <v>1</v>
      </c>
      <c r="O109" s="26537">
        <v>1</v>
      </c>
      <c r="P109" s="26538">
        <f>IF(HLOOKUP("Shots",A1:CV300,109,FALSE)=0,0,HLOOKUP("SIB",A1:CV300,109,FALSE)/HLOOKUP("Shots",A1:CV300,109,FALSE))</f>
        <v>1</v>
      </c>
      <c r="Q109" s="26539">
        <v>0</v>
      </c>
      <c r="R109" s="26540">
        <f>IF(HLOOKUP("Shots",A1:CV300,109,FALSE)=0,0,HLOOKUP("S6YD",A1:CV300,109,FALSE)/HLOOKUP("Shots",A1:CV300,109,FALSE))</f>
        <v>0</v>
      </c>
      <c r="S109" s="26541">
        <v>0</v>
      </c>
      <c r="T109" s="26542">
        <f>IF(HLOOKUP("Shots",A1:CV300,109,FALSE)=0,0,HLOOKUP("Headers",A1:CV300,109,FALSE)/HLOOKUP("Shots",A1:CV300,109,FALSE))</f>
        <v>0</v>
      </c>
      <c r="U109" s="26543">
        <v>1</v>
      </c>
      <c r="V109" s="26544">
        <f>IF(HLOOKUP("Shots",A1:CV300,109,FALSE)=0,0,HLOOKUP("SOT",A1:CV300,109,FALSE)/HLOOKUP("Shots",A1:CV300,109,FALSE))</f>
        <v>1</v>
      </c>
      <c r="W109" s="26545">
        <f>IF(HLOOKUP("Shots",A1:CV300,109,FALSE)=0,0,HLOOKUP("Gs",A1:CV300,109,FALSE)/HLOOKUP("Shots",A1:CV300,109,FALSE))</f>
        <v>0</v>
      </c>
      <c r="X109" s="26546">
        <v>0</v>
      </c>
      <c r="Y109" s="26547">
        <v>0</v>
      </c>
      <c r="Z109" s="26548">
        <v>2</v>
      </c>
      <c r="AA109" s="26549">
        <f>IF(HLOOKUP("KP",A1:CV300,109,FALSE)=0,0,HLOOKUP("As",A1:CV300,109,FALSE)/HLOOKUP("KP",A1:CV300,109,FALSE))</f>
        <v>0</v>
      </c>
      <c r="AB109" s="26550">
        <v>6.8</v>
      </c>
      <c r="AC109" s="26551">
        <v>0</v>
      </c>
      <c r="AD109" s="26552">
        <v>0</v>
      </c>
      <c r="AE109" s="26553">
        <v>0</v>
      </c>
      <c r="AF109" s="26554">
        <v>0</v>
      </c>
      <c r="AG109" s="26555">
        <f>IF(HLOOKUP("BC",A1:CV300,109,FALSE)=0,0,HLOOKUP("Gs - BC",A1:CV300,109,FALSE)/HLOOKUP("BC",A1:CV300,109,FALSE))</f>
        <v>0</v>
      </c>
      <c r="AH109" s="26556">
        <f>HLOOKUP("BC",A1:CV300,109,FALSE) - HLOOKUP("BC Miss",A1:CV300,109,FALSE)</f>
        <v>0</v>
      </c>
      <c r="AI109" s="26557">
        <f>IF(HLOOKUP("Gs",A1:CV300,109,FALSE)=0,0,HLOOKUP("Gs - BC",A1:CV300,109,FALSE)/HLOOKUP("Gs",A1:CV300,109,FALSE))</f>
        <v>0</v>
      </c>
      <c r="AJ109" s="26558">
        <v>0</v>
      </c>
      <c r="AK109" s="26559">
        <v>0</v>
      </c>
      <c r="AL109" s="26560">
        <f>HLOOKUP("BC",A1:CV300,109,FALSE) - (HLOOKUP("PK Gs",A1:CV300,109,FALSE) + HLOOKUP("PK Miss",A1:CV300,109,FALSE))</f>
        <v>0</v>
      </c>
      <c r="AM109" s="26561">
        <f>HLOOKUP("BC Miss",A1:CV300,109,FALSE) - HLOOKUP("PK Miss",A1:CV300,109,FALSE)</f>
        <v>0</v>
      </c>
      <c r="AN109" s="26562">
        <f>IF(HLOOKUP("BC - Open",A1:CV300,109,FALSE)=0,0,HLOOKUP("BC - Open Miss",A1:CV300,109,FALSE)/HLOOKUP("BC - Open",A1:CV300,109,FALSE))</f>
        <v>0</v>
      </c>
      <c r="AO109" s="26563">
        <v>0</v>
      </c>
      <c r="AP109" s="26564">
        <f>IF(HLOOKUP("Gs",A1:CV300,109,FALSE)=0,0,HLOOKUP("GIB",A1:CV300,109,FALSE)/HLOOKUP("Gs",A1:CV300,109,FALSE))</f>
        <v>0</v>
      </c>
      <c r="AQ109" s="26565">
        <v>0</v>
      </c>
      <c r="AR109" s="26566">
        <f>IF(HLOOKUP("Gs",A1:CV300,109,FALSE)=0,0,HLOOKUP("Gs - Open",A1:CV300,109,FALSE)/HLOOKUP("Gs",A1:CV300,109,FALSE))</f>
        <v>0</v>
      </c>
      <c r="AS109" s="26567">
        <v>0.05</v>
      </c>
      <c r="AT109" s="26568">
        <v>0.09</v>
      </c>
      <c r="AU109" s="26569">
        <f>IF(HLOOKUP("Mins",A1:CV300,109,FALSE)=0,0,HLOOKUP("Pts",A1:CV300,109,FALSE)/HLOOKUP("Mins",A1:CV300,109,FALSE)* 90)</f>
        <v>2.5233644859813085</v>
      </c>
      <c r="AV109" s="26570">
        <f>IF(HLOOKUP("Apps",A1:CV300,109,FALSE)=0,0,HLOOKUP("Pts",A1:CV300,109,FALSE)/HLOOKUP("Apps",A1:CV300,109,FALSE)* 1)</f>
        <v>1.5</v>
      </c>
      <c r="AW109" s="26571">
        <f>IF(HLOOKUP("Mins",A1:CV300,109,FALSE)=0,0,HLOOKUP("Gs",A1:CV300,109,FALSE)/HLOOKUP("Mins",A1:CV300,109,FALSE)* 90)</f>
        <v>0</v>
      </c>
      <c r="AX109" s="26572">
        <f>IF(HLOOKUP("Mins",A1:CV300,109,FALSE)=0,0,HLOOKUP("Bonus",A1:CV300,109,FALSE)/HLOOKUP("Mins",A1:CV300,109,FALSE)* 90)</f>
        <v>0</v>
      </c>
      <c r="AY109" s="26573">
        <f>IF(HLOOKUP("Mins",A1:CV300,109,FALSE)=0,0,HLOOKUP("BPS",A1:CV300,109,FALSE)/HLOOKUP("Mins",A1:CV300,109,FALSE)* 90)</f>
        <v>13.457943925233645</v>
      </c>
      <c r="AZ109" s="26574">
        <f>IF(HLOOKUP("Mins",A1:CV300,109,FALSE)=0,0,HLOOKUP("Base BPS",A1:CV300,109,FALSE)/HLOOKUP("Mins",A1:CV300,109,FALSE)* 90)</f>
        <v>13.457943925233645</v>
      </c>
      <c r="BA109" s="26575">
        <f>IF(HLOOKUP("Mins",A1:CV300,109,FALSE)=0,0,HLOOKUP("PenTchs",A1:CV300,109,FALSE)/HLOOKUP("Mins",A1:CV300,109,FALSE)* 90)</f>
        <v>1.6822429906542056</v>
      </c>
      <c r="BB109" s="26576">
        <f>IF(HLOOKUP("Mins",A1:CV300,109,FALSE)=0,0,HLOOKUP("Shots",A1:CV300,109,FALSE)/HLOOKUP("Mins",A1:CV300,109,FALSE)* 90)</f>
        <v>0.84112149532710279</v>
      </c>
      <c r="BC109" s="26577">
        <f>IF(HLOOKUP("Mins",A1:CV300,109,FALSE)=0,0,HLOOKUP("SIB",A1:CV300,109,FALSE)/HLOOKUP("Mins",A1:CV300,109,FALSE)* 90)</f>
        <v>0.84112149532710279</v>
      </c>
      <c r="BD109" s="26578">
        <f>IF(HLOOKUP("Mins",A1:CV300,109,FALSE)=0,0,HLOOKUP("S6YD",A1:CV300,109,FALSE)/HLOOKUP("Mins",A1:CV300,109,FALSE)* 90)</f>
        <v>0</v>
      </c>
      <c r="BE109" s="26579">
        <f>IF(HLOOKUP("Mins",A1:CV300,109,FALSE)=0,0,HLOOKUP("Headers",A1:CV300,109,FALSE)/HLOOKUP("Mins",A1:CV300,109,FALSE)* 90)</f>
        <v>0</v>
      </c>
      <c r="BF109" s="26580">
        <f>IF(HLOOKUP("Mins",A1:CV300,109,FALSE)=0,0,HLOOKUP("SOT",A1:CV300,109,FALSE)/HLOOKUP("Mins",A1:CV300,109,FALSE)* 90)</f>
        <v>0.84112149532710279</v>
      </c>
      <c r="BG109" s="26581">
        <f>IF(HLOOKUP("Mins",A1:CV300,109,FALSE)=0,0,HLOOKUP("As",A1:CV300,109,FALSE)/HLOOKUP("Mins",A1:CV300,109,FALSE)* 90)</f>
        <v>0</v>
      </c>
      <c r="BH109" s="26582">
        <f>IF(HLOOKUP("Mins",A1:CV300,109,FALSE)=0,0,HLOOKUP("FPL As",A1:CV300,109,FALSE)/HLOOKUP("Mins",A1:CV300,109,FALSE)* 90)</f>
        <v>0</v>
      </c>
      <c r="BI109" s="26583">
        <f>IF(HLOOKUP("Mins",A1:CV300,109,FALSE)=0,0,HLOOKUP("BC Created",A1:CV300,109,FALSE)/HLOOKUP("Mins",A1:CV300,109,FALSE)* 90)</f>
        <v>0</v>
      </c>
      <c r="BJ109" s="26584">
        <f>IF(HLOOKUP("Mins",A1:CV300,109,FALSE)=0,0,HLOOKUP("KP",A1:CV300,109,FALSE)/HLOOKUP("Mins",A1:CV300,109,FALSE)* 90)</f>
        <v>1.6822429906542056</v>
      </c>
      <c r="BK109" s="26585">
        <f>IF(HLOOKUP("Mins",A1:CV300,109,FALSE)=0,0,HLOOKUP("BC",A1:CV300,109,FALSE)/HLOOKUP("Mins",A1:CV300,109,FALSE)* 90)</f>
        <v>0</v>
      </c>
      <c r="BL109" s="26586">
        <f>IF(HLOOKUP("Mins",A1:CV300,109,FALSE)=0,0,HLOOKUP("BC Miss",A1:CV300,109,FALSE)/HLOOKUP("Mins",A1:CV300,109,FALSE)* 90)</f>
        <v>0</v>
      </c>
      <c r="BM109" s="26587">
        <f>IF(HLOOKUP("Mins",A1:CV300,109,FALSE)=0,0,HLOOKUP("Gs - BC",A1:CV300,109,FALSE)/HLOOKUP("Mins",A1:CV300,109,FALSE)* 90)</f>
        <v>0</v>
      </c>
      <c r="BN109" s="26588">
        <f>IF(HLOOKUP("Mins",A1:CV300,109,FALSE)=0,0,HLOOKUP("GIB",A1:CV300,109,FALSE)/HLOOKUP("Mins",A1:CV300,109,FALSE)* 90)</f>
        <v>0</v>
      </c>
      <c r="BO109" s="26589">
        <f>IF(HLOOKUP("Mins",A1:CV300,109,FALSE)=0,0,HLOOKUP("Gs - Open",A1:CV300,109,FALSE)/HLOOKUP("Mins",A1:CV300,109,FALSE)* 90)</f>
        <v>0</v>
      </c>
      <c r="BP109" s="26590">
        <f>IF(HLOOKUP("Mins",A1:CV300,109,FALSE)=0,0,HLOOKUP("ICT Index",A1:CV300,109,FALSE)/HLOOKUP("Mins",A1:CV300,109,FALSE)* 90)</f>
        <v>5.7196261682242993</v>
      </c>
      <c r="BQ109" s="26591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  <v>0.11943925233644859</v>
      </c>
      <c r="BR109" s="26592">
        <f>0.0885*HLOOKUP("KP/90",A1:CV300,109,FALSE)</f>
        <v>0.14887850467289718</v>
      </c>
      <c r="BS109" s="26593">
        <f>5*HLOOKUP("xG/90",A1:CV300,109,FALSE)+3*HLOOKUP("xA/90",A1:CV300,109,FALSE)</f>
        <v>1.0438317757009345</v>
      </c>
      <c r="BT109" s="26594">
        <f>HLOOKUP("xPts/90",A1:CV300,109,FALSE)-(5*0.75*(HLOOKUP("PK Gs",A1:CV300,109,FALSE)+HLOOKUP("PK Miss",A1:CV300,109,FALSE))*90/HLOOKUP("Mins",A1:CV300,109,FALSE))</f>
        <v>1.0438317757009345</v>
      </c>
      <c r="BU109" s="26595">
        <f>IF(HLOOKUP("Mins",A1:CV300,109,FALSE)=0,0,HLOOKUP("fsXG",A1:CV300,109,FALSE)/HLOOKUP("Mins",A1:CV300,109,FALSE)* 90)</f>
        <v>4.2056074766355145E-2</v>
      </c>
      <c r="BV109" s="26596">
        <f>IF(HLOOKUP("Mins",A1:CV300,109,FALSE)=0,0,HLOOKUP("fsXA",A1:CV300,109,FALSE)/HLOOKUP("Mins",A1:CV300,109,FALSE)* 90)</f>
        <v>7.5700934579439258E-2</v>
      </c>
      <c r="BW109" s="26597">
        <f>5*HLOOKUP("fsXG/90",A1:CV300,109,FALSE)+3*HLOOKUP("fsXA/90",A1:CV300,109,FALSE)</f>
        <v>0.43738317757009348</v>
      </c>
      <c r="BX109" s="26598">
        <v>6.8091847002506256E-2</v>
      </c>
      <c r="BY109" s="26599">
        <v>4.396187886595726E-2</v>
      </c>
      <c r="BZ109" s="26600">
        <f>5*HLOOKUP("uXG/90",A1:CV300,109,FALSE)+3*HLOOKUP("uXA/90",A1:CV300,109,FALSE)</f>
        <v>0.47234487161040306</v>
      </c>
    </row>
    <row r="110" spans="1:78" x14ac:dyDescent="0.3">
      <c r="A110" s="26601" t="s">
        <v>437</v>
      </c>
      <c r="B110" s="26602" t="s">
        <v>147</v>
      </c>
      <c r="C110" s="26603">
        <v>6.1999998092651367</v>
      </c>
      <c r="D110" s="26604">
        <v>1804</v>
      </c>
      <c r="E110" s="26605">
        <v>22</v>
      </c>
      <c r="F110" s="26606">
        <v>85</v>
      </c>
      <c r="G110" s="26607">
        <v>5</v>
      </c>
      <c r="H110" s="26608">
        <v>6</v>
      </c>
      <c r="I110" s="26609">
        <v>314</v>
      </c>
      <c r="J110" s="26610">
        <f>HLOOKUP("BPS",A1:CV300,110,FALSE)-((-6*HLOOKUP("OG",A1:CV300,110,FALSE))+(-6*HLOOKUP("PK Miss",A1:CV300,110,FALSE))+(9*HLOOKUP("FPL As",A1:CV300,110,FALSE))+(0*HLOOKUP("CS",A1:CV300,110,FALSE))+(18*HLOOKUP("Gs",A1:CV300,110,FALSE)))</f>
        <v>197</v>
      </c>
      <c r="K110" s="26611">
        <v>0</v>
      </c>
      <c r="L110" s="26612">
        <v>6</v>
      </c>
      <c r="M110" s="26613">
        <v>77</v>
      </c>
      <c r="N110" s="26614">
        <v>55</v>
      </c>
      <c r="O110" s="26615">
        <v>26</v>
      </c>
      <c r="P110" s="26616">
        <f>IF(HLOOKUP("Shots",A1:CV300,110,FALSE)=0,0,HLOOKUP("SIB",A1:CV300,110,FALSE)/HLOOKUP("Shots",A1:CV300,110,FALSE))</f>
        <v>0.47272727272727272</v>
      </c>
      <c r="Q110" s="26617">
        <v>1</v>
      </c>
      <c r="R110" s="26618">
        <f>IF(HLOOKUP("Shots",A1:CV300,110,FALSE)=0,0,HLOOKUP("S6YD",A1:CV300,110,FALSE)/HLOOKUP("Shots",A1:CV300,110,FALSE))</f>
        <v>1.8181818181818181E-2</v>
      </c>
      <c r="S110" s="26619">
        <v>2</v>
      </c>
      <c r="T110" s="26620">
        <f>IF(HLOOKUP("Shots",A1:CV300,110,FALSE)=0,0,HLOOKUP("Headers",A1:CV300,110,FALSE)/HLOOKUP("Shots",A1:CV300,110,FALSE))</f>
        <v>3.6363636363636362E-2</v>
      </c>
      <c r="U110" s="26621">
        <v>21</v>
      </c>
      <c r="V110" s="26622">
        <f>IF(HLOOKUP("Shots",A1:CV300,110,FALSE)=0,0,HLOOKUP("SOT",A1:CV300,110,FALSE)/HLOOKUP("Shots",A1:CV300,110,FALSE))</f>
        <v>0.38181818181818183</v>
      </c>
      <c r="W110" s="26623">
        <f>IF(HLOOKUP("Shots",A1:CV300,110,FALSE)=0,0,HLOOKUP("Gs",A1:CV300,110,FALSE)/HLOOKUP("Shots",A1:CV300,110,FALSE))</f>
        <v>9.0909090909090912E-2</v>
      </c>
      <c r="X110" s="26624">
        <v>2</v>
      </c>
      <c r="Y110" s="26625">
        <v>3</v>
      </c>
      <c r="Z110" s="26626">
        <v>33</v>
      </c>
      <c r="AA110" s="26627">
        <f>IF(HLOOKUP("KP",A1:CV300,110,FALSE)=0,0,HLOOKUP("As",A1:CV300,110,FALSE)/HLOOKUP("KP",A1:CV300,110,FALSE))</f>
        <v>6.0606060606060608E-2</v>
      </c>
      <c r="AB110" s="26628">
        <v>160.5</v>
      </c>
      <c r="AC110" s="26629">
        <v>22</v>
      </c>
      <c r="AD110" s="26630">
        <v>6</v>
      </c>
      <c r="AE110" s="26631">
        <v>6</v>
      </c>
      <c r="AF110" s="26632">
        <v>4</v>
      </c>
      <c r="AG110" s="26633">
        <f>IF(HLOOKUP("BC",A1:CV300,110,FALSE)=0,0,HLOOKUP("Gs - BC",A1:CV300,110,FALSE)/HLOOKUP("BC",A1:CV300,110,FALSE))</f>
        <v>0.33333333333333331</v>
      </c>
      <c r="AH110" s="26634">
        <f>HLOOKUP("BC",A1:CV300,110,FALSE) - HLOOKUP("BC Miss",A1:CV300,110,FALSE)</f>
        <v>2</v>
      </c>
      <c r="AI110" s="26635">
        <f>IF(HLOOKUP("Gs",A1:CV300,110,FALSE)=0,0,HLOOKUP("Gs - BC",A1:CV300,110,FALSE)/HLOOKUP("Gs",A1:CV300,110,FALSE))</f>
        <v>0.4</v>
      </c>
      <c r="AJ110" s="26636">
        <v>0</v>
      </c>
      <c r="AK110" s="26637">
        <v>0</v>
      </c>
      <c r="AL110" s="26638">
        <f>HLOOKUP("BC",A1:CV300,110,FALSE) - (HLOOKUP("PK Gs",A1:CV300,110,FALSE) + HLOOKUP("PK Miss",A1:CV300,110,FALSE))</f>
        <v>6</v>
      </c>
      <c r="AM110" s="26639">
        <f>HLOOKUP("BC Miss",A1:CV300,110,FALSE) - HLOOKUP("PK Miss",A1:CV300,110,FALSE)</f>
        <v>4</v>
      </c>
      <c r="AN110" s="26640">
        <f>IF(HLOOKUP("BC - Open",A1:CV300,110,FALSE)=0,0,HLOOKUP("BC - Open Miss",A1:CV300,110,FALSE)/HLOOKUP("BC - Open",A1:CV300,110,FALSE))</f>
        <v>0.66666666666666663</v>
      </c>
      <c r="AO110" s="26641">
        <v>5</v>
      </c>
      <c r="AP110" s="26642">
        <f>IF(HLOOKUP("Gs",A1:CV300,110,FALSE)=0,0,HLOOKUP("GIB",A1:CV300,110,FALSE)/HLOOKUP("Gs",A1:CV300,110,FALSE))</f>
        <v>1</v>
      </c>
      <c r="AQ110" s="26643">
        <v>5</v>
      </c>
      <c r="AR110" s="26644">
        <f>IF(HLOOKUP("Gs",A1:CV300,110,FALSE)=0,0,HLOOKUP("Gs - Open",A1:CV300,110,FALSE)/HLOOKUP("Gs",A1:CV300,110,FALSE))</f>
        <v>1</v>
      </c>
      <c r="AS110" s="26645">
        <v>4.32</v>
      </c>
      <c r="AT110" s="26646">
        <v>2.74</v>
      </c>
      <c r="AU110" s="26647">
        <f>IF(HLOOKUP("Mins",A1:CV300,110,FALSE)=0,0,HLOOKUP("Pts",A1:CV300,110,FALSE)/HLOOKUP("Mins",A1:CV300,110,FALSE)* 90)</f>
        <v>4.2405764966740573</v>
      </c>
      <c r="AV110" s="26648">
        <f>IF(HLOOKUP("Apps",A1:CV300,110,FALSE)=0,0,HLOOKUP("Pts",A1:CV300,110,FALSE)/HLOOKUP("Apps",A1:CV300,110,FALSE)* 1)</f>
        <v>3.8636363636363638</v>
      </c>
      <c r="AW110" s="26649">
        <f>IF(HLOOKUP("Mins",A1:CV300,110,FALSE)=0,0,HLOOKUP("Gs",A1:CV300,110,FALSE)/HLOOKUP("Mins",A1:CV300,110,FALSE)* 90)</f>
        <v>0.2494456762749446</v>
      </c>
      <c r="AX110" s="26650">
        <f>IF(HLOOKUP("Mins",A1:CV300,110,FALSE)=0,0,HLOOKUP("Bonus",A1:CV300,110,FALSE)/HLOOKUP("Mins",A1:CV300,110,FALSE)* 90)</f>
        <v>0.29933481152993346</v>
      </c>
      <c r="AY110" s="26651">
        <f>IF(HLOOKUP("Mins",A1:CV300,110,FALSE)=0,0,HLOOKUP("BPS",A1:CV300,110,FALSE)/HLOOKUP("Mins",A1:CV300,110,FALSE)* 90)</f>
        <v>15.66518847006652</v>
      </c>
      <c r="AZ110" s="26652">
        <f>IF(HLOOKUP("Mins",A1:CV300,110,FALSE)=0,0,HLOOKUP("Base BPS",A1:CV300,110,FALSE)/HLOOKUP("Mins",A1:CV300,110,FALSE)* 90)</f>
        <v>9.8281596452328159</v>
      </c>
      <c r="BA110" s="26653">
        <f>IF(HLOOKUP("Mins",A1:CV300,110,FALSE)=0,0,HLOOKUP("PenTchs",A1:CV300,110,FALSE)/HLOOKUP("Mins",A1:CV300,110,FALSE)* 90)</f>
        <v>3.8414634146341466</v>
      </c>
      <c r="BB110" s="26654">
        <f>IF(HLOOKUP("Mins",A1:CV300,110,FALSE)=0,0,HLOOKUP("Shots",A1:CV300,110,FALSE)/HLOOKUP("Mins",A1:CV300,110,FALSE)* 90)</f>
        <v>2.74390243902439</v>
      </c>
      <c r="BC110" s="26655">
        <f>IF(HLOOKUP("Mins",A1:CV300,110,FALSE)=0,0,HLOOKUP("SIB",A1:CV300,110,FALSE)/HLOOKUP("Mins",A1:CV300,110,FALSE)* 90)</f>
        <v>1.2971175166297118</v>
      </c>
      <c r="BD110" s="26656">
        <f>IF(HLOOKUP("Mins",A1:CV300,110,FALSE)=0,0,HLOOKUP("S6YD",A1:CV300,110,FALSE)/HLOOKUP("Mins",A1:CV300,110,FALSE)* 90)</f>
        <v>4.9889135254988913E-2</v>
      </c>
      <c r="BE110" s="26657">
        <f>IF(HLOOKUP("Mins",A1:CV300,110,FALSE)=0,0,HLOOKUP("Headers",A1:CV300,110,FALSE)/HLOOKUP("Mins",A1:CV300,110,FALSE)* 90)</f>
        <v>9.9778270509977826E-2</v>
      </c>
      <c r="BF110" s="26658">
        <f>IF(HLOOKUP("Mins",A1:CV300,110,FALSE)=0,0,HLOOKUP("SOT",A1:CV300,110,FALSE)/HLOOKUP("Mins",A1:CV300,110,FALSE)* 90)</f>
        <v>1.0476718403547671</v>
      </c>
      <c r="BG110" s="26659">
        <f>IF(HLOOKUP("Mins",A1:CV300,110,FALSE)=0,0,HLOOKUP("As",A1:CV300,110,FALSE)/HLOOKUP("Mins",A1:CV300,110,FALSE)* 90)</f>
        <v>9.9778270509977826E-2</v>
      </c>
      <c r="BH110" s="26660">
        <f>IF(HLOOKUP("Mins",A1:CV300,110,FALSE)=0,0,HLOOKUP("FPL As",A1:CV300,110,FALSE)/HLOOKUP("Mins",A1:CV300,110,FALSE)* 90)</f>
        <v>0.14966740576496673</v>
      </c>
      <c r="BI110" s="26661">
        <f>IF(HLOOKUP("Mins",A1:CV300,110,FALSE)=0,0,HLOOKUP("BC Created",A1:CV300,110,FALSE)/HLOOKUP("Mins",A1:CV300,110,FALSE)* 90)</f>
        <v>0.29933481152993346</v>
      </c>
      <c r="BJ110" s="26662">
        <f>IF(HLOOKUP("Mins",A1:CV300,110,FALSE)=0,0,HLOOKUP("KP",A1:CV300,110,FALSE)/HLOOKUP("Mins",A1:CV300,110,FALSE)* 90)</f>
        <v>1.6463414634146341</v>
      </c>
      <c r="BK110" s="26663">
        <f>IF(HLOOKUP("Mins",A1:CV300,110,FALSE)=0,0,HLOOKUP("BC",A1:CV300,110,FALSE)/HLOOKUP("Mins",A1:CV300,110,FALSE)* 90)</f>
        <v>0.29933481152993346</v>
      </c>
      <c r="BL110" s="26664">
        <f>IF(HLOOKUP("Mins",A1:CV300,110,FALSE)=0,0,HLOOKUP("BC Miss",A1:CV300,110,FALSE)/HLOOKUP("Mins",A1:CV300,110,FALSE)* 90)</f>
        <v>0.19955654101995565</v>
      </c>
      <c r="BM110" s="26665">
        <f>IF(HLOOKUP("Mins",A1:CV300,110,FALSE)=0,0,HLOOKUP("Gs - BC",A1:CV300,110,FALSE)/HLOOKUP("Mins",A1:CV300,110,FALSE)* 90)</f>
        <v>9.9778270509977826E-2</v>
      </c>
      <c r="BN110" s="26666">
        <f>IF(HLOOKUP("Mins",A1:CV300,110,FALSE)=0,0,HLOOKUP("GIB",A1:CV300,110,FALSE)/HLOOKUP("Mins",A1:CV300,110,FALSE)* 90)</f>
        <v>0.2494456762749446</v>
      </c>
      <c r="BO110" s="26667">
        <f>IF(HLOOKUP("Mins",A1:CV300,110,FALSE)=0,0,HLOOKUP("Gs - Open",A1:CV300,110,FALSE)/HLOOKUP("Mins",A1:CV300,110,FALSE)* 90)</f>
        <v>0.2494456762749446</v>
      </c>
      <c r="BP110" s="26668">
        <f>IF(HLOOKUP("Mins",A1:CV300,110,FALSE)=0,0,HLOOKUP("ICT Index",A1:CV300,110,FALSE)/HLOOKUP("Mins",A1:CV300,110,FALSE)* 90)</f>
        <v>8.0072062084257212</v>
      </c>
      <c r="BQ110" s="26669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  <v>0.23627494456762752</v>
      </c>
      <c r="BR110" s="26670">
        <f>0.0885*HLOOKUP("KP/90",A1:CV300,110,FALSE)</f>
        <v>0.14570121951219511</v>
      </c>
      <c r="BS110" s="26671">
        <f>5*HLOOKUP("xG/90",A1:CV300,110,FALSE)+3*HLOOKUP("xA/90",A1:CV300,110,FALSE)</f>
        <v>1.6184783813747228</v>
      </c>
      <c r="BT110" s="26672">
        <f>HLOOKUP("xPts/90",A1:CV300,110,FALSE)-(5*0.75*(HLOOKUP("PK Gs",A1:CV300,110,FALSE)+HLOOKUP("PK Miss",A1:CV300,110,FALSE))*90/HLOOKUP("Mins",A1:CV300,110,FALSE))</f>
        <v>1.6184783813747228</v>
      </c>
      <c r="BU110" s="26673">
        <f>IF(HLOOKUP("Mins",A1:CV300,110,FALSE)=0,0,HLOOKUP("fsXG",A1:CV300,110,FALSE)/HLOOKUP("Mins",A1:CV300,110,FALSE)* 90)</f>
        <v>0.2155210643015521</v>
      </c>
      <c r="BV110" s="26674">
        <f>IF(HLOOKUP("Mins",A1:CV300,110,FALSE)=0,0,HLOOKUP("fsXA",A1:CV300,110,FALSE)/HLOOKUP("Mins",A1:CV300,110,FALSE)* 90)</f>
        <v>0.13669623059866964</v>
      </c>
      <c r="BW110" s="26675">
        <f>5*HLOOKUP("fsXG/90",A1:CV300,110,FALSE)+3*HLOOKUP("fsXA/90",A1:CV300,110,FALSE)</f>
        <v>1.4876940133037695</v>
      </c>
      <c r="BX110" s="26676">
        <v>0.25349709391593933</v>
      </c>
      <c r="BY110" s="26677">
        <v>0.17579527199268341</v>
      </c>
      <c r="BZ110" s="26678">
        <f>5*HLOOKUP("uXG/90",A1:CV300,110,FALSE)+3*HLOOKUP("uXA/90",A1:CV300,110,FALSE)</f>
        <v>1.7948712855577469</v>
      </c>
    </row>
    <row r="111" spans="1:78" x14ac:dyDescent="0.3">
      <c r="A111" s="26679" t="s">
        <v>438</v>
      </c>
      <c r="B111" s="26680" t="s">
        <v>81</v>
      </c>
      <c r="C111" s="26681">
        <v>7.6999998092651367</v>
      </c>
      <c r="D111" s="26682">
        <v>1773</v>
      </c>
      <c r="E111" s="26683">
        <v>21</v>
      </c>
      <c r="F111" s="26684">
        <v>105</v>
      </c>
      <c r="G111" s="26685">
        <v>6</v>
      </c>
      <c r="H111" s="26686">
        <v>14</v>
      </c>
      <c r="I111" s="26687">
        <v>398</v>
      </c>
      <c r="J111" s="26688">
        <f>HLOOKUP("BPS",A1:CV300,111,FALSE)-((-6*HLOOKUP("OG",A1:CV300,111,FALSE))+(-6*HLOOKUP("PK Miss",A1:CV300,111,FALSE))+(9*HLOOKUP("FPL As",A1:CV300,111,FALSE))+(0*HLOOKUP("CS",A1:CV300,111,FALSE))+(18*HLOOKUP("Gs",A1:CV300,111,FALSE)))</f>
        <v>245</v>
      </c>
      <c r="K111" s="26689">
        <v>0</v>
      </c>
      <c r="L111" s="26690">
        <v>7</v>
      </c>
      <c r="M111" s="26691">
        <v>57</v>
      </c>
      <c r="N111" s="26692">
        <v>50</v>
      </c>
      <c r="O111" s="26693">
        <v>21</v>
      </c>
      <c r="P111" s="26694">
        <f>IF(HLOOKUP("Shots",A1:CV300,111,FALSE)=0,0,HLOOKUP("SIB",A1:CV300,111,FALSE)/HLOOKUP("Shots",A1:CV300,111,FALSE))</f>
        <v>0.42</v>
      </c>
      <c r="Q111" s="26695">
        <v>1</v>
      </c>
      <c r="R111" s="26696">
        <f>IF(HLOOKUP("Shots",A1:CV300,111,FALSE)=0,0,HLOOKUP("S6YD",A1:CV300,111,FALSE)/HLOOKUP("Shots",A1:CV300,111,FALSE))</f>
        <v>0.02</v>
      </c>
      <c r="S111" s="26697">
        <v>2</v>
      </c>
      <c r="T111" s="26698">
        <f>IF(HLOOKUP("Shots",A1:CV300,111,FALSE)=0,0,HLOOKUP("Headers",A1:CV300,111,FALSE)/HLOOKUP("Shots",A1:CV300,111,FALSE))</f>
        <v>0.04</v>
      </c>
      <c r="U111" s="26699">
        <v>14</v>
      </c>
      <c r="V111" s="26700">
        <f>IF(HLOOKUP("Shots",A1:CV300,111,FALSE)=0,0,HLOOKUP("SOT",A1:CV300,111,FALSE)/HLOOKUP("Shots",A1:CV300,111,FALSE))</f>
        <v>0.28000000000000003</v>
      </c>
      <c r="W111" s="26701">
        <f>IF(HLOOKUP("Shots",A1:CV300,111,FALSE)=0,0,HLOOKUP("Gs",A1:CV300,111,FALSE)/HLOOKUP("Shots",A1:CV300,111,FALSE))</f>
        <v>0.12</v>
      </c>
      <c r="X111" s="26702">
        <v>3</v>
      </c>
      <c r="Y111" s="26703">
        <v>5</v>
      </c>
      <c r="Z111" s="26704">
        <v>50</v>
      </c>
      <c r="AA111" s="26705">
        <f>IF(HLOOKUP("KP",A1:CV300,111,FALSE)=0,0,HLOOKUP("As",A1:CV300,111,FALSE)/HLOOKUP("KP",A1:CV300,111,FALSE))</f>
        <v>0.06</v>
      </c>
      <c r="AB111" s="26706">
        <v>183.6</v>
      </c>
      <c r="AC111" s="26707">
        <v>29</v>
      </c>
      <c r="AD111" s="26708">
        <v>5</v>
      </c>
      <c r="AE111" s="26709">
        <v>6</v>
      </c>
      <c r="AF111" s="26710">
        <v>5</v>
      </c>
      <c r="AG111" s="26711">
        <f>IF(HLOOKUP("BC",A1:CV300,111,FALSE)=0,0,HLOOKUP("Gs - BC",A1:CV300,111,FALSE)/HLOOKUP("BC",A1:CV300,111,FALSE))</f>
        <v>0.16666666666666666</v>
      </c>
      <c r="AH111" s="26712">
        <f>HLOOKUP("BC",A1:CV300,111,FALSE) - HLOOKUP("BC Miss",A1:CV300,111,FALSE)</f>
        <v>1</v>
      </c>
      <c r="AI111" s="26713">
        <f>IF(HLOOKUP("Gs",A1:CV300,111,FALSE)=0,0,HLOOKUP("Gs - BC",A1:CV300,111,FALSE)/HLOOKUP("Gs",A1:CV300,111,FALSE))</f>
        <v>0.16666666666666666</v>
      </c>
      <c r="AJ111" s="26714">
        <v>0</v>
      </c>
      <c r="AK111" s="26715">
        <v>0</v>
      </c>
      <c r="AL111" s="26716">
        <f>HLOOKUP("BC",A1:CV300,111,FALSE) - (HLOOKUP("PK Gs",A1:CV300,111,FALSE) + HLOOKUP("PK Miss",A1:CV300,111,FALSE))</f>
        <v>6</v>
      </c>
      <c r="AM111" s="26717">
        <f>HLOOKUP("BC Miss",A1:CV300,111,FALSE) - HLOOKUP("PK Miss",A1:CV300,111,FALSE)</f>
        <v>5</v>
      </c>
      <c r="AN111" s="26718">
        <f>IF(HLOOKUP("BC - Open",A1:CV300,111,FALSE)=0,0,HLOOKUP("BC - Open Miss",A1:CV300,111,FALSE)/HLOOKUP("BC - Open",A1:CV300,111,FALSE))</f>
        <v>0.83333333333333337</v>
      </c>
      <c r="AO111" s="26719">
        <v>2</v>
      </c>
      <c r="AP111" s="26720">
        <f>IF(HLOOKUP("Gs",A1:CV300,111,FALSE)=0,0,HLOOKUP("GIB",A1:CV300,111,FALSE)/HLOOKUP("Gs",A1:CV300,111,FALSE))</f>
        <v>0.33333333333333331</v>
      </c>
      <c r="AQ111" s="26721">
        <v>5</v>
      </c>
      <c r="AR111" s="26722">
        <f>IF(HLOOKUP("Gs",A1:CV300,111,FALSE)=0,0,HLOOKUP("Gs - Open",A1:CV300,111,FALSE)/HLOOKUP("Gs",A1:CV300,111,FALSE))</f>
        <v>0.83333333333333337</v>
      </c>
      <c r="AS111" s="26723">
        <v>4.12</v>
      </c>
      <c r="AT111" s="26724">
        <v>4.41</v>
      </c>
      <c r="AU111" s="26725">
        <f>IF(HLOOKUP("Mins",A1:CV300,111,FALSE)=0,0,HLOOKUP("Pts",A1:CV300,111,FALSE)/HLOOKUP("Mins",A1:CV300,111,FALSE)* 90)</f>
        <v>5.3299492385786804</v>
      </c>
      <c r="AV111" s="26726">
        <f>IF(HLOOKUP("Apps",A1:CV300,111,FALSE)=0,0,HLOOKUP("Pts",A1:CV300,111,FALSE)/HLOOKUP("Apps",A1:CV300,111,FALSE)* 1)</f>
        <v>5</v>
      </c>
      <c r="AW111" s="26727">
        <f>IF(HLOOKUP("Mins",A1:CV300,111,FALSE)=0,0,HLOOKUP("Gs",A1:CV300,111,FALSE)/HLOOKUP("Mins",A1:CV300,111,FALSE)* 90)</f>
        <v>0.3045685279187817</v>
      </c>
      <c r="AX111" s="26728">
        <f>IF(HLOOKUP("Mins",A1:CV300,111,FALSE)=0,0,HLOOKUP("Bonus",A1:CV300,111,FALSE)/HLOOKUP("Mins",A1:CV300,111,FALSE)* 90)</f>
        <v>0.71065989847715738</v>
      </c>
      <c r="AY111" s="26729">
        <f>IF(HLOOKUP("Mins",A1:CV300,111,FALSE)=0,0,HLOOKUP("BPS",A1:CV300,111,FALSE)/HLOOKUP("Mins",A1:CV300,111,FALSE)* 90)</f>
        <v>20.203045685279186</v>
      </c>
      <c r="AZ111" s="26730">
        <f>IF(HLOOKUP("Mins",A1:CV300,111,FALSE)=0,0,HLOOKUP("Base BPS",A1:CV300,111,FALSE)/HLOOKUP("Mins",A1:CV300,111,FALSE)* 90)</f>
        <v>12.436548223350254</v>
      </c>
      <c r="BA111" s="26731">
        <f>IF(HLOOKUP("Mins",A1:CV300,111,FALSE)=0,0,HLOOKUP("PenTchs",A1:CV300,111,FALSE)/HLOOKUP("Mins",A1:CV300,111,FALSE)* 90)</f>
        <v>2.893401015228426</v>
      </c>
      <c r="BB111" s="26732">
        <f>IF(HLOOKUP("Mins",A1:CV300,111,FALSE)=0,0,HLOOKUP("Shots",A1:CV300,111,FALSE)/HLOOKUP("Mins",A1:CV300,111,FALSE)* 90)</f>
        <v>2.5380710659898478</v>
      </c>
      <c r="BC111" s="26733">
        <f>IF(HLOOKUP("Mins",A1:CV300,111,FALSE)=0,0,HLOOKUP("SIB",A1:CV300,111,FALSE)/HLOOKUP("Mins",A1:CV300,111,FALSE)* 90)</f>
        <v>1.0659898477157361</v>
      </c>
      <c r="BD111" s="26734">
        <f>IF(HLOOKUP("Mins",A1:CV300,111,FALSE)=0,0,HLOOKUP("S6YD",A1:CV300,111,FALSE)/HLOOKUP("Mins",A1:CV300,111,FALSE)* 90)</f>
        <v>5.0761421319796961E-2</v>
      </c>
      <c r="BE111" s="26735">
        <f>IF(HLOOKUP("Mins",A1:CV300,111,FALSE)=0,0,HLOOKUP("Headers",A1:CV300,111,FALSE)/HLOOKUP("Mins",A1:CV300,111,FALSE)* 90)</f>
        <v>0.10152284263959392</v>
      </c>
      <c r="BF111" s="26736">
        <f>IF(HLOOKUP("Mins",A1:CV300,111,FALSE)=0,0,HLOOKUP("SOT",A1:CV300,111,FALSE)/HLOOKUP("Mins",A1:CV300,111,FALSE)* 90)</f>
        <v>0.71065989847715738</v>
      </c>
      <c r="BG111" s="26737">
        <f>IF(HLOOKUP("Mins",A1:CV300,111,FALSE)=0,0,HLOOKUP("As",A1:CV300,111,FALSE)/HLOOKUP("Mins",A1:CV300,111,FALSE)* 90)</f>
        <v>0.15228426395939085</v>
      </c>
      <c r="BH111" s="26738">
        <f>IF(HLOOKUP("Mins",A1:CV300,111,FALSE)=0,0,HLOOKUP("FPL As",A1:CV300,111,FALSE)/HLOOKUP("Mins",A1:CV300,111,FALSE)* 90)</f>
        <v>0.25380710659898476</v>
      </c>
      <c r="BI111" s="26739">
        <f>IF(HLOOKUP("Mins",A1:CV300,111,FALSE)=0,0,HLOOKUP("BC Created",A1:CV300,111,FALSE)/HLOOKUP("Mins",A1:CV300,111,FALSE)* 90)</f>
        <v>0.25380710659898476</v>
      </c>
      <c r="BJ111" s="26740">
        <f>IF(HLOOKUP("Mins",A1:CV300,111,FALSE)=0,0,HLOOKUP("KP",A1:CV300,111,FALSE)/HLOOKUP("Mins",A1:CV300,111,FALSE)* 90)</f>
        <v>2.5380710659898478</v>
      </c>
      <c r="BK111" s="26741">
        <f>IF(HLOOKUP("Mins",A1:CV300,111,FALSE)=0,0,HLOOKUP("BC",A1:CV300,111,FALSE)/HLOOKUP("Mins",A1:CV300,111,FALSE)* 90)</f>
        <v>0.3045685279187817</v>
      </c>
      <c r="BL111" s="26742">
        <f>IF(HLOOKUP("Mins",A1:CV300,111,FALSE)=0,0,HLOOKUP("BC Miss",A1:CV300,111,FALSE)/HLOOKUP("Mins",A1:CV300,111,FALSE)* 90)</f>
        <v>0.25380710659898476</v>
      </c>
      <c r="BM111" s="26743">
        <f>IF(HLOOKUP("Mins",A1:CV300,111,FALSE)=0,0,HLOOKUP("Gs - BC",A1:CV300,111,FALSE)/HLOOKUP("Mins",A1:CV300,111,FALSE)* 90)</f>
        <v>5.0761421319796961E-2</v>
      </c>
      <c r="BN111" s="26744">
        <f>IF(HLOOKUP("Mins",A1:CV300,111,FALSE)=0,0,HLOOKUP("GIB",A1:CV300,111,FALSE)/HLOOKUP("Mins",A1:CV300,111,FALSE)* 90)</f>
        <v>0.10152284263959392</v>
      </c>
      <c r="BO111" s="26745">
        <f>IF(HLOOKUP("Mins",A1:CV300,111,FALSE)=0,0,HLOOKUP("Gs - Open",A1:CV300,111,FALSE)/HLOOKUP("Mins",A1:CV300,111,FALSE)* 90)</f>
        <v>0.25380710659898476</v>
      </c>
      <c r="BP111" s="26746">
        <f>IF(HLOOKUP("Mins",A1:CV300,111,FALSE)=0,0,HLOOKUP("ICT Index",A1:CV300,111,FALSE)/HLOOKUP("Mins",A1:CV300,111,FALSE)* 90)</f>
        <v>9.3197969543147217</v>
      </c>
      <c r="BQ111" s="26747">
        <f>IF(HLOOKUP("Mins",A1:CV300,111,FALSE)=0,0,(0.036*(HLOOKUP("Shots",A1:CV300,111,FALSE)-HLOOKUP("SIB",A1:CV300,111,FALSE))+0.142*(HLOOKUP("SIB",A1:CV300,111,FALSE)-(HLOOKUP("PK Gs",A1:CV300,111,FALSE)+HLOOKUP("PK Miss",A1:CV300,111,FALSE)))+0.75*(HLOOKUP("PK Gs",A1:CV300,111,FALSE)+HLOOKUP("PK Miss",A1:CV300,111,FALSE)))/HLOOKUP("Mins",A1:CV300,111,FALSE)*90)</f>
        <v>0.20436548223350254</v>
      </c>
      <c r="BR111" s="26748">
        <f>0.0885*HLOOKUP("KP/90",A1:CV300,111,FALSE)</f>
        <v>0.22461928934010153</v>
      </c>
      <c r="BS111" s="26749">
        <f>5*HLOOKUP("xG/90",A1:CV300,111,FALSE)+3*HLOOKUP("xA/90",A1:CV300,111,FALSE)</f>
        <v>1.6956852791878174</v>
      </c>
      <c r="BT111" s="26750">
        <f>HLOOKUP("xPts/90",A1:CV300,111,FALSE)-(5*0.75*(HLOOKUP("PK Gs",A1:CV300,111,FALSE)+HLOOKUP("PK Miss",A1:CV300,111,FALSE))*90/HLOOKUP("Mins",A1:CV300,111,FALSE))</f>
        <v>1.6956852791878174</v>
      </c>
      <c r="BU111" s="26751">
        <f>IF(HLOOKUP("Mins",A1:CV300,111,FALSE)=0,0,HLOOKUP("fsXG",A1:CV300,111,FALSE)/HLOOKUP("Mins",A1:CV300,111,FALSE)* 90)</f>
        <v>0.20913705583756348</v>
      </c>
      <c r="BV111" s="26752">
        <f>IF(HLOOKUP("Mins",A1:CV300,111,FALSE)=0,0,HLOOKUP("fsXA",A1:CV300,111,FALSE)/HLOOKUP("Mins",A1:CV300,111,FALSE)* 90)</f>
        <v>0.22385786802030458</v>
      </c>
      <c r="BW111" s="26753">
        <f>5*HLOOKUP("fsXG/90",A1:CV300,111,FALSE)+3*HLOOKUP("fsXA/90",A1:CV300,111,FALSE)</f>
        <v>1.7172588832487312</v>
      </c>
      <c r="BX111" s="26754">
        <v>0.1935131847858429</v>
      </c>
      <c r="BY111" s="26755">
        <v>0.18472060561180115</v>
      </c>
      <c r="BZ111" s="26756">
        <f>5*HLOOKUP("uXG/90",A1:CV300,111,FALSE)+3*HLOOKUP("uXA/90",A1:CV300,111,FALSE)</f>
        <v>1.5217277407646179</v>
      </c>
    </row>
    <row r="112" spans="1:78" x14ac:dyDescent="0.3">
      <c r="A112" s="26757" t="s">
        <v>439</v>
      </c>
      <c r="B112" s="26758" t="s">
        <v>93</v>
      </c>
      <c r="C112" s="26759">
        <v>6.9000000953674316</v>
      </c>
      <c r="D112" s="26760">
        <v>1509</v>
      </c>
      <c r="E112" s="26761">
        <v>21</v>
      </c>
      <c r="F112" s="26762">
        <v>54</v>
      </c>
      <c r="G112" s="26763">
        <v>1</v>
      </c>
      <c r="H112" s="26764">
        <v>2</v>
      </c>
      <c r="I112" s="26765">
        <v>211</v>
      </c>
      <c r="J112" s="26766">
        <f>HLOOKUP("BPS",A1:CV300,112,FALSE)-((-6*HLOOKUP("OG",A1:CV300,112,FALSE))+(-6*HLOOKUP("PK Miss",A1:CV300,112,FALSE))+(9*HLOOKUP("FPL As",A1:CV300,112,FALSE))+(0*HLOOKUP("CS",A1:CV300,112,FALSE))+(18*HLOOKUP("Gs",A1:CV300,112,FALSE)))</f>
        <v>166</v>
      </c>
      <c r="K112" s="26767">
        <v>0</v>
      </c>
      <c r="L112" s="26768">
        <v>4</v>
      </c>
      <c r="M112" s="26769">
        <v>40</v>
      </c>
      <c r="N112" s="26770">
        <v>20</v>
      </c>
      <c r="O112" s="26771">
        <v>14</v>
      </c>
      <c r="P112" s="26772">
        <f>IF(HLOOKUP("Shots",A1:CV300,112,FALSE)=0,0,HLOOKUP("SIB",A1:CV300,112,FALSE)/HLOOKUP("Shots",A1:CV300,112,FALSE))</f>
        <v>0.7</v>
      </c>
      <c r="Q112" s="26773">
        <v>1</v>
      </c>
      <c r="R112" s="26774">
        <f>IF(HLOOKUP("Shots",A1:CV300,112,FALSE)=0,0,HLOOKUP("S6YD",A1:CV300,112,FALSE)/HLOOKUP("Shots",A1:CV300,112,FALSE))</f>
        <v>0.05</v>
      </c>
      <c r="S112" s="26775">
        <v>0</v>
      </c>
      <c r="T112" s="26776">
        <f>IF(HLOOKUP("Shots",A1:CV300,112,FALSE)=0,0,HLOOKUP("Headers",A1:CV300,112,FALSE)/HLOOKUP("Shots",A1:CV300,112,FALSE))</f>
        <v>0</v>
      </c>
      <c r="U112" s="26777">
        <v>8</v>
      </c>
      <c r="V112" s="26778">
        <f>IF(HLOOKUP("Shots",A1:CV300,112,FALSE)=0,0,HLOOKUP("SOT",A1:CV300,112,FALSE)/HLOOKUP("Shots",A1:CV300,112,FALSE))</f>
        <v>0.4</v>
      </c>
      <c r="W112" s="26779">
        <f>IF(HLOOKUP("Shots",A1:CV300,112,FALSE)=0,0,HLOOKUP("Gs",A1:CV300,112,FALSE)/HLOOKUP("Shots",A1:CV300,112,FALSE))</f>
        <v>0.05</v>
      </c>
      <c r="X112" s="26780">
        <v>3</v>
      </c>
      <c r="Y112" s="26781">
        <v>3</v>
      </c>
      <c r="Z112" s="26782">
        <v>30</v>
      </c>
      <c r="AA112" s="26783">
        <f>IF(HLOOKUP("KP",A1:CV300,112,FALSE)=0,0,HLOOKUP("As",A1:CV300,112,FALSE)/HLOOKUP("KP",A1:CV300,112,FALSE))</f>
        <v>0.1</v>
      </c>
      <c r="AB112" s="26784">
        <v>103.6</v>
      </c>
      <c r="AC112" s="26785">
        <v>31</v>
      </c>
      <c r="AD112" s="26786">
        <v>3</v>
      </c>
      <c r="AE112" s="26787">
        <v>3</v>
      </c>
      <c r="AF112" s="26788">
        <v>3</v>
      </c>
      <c r="AG112" s="26789">
        <f>IF(HLOOKUP("BC",A1:CV300,112,FALSE)=0,0,HLOOKUP("Gs - BC",A1:CV300,112,FALSE)/HLOOKUP("BC",A1:CV300,112,FALSE))</f>
        <v>0</v>
      </c>
      <c r="AH112" s="26790">
        <f>HLOOKUP("BC",A1:CV300,112,FALSE) - HLOOKUP("BC Miss",A1:CV300,112,FALSE)</f>
        <v>0</v>
      </c>
      <c r="AI112" s="26791">
        <f>IF(HLOOKUP("Gs",A1:CV300,112,FALSE)=0,0,HLOOKUP("Gs - BC",A1:CV300,112,FALSE)/HLOOKUP("Gs",A1:CV300,112,FALSE))</f>
        <v>0</v>
      </c>
      <c r="AJ112" s="26792">
        <v>0</v>
      </c>
      <c r="AK112" s="26793">
        <v>0</v>
      </c>
      <c r="AL112" s="26794">
        <f>HLOOKUP("BC",A1:CV300,112,FALSE) - (HLOOKUP("PK Gs",A1:CV300,112,FALSE) + HLOOKUP("PK Miss",A1:CV300,112,FALSE))</f>
        <v>3</v>
      </c>
      <c r="AM112" s="26795">
        <f>HLOOKUP("BC Miss",A1:CV300,112,FALSE) - HLOOKUP("PK Miss",A1:CV300,112,FALSE)</f>
        <v>3</v>
      </c>
      <c r="AN112" s="26796">
        <f>IF(HLOOKUP("BC - Open",A1:CV300,112,FALSE)=0,0,HLOOKUP("BC - Open Miss",A1:CV300,112,FALSE)/HLOOKUP("BC - Open",A1:CV300,112,FALSE))</f>
        <v>1</v>
      </c>
      <c r="AO112" s="26797">
        <v>0</v>
      </c>
      <c r="AP112" s="26798">
        <f>IF(HLOOKUP("Gs",A1:CV300,112,FALSE)=0,0,HLOOKUP("GIB",A1:CV300,112,FALSE)/HLOOKUP("Gs",A1:CV300,112,FALSE))</f>
        <v>0</v>
      </c>
      <c r="AQ112" s="26799">
        <v>0</v>
      </c>
      <c r="AR112" s="26800">
        <f>IF(HLOOKUP("Gs",A1:CV300,112,FALSE)=0,0,HLOOKUP("Gs - Open",A1:CV300,112,FALSE)/HLOOKUP("Gs",A1:CV300,112,FALSE))</f>
        <v>0</v>
      </c>
      <c r="AS112" s="26801">
        <v>2.48</v>
      </c>
      <c r="AT112" s="26802">
        <v>2.0699999999999998</v>
      </c>
      <c r="AU112" s="26803">
        <f>IF(HLOOKUP("Mins",A1:CV300,112,FALSE)=0,0,HLOOKUP("Pts",A1:CV300,112,FALSE)/HLOOKUP("Mins",A1:CV300,112,FALSE)* 90)</f>
        <v>3.2206759443339958</v>
      </c>
      <c r="AV112" s="26804">
        <f>IF(HLOOKUP("Apps",A1:CV300,112,FALSE)=0,0,HLOOKUP("Pts",A1:CV300,112,FALSE)/HLOOKUP("Apps",A1:CV300,112,FALSE)* 1)</f>
        <v>2.5714285714285716</v>
      </c>
      <c r="AW112" s="26805">
        <f>IF(HLOOKUP("Mins",A1:CV300,112,FALSE)=0,0,HLOOKUP("Gs",A1:CV300,112,FALSE)/HLOOKUP("Mins",A1:CV300,112,FALSE)* 90)</f>
        <v>5.9642147117296221E-2</v>
      </c>
      <c r="AX112" s="26806">
        <f>IF(HLOOKUP("Mins",A1:CV300,112,FALSE)=0,0,HLOOKUP("Bonus",A1:CV300,112,FALSE)/HLOOKUP("Mins",A1:CV300,112,FALSE)* 90)</f>
        <v>0.11928429423459244</v>
      </c>
      <c r="AY112" s="26807">
        <f>IF(HLOOKUP("Mins",A1:CV300,112,FALSE)=0,0,HLOOKUP("BPS",A1:CV300,112,FALSE)/HLOOKUP("Mins",A1:CV300,112,FALSE)* 90)</f>
        <v>12.584493041749504</v>
      </c>
      <c r="AZ112" s="26808">
        <f>IF(HLOOKUP("Mins",A1:CV300,112,FALSE)=0,0,HLOOKUP("Base BPS",A1:CV300,112,FALSE)/HLOOKUP("Mins",A1:CV300,112,FALSE)* 90)</f>
        <v>9.9005964214711728</v>
      </c>
      <c r="BA112" s="26809">
        <f>IF(HLOOKUP("Mins",A1:CV300,112,FALSE)=0,0,HLOOKUP("PenTchs",A1:CV300,112,FALSE)/HLOOKUP("Mins",A1:CV300,112,FALSE)* 90)</f>
        <v>2.3856858846918487</v>
      </c>
      <c r="BB112" s="26810">
        <f>IF(HLOOKUP("Mins",A1:CV300,112,FALSE)=0,0,HLOOKUP("Shots",A1:CV300,112,FALSE)/HLOOKUP("Mins",A1:CV300,112,FALSE)* 90)</f>
        <v>1.1928429423459244</v>
      </c>
      <c r="BC112" s="26811">
        <f>IF(HLOOKUP("Mins",A1:CV300,112,FALSE)=0,0,HLOOKUP("SIB",A1:CV300,112,FALSE)/HLOOKUP("Mins",A1:CV300,112,FALSE)* 90)</f>
        <v>0.83499005964214712</v>
      </c>
      <c r="BD112" s="26812">
        <f>IF(HLOOKUP("Mins",A1:CV300,112,FALSE)=0,0,HLOOKUP("S6YD",A1:CV300,112,FALSE)/HLOOKUP("Mins",A1:CV300,112,FALSE)* 90)</f>
        <v>5.9642147117296221E-2</v>
      </c>
      <c r="BE112" s="26813">
        <f>IF(HLOOKUP("Mins",A1:CV300,112,FALSE)=0,0,HLOOKUP("Headers",A1:CV300,112,FALSE)/HLOOKUP("Mins",A1:CV300,112,FALSE)* 90)</f>
        <v>0</v>
      </c>
      <c r="BF112" s="26814">
        <f>IF(HLOOKUP("Mins",A1:CV300,112,FALSE)=0,0,HLOOKUP("SOT",A1:CV300,112,FALSE)/HLOOKUP("Mins",A1:CV300,112,FALSE)* 90)</f>
        <v>0.47713717693836977</v>
      </c>
      <c r="BG112" s="26815">
        <f>IF(HLOOKUP("Mins",A1:CV300,112,FALSE)=0,0,HLOOKUP("As",A1:CV300,112,FALSE)/HLOOKUP("Mins",A1:CV300,112,FALSE)* 90)</f>
        <v>0.17892644135188865</v>
      </c>
      <c r="BH112" s="26816">
        <f>IF(HLOOKUP("Mins",A1:CV300,112,FALSE)=0,0,HLOOKUP("FPL As",A1:CV300,112,FALSE)/HLOOKUP("Mins",A1:CV300,112,FALSE)* 90)</f>
        <v>0.17892644135188865</v>
      </c>
      <c r="BI112" s="26817">
        <f>IF(HLOOKUP("Mins",A1:CV300,112,FALSE)=0,0,HLOOKUP("BC Created",A1:CV300,112,FALSE)/HLOOKUP("Mins",A1:CV300,112,FALSE)* 90)</f>
        <v>0.17892644135188865</v>
      </c>
      <c r="BJ112" s="26818">
        <f>IF(HLOOKUP("Mins",A1:CV300,112,FALSE)=0,0,HLOOKUP("KP",A1:CV300,112,FALSE)/HLOOKUP("Mins",A1:CV300,112,FALSE)* 90)</f>
        <v>1.7892644135188867</v>
      </c>
      <c r="BK112" s="26819">
        <f>IF(HLOOKUP("Mins",A1:CV300,112,FALSE)=0,0,HLOOKUP("BC",A1:CV300,112,FALSE)/HLOOKUP("Mins",A1:CV300,112,FALSE)* 90)</f>
        <v>0.17892644135188865</v>
      </c>
      <c r="BL112" s="26820">
        <f>IF(HLOOKUP("Mins",A1:CV300,112,FALSE)=0,0,HLOOKUP("BC Miss",A1:CV300,112,FALSE)/HLOOKUP("Mins",A1:CV300,112,FALSE)* 90)</f>
        <v>0.17892644135188865</v>
      </c>
      <c r="BM112" s="26821">
        <f>IF(HLOOKUP("Mins",A1:CV300,112,FALSE)=0,0,HLOOKUP("Gs - BC",A1:CV300,112,FALSE)/HLOOKUP("Mins",A1:CV300,112,FALSE)* 90)</f>
        <v>0</v>
      </c>
      <c r="BN112" s="26822">
        <f>IF(HLOOKUP("Mins",A1:CV300,112,FALSE)=0,0,HLOOKUP("GIB",A1:CV300,112,FALSE)/HLOOKUP("Mins",A1:CV300,112,FALSE)* 90)</f>
        <v>0</v>
      </c>
      <c r="BO112" s="26823">
        <f>IF(HLOOKUP("Mins",A1:CV300,112,FALSE)=0,0,HLOOKUP("Gs - Open",A1:CV300,112,FALSE)/HLOOKUP("Mins",A1:CV300,112,FALSE)* 90)</f>
        <v>0</v>
      </c>
      <c r="BP112" s="26824">
        <f>IF(HLOOKUP("Mins",A1:CV300,112,FALSE)=0,0,HLOOKUP("ICT Index",A1:CV300,112,FALSE)/HLOOKUP("Mins",A1:CV300,112,FALSE)* 90)</f>
        <v>6.1789264413518881</v>
      </c>
      <c r="BQ112" s="26825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  <v>0.13145129224652086</v>
      </c>
      <c r="BR112" s="26826">
        <f>0.0885*HLOOKUP("KP/90",A1:CV300,112,FALSE)</f>
        <v>0.15834990059642146</v>
      </c>
      <c r="BS112" s="26827">
        <f>5*HLOOKUP("xG/90",A1:CV300,112,FALSE)+3*HLOOKUP("xA/90",A1:CV300,112,FALSE)</f>
        <v>1.1323061630218687</v>
      </c>
      <c r="BT112" s="26828">
        <f>HLOOKUP("xPts/90",A1:CV300,112,FALSE)-(5*0.75*(HLOOKUP("PK Gs",A1:CV300,112,FALSE)+HLOOKUP("PK Miss",A1:CV300,112,FALSE))*90/HLOOKUP("Mins",A1:CV300,112,FALSE))</f>
        <v>1.1323061630218687</v>
      </c>
      <c r="BU112" s="26829">
        <f>IF(HLOOKUP("Mins",A1:CV300,112,FALSE)=0,0,HLOOKUP("fsXG",A1:CV300,112,FALSE)/HLOOKUP("Mins",A1:CV300,112,FALSE)* 90)</f>
        <v>0.14791252485089465</v>
      </c>
      <c r="BV112" s="26830">
        <f>IF(HLOOKUP("Mins",A1:CV300,112,FALSE)=0,0,HLOOKUP("fsXA",A1:CV300,112,FALSE)/HLOOKUP("Mins",A1:CV300,112,FALSE)* 90)</f>
        <v>0.12345924453280317</v>
      </c>
      <c r="BW112" s="26831">
        <f>5*HLOOKUP("fsXG/90",A1:CV300,112,FALSE)+3*HLOOKUP("fsXA/90",A1:CV300,112,FALSE)</f>
        <v>1.1099403578528828</v>
      </c>
      <c r="BX112" s="26832">
        <v>0.13636624813079834</v>
      </c>
      <c r="BY112" s="26833">
        <v>0.13955271244049072</v>
      </c>
      <c r="BZ112" s="26834">
        <f>5*HLOOKUP("uXG/90",A1:CV300,112,FALSE)+3*HLOOKUP("uXA/90",A1:CV300,112,FALSE)</f>
        <v>1.1004893779754639</v>
      </c>
    </row>
    <row r="113" spans="1:78" x14ac:dyDescent="0.3">
      <c r="A113" s="26835" t="s">
        <v>440</v>
      </c>
      <c r="B113" s="26836" t="s">
        <v>102</v>
      </c>
      <c r="C113" s="26837">
        <v>5.4000000953674316</v>
      </c>
      <c r="D113" s="26838">
        <v>820</v>
      </c>
      <c r="E113" s="26839">
        <v>12</v>
      </c>
      <c r="F113" s="26840">
        <v>31</v>
      </c>
      <c r="G113" s="26841">
        <v>1</v>
      </c>
      <c r="H113" s="26842">
        <v>0</v>
      </c>
      <c r="I113" s="26843">
        <v>107</v>
      </c>
      <c r="J113" s="26844">
        <f>HLOOKUP("BPS",A1:CV300,113,FALSE)-((-6*HLOOKUP("OG",A1:CV300,113,FALSE))+(-6*HLOOKUP("PK Miss",A1:CV300,113,FALSE))+(9*HLOOKUP("FPL As",A1:CV300,113,FALSE))+(0*HLOOKUP("CS",A1:CV300,113,FALSE))+(18*HLOOKUP("Gs",A1:CV300,113,FALSE)))</f>
        <v>80</v>
      </c>
      <c r="K113" s="26845">
        <v>0</v>
      </c>
      <c r="L113" s="26846">
        <v>2</v>
      </c>
      <c r="M113" s="26847">
        <v>40</v>
      </c>
      <c r="N113" s="26848">
        <v>18</v>
      </c>
      <c r="O113" s="26849">
        <v>7</v>
      </c>
      <c r="P113" s="26850">
        <f>IF(HLOOKUP("Shots",A1:CV300,113,FALSE)=0,0,HLOOKUP("SIB",A1:CV300,113,FALSE)/HLOOKUP("Shots",A1:CV300,113,FALSE))</f>
        <v>0.3888888888888889</v>
      </c>
      <c r="Q113" s="26851">
        <v>0</v>
      </c>
      <c r="R113" s="26852">
        <f>IF(HLOOKUP("Shots",A1:CV300,113,FALSE)=0,0,HLOOKUP("S6YD",A1:CV300,113,FALSE)/HLOOKUP("Shots",A1:CV300,113,FALSE))</f>
        <v>0</v>
      </c>
      <c r="S113" s="26853">
        <v>1</v>
      </c>
      <c r="T113" s="26854">
        <f>IF(HLOOKUP("Shots",A1:CV300,113,FALSE)=0,0,HLOOKUP("Headers",A1:CV300,113,FALSE)/HLOOKUP("Shots",A1:CV300,113,FALSE))</f>
        <v>5.5555555555555552E-2</v>
      </c>
      <c r="U113" s="26855">
        <v>9</v>
      </c>
      <c r="V113" s="26856">
        <f>IF(HLOOKUP("Shots",A1:CV300,113,FALSE)=0,0,HLOOKUP("SOT",A1:CV300,113,FALSE)/HLOOKUP("Shots",A1:CV300,113,FALSE))</f>
        <v>0.5</v>
      </c>
      <c r="W113" s="26857">
        <f>IF(HLOOKUP("Shots",A1:CV300,113,FALSE)=0,0,HLOOKUP("Gs",A1:CV300,113,FALSE)/HLOOKUP("Shots",A1:CV300,113,FALSE))</f>
        <v>5.5555555555555552E-2</v>
      </c>
      <c r="X113" s="26858">
        <v>0</v>
      </c>
      <c r="Y113" s="26859">
        <v>1</v>
      </c>
      <c r="Z113" s="26860">
        <v>13</v>
      </c>
      <c r="AA113" s="26861">
        <f>IF(HLOOKUP("KP",A1:CV300,113,FALSE)=0,0,HLOOKUP("As",A1:CV300,113,FALSE)/HLOOKUP("KP",A1:CV300,113,FALSE))</f>
        <v>0</v>
      </c>
      <c r="AB113" s="26862">
        <v>55.7</v>
      </c>
      <c r="AC113" s="26863">
        <v>17</v>
      </c>
      <c r="AD113" s="26864">
        <v>1</v>
      </c>
      <c r="AE113" s="26865">
        <v>3</v>
      </c>
      <c r="AF113" s="26866">
        <v>3</v>
      </c>
      <c r="AG113" s="26867">
        <f>IF(HLOOKUP("BC",A1:CV300,113,FALSE)=0,0,HLOOKUP("Gs - BC",A1:CV300,113,FALSE)/HLOOKUP("BC",A1:CV300,113,FALSE))</f>
        <v>0</v>
      </c>
      <c r="AH113" s="26868">
        <f>HLOOKUP("BC",A1:CV300,113,FALSE) - HLOOKUP("BC Miss",A1:CV300,113,FALSE)</f>
        <v>0</v>
      </c>
      <c r="AI113" s="26869">
        <f>IF(HLOOKUP("Gs",A1:CV300,113,FALSE)=0,0,HLOOKUP("Gs - BC",A1:CV300,113,FALSE)/HLOOKUP("Gs",A1:CV300,113,FALSE))</f>
        <v>0</v>
      </c>
      <c r="AJ113" s="26870">
        <v>0</v>
      </c>
      <c r="AK113" s="26871">
        <v>0</v>
      </c>
      <c r="AL113" s="26872">
        <f>HLOOKUP("BC",A1:CV300,113,FALSE) - (HLOOKUP("PK Gs",A1:CV300,113,FALSE) + HLOOKUP("PK Miss",A1:CV300,113,FALSE))</f>
        <v>3</v>
      </c>
      <c r="AM113" s="26873">
        <f>HLOOKUP("BC Miss",A1:CV300,113,FALSE) - HLOOKUP("PK Miss",A1:CV300,113,FALSE)</f>
        <v>3</v>
      </c>
      <c r="AN113" s="26874">
        <f>IF(HLOOKUP("BC - Open",A1:CV300,113,FALSE)=0,0,HLOOKUP("BC - Open Miss",A1:CV300,113,FALSE)/HLOOKUP("BC - Open",A1:CV300,113,FALSE))</f>
        <v>1</v>
      </c>
      <c r="AO113" s="26875">
        <v>1</v>
      </c>
      <c r="AP113" s="26876">
        <f>IF(HLOOKUP("Gs",A1:CV300,113,FALSE)=0,0,HLOOKUP("GIB",A1:CV300,113,FALSE)/HLOOKUP("Gs",A1:CV300,113,FALSE))</f>
        <v>1</v>
      </c>
      <c r="AQ113" s="26877">
        <v>1</v>
      </c>
      <c r="AR113" s="26878">
        <f>IF(HLOOKUP("Gs",A1:CV300,113,FALSE)=0,0,HLOOKUP("Gs - Open",A1:CV300,113,FALSE)/HLOOKUP("Gs",A1:CV300,113,FALSE))</f>
        <v>1</v>
      </c>
      <c r="AS113" s="26879">
        <v>1.84</v>
      </c>
      <c r="AT113" s="26880">
        <v>1.19</v>
      </c>
      <c r="AU113" s="26881">
        <f>IF(HLOOKUP("Mins",A1:CV300,113,FALSE)=0,0,HLOOKUP("Pts",A1:CV300,113,FALSE)/HLOOKUP("Mins",A1:CV300,113,FALSE)* 90)</f>
        <v>3.4024390243902438</v>
      </c>
      <c r="AV113" s="26882">
        <f>IF(HLOOKUP("Apps",A1:CV300,113,FALSE)=0,0,HLOOKUP("Pts",A1:CV300,113,FALSE)/HLOOKUP("Apps",A1:CV300,113,FALSE)* 1)</f>
        <v>2.5833333333333335</v>
      </c>
      <c r="AW113" s="26883">
        <f>IF(HLOOKUP("Mins",A1:CV300,113,FALSE)=0,0,HLOOKUP("Gs",A1:CV300,113,FALSE)/HLOOKUP("Mins",A1:CV300,113,FALSE)* 90)</f>
        <v>0.10975609756097561</v>
      </c>
      <c r="AX113" s="26884">
        <f>IF(HLOOKUP("Mins",A1:CV300,113,FALSE)=0,0,HLOOKUP("Bonus",A1:CV300,113,FALSE)/HLOOKUP("Mins",A1:CV300,113,FALSE)* 90)</f>
        <v>0</v>
      </c>
      <c r="AY113" s="26885">
        <f>IF(HLOOKUP("Mins",A1:CV300,113,FALSE)=0,0,HLOOKUP("BPS",A1:CV300,113,FALSE)/HLOOKUP("Mins",A1:CV300,113,FALSE)* 90)</f>
        <v>11.74390243902439</v>
      </c>
      <c r="AZ113" s="26886">
        <f>IF(HLOOKUP("Mins",A1:CV300,113,FALSE)=0,0,HLOOKUP("Base BPS",A1:CV300,113,FALSE)/HLOOKUP("Mins",A1:CV300,113,FALSE)* 90)</f>
        <v>8.7804878048780495</v>
      </c>
      <c r="BA113" s="26887">
        <f>IF(HLOOKUP("Mins",A1:CV300,113,FALSE)=0,0,HLOOKUP("PenTchs",A1:CV300,113,FALSE)/HLOOKUP("Mins",A1:CV300,113,FALSE)* 90)</f>
        <v>4.3902439024390247</v>
      </c>
      <c r="BB113" s="26888">
        <f>IF(HLOOKUP("Mins",A1:CV300,113,FALSE)=0,0,HLOOKUP("Shots",A1:CV300,113,FALSE)/HLOOKUP("Mins",A1:CV300,113,FALSE)* 90)</f>
        <v>1.975609756097561</v>
      </c>
      <c r="BC113" s="26889">
        <f>IF(HLOOKUP("Mins",A1:CV300,113,FALSE)=0,0,HLOOKUP("SIB",A1:CV300,113,FALSE)/HLOOKUP("Mins",A1:CV300,113,FALSE)* 90)</f>
        <v>0.76829268292682928</v>
      </c>
      <c r="BD113" s="26890">
        <f>IF(HLOOKUP("Mins",A1:CV300,113,FALSE)=0,0,HLOOKUP("S6YD",A1:CV300,113,FALSE)/HLOOKUP("Mins",A1:CV300,113,FALSE)* 90)</f>
        <v>0</v>
      </c>
      <c r="BE113" s="26891">
        <f>IF(HLOOKUP("Mins",A1:CV300,113,FALSE)=0,0,HLOOKUP("Headers",A1:CV300,113,FALSE)/HLOOKUP("Mins",A1:CV300,113,FALSE)* 90)</f>
        <v>0.10975609756097561</v>
      </c>
      <c r="BF113" s="26892">
        <f>IF(HLOOKUP("Mins",A1:CV300,113,FALSE)=0,0,HLOOKUP("SOT",A1:CV300,113,FALSE)/HLOOKUP("Mins",A1:CV300,113,FALSE)* 90)</f>
        <v>0.98780487804878048</v>
      </c>
      <c r="BG113" s="26893">
        <f>IF(HLOOKUP("Mins",A1:CV300,113,FALSE)=0,0,HLOOKUP("As",A1:CV300,113,FALSE)/HLOOKUP("Mins",A1:CV300,113,FALSE)* 90)</f>
        <v>0</v>
      </c>
      <c r="BH113" s="26894">
        <f>IF(HLOOKUP("Mins",A1:CV300,113,FALSE)=0,0,HLOOKUP("FPL As",A1:CV300,113,FALSE)/HLOOKUP("Mins",A1:CV300,113,FALSE)* 90)</f>
        <v>0.10975609756097561</v>
      </c>
      <c r="BI113" s="26895">
        <f>IF(HLOOKUP("Mins",A1:CV300,113,FALSE)=0,0,HLOOKUP("BC Created",A1:CV300,113,FALSE)/HLOOKUP("Mins",A1:CV300,113,FALSE)* 90)</f>
        <v>0.10975609756097561</v>
      </c>
      <c r="BJ113" s="26896">
        <f>IF(HLOOKUP("Mins",A1:CV300,113,FALSE)=0,0,HLOOKUP("KP",A1:CV300,113,FALSE)/HLOOKUP("Mins",A1:CV300,113,FALSE)* 90)</f>
        <v>1.4268292682926829</v>
      </c>
      <c r="BK113" s="26897">
        <f>IF(HLOOKUP("Mins",A1:CV300,113,FALSE)=0,0,HLOOKUP("BC",A1:CV300,113,FALSE)/HLOOKUP("Mins",A1:CV300,113,FALSE)* 90)</f>
        <v>0.32926829268292684</v>
      </c>
      <c r="BL113" s="26898">
        <f>IF(HLOOKUP("Mins",A1:CV300,113,FALSE)=0,0,HLOOKUP("BC Miss",A1:CV300,113,FALSE)/HLOOKUP("Mins",A1:CV300,113,FALSE)* 90)</f>
        <v>0.32926829268292684</v>
      </c>
      <c r="BM113" s="26899">
        <f>IF(HLOOKUP("Mins",A1:CV300,113,FALSE)=0,0,HLOOKUP("Gs - BC",A1:CV300,113,FALSE)/HLOOKUP("Mins",A1:CV300,113,FALSE)* 90)</f>
        <v>0</v>
      </c>
      <c r="BN113" s="26900">
        <f>IF(HLOOKUP("Mins",A1:CV300,113,FALSE)=0,0,HLOOKUP("GIB",A1:CV300,113,FALSE)/HLOOKUP("Mins",A1:CV300,113,FALSE)* 90)</f>
        <v>0.10975609756097561</v>
      </c>
      <c r="BO113" s="26901">
        <f>IF(HLOOKUP("Mins",A1:CV300,113,FALSE)=0,0,HLOOKUP("Gs - Open",A1:CV300,113,FALSE)/HLOOKUP("Mins",A1:CV300,113,FALSE)* 90)</f>
        <v>0.10975609756097561</v>
      </c>
      <c r="BP113" s="26902">
        <f>IF(HLOOKUP("Mins",A1:CV300,113,FALSE)=0,0,HLOOKUP("ICT Index",A1:CV300,113,FALSE)/HLOOKUP("Mins",A1:CV300,113,FALSE)* 90)</f>
        <v>6.1134146341463422</v>
      </c>
      <c r="BQ113" s="26903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  <v>0.15256097560975609</v>
      </c>
      <c r="BR113" s="26904">
        <f>0.0885*HLOOKUP("KP/90",A1:CV300,113,FALSE)</f>
        <v>0.12627439024390244</v>
      </c>
      <c r="BS113" s="26905">
        <f>5*HLOOKUP("xG/90",A1:CV300,113,FALSE)+3*HLOOKUP("xA/90",A1:CV300,113,FALSE)</f>
        <v>1.141628048780488</v>
      </c>
      <c r="BT113" s="26906">
        <f>HLOOKUP("xPts/90",A1:CV300,113,FALSE)-(5*0.75*(HLOOKUP("PK Gs",A1:CV300,113,FALSE)+HLOOKUP("PK Miss",A1:CV300,113,FALSE))*90/HLOOKUP("Mins",A1:CV300,113,FALSE))</f>
        <v>1.141628048780488</v>
      </c>
      <c r="BU113" s="26907">
        <f>IF(HLOOKUP("Mins",A1:CV300,113,FALSE)=0,0,HLOOKUP("fsXG",A1:CV300,113,FALSE)/HLOOKUP("Mins",A1:CV300,113,FALSE)* 90)</f>
        <v>0.20195121951219513</v>
      </c>
      <c r="BV113" s="26908">
        <f>IF(HLOOKUP("Mins",A1:CV300,113,FALSE)=0,0,HLOOKUP("fsXA",A1:CV300,113,FALSE)/HLOOKUP("Mins",A1:CV300,113,FALSE)* 90)</f>
        <v>0.13060975609756098</v>
      </c>
      <c r="BW113" s="26909">
        <f>5*HLOOKUP("fsXG/90",A1:CV300,113,FALSE)+3*HLOOKUP("fsXA/90",A1:CV300,113,FALSE)</f>
        <v>1.4015853658536586</v>
      </c>
      <c r="BX113" s="26910">
        <v>0.17039757966995239</v>
      </c>
      <c r="BY113" s="26911">
        <v>0.10608704388141632</v>
      </c>
      <c r="BZ113" s="26912">
        <f>5*HLOOKUP("uXG/90",A1:CV300,113,FALSE)+3*HLOOKUP("uXA/90",A1:CV300,113,FALSE)</f>
        <v>1.1702490299940109</v>
      </c>
    </row>
    <row r="114" spans="1:78" x14ac:dyDescent="0.3">
      <c r="A114" s="26913" t="s">
        <v>441</v>
      </c>
      <c r="B114" s="26914" t="s">
        <v>79</v>
      </c>
      <c r="C114" s="26915">
        <v>5.1999998092651367</v>
      </c>
      <c r="D114" s="26916">
        <v>664</v>
      </c>
      <c r="E114" s="26917">
        <v>11</v>
      </c>
      <c r="F114" s="26918">
        <v>27</v>
      </c>
      <c r="G114" s="26919">
        <v>0</v>
      </c>
      <c r="H114" s="26920">
        <v>3</v>
      </c>
      <c r="I114" s="26921">
        <v>130</v>
      </c>
      <c r="J114" s="26922">
        <f>HLOOKUP("BPS",A1:CV300,114,FALSE)-((-6*HLOOKUP("OG",A1:CV300,114,FALSE))+(-6*HLOOKUP("PK Miss",A1:CV300,114,FALSE))+(9*HLOOKUP("FPL As",A1:CV300,114,FALSE))+(0*HLOOKUP("CS",A1:CV300,114,FALSE))+(18*HLOOKUP("Gs",A1:CV300,114,FALSE)))</f>
        <v>112</v>
      </c>
      <c r="K114" s="26923">
        <v>0</v>
      </c>
      <c r="L114" s="26924">
        <v>1</v>
      </c>
      <c r="M114" s="26925">
        <v>15</v>
      </c>
      <c r="N114" s="26926">
        <v>9</v>
      </c>
      <c r="O114" s="26927">
        <v>4</v>
      </c>
      <c r="P114" s="26928">
        <f>IF(HLOOKUP("Shots",A1:CV300,114,FALSE)=0,0,HLOOKUP("SIB",A1:CV300,114,FALSE)/HLOOKUP("Shots",A1:CV300,114,FALSE))</f>
        <v>0.44444444444444442</v>
      </c>
      <c r="Q114" s="26929">
        <v>0</v>
      </c>
      <c r="R114" s="26930">
        <f>IF(HLOOKUP("Shots",A1:CV300,114,FALSE)=0,0,HLOOKUP("S6YD",A1:CV300,114,FALSE)/HLOOKUP("Shots",A1:CV300,114,FALSE))</f>
        <v>0</v>
      </c>
      <c r="S114" s="26931">
        <v>0</v>
      </c>
      <c r="T114" s="26932">
        <f>IF(HLOOKUP("Shots",A1:CV300,114,FALSE)=0,0,HLOOKUP("Headers",A1:CV300,114,FALSE)/HLOOKUP("Shots",A1:CV300,114,FALSE))</f>
        <v>0</v>
      </c>
      <c r="U114" s="26933">
        <v>3</v>
      </c>
      <c r="V114" s="26934">
        <f>IF(HLOOKUP("Shots",A1:CV300,114,FALSE)=0,0,HLOOKUP("SOT",A1:CV300,114,FALSE)/HLOOKUP("Shots",A1:CV300,114,FALSE))</f>
        <v>0.33333333333333331</v>
      </c>
      <c r="W114" s="26935">
        <f>IF(HLOOKUP("Shots",A1:CV300,114,FALSE)=0,0,HLOOKUP("Gs",A1:CV300,114,FALSE)/HLOOKUP("Shots",A1:CV300,114,FALSE))</f>
        <v>0</v>
      </c>
      <c r="X114" s="26936">
        <v>2</v>
      </c>
      <c r="Y114" s="26937">
        <v>2</v>
      </c>
      <c r="Z114" s="26938">
        <v>11</v>
      </c>
      <c r="AA114" s="26939">
        <f>IF(HLOOKUP("KP",A1:CV300,114,FALSE)=0,0,HLOOKUP("As",A1:CV300,114,FALSE)/HLOOKUP("KP",A1:CV300,114,FALSE))</f>
        <v>0.18181818181818182</v>
      </c>
      <c r="AB114" s="26940">
        <v>42.9</v>
      </c>
      <c r="AC114" s="26941">
        <v>18</v>
      </c>
      <c r="AD114" s="26942">
        <v>0</v>
      </c>
      <c r="AE114" s="26943">
        <v>0</v>
      </c>
      <c r="AF114" s="26944">
        <v>0</v>
      </c>
      <c r="AG114" s="26945">
        <f>IF(HLOOKUP("BC",A1:CV300,114,FALSE)=0,0,HLOOKUP("Gs - BC",A1:CV300,114,FALSE)/HLOOKUP("BC",A1:CV300,114,FALSE))</f>
        <v>0</v>
      </c>
      <c r="AH114" s="26946">
        <f>HLOOKUP("BC",A1:CV300,114,FALSE) - HLOOKUP("BC Miss",A1:CV300,114,FALSE)</f>
        <v>0</v>
      </c>
      <c r="AI114" s="26947">
        <f>IF(HLOOKUP("Gs",A1:CV300,114,FALSE)=0,0,HLOOKUP("Gs - BC",A1:CV300,114,FALSE)/HLOOKUP("Gs",A1:CV300,114,FALSE))</f>
        <v>0</v>
      </c>
      <c r="AJ114" s="26948">
        <v>0</v>
      </c>
      <c r="AK114" s="26949">
        <v>0</v>
      </c>
      <c r="AL114" s="26950">
        <f>HLOOKUP("BC",A1:CV300,114,FALSE) - (HLOOKUP("PK Gs",A1:CV300,114,FALSE) + HLOOKUP("PK Miss",A1:CV300,114,FALSE))</f>
        <v>0</v>
      </c>
      <c r="AM114" s="26951">
        <f>HLOOKUP("BC Miss",A1:CV300,114,FALSE) - HLOOKUP("PK Miss",A1:CV300,114,FALSE)</f>
        <v>0</v>
      </c>
      <c r="AN114" s="26952">
        <f>IF(HLOOKUP("BC - Open",A1:CV300,114,FALSE)=0,0,HLOOKUP("BC - Open Miss",A1:CV300,114,FALSE)/HLOOKUP("BC - Open",A1:CV300,114,FALSE))</f>
        <v>0</v>
      </c>
      <c r="AO114" s="26953">
        <v>0</v>
      </c>
      <c r="AP114" s="26954">
        <f>IF(HLOOKUP("Gs",A1:CV300,114,FALSE)=0,0,HLOOKUP("GIB",A1:CV300,114,FALSE)/HLOOKUP("Gs",A1:CV300,114,FALSE))</f>
        <v>0</v>
      </c>
      <c r="AQ114" s="26955">
        <v>0</v>
      </c>
      <c r="AR114" s="26956">
        <f>IF(HLOOKUP("Gs",A1:CV300,114,FALSE)=0,0,HLOOKUP("Gs - Open",A1:CV300,114,FALSE)/HLOOKUP("Gs",A1:CV300,114,FALSE))</f>
        <v>0</v>
      </c>
      <c r="AS114" s="26957">
        <v>0.46</v>
      </c>
      <c r="AT114" s="26958">
        <v>0.57999999999999996</v>
      </c>
      <c r="AU114" s="26959">
        <f>IF(HLOOKUP("Mins",A1:CV300,114,FALSE)=0,0,HLOOKUP("Pts",A1:CV300,114,FALSE)/HLOOKUP("Mins",A1:CV300,114,FALSE)* 90)</f>
        <v>3.6596385542168672</v>
      </c>
      <c r="AV114" s="26960">
        <f>IF(HLOOKUP("Apps",A1:CV300,114,FALSE)=0,0,HLOOKUP("Pts",A1:CV300,114,FALSE)/HLOOKUP("Apps",A1:CV300,114,FALSE)* 1)</f>
        <v>2.4545454545454546</v>
      </c>
      <c r="AW114" s="26961">
        <f>IF(HLOOKUP("Mins",A1:CV300,114,FALSE)=0,0,HLOOKUP("Gs",A1:CV300,114,FALSE)/HLOOKUP("Mins",A1:CV300,114,FALSE)* 90)</f>
        <v>0</v>
      </c>
      <c r="AX114" s="26962">
        <f>IF(HLOOKUP("Mins",A1:CV300,114,FALSE)=0,0,HLOOKUP("Bonus",A1:CV300,114,FALSE)/HLOOKUP("Mins",A1:CV300,114,FALSE)* 90)</f>
        <v>0.40662650602409639</v>
      </c>
      <c r="AY114" s="26963">
        <f>IF(HLOOKUP("Mins",A1:CV300,114,FALSE)=0,0,HLOOKUP("BPS",A1:CV300,114,FALSE)/HLOOKUP("Mins",A1:CV300,114,FALSE)* 90)</f>
        <v>17.620481927710841</v>
      </c>
      <c r="AZ114" s="26964">
        <f>IF(HLOOKUP("Mins",A1:CV300,114,FALSE)=0,0,HLOOKUP("Base BPS",A1:CV300,114,FALSE)/HLOOKUP("Mins",A1:CV300,114,FALSE)* 90)</f>
        <v>15.180722891566264</v>
      </c>
      <c r="BA114" s="26965">
        <f>IF(HLOOKUP("Mins",A1:CV300,114,FALSE)=0,0,HLOOKUP("PenTchs",A1:CV300,114,FALSE)/HLOOKUP("Mins",A1:CV300,114,FALSE)* 90)</f>
        <v>2.0331325301204819</v>
      </c>
      <c r="BB114" s="26966">
        <f>IF(HLOOKUP("Mins",A1:CV300,114,FALSE)=0,0,HLOOKUP("Shots",A1:CV300,114,FALSE)/HLOOKUP("Mins",A1:CV300,114,FALSE)* 90)</f>
        <v>1.2198795180722892</v>
      </c>
      <c r="BC114" s="26967">
        <f>IF(HLOOKUP("Mins",A1:CV300,114,FALSE)=0,0,HLOOKUP("SIB",A1:CV300,114,FALSE)/HLOOKUP("Mins",A1:CV300,114,FALSE)* 90)</f>
        <v>0.54216867469879526</v>
      </c>
      <c r="BD114" s="26968">
        <f>IF(HLOOKUP("Mins",A1:CV300,114,FALSE)=0,0,HLOOKUP("S6YD",A1:CV300,114,FALSE)/HLOOKUP("Mins",A1:CV300,114,FALSE)* 90)</f>
        <v>0</v>
      </c>
      <c r="BE114" s="26969">
        <f>IF(HLOOKUP("Mins",A1:CV300,114,FALSE)=0,0,HLOOKUP("Headers",A1:CV300,114,FALSE)/HLOOKUP("Mins",A1:CV300,114,FALSE)* 90)</f>
        <v>0</v>
      </c>
      <c r="BF114" s="26970">
        <f>IF(HLOOKUP("Mins",A1:CV300,114,FALSE)=0,0,HLOOKUP("SOT",A1:CV300,114,FALSE)/HLOOKUP("Mins",A1:CV300,114,FALSE)* 90)</f>
        <v>0.40662650602409639</v>
      </c>
      <c r="BG114" s="26971">
        <f>IF(HLOOKUP("Mins",A1:CV300,114,FALSE)=0,0,HLOOKUP("As",A1:CV300,114,FALSE)/HLOOKUP("Mins",A1:CV300,114,FALSE)* 90)</f>
        <v>0.27108433734939763</v>
      </c>
      <c r="BH114" s="26972">
        <f>IF(HLOOKUP("Mins",A1:CV300,114,FALSE)=0,0,HLOOKUP("FPL As",A1:CV300,114,FALSE)/HLOOKUP("Mins",A1:CV300,114,FALSE)* 90)</f>
        <v>0.27108433734939763</v>
      </c>
      <c r="BI114" s="26973">
        <f>IF(HLOOKUP("Mins",A1:CV300,114,FALSE)=0,0,HLOOKUP("BC Created",A1:CV300,114,FALSE)/HLOOKUP("Mins",A1:CV300,114,FALSE)* 90)</f>
        <v>0</v>
      </c>
      <c r="BJ114" s="26974">
        <f>IF(HLOOKUP("Mins",A1:CV300,114,FALSE)=0,0,HLOOKUP("KP",A1:CV300,114,FALSE)/HLOOKUP("Mins",A1:CV300,114,FALSE)* 90)</f>
        <v>1.4909638554216869</v>
      </c>
      <c r="BK114" s="26975">
        <f>IF(HLOOKUP("Mins",A1:CV300,114,FALSE)=0,0,HLOOKUP("BC",A1:CV300,114,FALSE)/HLOOKUP("Mins",A1:CV300,114,FALSE)* 90)</f>
        <v>0</v>
      </c>
      <c r="BL114" s="26976">
        <f>IF(HLOOKUP("Mins",A1:CV300,114,FALSE)=0,0,HLOOKUP("BC Miss",A1:CV300,114,FALSE)/HLOOKUP("Mins",A1:CV300,114,FALSE)* 90)</f>
        <v>0</v>
      </c>
      <c r="BM114" s="26977">
        <f>IF(HLOOKUP("Mins",A1:CV300,114,FALSE)=0,0,HLOOKUP("Gs - BC",A1:CV300,114,FALSE)/HLOOKUP("Mins",A1:CV300,114,FALSE)* 90)</f>
        <v>0</v>
      </c>
      <c r="BN114" s="26978">
        <f>IF(HLOOKUP("Mins",A1:CV300,114,FALSE)=0,0,HLOOKUP("GIB",A1:CV300,114,FALSE)/HLOOKUP("Mins",A1:CV300,114,FALSE)* 90)</f>
        <v>0</v>
      </c>
      <c r="BO114" s="26979">
        <f>IF(HLOOKUP("Mins",A1:CV300,114,FALSE)=0,0,HLOOKUP("Gs - Open",A1:CV300,114,FALSE)/HLOOKUP("Mins",A1:CV300,114,FALSE)* 90)</f>
        <v>0</v>
      </c>
      <c r="BP114" s="26980">
        <f>IF(HLOOKUP("Mins",A1:CV300,114,FALSE)=0,0,HLOOKUP("ICT Index",A1:CV300,114,FALSE)/HLOOKUP("Mins",A1:CV300,114,FALSE)* 90)</f>
        <v>5.8147590361445776</v>
      </c>
      <c r="BQ114" s="26981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  <v>0.10138554216867469</v>
      </c>
      <c r="BR114" s="26982">
        <f>0.0885*HLOOKUP("KP/90",A1:CV300,114,FALSE)</f>
        <v>0.13195030120481929</v>
      </c>
      <c r="BS114" s="26983">
        <f>5*HLOOKUP("xG/90",A1:CV300,114,FALSE)+3*HLOOKUP("xA/90",A1:CV300,114,FALSE)</f>
        <v>0.90277861445783136</v>
      </c>
      <c r="BT114" s="26984">
        <f>HLOOKUP("xPts/90",A1:CV300,114,FALSE)-(5*0.75*(HLOOKUP("PK Gs",A1:CV300,114,FALSE)+HLOOKUP("PK Miss",A1:CV300,114,FALSE))*90/HLOOKUP("Mins",A1:CV300,114,FALSE))</f>
        <v>0.90277861445783136</v>
      </c>
      <c r="BU114" s="26985">
        <f>IF(HLOOKUP("Mins",A1:CV300,114,FALSE)=0,0,HLOOKUP("fsXG",A1:CV300,114,FALSE)/HLOOKUP("Mins",A1:CV300,114,FALSE)* 90)</f>
        <v>6.2349397590361448E-2</v>
      </c>
      <c r="BV114" s="26986">
        <f>IF(HLOOKUP("Mins",A1:CV300,114,FALSE)=0,0,HLOOKUP("fsXA",A1:CV300,114,FALSE)/HLOOKUP("Mins",A1:CV300,114,FALSE)* 90)</f>
        <v>7.8614457831325285E-2</v>
      </c>
      <c r="BW114" s="26987">
        <f>5*HLOOKUP("fsXG/90",A1:CV300,114,FALSE)+3*HLOOKUP("fsXA/90",A1:CV300,114,FALSE)</f>
        <v>0.5475903614457831</v>
      </c>
      <c r="BX114" s="26988">
        <v>4.6314887702465057E-2</v>
      </c>
      <c r="BY114" s="26989">
        <v>8.059334009885788E-2</v>
      </c>
      <c r="BZ114" s="26990">
        <f>5*HLOOKUP("uXG/90",A1:CV300,114,FALSE)+3*HLOOKUP("uXA/90",A1:CV300,114,FALSE)</f>
        <v>0.47335445880889893</v>
      </c>
    </row>
    <row r="115" spans="1:78" x14ac:dyDescent="0.3">
      <c r="A115" s="26991" t="s">
        <v>442</v>
      </c>
      <c r="B115" s="26992" t="s">
        <v>113</v>
      </c>
      <c r="C115" s="26993">
        <v>5</v>
      </c>
      <c r="D115" s="26994">
        <v>1435</v>
      </c>
      <c r="E115" s="26995">
        <v>18</v>
      </c>
      <c r="F115" s="26996">
        <v>64</v>
      </c>
      <c r="G115" s="26997">
        <v>3</v>
      </c>
      <c r="H115" s="26998">
        <v>5</v>
      </c>
      <c r="I115" s="26999">
        <v>266</v>
      </c>
      <c r="J115" s="27000">
        <f>HLOOKUP("BPS",A1:CV300,115,FALSE)-((-6*HLOOKUP("OG",A1:CV300,115,FALSE))+(-6*HLOOKUP("PK Miss",A1:CV300,115,FALSE))+(9*HLOOKUP("FPL As",A1:CV300,115,FALSE))+(0*HLOOKUP("CS",A1:CV300,115,FALSE))+(18*HLOOKUP("Gs",A1:CV300,115,FALSE)))</f>
        <v>194</v>
      </c>
      <c r="K115" s="27001">
        <v>0</v>
      </c>
      <c r="L115" s="27002">
        <v>6</v>
      </c>
      <c r="M115" s="27003">
        <v>18</v>
      </c>
      <c r="N115" s="27004">
        <v>12</v>
      </c>
      <c r="O115" s="27005">
        <v>5</v>
      </c>
      <c r="P115" s="27006">
        <f>IF(HLOOKUP("Shots",A1:CV300,115,FALSE)=0,0,HLOOKUP("SIB",A1:CV300,115,FALSE)/HLOOKUP("Shots",A1:CV300,115,FALSE))</f>
        <v>0.41666666666666669</v>
      </c>
      <c r="Q115" s="27007">
        <v>0</v>
      </c>
      <c r="R115" s="27008">
        <f>IF(HLOOKUP("Shots",A1:CV300,115,FALSE)=0,0,HLOOKUP("S6YD",A1:CV300,115,FALSE)/HLOOKUP("Shots",A1:CV300,115,FALSE))</f>
        <v>0</v>
      </c>
      <c r="S115" s="27009">
        <v>0</v>
      </c>
      <c r="T115" s="27010">
        <f>IF(HLOOKUP("Shots",A1:CV300,115,FALSE)=0,0,HLOOKUP("Headers",A1:CV300,115,FALSE)/HLOOKUP("Shots",A1:CV300,115,FALSE))</f>
        <v>0</v>
      </c>
      <c r="U115" s="27011">
        <v>5</v>
      </c>
      <c r="V115" s="27012">
        <f>IF(HLOOKUP("Shots",A1:CV300,115,FALSE)=0,0,HLOOKUP("SOT",A1:CV300,115,FALSE)/HLOOKUP("Shots",A1:CV300,115,FALSE))</f>
        <v>0.41666666666666669</v>
      </c>
      <c r="W115" s="27013">
        <f>IF(HLOOKUP("Shots",A1:CV300,115,FALSE)=0,0,HLOOKUP("Gs",A1:CV300,115,FALSE)/HLOOKUP("Shots",A1:CV300,115,FALSE))</f>
        <v>0.25</v>
      </c>
      <c r="X115" s="27014">
        <v>1</v>
      </c>
      <c r="Y115" s="27015">
        <v>2</v>
      </c>
      <c r="Z115" s="27016">
        <v>10</v>
      </c>
      <c r="AA115" s="27017">
        <f>IF(HLOOKUP("KP",A1:CV300,115,FALSE)=0,0,HLOOKUP("As",A1:CV300,115,FALSE)/HLOOKUP("KP",A1:CV300,115,FALSE))</f>
        <v>0.1</v>
      </c>
      <c r="AB115" s="27018">
        <v>55</v>
      </c>
      <c r="AC115" s="27019">
        <v>24</v>
      </c>
      <c r="AD115" s="27020">
        <v>0</v>
      </c>
      <c r="AE115" s="27021">
        <v>2</v>
      </c>
      <c r="AF115" s="27022">
        <v>0</v>
      </c>
      <c r="AG115" s="27023">
        <f>IF(HLOOKUP("BC",A1:CV300,115,FALSE)=0,0,HLOOKUP("Gs - BC",A1:CV300,115,FALSE)/HLOOKUP("BC",A1:CV300,115,FALSE))</f>
        <v>1</v>
      </c>
      <c r="AH115" s="27024">
        <f>HLOOKUP("BC",A1:CV300,115,FALSE) - HLOOKUP("BC Miss",A1:CV300,115,FALSE)</f>
        <v>2</v>
      </c>
      <c r="AI115" s="27025">
        <f>IF(HLOOKUP("Gs",A1:CV300,115,FALSE)=0,0,HLOOKUP("Gs - BC",A1:CV300,115,FALSE)/HLOOKUP("Gs",A1:CV300,115,FALSE))</f>
        <v>0.66666666666666663</v>
      </c>
      <c r="AJ115" s="27026">
        <v>2</v>
      </c>
      <c r="AK115" s="27027">
        <v>0</v>
      </c>
      <c r="AL115" s="27028">
        <f>HLOOKUP("BC",A1:CV300,115,FALSE) - (HLOOKUP("PK Gs",A1:CV300,115,FALSE) + HLOOKUP("PK Miss",A1:CV300,115,FALSE))</f>
        <v>0</v>
      </c>
      <c r="AM115" s="27029">
        <f>HLOOKUP("BC Miss",A1:CV300,115,FALSE) - HLOOKUP("PK Miss",A1:CV300,115,FALSE)</f>
        <v>0</v>
      </c>
      <c r="AN115" s="27030">
        <f>IF(HLOOKUP("BC - Open",A1:CV300,115,FALSE)=0,0,HLOOKUP("BC - Open Miss",A1:CV300,115,FALSE)/HLOOKUP("BC - Open",A1:CV300,115,FALSE))</f>
        <v>0</v>
      </c>
      <c r="AO115" s="27031">
        <v>2</v>
      </c>
      <c r="AP115" s="27032">
        <f>IF(HLOOKUP("Gs",A1:CV300,115,FALSE)=0,0,HLOOKUP("GIB",A1:CV300,115,FALSE)/HLOOKUP("Gs",A1:CV300,115,FALSE))</f>
        <v>0.66666666666666663</v>
      </c>
      <c r="AQ115" s="27033">
        <v>1</v>
      </c>
      <c r="AR115" s="27034">
        <f>IF(HLOOKUP("Gs",A1:CV300,115,FALSE)=0,0,HLOOKUP("Gs - Open",A1:CV300,115,FALSE)/HLOOKUP("Gs",A1:CV300,115,FALSE))</f>
        <v>0.33333333333333331</v>
      </c>
      <c r="AS115" s="27035">
        <v>2.02</v>
      </c>
      <c r="AT115" s="27036">
        <v>1.04</v>
      </c>
      <c r="AU115" s="27037">
        <f>IF(HLOOKUP("Mins",A1:CV300,115,FALSE)=0,0,HLOOKUP("Pts",A1:CV300,115,FALSE)/HLOOKUP("Mins",A1:CV300,115,FALSE)* 90)</f>
        <v>4.013937282229965</v>
      </c>
      <c r="AV115" s="27038">
        <f>IF(HLOOKUP("Apps",A1:CV300,115,FALSE)=0,0,HLOOKUP("Pts",A1:CV300,115,FALSE)/HLOOKUP("Apps",A1:CV300,115,FALSE)* 1)</f>
        <v>3.5555555555555554</v>
      </c>
      <c r="AW115" s="27039">
        <f>IF(HLOOKUP("Mins",A1:CV300,115,FALSE)=0,0,HLOOKUP("Gs",A1:CV300,115,FALSE)/HLOOKUP("Mins",A1:CV300,115,FALSE)* 90)</f>
        <v>0.18815331010452963</v>
      </c>
      <c r="AX115" s="27040">
        <f>IF(HLOOKUP("Mins",A1:CV300,115,FALSE)=0,0,HLOOKUP("Bonus",A1:CV300,115,FALSE)/HLOOKUP("Mins",A1:CV300,115,FALSE)* 90)</f>
        <v>0.31358885017421601</v>
      </c>
      <c r="AY115" s="27041">
        <f>IF(HLOOKUP("Mins",A1:CV300,115,FALSE)=0,0,HLOOKUP("BPS",A1:CV300,115,FALSE)/HLOOKUP("Mins",A1:CV300,115,FALSE)* 90)</f>
        <v>16.682926829268293</v>
      </c>
      <c r="AZ115" s="27042">
        <f>IF(HLOOKUP("Mins",A1:CV300,115,FALSE)=0,0,HLOOKUP("Base BPS",A1:CV300,115,FALSE)/HLOOKUP("Mins",A1:CV300,115,FALSE)* 90)</f>
        <v>12.167247386759582</v>
      </c>
      <c r="BA115" s="27043">
        <f>IF(HLOOKUP("Mins",A1:CV300,115,FALSE)=0,0,HLOOKUP("PenTchs",A1:CV300,115,FALSE)/HLOOKUP("Mins",A1:CV300,115,FALSE)* 90)</f>
        <v>1.1289198606271778</v>
      </c>
      <c r="BB115" s="27044">
        <f>IF(HLOOKUP("Mins",A1:CV300,115,FALSE)=0,0,HLOOKUP("Shots",A1:CV300,115,FALSE)/HLOOKUP("Mins",A1:CV300,115,FALSE)* 90)</f>
        <v>0.7526132404181185</v>
      </c>
      <c r="BC115" s="27045">
        <f>IF(HLOOKUP("Mins",A1:CV300,115,FALSE)=0,0,HLOOKUP("SIB",A1:CV300,115,FALSE)/HLOOKUP("Mins",A1:CV300,115,FALSE)* 90)</f>
        <v>0.31358885017421601</v>
      </c>
      <c r="BD115" s="27046">
        <f>IF(HLOOKUP("Mins",A1:CV300,115,FALSE)=0,0,HLOOKUP("S6YD",A1:CV300,115,FALSE)/HLOOKUP("Mins",A1:CV300,115,FALSE)* 90)</f>
        <v>0</v>
      </c>
      <c r="BE115" s="27047">
        <f>IF(HLOOKUP("Mins",A1:CV300,115,FALSE)=0,0,HLOOKUP("Headers",A1:CV300,115,FALSE)/HLOOKUP("Mins",A1:CV300,115,FALSE)* 90)</f>
        <v>0</v>
      </c>
      <c r="BF115" s="27048">
        <f>IF(HLOOKUP("Mins",A1:CV300,115,FALSE)=0,0,HLOOKUP("SOT",A1:CV300,115,FALSE)/HLOOKUP("Mins",A1:CV300,115,FALSE)* 90)</f>
        <v>0.31358885017421601</v>
      </c>
      <c r="BG115" s="27049">
        <f>IF(HLOOKUP("Mins",A1:CV300,115,FALSE)=0,0,HLOOKUP("As",A1:CV300,115,FALSE)/HLOOKUP("Mins",A1:CV300,115,FALSE)* 90)</f>
        <v>6.2717770034843204E-2</v>
      </c>
      <c r="BH115" s="27050">
        <f>IF(HLOOKUP("Mins",A1:CV300,115,FALSE)=0,0,HLOOKUP("FPL As",A1:CV300,115,FALSE)/HLOOKUP("Mins",A1:CV300,115,FALSE)* 90)</f>
        <v>0.12543554006968641</v>
      </c>
      <c r="BI115" s="27051">
        <f>IF(HLOOKUP("Mins",A1:CV300,115,FALSE)=0,0,HLOOKUP("BC Created",A1:CV300,115,FALSE)/HLOOKUP("Mins",A1:CV300,115,FALSE)* 90)</f>
        <v>0</v>
      </c>
      <c r="BJ115" s="27052">
        <f>IF(HLOOKUP("Mins",A1:CV300,115,FALSE)=0,0,HLOOKUP("KP",A1:CV300,115,FALSE)/HLOOKUP("Mins",A1:CV300,115,FALSE)* 90)</f>
        <v>0.62717770034843201</v>
      </c>
      <c r="BK115" s="27053">
        <f>IF(HLOOKUP("Mins",A1:CV300,115,FALSE)=0,0,HLOOKUP("BC",A1:CV300,115,FALSE)/HLOOKUP("Mins",A1:CV300,115,FALSE)* 90)</f>
        <v>0.12543554006968641</v>
      </c>
      <c r="BL115" s="27054">
        <f>IF(HLOOKUP("Mins",A1:CV300,115,FALSE)=0,0,HLOOKUP("BC Miss",A1:CV300,115,FALSE)/HLOOKUP("Mins",A1:CV300,115,FALSE)* 90)</f>
        <v>0</v>
      </c>
      <c r="BM115" s="27055">
        <f>IF(HLOOKUP("Mins",A1:CV300,115,FALSE)=0,0,HLOOKUP("Gs - BC",A1:CV300,115,FALSE)/HLOOKUP("Mins",A1:CV300,115,FALSE)* 90)</f>
        <v>0.12543554006968641</v>
      </c>
      <c r="BN115" s="27056">
        <f>IF(HLOOKUP("Mins",A1:CV300,115,FALSE)=0,0,HLOOKUP("GIB",A1:CV300,115,FALSE)/HLOOKUP("Mins",A1:CV300,115,FALSE)* 90)</f>
        <v>0.12543554006968641</v>
      </c>
      <c r="BO115" s="27057">
        <f>IF(HLOOKUP("Mins",A1:CV300,115,FALSE)=0,0,HLOOKUP("Gs - Open",A1:CV300,115,FALSE)/HLOOKUP("Mins",A1:CV300,115,FALSE)* 90)</f>
        <v>6.2717770034843204E-2</v>
      </c>
      <c r="BP115" s="27058">
        <f>IF(HLOOKUP("Mins",A1:CV300,115,FALSE)=0,0,HLOOKUP("ICT Index",A1:CV300,115,FALSE)/HLOOKUP("Mins",A1:CV300,115,FALSE)* 90)</f>
        <v>3.4494773519163759</v>
      </c>
      <c r="BQ115" s="27059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  <v>0.1365993031358885</v>
      </c>
      <c r="BR115" s="27060">
        <f>0.0885*HLOOKUP("KP/90",A1:CV300,115,FALSE)</f>
        <v>5.550522648083623E-2</v>
      </c>
      <c r="BS115" s="27061">
        <f>5*HLOOKUP("xG/90",A1:CV300,115,FALSE)+3*HLOOKUP("xA/90",A1:CV300,115,FALSE)</f>
        <v>0.8495121951219512</v>
      </c>
      <c r="BT115" s="27062">
        <f>HLOOKUP("xPts/90",A1:CV300,115,FALSE)-(5*0.75*(HLOOKUP("PK Gs",A1:CV300,115,FALSE)+HLOOKUP("PK Miss",A1:CV300,115,FALSE))*90/HLOOKUP("Mins",A1:CV300,115,FALSE))</f>
        <v>0.37912891986062713</v>
      </c>
      <c r="BU115" s="27063">
        <f>IF(HLOOKUP("Mins",A1:CV300,115,FALSE)=0,0,HLOOKUP("fsXG",A1:CV300,115,FALSE)/HLOOKUP("Mins",A1:CV300,115,FALSE)* 90)</f>
        <v>0.12668989547038328</v>
      </c>
      <c r="BV115" s="27064">
        <f>IF(HLOOKUP("Mins",A1:CV300,115,FALSE)=0,0,HLOOKUP("fsXA",A1:CV300,115,FALSE)/HLOOKUP("Mins",A1:CV300,115,FALSE)* 90)</f>
        <v>6.522648083623693E-2</v>
      </c>
      <c r="BW115" s="27065">
        <f>5*HLOOKUP("fsXG/90",A1:CV300,115,FALSE)+3*HLOOKUP("fsXA/90",A1:CV300,115,FALSE)</f>
        <v>0.82912891986062709</v>
      </c>
      <c r="BX115" s="27066">
        <v>0.1206926703453064</v>
      </c>
      <c r="BY115" s="27067">
        <v>2.988322451710701E-2</v>
      </c>
      <c r="BZ115" s="27068">
        <f>5*HLOOKUP("uXG/90",A1:CV300,115,FALSE)+3*HLOOKUP("uXA/90",A1:CV300,115,FALSE)</f>
        <v>0.69311302527785301</v>
      </c>
    </row>
    <row r="116" spans="1:78" x14ac:dyDescent="0.3">
      <c r="A116" s="27069" t="s">
        <v>443</v>
      </c>
      <c r="B116" s="27070" t="s">
        <v>86</v>
      </c>
      <c r="C116" s="27071">
        <v>6.5</v>
      </c>
      <c r="D116" s="27072">
        <v>1794</v>
      </c>
      <c r="E116" s="27073">
        <v>20</v>
      </c>
      <c r="F116" s="27074">
        <v>95</v>
      </c>
      <c r="G116" s="27075">
        <v>6</v>
      </c>
      <c r="H116" s="27076">
        <v>11</v>
      </c>
      <c r="I116" s="27077">
        <v>386</v>
      </c>
      <c r="J116" s="27078">
        <f>HLOOKUP("BPS",A1:CV300,116,FALSE)-((-6*HLOOKUP("OG",A1:CV300,116,FALSE))+(-6*HLOOKUP("PK Miss",A1:CV300,116,FALSE))+(9*HLOOKUP("FPL As",A1:CV300,116,FALSE))+(0*HLOOKUP("CS",A1:CV300,116,FALSE))+(18*HLOOKUP("Gs",A1:CV300,116,FALSE)))</f>
        <v>230</v>
      </c>
      <c r="K116" s="27079">
        <v>0</v>
      </c>
      <c r="L116" s="27080">
        <v>4</v>
      </c>
      <c r="M116" s="27081">
        <v>82</v>
      </c>
      <c r="N116" s="27082">
        <v>42</v>
      </c>
      <c r="O116" s="27083">
        <v>25</v>
      </c>
      <c r="P116" s="27084">
        <f>IF(HLOOKUP("Shots",A1:CV300,116,FALSE)=0,0,HLOOKUP("SIB",A1:CV300,116,FALSE)/HLOOKUP("Shots",A1:CV300,116,FALSE))</f>
        <v>0.59523809523809523</v>
      </c>
      <c r="Q116" s="27085">
        <v>2</v>
      </c>
      <c r="R116" s="27086">
        <f>IF(HLOOKUP("Shots",A1:CV300,116,FALSE)=0,0,HLOOKUP("S6YD",A1:CV300,116,FALSE)/HLOOKUP("Shots",A1:CV300,116,FALSE))</f>
        <v>4.7619047619047616E-2</v>
      </c>
      <c r="S116" s="27087">
        <v>3</v>
      </c>
      <c r="T116" s="27088">
        <f>IF(HLOOKUP("Shots",A1:CV300,116,FALSE)=0,0,HLOOKUP("Headers",A1:CV300,116,FALSE)/HLOOKUP("Shots",A1:CV300,116,FALSE))</f>
        <v>7.1428571428571425E-2</v>
      </c>
      <c r="U116" s="27089">
        <v>15</v>
      </c>
      <c r="V116" s="27090">
        <f>IF(HLOOKUP("Shots",A1:CV300,116,FALSE)=0,0,HLOOKUP("SOT",A1:CV300,116,FALSE)/HLOOKUP("Shots",A1:CV300,116,FALSE))</f>
        <v>0.35714285714285715</v>
      </c>
      <c r="W116" s="27091">
        <f>IF(HLOOKUP("Shots",A1:CV300,116,FALSE)=0,0,HLOOKUP("Gs",A1:CV300,116,FALSE)/HLOOKUP("Shots",A1:CV300,116,FALSE))</f>
        <v>0.14285714285714285</v>
      </c>
      <c r="X116" s="27092">
        <v>5</v>
      </c>
      <c r="Y116" s="27093">
        <v>6</v>
      </c>
      <c r="Z116" s="27094">
        <v>53</v>
      </c>
      <c r="AA116" s="27095">
        <f>IF(HLOOKUP("KP",A1:CV300,116,FALSE)=0,0,HLOOKUP("As",A1:CV300,116,FALSE)/HLOOKUP("KP",A1:CV300,116,FALSE))</f>
        <v>9.4339622641509441E-2</v>
      </c>
      <c r="AB116" s="27096">
        <v>172.8</v>
      </c>
      <c r="AC116" s="27097">
        <v>46</v>
      </c>
      <c r="AD116" s="27098">
        <v>3</v>
      </c>
      <c r="AE116" s="27099">
        <v>6</v>
      </c>
      <c r="AF116" s="27100">
        <v>4</v>
      </c>
      <c r="AG116" s="27101">
        <f>IF(HLOOKUP("BC",A1:CV300,116,FALSE)=0,0,HLOOKUP("Gs - BC",A1:CV300,116,FALSE)/HLOOKUP("BC",A1:CV300,116,FALSE))</f>
        <v>0.33333333333333331</v>
      </c>
      <c r="AH116" s="27102">
        <f>HLOOKUP("BC",A1:CV300,116,FALSE) - HLOOKUP("BC Miss",A1:CV300,116,FALSE)</f>
        <v>2</v>
      </c>
      <c r="AI116" s="27103">
        <f>IF(HLOOKUP("Gs",A1:CV300,116,FALSE)=0,0,HLOOKUP("Gs - BC",A1:CV300,116,FALSE)/HLOOKUP("Gs",A1:CV300,116,FALSE))</f>
        <v>0.33333333333333331</v>
      </c>
      <c r="AJ116" s="27104">
        <v>0</v>
      </c>
      <c r="AK116" s="27105">
        <v>1</v>
      </c>
      <c r="AL116" s="27106">
        <f>HLOOKUP("BC",A1:CV300,116,FALSE) - (HLOOKUP("PK Gs",A1:CV300,116,FALSE) + HLOOKUP("PK Miss",A1:CV300,116,FALSE))</f>
        <v>5</v>
      </c>
      <c r="AM116" s="27107">
        <f>HLOOKUP("BC Miss",A1:CV300,116,FALSE) - HLOOKUP("PK Miss",A1:CV300,116,FALSE)</f>
        <v>3</v>
      </c>
      <c r="AN116" s="27108">
        <f>IF(HLOOKUP("BC - Open",A1:CV300,116,FALSE)=0,0,HLOOKUP("BC - Open Miss",A1:CV300,116,FALSE)/HLOOKUP("BC - Open",A1:CV300,116,FALSE))</f>
        <v>0.6</v>
      </c>
      <c r="AO116" s="27109">
        <v>5</v>
      </c>
      <c r="AP116" s="27110">
        <f>IF(HLOOKUP("Gs",A1:CV300,116,FALSE)=0,0,HLOOKUP("GIB",A1:CV300,116,FALSE)/HLOOKUP("Gs",A1:CV300,116,FALSE))</f>
        <v>0.83333333333333337</v>
      </c>
      <c r="AQ116" s="27111">
        <v>4</v>
      </c>
      <c r="AR116" s="27112">
        <f>IF(HLOOKUP("Gs",A1:CV300,116,FALSE)=0,0,HLOOKUP("Gs - Open",A1:CV300,116,FALSE)/HLOOKUP("Gs",A1:CV300,116,FALSE))</f>
        <v>0.66666666666666663</v>
      </c>
      <c r="AS116" s="27113">
        <v>5.05</v>
      </c>
      <c r="AT116" s="27114">
        <v>3.78</v>
      </c>
      <c r="AU116" s="27115">
        <f>IF(HLOOKUP("Mins",A1:CV300,116,FALSE)=0,0,HLOOKUP("Pts",A1:CV300,116,FALSE)/HLOOKUP("Mins",A1:CV300,116,FALSE)* 90)</f>
        <v>4.7658862876254178</v>
      </c>
      <c r="AV116" s="27116">
        <f>IF(HLOOKUP("Apps",A1:CV300,116,FALSE)=0,0,HLOOKUP("Pts",A1:CV300,116,FALSE)/HLOOKUP("Apps",A1:CV300,116,FALSE)* 1)</f>
        <v>4.75</v>
      </c>
      <c r="AW116" s="27117">
        <f>IF(HLOOKUP("Mins",A1:CV300,116,FALSE)=0,0,HLOOKUP("Gs",A1:CV300,116,FALSE)/HLOOKUP("Mins",A1:CV300,116,FALSE)* 90)</f>
        <v>0.30100334448160537</v>
      </c>
      <c r="AX116" s="27118">
        <f>IF(HLOOKUP("Mins",A1:CV300,116,FALSE)=0,0,HLOOKUP("Bonus",A1:CV300,116,FALSE)/HLOOKUP("Mins",A1:CV300,116,FALSE)* 90)</f>
        <v>0.55183946488294311</v>
      </c>
      <c r="AY116" s="27119">
        <f>IF(HLOOKUP("Mins",A1:CV300,116,FALSE)=0,0,HLOOKUP("BPS",A1:CV300,116,FALSE)/HLOOKUP("Mins",A1:CV300,116,FALSE)* 90)</f>
        <v>19.364548494983275</v>
      </c>
      <c r="AZ116" s="27120">
        <f>IF(HLOOKUP("Mins",A1:CV300,116,FALSE)=0,0,HLOOKUP("Base BPS",A1:CV300,116,FALSE)/HLOOKUP("Mins",A1:CV300,116,FALSE)* 90)</f>
        <v>11.538461538461537</v>
      </c>
      <c r="BA116" s="27121">
        <f>IF(HLOOKUP("Mins",A1:CV300,116,FALSE)=0,0,HLOOKUP("PenTchs",A1:CV300,116,FALSE)/HLOOKUP("Mins",A1:CV300,116,FALSE)* 90)</f>
        <v>4.1137123745819402</v>
      </c>
      <c r="BB116" s="27122">
        <f>IF(HLOOKUP("Mins",A1:CV300,116,FALSE)=0,0,HLOOKUP("Shots",A1:CV300,116,FALSE)/HLOOKUP("Mins",A1:CV300,116,FALSE)* 90)</f>
        <v>2.1070234113712374</v>
      </c>
      <c r="BC116" s="27123">
        <f>IF(HLOOKUP("Mins",A1:CV300,116,FALSE)=0,0,HLOOKUP("SIB",A1:CV300,116,FALSE)/HLOOKUP("Mins",A1:CV300,116,FALSE)* 90)</f>
        <v>1.254180602006689</v>
      </c>
      <c r="BD116" s="27124">
        <f>IF(HLOOKUP("Mins",A1:CV300,116,FALSE)=0,0,HLOOKUP("S6YD",A1:CV300,116,FALSE)/HLOOKUP("Mins",A1:CV300,116,FALSE)* 90)</f>
        <v>0.10033444816053512</v>
      </c>
      <c r="BE116" s="27125">
        <f>IF(HLOOKUP("Mins",A1:CV300,116,FALSE)=0,0,HLOOKUP("Headers",A1:CV300,116,FALSE)/HLOOKUP("Mins",A1:CV300,116,FALSE)* 90)</f>
        <v>0.15050167224080269</v>
      </c>
      <c r="BF116" s="27126">
        <f>IF(HLOOKUP("Mins",A1:CV300,116,FALSE)=0,0,HLOOKUP("SOT",A1:CV300,116,FALSE)/HLOOKUP("Mins",A1:CV300,116,FALSE)* 90)</f>
        <v>0.75250836120401332</v>
      </c>
      <c r="BG116" s="27127">
        <f>IF(HLOOKUP("Mins",A1:CV300,116,FALSE)=0,0,HLOOKUP("As",A1:CV300,116,FALSE)/HLOOKUP("Mins",A1:CV300,116,FALSE)* 90)</f>
        <v>0.25083612040133779</v>
      </c>
      <c r="BH116" s="27128">
        <f>IF(HLOOKUP("Mins",A1:CV300,116,FALSE)=0,0,HLOOKUP("FPL As",A1:CV300,116,FALSE)/HLOOKUP("Mins",A1:CV300,116,FALSE)* 90)</f>
        <v>0.30100334448160537</v>
      </c>
      <c r="BI116" s="27129">
        <f>IF(HLOOKUP("Mins",A1:CV300,116,FALSE)=0,0,HLOOKUP("BC Created",A1:CV300,116,FALSE)/HLOOKUP("Mins",A1:CV300,116,FALSE)* 90)</f>
        <v>0.15050167224080269</v>
      </c>
      <c r="BJ116" s="27130">
        <f>IF(HLOOKUP("Mins",A1:CV300,116,FALSE)=0,0,HLOOKUP("KP",A1:CV300,116,FALSE)/HLOOKUP("Mins",A1:CV300,116,FALSE)* 90)</f>
        <v>2.6588628762541804</v>
      </c>
      <c r="BK116" s="27131">
        <f>IF(HLOOKUP("Mins",A1:CV300,116,FALSE)=0,0,HLOOKUP("BC",A1:CV300,116,FALSE)/HLOOKUP("Mins",A1:CV300,116,FALSE)* 90)</f>
        <v>0.30100334448160537</v>
      </c>
      <c r="BL116" s="27132">
        <f>IF(HLOOKUP("Mins",A1:CV300,116,FALSE)=0,0,HLOOKUP("BC Miss",A1:CV300,116,FALSE)/HLOOKUP("Mins",A1:CV300,116,FALSE)* 90)</f>
        <v>0.20066889632107024</v>
      </c>
      <c r="BM116" s="27133">
        <f>IF(HLOOKUP("Mins",A1:CV300,116,FALSE)=0,0,HLOOKUP("Gs - BC",A1:CV300,116,FALSE)/HLOOKUP("Mins",A1:CV300,116,FALSE)* 90)</f>
        <v>0.10033444816053512</v>
      </c>
      <c r="BN116" s="27134">
        <f>IF(HLOOKUP("Mins",A1:CV300,116,FALSE)=0,0,HLOOKUP("GIB",A1:CV300,116,FALSE)/HLOOKUP("Mins",A1:CV300,116,FALSE)* 90)</f>
        <v>0.25083612040133779</v>
      </c>
      <c r="BO116" s="27135">
        <f>IF(HLOOKUP("Mins",A1:CV300,116,FALSE)=0,0,HLOOKUP("Gs - Open",A1:CV300,116,FALSE)/HLOOKUP("Mins",A1:CV300,116,FALSE)* 90)</f>
        <v>0.20066889632107024</v>
      </c>
      <c r="BP116" s="27136">
        <f>IF(HLOOKUP("Mins",A1:CV300,116,FALSE)=0,0,HLOOKUP("ICT Index",A1:CV300,116,FALSE)/HLOOKUP("Mins",A1:CV300,116,FALSE)* 90)</f>
        <v>8.6688963210702354</v>
      </c>
      <c r="BQ116" s="27137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  <v>0.23929765886287624</v>
      </c>
      <c r="BR116" s="27138">
        <f>0.0885*HLOOKUP("KP/90",A1:CV300,116,FALSE)</f>
        <v>0.23530936454849496</v>
      </c>
      <c r="BS116" s="27139">
        <f>5*HLOOKUP("xG/90",A1:CV300,116,FALSE)+3*HLOOKUP("xA/90",A1:CV300,116,FALSE)</f>
        <v>1.9024163879598661</v>
      </c>
      <c r="BT116" s="27140">
        <f>HLOOKUP("xPts/90",A1:CV300,116,FALSE)-(5*0.75*(HLOOKUP("PK Gs",A1:CV300,116,FALSE)+HLOOKUP("PK Miss",A1:CV300,116,FALSE))*90/HLOOKUP("Mins",A1:CV300,116,FALSE))</f>
        <v>1.7142892976588628</v>
      </c>
      <c r="BU116" s="27141">
        <f>IF(HLOOKUP("Mins",A1:CV300,116,FALSE)=0,0,HLOOKUP("fsXG",A1:CV300,116,FALSE)/HLOOKUP("Mins",A1:CV300,116,FALSE)* 90)</f>
        <v>0.25334448160535117</v>
      </c>
      <c r="BV116" s="27142">
        <f>IF(HLOOKUP("Mins",A1:CV300,116,FALSE)=0,0,HLOOKUP("fsXA",A1:CV300,116,FALSE)/HLOOKUP("Mins",A1:CV300,116,FALSE)* 90)</f>
        <v>0.18963210702341138</v>
      </c>
      <c r="BW116" s="27143">
        <f>5*HLOOKUP("fsXG/90",A1:CV300,116,FALSE)+3*HLOOKUP("fsXA/90",A1:CV300,116,FALSE)</f>
        <v>1.8356187290969901</v>
      </c>
      <c r="BX116" s="27144">
        <v>0.25034266710281372</v>
      </c>
      <c r="BY116" s="27145">
        <v>0.21413235366344452</v>
      </c>
      <c r="BZ116" s="27146">
        <f>5*HLOOKUP("uXG/90",A1:CV300,116,FALSE)+3*HLOOKUP("uXA/90",A1:CV300,116,FALSE)</f>
        <v>1.8941103965044022</v>
      </c>
    </row>
    <row r="117" spans="1:78" x14ac:dyDescent="0.3">
      <c r="A117" s="27147" t="s">
        <v>444</v>
      </c>
      <c r="B117" s="27148" t="s">
        <v>93</v>
      </c>
      <c r="C117" s="27149">
        <v>5.9000000953674316</v>
      </c>
      <c r="D117" s="27150">
        <v>1087</v>
      </c>
      <c r="E117" s="27151">
        <v>18</v>
      </c>
      <c r="F117" s="27152">
        <v>65</v>
      </c>
      <c r="G117" s="27153">
        <v>6</v>
      </c>
      <c r="H117" s="27154">
        <v>5</v>
      </c>
      <c r="I117" s="27155">
        <v>205</v>
      </c>
      <c r="J117" s="27156">
        <f>HLOOKUP("BPS",A1:CV300,117,FALSE)-((-6*HLOOKUP("OG",A1:CV300,117,FALSE))+(-6*HLOOKUP("PK Miss",A1:CV300,117,FALSE))+(9*HLOOKUP("FPL As",A1:CV300,117,FALSE))+(0*HLOOKUP("CS",A1:CV300,117,FALSE))+(18*HLOOKUP("Gs",A1:CV300,117,FALSE)))</f>
        <v>97</v>
      </c>
      <c r="K117" s="27157">
        <v>0</v>
      </c>
      <c r="L117" s="27158">
        <v>2</v>
      </c>
      <c r="M117" s="27159">
        <v>35</v>
      </c>
      <c r="N117" s="27160">
        <v>34</v>
      </c>
      <c r="O117" s="27161">
        <v>17</v>
      </c>
      <c r="P117" s="27162">
        <f>IF(HLOOKUP("Shots",A1:CV300,117,FALSE)=0,0,HLOOKUP("SIB",A1:CV300,117,FALSE)/HLOOKUP("Shots",A1:CV300,117,FALSE))</f>
        <v>0.5</v>
      </c>
      <c r="Q117" s="27163">
        <v>0</v>
      </c>
      <c r="R117" s="27164">
        <f>IF(HLOOKUP("Shots",A1:CV300,117,FALSE)=0,0,HLOOKUP("S6YD",A1:CV300,117,FALSE)/HLOOKUP("Shots",A1:CV300,117,FALSE))</f>
        <v>0</v>
      </c>
      <c r="S117" s="27165">
        <v>0</v>
      </c>
      <c r="T117" s="27166">
        <f>IF(HLOOKUP("Shots",A1:CV300,117,FALSE)=0,0,HLOOKUP("Headers",A1:CV300,117,FALSE)/HLOOKUP("Shots",A1:CV300,117,FALSE))</f>
        <v>0</v>
      </c>
      <c r="U117" s="27167">
        <v>14</v>
      </c>
      <c r="V117" s="27168">
        <f>IF(HLOOKUP("Shots",A1:CV300,117,FALSE)=0,0,HLOOKUP("SOT",A1:CV300,117,FALSE)/HLOOKUP("Shots",A1:CV300,117,FALSE))</f>
        <v>0.41176470588235292</v>
      </c>
      <c r="W117" s="27169">
        <f>IF(HLOOKUP("Shots",A1:CV300,117,FALSE)=0,0,HLOOKUP("Gs",A1:CV300,117,FALSE)/HLOOKUP("Shots",A1:CV300,117,FALSE))</f>
        <v>0.17647058823529413</v>
      </c>
      <c r="X117" s="27170">
        <v>0</v>
      </c>
      <c r="Y117" s="27171">
        <v>0</v>
      </c>
      <c r="Z117" s="27172">
        <v>9</v>
      </c>
      <c r="AA117" s="27173">
        <f>IF(HLOOKUP("KP",A1:CV300,117,FALSE)=0,0,HLOOKUP("As",A1:CV300,117,FALSE)/HLOOKUP("KP",A1:CV300,117,FALSE))</f>
        <v>0</v>
      </c>
      <c r="AB117" s="27174">
        <v>83.6</v>
      </c>
      <c r="AC117" s="27175">
        <v>46</v>
      </c>
      <c r="AD117" s="27176">
        <v>2</v>
      </c>
      <c r="AE117" s="27177">
        <v>1</v>
      </c>
      <c r="AF117" s="27178">
        <v>0</v>
      </c>
      <c r="AG117" s="27179">
        <f>IF(HLOOKUP("BC",A1:CV300,117,FALSE)=0,0,HLOOKUP("Gs - BC",A1:CV300,117,FALSE)/HLOOKUP("BC",A1:CV300,117,FALSE))</f>
        <v>1</v>
      </c>
      <c r="AH117" s="27180">
        <f>HLOOKUP("BC",A1:CV300,117,FALSE) - HLOOKUP("BC Miss",A1:CV300,117,FALSE)</f>
        <v>1</v>
      </c>
      <c r="AI117" s="27181">
        <f>IF(HLOOKUP("Gs",A1:CV300,117,FALSE)=0,0,HLOOKUP("Gs - BC",A1:CV300,117,FALSE)/HLOOKUP("Gs",A1:CV300,117,FALSE))</f>
        <v>0.16666666666666666</v>
      </c>
      <c r="AJ117" s="27182">
        <v>0</v>
      </c>
      <c r="AK117" s="27183">
        <v>0</v>
      </c>
      <c r="AL117" s="27184">
        <f>HLOOKUP("BC",A1:CV300,117,FALSE) - (HLOOKUP("PK Gs",A1:CV300,117,FALSE) + HLOOKUP("PK Miss",A1:CV300,117,FALSE))</f>
        <v>1</v>
      </c>
      <c r="AM117" s="27185">
        <f>HLOOKUP("BC Miss",A1:CV300,117,FALSE) - HLOOKUP("PK Miss",A1:CV300,117,FALSE)</f>
        <v>0</v>
      </c>
      <c r="AN117" s="27186">
        <f>IF(HLOOKUP("BC - Open",A1:CV300,117,FALSE)=0,0,HLOOKUP("BC - Open Miss",A1:CV300,117,FALSE)/HLOOKUP("BC - Open",A1:CV300,117,FALSE))</f>
        <v>0</v>
      </c>
      <c r="AO117" s="27187">
        <v>3</v>
      </c>
      <c r="AP117" s="27188">
        <f>IF(HLOOKUP("Gs",A1:CV300,117,FALSE)=0,0,HLOOKUP("GIB",A1:CV300,117,FALSE)/HLOOKUP("Gs",A1:CV300,117,FALSE))</f>
        <v>0.5</v>
      </c>
      <c r="AQ117" s="27189">
        <v>3</v>
      </c>
      <c r="AR117" s="27190">
        <f>IF(HLOOKUP("Gs",A1:CV300,117,FALSE)=0,0,HLOOKUP("Gs - Open",A1:CV300,117,FALSE)/HLOOKUP("Gs",A1:CV300,117,FALSE))</f>
        <v>0.5</v>
      </c>
      <c r="AS117" s="27191">
        <v>2.14</v>
      </c>
      <c r="AT117" s="27192">
        <v>1.72</v>
      </c>
      <c r="AU117" s="27193">
        <f>IF(HLOOKUP("Mins",A1:CV300,117,FALSE)=0,0,HLOOKUP("Pts",A1:CV300,117,FALSE)/HLOOKUP("Mins",A1:CV300,117,FALSE)* 90)</f>
        <v>5.3817847286108558</v>
      </c>
      <c r="AV117" s="27194">
        <f>IF(HLOOKUP("Apps",A1:CV300,117,FALSE)=0,0,HLOOKUP("Pts",A1:CV300,117,FALSE)/HLOOKUP("Apps",A1:CV300,117,FALSE)* 1)</f>
        <v>3.6111111111111112</v>
      </c>
      <c r="AW117" s="27195">
        <f>IF(HLOOKUP("Mins",A1:CV300,117,FALSE)=0,0,HLOOKUP("Gs",A1:CV300,117,FALSE)/HLOOKUP("Mins",A1:CV300,117,FALSE)* 90)</f>
        <v>0.49678012879484823</v>
      </c>
      <c r="AX117" s="27196">
        <f>IF(HLOOKUP("Mins",A1:CV300,117,FALSE)=0,0,HLOOKUP("Bonus",A1:CV300,117,FALSE)/HLOOKUP("Mins",A1:CV300,117,FALSE)* 90)</f>
        <v>0.41398344066237347</v>
      </c>
      <c r="AY117" s="27197">
        <f>IF(HLOOKUP("Mins",A1:CV300,117,FALSE)=0,0,HLOOKUP("BPS",A1:CV300,117,FALSE)/HLOOKUP("Mins",A1:CV300,117,FALSE)* 90)</f>
        <v>16.973321067157315</v>
      </c>
      <c r="AZ117" s="27198">
        <f>IF(HLOOKUP("Mins",A1:CV300,117,FALSE)=0,0,HLOOKUP("Base BPS",A1:CV300,117,FALSE)/HLOOKUP("Mins",A1:CV300,117,FALSE)* 90)</f>
        <v>8.0312787488500454</v>
      </c>
      <c r="BA117" s="27199">
        <f>IF(HLOOKUP("Mins",A1:CV300,117,FALSE)=0,0,HLOOKUP("PenTchs",A1:CV300,117,FALSE)/HLOOKUP("Mins",A1:CV300,117,FALSE)* 90)</f>
        <v>2.8978840846366145</v>
      </c>
      <c r="BB117" s="27200">
        <f>IF(HLOOKUP("Mins",A1:CV300,117,FALSE)=0,0,HLOOKUP("Shots",A1:CV300,117,FALSE)/HLOOKUP("Mins",A1:CV300,117,FALSE)* 90)</f>
        <v>2.8150873965041399</v>
      </c>
      <c r="BC117" s="27201">
        <f>IF(HLOOKUP("Mins",A1:CV300,117,FALSE)=0,0,HLOOKUP("SIB",A1:CV300,117,FALSE)/HLOOKUP("Mins",A1:CV300,117,FALSE)* 90)</f>
        <v>1.4075436982520699</v>
      </c>
      <c r="BD117" s="27202">
        <f>IF(HLOOKUP("Mins",A1:CV300,117,FALSE)=0,0,HLOOKUP("S6YD",A1:CV300,117,FALSE)/HLOOKUP("Mins",A1:CV300,117,FALSE)* 90)</f>
        <v>0</v>
      </c>
      <c r="BE117" s="27203">
        <f>IF(HLOOKUP("Mins",A1:CV300,117,FALSE)=0,0,HLOOKUP("Headers",A1:CV300,117,FALSE)/HLOOKUP("Mins",A1:CV300,117,FALSE)* 90)</f>
        <v>0</v>
      </c>
      <c r="BF117" s="27204">
        <f>IF(HLOOKUP("Mins",A1:CV300,117,FALSE)=0,0,HLOOKUP("SOT",A1:CV300,117,FALSE)/HLOOKUP("Mins",A1:CV300,117,FALSE)* 90)</f>
        <v>1.1591536338546458</v>
      </c>
      <c r="BG117" s="27205">
        <f>IF(HLOOKUP("Mins",A1:CV300,117,FALSE)=0,0,HLOOKUP("As",A1:CV300,117,FALSE)/HLOOKUP("Mins",A1:CV300,117,FALSE)* 90)</f>
        <v>0</v>
      </c>
      <c r="BH117" s="27206">
        <f>IF(HLOOKUP("Mins",A1:CV300,117,FALSE)=0,0,HLOOKUP("FPL As",A1:CV300,117,FALSE)/HLOOKUP("Mins",A1:CV300,117,FALSE)* 90)</f>
        <v>0</v>
      </c>
      <c r="BI117" s="27207">
        <f>IF(HLOOKUP("Mins",A1:CV300,117,FALSE)=0,0,HLOOKUP("BC Created",A1:CV300,117,FALSE)/HLOOKUP("Mins",A1:CV300,117,FALSE)* 90)</f>
        <v>0.16559337626494941</v>
      </c>
      <c r="BJ117" s="27208">
        <f>IF(HLOOKUP("Mins",A1:CV300,117,FALSE)=0,0,HLOOKUP("KP",A1:CV300,117,FALSE)/HLOOKUP("Mins",A1:CV300,117,FALSE)* 90)</f>
        <v>0.74517019319227229</v>
      </c>
      <c r="BK117" s="27209">
        <f>IF(HLOOKUP("Mins",A1:CV300,117,FALSE)=0,0,HLOOKUP("BC",A1:CV300,117,FALSE)/HLOOKUP("Mins",A1:CV300,117,FALSE)* 90)</f>
        <v>8.2796688132474705E-2</v>
      </c>
      <c r="BL117" s="27210">
        <f>IF(HLOOKUP("Mins",A1:CV300,117,FALSE)=0,0,HLOOKUP("BC Miss",A1:CV300,117,FALSE)/HLOOKUP("Mins",A1:CV300,117,FALSE)* 90)</f>
        <v>0</v>
      </c>
      <c r="BM117" s="27211">
        <f>IF(HLOOKUP("Mins",A1:CV300,117,FALSE)=0,0,HLOOKUP("Gs - BC",A1:CV300,117,FALSE)/HLOOKUP("Mins",A1:CV300,117,FALSE)* 90)</f>
        <v>8.2796688132474705E-2</v>
      </c>
      <c r="BN117" s="27212">
        <f>IF(HLOOKUP("Mins",A1:CV300,117,FALSE)=0,0,HLOOKUP("GIB",A1:CV300,117,FALSE)/HLOOKUP("Mins",A1:CV300,117,FALSE)* 90)</f>
        <v>0.24839006439742412</v>
      </c>
      <c r="BO117" s="27213">
        <f>IF(HLOOKUP("Mins",A1:CV300,117,FALSE)=0,0,HLOOKUP("Gs - Open",A1:CV300,117,FALSE)/HLOOKUP("Mins",A1:CV300,117,FALSE)* 90)</f>
        <v>0.24839006439742412</v>
      </c>
      <c r="BP117" s="27214">
        <f>IF(HLOOKUP("Mins",A1:CV300,117,FALSE)=0,0,HLOOKUP("ICT Index",A1:CV300,117,FALSE)/HLOOKUP("Mins",A1:CV300,117,FALSE)* 90)</f>
        <v>6.9218031278748837</v>
      </c>
      <c r="BQ117" s="27215">
        <f>IF(HLOOKUP("Mins",A1:CV300,117,FALSE)=0,0,(0.036*(HLOOKUP("Shots",A1:CV300,117,FALSE)-HLOOKUP("SIB",A1:CV300,117,FALSE))+0.142*(HLOOKUP("SIB",A1:CV300,117,FALSE)-(HLOOKUP("PK Gs",A1:CV300,117,FALSE)+HLOOKUP("PK Miss",A1:CV300,117,FALSE)))+0.75*(HLOOKUP("PK Gs",A1:CV300,117,FALSE)+HLOOKUP("PK Miss",A1:CV300,117,FALSE)))/HLOOKUP("Mins",A1:CV300,117,FALSE)*90)</f>
        <v>0.2505427782888684</v>
      </c>
      <c r="BR117" s="27216">
        <f>0.0885*HLOOKUP("KP/90",A1:CV300,117,FALSE)</f>
        <v>6.5947562097516094E-2</v>
      </c>
      <c r="BS117" s="27217">
        <f>5*HLOOKUP("xG/90",A1:CV300,117,FALSE)+3*HLOOKUP("xA/90",A1:CV300,117,FALSE)</f>
        <v>1.4505565777368901</v>
      </c>
      <c r="BT117" s="27218">
        <f>HLOOKUP("xPts/90",A1:CV300,117,FALSE)-(5*0.75*(HLOOKUP("PK Gs",A1:CV300,117,FALSE)+HLOOKUP("PK Miss",A1:CV300,117,FALSE))*90/HLOOKUP("Mins",A1:CV300,117,FALSE))</f>
        <v>1.4505565777368901</v>
      </c>
      <c r="BU117" s="27219">
        <f>IF(HLOOKUP("Mins",A1:CV300,117,FALSE)=0,0,HLOOKUP("fsXG",A1:CV300,117,FALSE)/HLOOKUP("Mins",A1:CV300,117,FALSE)* 90)</f>
        <v>0.17718491260349589</v>
      </c>
      <c r="BV117" s="27220">
        <f>IF(HLOOKUP("Mins",A1:CV300,117,FALSE)=0,0,HLOOKUP("fsXA",A1:CV300,117,FALSE)/HLOOKUP("Mins",A1:CV300,117,FALSE)* 90)</f>
        <v>0.14241030358785647</v>
      </c>
      <c r="BW117" s="27221">
        <f>5*HLOOKUP("fsXG/90",A1:CV300,117,FALSE)+3*HLOOKUP("fsXA/90",A1:CV300,117,FALSE)</f>
        <v>1.3131554737810489</v>
      </c>
      <c r="BX117" s="27222">
        <v>0.18707047402858734</v>
      </c>
      <c r="BY117" s="27223">
        <v>0.10775505751371384</v>
      </c>
      <c r="BZ117" s="27224">
        <f>5*HLOOKUP("uXG/90",A1:CV300,117,FALSE)+3*HLOOKUP("uXA/90",A1:CV300,117,FALSE)</f>
        <v>1.2586175426840782</v>
      </c>
    </row>
    <row r="118" spans="1:78" x14ac:dyDescent="0.3">
      <c r="A118" s="27225" t="s">
        <v>445</v>
      </c>
      <c r="B118" s="27226" t="s">
        <v>115</v>
      </c>
      <c r="C118" s="27227">
        <v>6.1999998092651367</v>
      </c>
      <c r="D118" s="27228">
        <v>943</v>
      </c>
      <c r="E118" s="27229">
        <v>15</v>
      </c>
      <c r="F118" s="27230">
        <v>53</v>
      </c>
      <c r="G118" s="27231">
        <v>3</v>
      </c>
      <c r="H118" s="27232">
        <v>2</v>
      </c>
      <c r="I118" s="27233">
        <v>145</v>
      </c>
      <c r="J118" s="27234">
        <f>HLOOKUP("BPS",A1:CV300,118,FALSE)-((-6*HLOOKUP("OG",A1:CV300,118,FALSE))+(-6*HLOOKUP("PK Miss",A1:CV300,118,FALSE))+(9*HLOOKUP("FPL As",A1:CV300,118,FALSE))+(0*HLOOKUP("CS",A1:CV300,118,FALSE))+(18*HLOOKUP("Gs",A1:CV300,118,FALSE)))</f>
        <v>64</v>
      </c>
      <c r="K118" s="27235">
        <v>0</v>
      </c>
      <c r="L118" s="27236">
        <v>4</v>
      </c>
      <c r="M118" s="27237">
        <v>58</v>
      </c>
      <c r="N118" s="27238">
        <v>27</v>
      </c>
      <c r="O118" s="27239">
        <v>21</v>
      </c>
      <c r="P118" s="27240">
        <f>IF(HLOOKUP("Shots",A1:CV300,118,FALSE)=0,0,HLOOKUP("SIB",A1:CV300,118,FALSE)/HLOOKUP("Shots",A1:CV300,118,FALSE))</f>
        <v>0.77777777777777779</v>
      </c>
      <c r="Q118" s="27241">
        <v>1</v>
      </c>
      <c r="R118" s="27242">
        <f>IF(HLOOKUP("Shots",A1:CV300,118,FALSE)=0,0,HLOOKUP("S6YD",A1:CV300,118,FALSE)/HLOOKUP("Shots",A1:CV300,118,FALSE))</f>
        <v>3.7037037037037035E-2</v>
      </c>
      <c r="S118" s="27243">
        <v>1</v>
      </c>
      <c r="T118" s="27244">
        <f>IF(HLOOKUP("Shots",A1:CV300,118,FALSE)=0,0,HLOOKUP("Headers",A1:CV300,118,FALSE)/HLOOKUP("Shots",A1:CV300,118,FALSE))</f>
        <v>3.7037037037037035E-2</v>
      </c>
      <c r="U118" s="27245">
        <v>7</v>
      </c>
      <c r="V118" s="27246">
        <f>IF(HLOOKUP("Shots",A1:CV300,118,FALSE)=0,0,HLOOKUP("SOT",A1:CV300,118,FALSE)/HLOOKUP("Shots",A1:CV300,118,FALSE))</f>
        <v>0.25925925925925924</v>
      </c>
      <c r="W118" s="27247">
        <f>IF(HLOOKUP("Shots",A1:CV300,118,FALSE)=0,0,HLOOKUP("Gs",A1:CV300,118,FALSE)/HLOOKUP("Shots",A1:CV300,118,FALSE))</f>
        <v>0.1111111111111111</v>
      </c>
      <c r="X118" s="27248">
        <v>2</v>
      </c>
      <c r="Y118" s="27249">
        <v>3</v>
      </c>
      <c r="Z118" s="27250">
        <v>11</v>
      </c>
      <c r="AA118" s="27251">
        <f>IF(HLOOKUP("KP",A1:CV300,118,FALSE)=0,0,HLOOKUP("As",A1:CV300,118,FALSE)/HLOOKUP("KP",A1:CV300,118,FALSE))</f>
        <v>0.18181818181818182</v>
      </c>
      <c r="AB118" s="27252">
        <v>74.599999999999994</v>
      </c>
      <c r="AC118" s="27253">
        <v>50</v>
      </c>
      <c r="AD118" s="27254">
        <v>4</v>
      </c>
      <c r="AE118" s="27255">
        <v>5</v>
      </c>
      <c r="AF118" s="27256">
        <v>3</v>
      </c>
      <c r="AG118" s="27257">
        <f>IF(HLOOKUP("BC",A1:CV300,118,FALSE)=0,0,HLOOKUP("Gs - BC",A1:CV300,118,FALSE)/HLOOKUP("BC",A1:CV300,118,FALSE))</f>
        <v>0.4</v>
      </c>
      <c r="AH118" s="27258">
        <f>HLOOKUP("BC",A1:CV300,118,FALSE) - HLOOKUP("BC Miss",A1:CV300,118,FALSE)</f>
        <v>2</v>
      </c>
      <c r="AI118" s="27259">
        <f>IF(HLOOKUP("Gs",A1:CV300,118,FALSE)=0,0,HLOOKUP("Gs - BC",A1:CV300,118,FALSE)/HLOOKUP("Gs",A1:CV300,118,FALSE))</f>
        <v>0.66666666666666663</v>
      </c>
      <c r="AJ118" s="27260">
        <v>0</v>
      </c>
      <c r="AK118" s="27261">
        <v>0</v>
      </c>
      <c r="AL118" s="27262">
        <f>HLOOKUP("BC",A1:CV300,118,FALSE) - (HLOOKUP("PK Gs",A1:CV300,118,FALSE) + HLOOKUP("PK Miss",A1:CV300,118,FALSE))</f>
        <v>5</v>
      </c>
      <c r="AM118" s="27263">
        <f>HLOOKUP("BC Miss",A1:CV300,118,FALSE) - HLOOKUP("PK Miss",A1:CV300,118,FALSE)</f>
        <v>3</v>
      </c>
      <c r="AN118" s="27264">
        <f>IF(HLOOKUP("BC - Open",A1:CV300,118,FALSE)=0,0,HLOOKUP("BC - Open Miss",A1:CV300,118,FALSE)/HLOOKUP("BC - Open",A1:CV300,118,FALSE))</f>
        <v>0.6</v>
      </c>
      <c r="AO118" s="27265">
        <v>3</v>
      </c>
      <c r="AP118" s="27266">
        <f>IF(HLOOKUP("Gs",A1:CV300,118,FALSE)=0,0,HLOOKUP("GIB",A1:CV300,118,FALSE)/HLOOKUP("Gs",A1:CV300,118,FALSE))</f>
        <v>1</v>
      </c>
      <c r="AQ118" s="27267">
        <v>1</v>
      </c>
      <c r="AR118" s="27268">
        <f>IF(HLOOKUP("Gs",A1:CV300,118,FALSE)=0,0,HLOOKUP("Gs - Open",A1:CV300,118,FALSE)/HLOOKUP("Gs",A1:CV300,118,FALSE))</f>
        <v>0.33333333333333331</v>
      </c>
      <c r="AS118" s="27269">
        <v>3.34</v>
      </c>
      <c r="AT118" s="27270">
        <v>1.31</v>
      </c>
      <c r="AU118" s="27271">
        <f>IF(HLOOKUP("Mins",A1:CV300,118,FALSE)=0,0,HLOOKUP("Pts",A1:CV300,118,FALSE)/HLOOKUP("Mins",A1:CV300,118,FALSE)* 90)</f>
        <v>5.0583244962884413</v>
      </c>
      <c r="AV118" s="27272">
        <f>IF(HLOOKUP("Apps",A1:CV300,118,FALSE)=0,0,HLOOKUP("Pts",A1:CV300,118,FALSE)/HLOOKUP("Apps",A1:CV300,118,FALSE)* 1)</f>
        <v>3.5333333333333332</v>
      </c>
      <c r="AW118" s="27273">
        <f>IF(HLOOKUP("Mins",A1:CV300,118,FALSE)=0,0,HLOOKUP("Gs",A1:CV300,118,FALSE)/HLOOKUP("Mins",A1:CV300,118,FALSE)* 90)</f>
        <v>0.28632025450689291</v>
      </c>
      <c r="AX118" s="27274">
        <f>IF(HLOOKUP("Mins",A1:CV300,118,FALSE)=0,0,HLOOKUP("Bonus",A1:CV300,118,FALSE)/HLOOKUP("Mins",A1:CV300,118,FALSE)* 90)</f>
        <v>0.19088016967126195</v>
      </c>
      <c r="AY118" s="27275">
        <f>IF(HLOOKUP("Mins",A1:CV300,118,FALSE)=0,0,HLOOKUP("BPS",A1:CV300,118,FALSE)/HLOOKUP("Mins",A1:CV300,118,FALSE)* 90)</f>
        <v>13.838812301166488</v>
      </c>
      <c r="AZ118" s="27276">
        <f>IF(HLOOKUP("Mins",A1:CV300,118,FALSE)=0,0,HLOOKUP("Base BPS",A1:CV300,118,FALSE)/HLOOKUP("Mins",A1:CV300,118,FALSE)* 90)</f>
        <v>6.1081654294803824</v>
      </c>
      <c r="BA118" s="27277">
        <f>IF(HLOOKUP("Mins",A1:CV300,118,FALSE)=0,0,HLOOKUP("PenTchs",A1:CV300,118,FALSE)/HLOOKUP("Mins",A1:CV300,118,FALSE)* 90)</f>
        <v>5.5355249204665959</v>
      </c>
      <c r="BB118" s="27278">
        <f>IF(HLOOKUP("Mins",A1:CV300,118,FALSE)=0,0,HLOOKUP("Shots",A1:CV300,118,FALSE)/HLOOKUP("Mins",A1:CV300,118,FALSE)* 90)</f>
        <v>2.5768822905620361</v>
      </c>
      <c r="BC118" s="27279">
        <f>IF(HLOOKUP("Mins",A1:CV300,118,FALSE)=0,0,HLOOKUP("SIB",A1:CV300,118,FALSE)/HLOOKUP("Mins",A1:CV300,118,FALSE)* 90)</f>
        <v>2.0042417815482505</v>
      </c>
      <c r="BD118" s="27280">
        <f>IF(HLOOKUP("Mins",A1:CV300,118,FALSE)=0,0,HLOOKUP("S6YD",A1:CV300,118,FALSE)/HLOOKUP("Mins",A1:CV300,118,FALSE)* 90)</f>
        <v>9.5440084835630976E-2</v>
      </c>
      <c r="BE118" s="27281">
        <f>IF(HLOOKUP("Mins",A1:CV300,118,FALSE)=0,0,HLOOKUP("Headers",A1:CV300,118,FALSE)/HLOOKUP("Mins",A1:CV300,118,FALSE)* 90)</f>
        <v>9.5440084835630976E-2</v>
      </c>
      <c r="BF118" s="27282">
        <f>IF(HLOOKUP("Mins",A1:CV300,118,FALSE)=0,0,HLOOKUP("SOT",A1:CV300,118,FALSE)/HLOOKUP("Mins",A1:CV300,118,FALSE)* 90)</f>
        <v>0.66808059384941676</v>
      </c>
      <c r="BG118" s="27283">
        <f>IF(HLOOKUP("Mins",A1:CV300,118,FALSE)=0,0,HLOOKUP("As",A1:CV300,118,FALSE)/HLOOKUP("Mins",A1:CV300,118,FALSE)* 90)</f>
        <v>0.19088016967126195</v>
      </c>
      <c r="BH118" s="27284">
        <f>IF(HLOOKUP("Mins",A1:CV300,118,FALSE)=0,0,HLOOKUP("FPL As",A1:CV300,118,FALSE)/HLOOKUP("Mins",A1:CV300,118,FALSE)* 90)</f>
        <v>0.28632025450689291</v>
      </c>
      <c r="BI118" s="27285">
        <f>IF(HLOOKUP("Mins",A1:CV300,118,FALSE)=0,0,HLOOKUP("BC Created",A1:CV300,118,FALSE)/HLOOKUP("Mins",A1:CV300,118,FALSE)* 90)</f>
        <v>0.3817603393425239</v>
      </c>
      <c r="BJ118" s="27286">
        <f>IF(HLOOKUP("Mins",A1:CV300,118,FALSE)=0,0,HLOOKUP("KP",A1:CV300,118,FALSE)/HLOOKUP("Mins",A1:CV300,118,FALSE)* 90)</f>
        <v>1.0498409331919407</v>
      </c>
      <c r="BK118" s="27287">
        <f>IF(HLOOKUP("Mins",A1:CV300,118,FALSE)=0,0,HLOOKUP("BC",A1:CV300,118,FALSE)/HLOOKUP("Mins",A1:CV300,118,FALSE)* 90)</f>
        <v>0.47720042417815484</v>
      </c>
      <c r="BL118" s="27288">
        <f>IF(HLOOKUP("Mins",A1:CV300,118,FALSE)=0,0,HLOOKUP("BC Miss",A1:CV300,118,FALSE)/HLOOKUP("Mins",A1:CV300,118,FALSE)* 90)</f>
        <v>0.28632025450689291</v>
      </c>
      <c r="BM118" s="27289">
        <f>IF(HLOOKUP("Mins",A1:CV300,118,FALSE)=0,0,HLOOKUP("Gs - BC",A1:CV300,118,FALSE)/HLOOKUP("Mins",A1:CV300,118,FALSE)* 90)</f>
        <v>0.19088016967126195</v>
      </c>
      <c r="BN118" s="27290">
        <f>IF(HLOOKUP("Mins",A1:CV300,118,FALSE)=0,0,HLOOKUP("GIB",A1:CV300,118,FALSE)/HLOOKUP("Mins",A1:CV300,118,FALSE)* 90)</f>
        <v>0.28632025450689291</v>
      </c>
      <c r="BO118" s="27291">
        <f>IF(HLOOKUP("Mins",A1:CV300,118,FALSE)=0,0,HLOOKUP("Gs - Open",A1:CV300,118,FALSE)/HLOOKUP("Mins",A1:CV300,118,FALSE)* 90)</f>
        <v>9.5440084835630976E-2</v>
      </c>
      <c r="BP118" s="27292">
        <f>IF(HLOOKUP("Mins",A1:CV300,118,FALSE)=0,0,HLOOKUP("ICT Index",A1:CV300,118,FALSE)/HLOOKUP("Mins",A1:CV300,118,FALSE)* 90)</f>
        <v>7.1198303287380691</v>
      </c>
      <c r="BQ118" s="27293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  <v>0.30521739130434777</v>
      </c>
      <c r="BR118" s="27294">
        <f>0.0885*HLOOKUP("KP/90",A1:CV300,118,FALSE)</f>
        <v>9.2910922587486747E-2</v>
      </c>
      <c r="BS118" s="27295">
        <f>5*HLOOKUP("xG/90",A1:CV300,118,FALSE)+3*HLOOKUP("xA/90",A1:CV300,118,FALSE)</f>
        <v>1.8048197242841992</v>
      </c>
      <c r="BT118" s="27296">
        <f>HLOOKUP("xPts/90",A1:CV300,118,FALSE)-(5*0.75*(HLOOKUP("PK Gs",A1:CV300,118,FALSE)+HLOOKUP("PK Miss",A1:CV300,118,FALSE))*90/HLOOKUP("Mins",A1:CV300,118,FALSE))</f>
        <v>1.8048197242841992</v>
      </c>
      <c r="BU118" s="27297">
        <f>IF(HLOOKUP("Mins",A1:CV300,118,FALSE)=0,0,HLOOKUP("fsXG",A1:CV300,118,FALSE)/HLOOKUP("Mins",A1:CV300,118,FALSE)* 90)</f>
        <v>0.31876988335100742</v>
      </c>
      <c r="BV118" s="27298">
        <f>IF(HLOOKUP("Mins",A1:CV300,118,FALSE)=0,0,HLOOKUP("fsXA",A1:CV300,118,FALSE)/HLOOKUP("Mins",A1:CV300,118,FALSE)* 90)</f>
        <v>0.12502651113467655</v>
      </c>
      <c r="BW118" s="27299">
        <f>5*HLOOKUP("fsXG/90",A1:CV300,118,FALSE)+3*HLOOKUP("fsXA/90",A1:CV300,118,FALSE)</f>
        <v>1.968928950159067</v>
      </c>
      <c r="BX118" s="27300">
        <v>0.32591709494590759</v>
      </c>
      <c r="BY118" s="27301">
        <v>0.17438510060310364</v>
      </c>
      <c r="BZ118" s="27302">
        <f>5*HLOOKUP("uXG/90",A1:CV300,118,FALSE)+3*HLOOKUP("uXA/90",A1:CV300,118,FALSE)</f>
        <v>2.1527407765388489</v>
      </c>
    </row>
    <row r="119" spans="1:78" x14ac:dyDescent="0.3">
      <c r="A119" s="27303" t="s">
        <v>446</v>
      </c>
      <c r="B119" s="27304" t="s">
        <v>98</v>
      </c>
      <c r="C119" s="27305">
        <v>4.3000001907348633</v>
      </c>
      <c r="D119" s="27306">
        <v>1129</v>
      </c>
      <c r="E119" s="27307">
        <v>18</v>
      </c>
      <c r="F119" s="27308">
        <v>30</v>
      </c>
      <c r="G119" s="27309">
        <v>0</v>
      </c>
      <c r="H119" s="27310">
        <v>0</v>
      </c>
      <c r="I119" s="27311">
        <v>179</v>
      </c>
      <c r="J119" s="27312">
        <f>HLOOKUP("BPS",A1:CV300,119,FALSE)-((-6*HLOOKUP("OG",A1:CV300,119,FALSE))+(-6*HLOOKUP("PK Miss",A1:CV300,119,FALSE))+(9*HLOOKUP("FPL As",A1:CV300,119,FALSE))+(0*HLOOKUP("CS",A1:CV300,119,FALSE))+(18*HLOOKUP("Gs",A1:CV300,119,FALSE)))</f>
        <v>179</v>
      </c>
      <c r="K119" s="27313">
        <v>0</v>
      </c>
      <c r="L119" s="27314">
        <v>2</v>
      </c>
      <c r="M119" s="27315">
        <v>4</v>
      </c>
      <c r="N119" s="27316">
        <v>4</v>
      </c>
      <c r="O119" s="27317">
        <v>1</v>
      </c>
      <c r="P119" s="27318">
        <f>IF(HLOOKUP("Shots",A1:CV300,119,FALSE)=0,0,HLOOKUP("SIB",A1:CV300,119,FALSE)/HLOOKUP("Shots",A1:CV300,119,FALSE))</f>
        <v>0.25</v>
      </c>
      <c r="Q119" s="27319">
        <v>0</v>
      </c>
      <c r="R119" s="27320">
        <f>IF(HLOOKUP("Shots",A1:CV300,119,FALSE)=0,0,HLOOKUP("S6YD",A1:CV300,119,FALSE)/HLOOKUP("Shots",A1:CV300,119,FALSE))</f>
        <v>0</v>
      </c>
      <c r="S119" s="27321">
        <v>0</v>
      </c>
      <c r="T119" s="27322">
        <f>IF(HLOOKUP("Shots",A1:CV300,119,FALSE)=0,0,HLOOKUP("Headers",A1:CV300,119,FALSE)/HLOOKUP("Shots",A1:CV300,119,FALSE))</f>
        <v>0</v>
      </c>
      <c r="U119" s="27323">
        <v>0</v>
      </c>
      <c r="V119" s="27324">
        <f>IF(HLOOKUP("Shots",A1:CV300,119,FALSE)=0,0,HLOOKUP("SOT",A1:CV300,119,FALSE)/HLOOKUP("Shots",A1:CV300,119,FALSE))</f>
        <v>0</v>
      </c>
      <c r="W119" s="27325">
        <f>IF(HLOOKUP("Shots",A1:CV300,119,FALSE)=0,0,HLOOKUP("Gs",A1:CV300,119,FALSE)/HLOOKUP("Shots",A1:CV300,119,FALSE))</f>
        <v>0</v>
      </c>
      <c r="X119" s="27326">
        <v>0</v>
      </c>
      <c r="Y119" s="27327">
        <v>0</v>
      </c>
      <c r="Z119" s="27328">
        <v>7</v>
      </c>
      <c r="AA119" s="27329">
        <f>IF(HLOOKUP("KP",A1:CV300,119,FALSE)=0,0,HLOOKUP("As",A1:CV300,119,FALSE)/HLOOKUP("KP",A1:CV300,119,FALSE))</f>
        <v>0</v>
      </c>
      <c r="AB119" s="27330">
        <v>36.299999999999997</v>
      </c>
      <c r="AC119" s="27331">
        <v>0</v>
      </c>
      <c r="AD119" s="27332">
        <v>1</v>
      </c>
      <c r="AE119" s="27333">
        <v>0</v>
      </c>
      <c r="AF119" s="27334">
        <v>0</v>
      </c>
      <c r="AG119" s="27335">
        <f>IF(HLOOKUP("BC",A1:CV300,119,FALSE)=0,0,HLOOKUP("Gs - BC",A1:CV300,119,FALSE)/HLOOKUP("BC",A1:CV300,119,FALSE))</f>
        <v>0</v>
      </c>
      <c r="AH119" s="27336">
        <f>HLOOKUP("BC",A1:CV300,119,FALSE) - HLOOKUP("BC Miss",A1:CV300,119,FALSE)</f>
        <v>0</v>
      </c>
      <c r="AI119" s="27337">
        <f>IF(HLOOKUP("Gs",A1:CV300,119,FALSE)=0,0,HLOOKUP("Gs - BC",A1:CV300,119,FALSE)/HLOOKUP("Gs",A1:CV300,119,FALSE))</f>
        <v>0</v>
      </c>
      <c r="AJ119" s="27338">
        <v>0</v>
      </c>
      <c r="AK119" s="27339">
        <v>0</v>
      </c>
      <c r="AL119" s="27340">
        <f>HLOOKUP("BC",A1:CV300,119,FALSE) - (HLOOKUP("PK Gs",A1:CV300,119,FALSE) + HLOOKUP("PK Miss",A1:CV300,119,FALSE))</f>
        <v>0</v>
      </c>
      <c r="AM119" s="27341">
        <f>HLOOKUP("BC Miss",A1:CV300,119,FALSE) - HLOOKUP("PK Miss",A1:CV300,119,FALSE)</f>
        <v>0</v>
      </c>
      <c r="AN119" s="27342">
        <f>IF(HLOOKUP("BC - Open",A1:CV300,119,FALSE)=0,0,HLOOKUP("BC - Open Miss",A1:CV300,119,FALSE)/HLOOKUP("BC - Open",A1:CV300,119,FALSE))</f>
        <v>0</v>
      </c>
      <c r="AO119" s="27343">
        <v>0</v>
      </c>
      <c r="AP119" s="27344">
        <f>IF(HLOOKUP("Gs",A1:CV300,119,FALSE)=0,0,HLOOKUP("GIB",A1:CV300,119,FALSE)/HLOOKUP("Gs",A1:CV300,119,FALSE))</f>
        <v>0</v>
      </c>
      <c r="AQ119" s="27345">
        <v>0</v>
      </c>
      <c r="AR119" s="27346">
        <f>IF(HLOOKUP("Gs",A1:CV300,119,FALSE)=0,0,HLOOKUP("Gs - Open",A1:CV300,119,FALSE)/HLOOKUP("Gs",A1:CV300,119,FALSE))</f>
        <v>0</v>
      </c>
      <c r="AS119" s="27347">
        <v>0.12</v>
      </c>
      <c r="AT119" s="27348">
        <v>0.5</v>
      </c>
      <c r="AU119" s="27349">
        <f>IF(HLOOKUP("Mins",A1:CV300,119,FALSE)=0,0,HLOOKUP("Pts",A1:CV300,119,FALSE)/HLOOKUP("Mins",A1:CV300,119,FALSE)* 90)</f>
        <v>2.3914968999114259</v>
      </c>
      <c r="AV119" s="27350">
        <f>IF(HLOOKUP("Apps",A1:CV300,119,FALSE)=0,0,HLOOKUP("Pts",A1:CV300,119,FALSE)/HLOOKUP("Apps",A1:CV300,119,FALSE)* 1)</f>
        <v>1.6666666666666667</v>
      </c>
      <c r="AW119" s="27351">
        <f>IF(HLOOKUP("Mins",A1:CV300,119,FALSE)=0,0,HLOOKUP("Gs",A1:CV300,119,FALSE)/HLOOKUP("Mins",A1:CV300,119,FALSE)* 90)</f>
        <v>0</v>
      </c>
      <c r="AX119" s="27352">
        <f>IF(HLOOKUP("Mins",A1:CV300,119,FALSE)=0,0,HLOOKUP("Bonus",A1:CV300,119,FALSE)/HLOOKUP("Mins",A1:CV300,119,FALSE)* 90)</f>
        <v>0</v>
      </c>
      <c r="AY119" s="27353">
        <f>IF(HLOOKUP("Mins",A1:CV300,119,FALSE)=0,0,HLOOKUP("BPS",A1:CV300,119,FALSE)/HLOOKUP("Mins",A1:CV300,119,FALSE)* 90)</f>
        <v>14.269264836138175</v>
      </c>
      <c r="AZ119" s="27354">
        <f>IF(HLOOKUP("Mins",A1:CV300,119,FALSE)=0,0,HLOOKUP("Base BPS",A1:CV300,119,FALSE)/HLOOKUP("Mins",A1:CV300,119,FALSE)* 90)</f>
        <v>14.269264836138175</v>
      </c>
      <c r="BA119" s="27355">
        <f>IF(HLOOKUP("Mins",A1:CV300,119,FALSE)=0,0,HLOOKUP("PenTchs",A1:CV300,119,FALSE)/HLOOKUP("Mins",A1:CV300,119,FALSE)* 90)</f>
        <v>0.31886625332152346</v>
      </c>
      <c r="BB119" s="27356">
        <f>IF(HLOOKUP("Mins",A1:CV300,119,FALSE)=0,0,HLOOKUP("Shots",A1:CV300,119,FALSE)/HLOOKUP("Mins",A1:CV300,119,FALSE)* 90)</f>
        <v>0.31886625332152346</v>
      </c>
      <c r="BC119" s="27357">
        <f>IF(HLOOKUP("Mins",A1:CV300,119,FALSE)=0,0,HLOOKUP("SIB",A1:CV300,119,FALSE)/HLOOKUP("Mins",A1:CV300,119,FALSE)* 90)</f>
        <v>7.9716563330380866E-2</v>
      </c>
      <c r="BD119" s="27358">
        <f>IF(HLOOKUP("Mins",A1:CV300,119,FALSE)=0,0,HLOOKUP("S6YD",A1:CV300,119,FALSE)/HLOOKUP("Mins",A1:CV300,119,FALSE)* 90)</f>
        <v>0</v>
      </c>
      <c r="BE119" s="27359">
        <f>IF(HLOOKUP("Mins",A1:CV300,119,FALSE)=0,0,HLOOKUP("Headers",A1:CV300,119,FALSE)/HLOOKUP("Mins",A1:CV300,119,FALSE)* 90)</f>
        <v>0</v>
      </c>
      <c r="BF119" s="27360">
        <f>IF(HLOOKUP("Mins",A1:CV300,119,FALSE)=0,0,HLOOKUP("SOT",A1:CV300,119,FALSE)/HLOOKUP("Mins",A1:CV300,119,FALSE)* 90)</f>
        <v>0</v>
      </c>
      <c r="BG119" s="27361">
        <f>IF(HLOOKUP("Mins",A1:CV300,119,FALSE)=0,0,HLOOKUP("As",A1:CV300,119,FALSE)/HLOOKUP("Mins",A1:CV300,119,FALSE)* 90)</f>
        <v>0</v>
      </c>
      <c r="BH119" s="27362">
        <f>IF(HLOOKUP("Mins",A1:CV300,119,FALSE)=0,0,HLOOKUP("FPL As",A1:CV300,119,FALSE)/HLOOKUP("Mins",A1:CV300,119,FALSE)* 90)</f>
        <v>0</v>
      </c>
      <c r="BI119" s="27363">
        <f>IF(HLOOKUP("Mins",A1:CV300,119,FALSE)=0,0,HLOOKUP("BC Created",A1:CV300,119,FALSE)/HLOOKUP("Mins",A1:CV300,119,FALSE)* 90)</f>
        <v>7.9716563330380866E-2</v>
      </c>
      <c r="BJ119" s="27364">
        <f>IF(HLOOKUP("Mins",A1:CV300,119,FALSE)=0,0,HLOOKUP("KP",A1:CV300,119,FALSE)/HLOOKUP("Mins",A1:CV300,119,FALSE)* 90)</f>
        <v>0.55801594331266613</v>
      </c>
      <c r="BK119" s="27365">
        <f>IF(HLOOKUP("Mins",A1:CV300,119,FALSE)=0,0,HLOOKUP("BC",A1:CV300,119,FALSE)/HLOOKUP("Mins",A1:CV300,119,FALSE)* 90)</f>
        <v>0</v>
      </c>
      <c r="BL119" s="27366">
        <f>IF(HLOOKUP("Mins",A1:CV300,119,FALSE)=0,0,HLOOKUP("BC Miss",A1:CV300,119,FALSE)/HLOOKUP("Mins",A1:CV300,119,FALSE)* 90)</f>
        <v>0</v>
      </c>
      <c r="BM119" s="27367">
        <f>IF(HLOOKUP("Mins",A1:CV300,119,FALSE)=0,0,HLOOKUP("Gs - BC",A1:CV300,119,FALSE)/HLOOKUP("Mins",A1:CV300,119,FALSE)* 90)</f>
        <v>0</v>
      </c>
      <c r="BN119" s="27368">
        <f>IF(HLOOKUP("Mins",A1:CV300,119,FALSE)=0,0,HLOOKUP("GIB",A1:CV300,119,FALSE)/HLOOKUP("Mins",A1:CV300,119,FALSE)* 90)</f>
        <v>0</v>
      </c>
      <c r="BO119" s="27369">
        <f>IF(HLOOKUP("Mins",A1:CV300,119,FALSE)=0,0,HLOOKUP("Gs - Open",A1:CV300,119,FALSE)/HLOOKUP("Mins",A1:CV300,119,FALSE)* 90)</f>
        <v>0</v>
      </c>
      <c r="BP119" s="27370">
        <f>IF(HLOOKUP("Mins",A1:CV300,119,FALSE)=0,0,HLOOKUP("ICT Index",A1:CV300,119,FALSE)/HLOOKUP("Mins",A1:CV300,119,FALSE)* 90)</f>
        <v>2.8937112488928252</v>
      </c>
      <c r="BQ119" s="27371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  <v>1.9929140832595216E-2</v>
      </c>
      <c r="BR119" s="27372">
        <f>0.0885*HLOOKUP("KP/90",A1:CV300,119,FALSE)</f>
        <v>4.9384410983170951E-2</v>
      </c>
      <c r="BS119" s="27373">
        <f>5*HLOOKUP("xG/90",A1:CV300,119,FALSE)+3*HLOOKUP("xA/90",A1:CV300,119,FALSE)</f>
        <v>0.24779893711248893</v>
      </c>
      <c r="BT119" s="27374">
        <f>HLOOKUP("xPts/90",A1:CV300,119,FALSE)-(5*0.75*(HLOOKUP("PK Gs",A1:CV300,119,FALSE)+HLOOKUP("PK Miss",A1:CV300,119,FALSE))*90/HLOOKUP("Mins",A1:CV300,119,FALSE))</f>
        <v>0.24779893711248893</v>
      </c>
      <c r="BU119" s="27375">
        <f>IF(HLOOKUP("Mins",A1:CV300,119,FALSE)=0,0,HLOOKUP("fsXG",A1:CV300,119,FALSE)/HLOOKUP("Mins",A1:CV300,119,FALSE)* 90)</f>
        <v>9.5659875996457044E-3</v>
      </c>
      <c r="BV119" s="27376">
        <f>IF(HLOOKUP("Mins",A1:CV300,119,FALSE)=0,0,HLOOKUP("fsXA",A1:CV300,119,FALSE)/HLOOKUP("Mins",A1:CV300,119,FALSE)* 90)</f>
        <v>3.9858281665190433E-2</v>
      </c>
      <c r="BW119" s="27377">
        <f>5*HLOOKUP("fsXG/90",A1:CV300,119,FALSE)+3*HLOOKUP("fsXA/90",A1:CV300,119,FALSE)</f>
        <v>0.16740478299379982</v>
      </c>
      <c r="BX119" s="27378">
        <v>1.0056409984827042E-2</v>
      </c>
      <c r="BY119" s="27379">
        <v>3.674272820353508E-2</v>
      </c>
      <c r="BZ119" s="27380">
        <f>5*HLOOKUP("uXG/90",A1:CV300,119,FALSE)+3*HLOOKUP("uXA/90",A1:CV300,119,FALSE)</f>
        <v>0.16051023453474045</v>
      </c>
    </row>
    <row r="120" spans="1:78" x14ac:dyDescent="0.3">
      <c r="A120" s="27381" t="s">
        <v>447</v>
      </c>
      <c r="B120" s="27382" t="s">
        <v>107</v>
      </c>
      <c r="C120" s="27383">
        <v>4.5</v>
      </c>
      <c r="D120" s="27384">
        <v>7</v>
      </c>
      <c r="E120" s="27385">
        <v>1</v>
      </c>
      <c r="F120" s="27386">
        <v>1</v>
      </c>
      <c r="G120" s="27387">
        <v>0</v>
      </c>
      <c r="H120" s="27388">
        <v>0</v>
      </c>
      <c r="I120" s="27389">
        <v>5</v>
      </c>
      <c r="J120" s="27390">
        <f>HLOOKUP("BPS",A1:CV300,120,FALSE)-((-6*HLOOKUP("OG",A1:CV300,120,FALSE))+(-6*HLOOKUP("PK Miss",A1:CV300,120,FALSE))+(9*HLOOKUP("FPL As",A1:CV300,120,FALSE))+(0*HLOOKUP("CS",A1:CV300,120,FALSE))+(18*HLOOKUP("Gs",A1:CV300,120,FALSE)))</f>
        <v>5</v>
      </c>
      <c r="K120" s="27391">
        <v>0</v>
      </c>
      <c r="L120" s="27392">
        <v>0</v>
      </c>
      <c r="M120" s="27393">
        <v>1</v>
      </c>
      <c r="N120" s="27394">
        <v>0</v>
      </c>
      <c r="O120" s="27395">
        <v>0</v>
      </c>
      <c r="P120" s="27396">
        <f>IF(HLOOKUP("Shots",A1:CV300,120,FALSE)=0,0,HLOOKUP("SIB",A1:CV300,120,FALSE)/HLOOKUP("Shots",A1:CV300,120,FALSE))</f>
        <v>0</v>
      </c>
      <c r="Q120" s="27397">
        <v>0</v>
      </c>
      <c r="R120" s="27398">
        <f>IF(HLOOKUP("Shots",A1:CV300,120,FALSE)=0,0,HLOOKUP("S6YD",A1:CV300,120,FALSE)/HLOOKUP("Shots",A1:CV300,120,FALSE))</f>
        <v>0</v>
      </c>
      <c r="S120" s="27399">
        <v>0</v>
      </c>
      <c r="T120" s="27400">
        <f>IF(HLOOKUP("Shots",A1:CV300,120,FALSE)=0,0,HLOOKUP("Headers",A1:CV300,120,FALSE)/HLOOKUP("Shots",A1:CV300,120,FALSE))</f>
        <v>0</v>
      </c>
      <c r="U120" s="27401">
        <v>0</v>
      </c>
      <c r="V120" s="27402">
        <f>IF(HLOOKUP("Shots",A1:CV300,120,FALSE)=0,0,HLOOKUP("SOT",A1:CV300,120,FALSE)/HLOOKUP("Shots",A1:CV300,120,FALSE))</f>
        <v>0</v>
      </c>
      <c r="W120" s="27403">
        <f>IF(HLOOKUP("Shots",A1:CV300,120,FALSE)=0,0,HLOOKUP("Gs",A1:CV300,120,FALSE)/HLOOKUP("Shots",A1:CV300,120,FALSE))</f>
        <v>0</v>
      </c>
      <c r="X120" s="27404">
        <v>0</v>
      </c>
      <c r="Y120" s="27405">
        <v>0</v>
      </c>
      <c r="Z120" s="27406">
        <v>2</v>
      </c>
      <c r="AA120" s="27407">
        <f>IF(HLOOKUP("KP",A1:CV300,120,FALSE)=0,0,HLOOKUP("As",A1:CV300,120,FALSE)/HLOOKUP("KP",A1:CV300,120,FALSE))</f>
        <v>0</v>
      </c>
      <c r="AB120" s="27408">
        <v>2.8</v>
      </c>
      <c r="AC120" s="27409">
        <v>0</v>
      </c>
      <c r="AD120" s="27410">
        <v>0</v>
      </c>
      <c r="AE120" s="27411">
        <v>0</v>
      </c>
      <c r="AF120" s="27412">
        <v>0</v>
      </c>
      <c r="AG120" s="27413">
        <f>IF(HLOOKUP("BC",A1:CV300,120,FALSE)=0,0,HLOOKUP("Gs - BC",A1:CV300,120,FALSE)/HLOOKUP("BC",A1:CV300,120,FALSE))</f>
        <v>0</v>
      </c>
      <c r="AH120" s="27414">
        <f>HLOOKUP("BC",A1:CV300,120,FALSE) - HLOOKUP("BC Miss",A1:CV300,120,FALSE)</f>
        <v>0</v>
      </c>
      <c r="AI120" s="27415">
        <f>IF(HLOOKUP("Gs",A1:CV300,120,FALSE)=0,0,HLOOKUP("Gs - BC",A1:CV300,120,FALSE)/HLOOKUP("Gs",A1:CV300,120,FALSE))</f>
        <v>0</v>
      </c>
      <c r="AJ120" s="27416">
        <v>0</v>
      </c>
      <c r="AK120" s="27417">
        <v>0</v>
      </c>
      <c r="AL120" s="27418">
        <f>HLOOKUP("BC",A1:CV300,120,FALSE) - (HLOOKUP("PK Gs",A1:CV300,120,FALSE) + HLOOKUP("PK Miss",A1:CV300,120,FALSE))</f>
        <v>0</v>
      </c>
      <c r="AM120" s="27419">
        <f>HLOOKUP("BC Miss",A1:CV300,120,FALSE) - HLOOKUP("PK Miss",A1:CV300,120,FALSE)</f>
        <v>0</v>
      </c>
      <c r="AN120" s="27420">
        <f>IF(HLOOKUP("BC - Open",A1:CV300,120,FALSE)=0,0,HLOOKUP("BC - Open Miss",A1:CV300,120,FALSE)/HLOOKUP("BC - Open",A1:CV300,120,FALSE))</f>
        <v>0</v>
      </c>
      <c r="AO120" s="27421">
        <v>0</v>
      </c>
      <c r="AP120" s="27422">
        <f>IF(HLOOKUP("Gs",A1:CV300,120,FALSE)=0,0,HLOOKUP("GIB",A1:CV300,120,FALSE)/HLOOKUP("Gs",A1:CV300,120,FALSE))</f>
        <v>0</v>
      </c>
      <c r="AQ120" s="27423">
        <v>0</v>
      </c>
      <c r="AR120" s="27424">
        <f>IF(HLOOKUP("Gs",A1:CV300,120,FALSE)=0,0,HLOOKUP("Gs - Open",A1:CV300,120,FALSE)/HLOOKUP("Gs",A1:CV300,120,FALSE))</f>
        <v>0</v>
      </c>
      <c r="AS120" s="27425">
        <v>0</v>
      </c>
      <c r="AT120" s="27426">
        <v>0.02</v>
      </c>
      <c r="AU120" s="27427">
        <f>IF(HLOOKUP("Mins",A1:CV300,120,FALSE)=0,0,HLOOKUP("Pts",A1:CV300,120,FALSE)/HLOOKUP("Mins",A1:CV300,120,FALSE)* 90)</f>
        <v>12.857142857142856</v>
      </c>
      <c r="AV120" s="27428">
        <f>IF(HLOOKUP("Apps",A1:CV300,120,FALSE)=0,0,HLOOKUP("Pts",A1:CV300,120,FALSE)/HLOOKUP("Apps",A1:CV300,120,FALSE)* 1)</f>
        <v>1</v>
      </c>
      <c r="AW120" s="27429">
        <f>IF(HLOOKUP("Mins",A1:CV300,120,FALSE)=0,0,HLOOKUP("Gs",A1:CV300,120,FALSE)/HLOOKUP("Mins",A1:CV300,120,FALSE)* 90)</f>
        <v>0</v>
      </c>
      <c r="AX120" s="27430">
        <f>IF(HLOOKUP("Mins",A1:CV300,120,FALSE)=0,0,HLOOKUP("Bonus",A1:CV300,120,FALSE)/HLOOKUP("Mins",A1:CV300,120,FALSE)* 90)</f>
        <v>0</v>
      </c>
      <c r="AY120" s="27431">
        <f>IF(HLOOKUP("Mins",A1:CV300,120,FALSE)=0,0,HLOOKUP("BPS",A1:CV300,120,FALSE)/HLOOKUP("Mins",A1:CV300,120,FALSE)* 90)</f>
        <v>64.285714285714292</v>
      </c>
      <c r="AZ120" s="27432">
        <f>IF(HLOOKUP("Mins",A1:CV300,120,FALSE)=0,0,HLOOKUP("Base BPS",A1:CV300,120,FALSE)/HLOOKUP("Mins",A1:CV300,120,FALSE)* 90)</f>
        <v>64.285714285714292</v>
      </c>
      <c r="BA120" s="27433">
        <f>IF(HLOOKUP("Mins",A1:CV300,120,FALSE)=0,0,HLOOKUP("PenTchs",A1:CV300,120,FALSE)/HLOOKUP("Mins",A1:CV300,120,FALSE)* 90)</f>
        <v>12.857142857142856</v>
      </c>
      <c r="BB120" s="27434">
        <f>IF(HLOOKUP("Mins",A1:CV300,120,FALSE)=0,0,HLOOKUP("Shots",A1:CV300,120,FALSE)/HLOOKUP("Mins",A1:CV300,120,FALSE)* 90)</f>
        <v>0</v>
      </c>
      <c r="BC120" s="27435">
        <f>IF(HLOOKUP("Mins",A1:CV300,120,FALSE)=0,0,HLOOKUP("SIB",A1:CV300,120,FALSE)/HLOOKUP("Mins",A1:CV300,120,FALSE)* 90)</f>
        <v>0</v>
      </c>
      <c r="BD120" s="27436">
        <f>IF(HLOOKUP("Mins",A1:CV300,120,FALSE)=0,0,HLOOKUP("S6YD",A1:CV300,120,FALSE)/HLOOKUP("Mins",A1:CV300,120,FALSE)* 90)</f>
        <v>0</v>
      </c>
      <c r="BE120" s="27437">
        <f>IF(HLOOKUP("Mins",A1:CV300,120,FALSE)=0,0,HLOOKUP("Headers",A1:CV300,120,FALSE)/HLOOKUP("Mins",A1:CV300,120,FALSE)* 90)</f>
        <v>0</v>
      </c>
      <c r="BF120" s="27438">
        <f>IF(HLOOKUP("Mins",A1:CV300,120,FALSE)=0,0,HLOOKUP("SOT",A1:CV300,120,FALSE)/HLOOKUP("Mins",A1:CV300,120,FALSE)* 90)</f>
        <v>0</v>
      </c>
      <c r="BG120" s="27439">
        <f>IF(HLOOKUP("Mins",A1:CV300,120,FALSE)=0,0,HLOOKUP("As",A1:CV300,120,FALSE)/HLOOKUP("Mins",A1:CV300,120,FALSE)* 90)</f>
        <v>0</v>
      </c>
      <c r="BH120" s="27440">
        <f>IF(HLOOKUP("Mins",A1:CV300,120,FALSE)=0,0,HLOOKUP("FPL As",A1:CV300,120,FALSE)/HLOOKUP("Mins",A1:CV300,120,FALSE)* 90)</f>
        <v>0</v>
      </c>
      <c r="BI120" s="27441">
        <f>IF(HLOOKUP("Mins",A1:CV300,120,FALSE)=0,0,HLOOKUP("BC Created",A1:CV300,120,FALSE)/HLOOKUP("Mins",A1:CV300,120,FALSE)* 90)</f>
        <v>0</v>
      </c>
      <c r="BJ120" s="27442">
        <f>IF(HLOOKUP("Mins",A1:CV300,120,FALSE)=0,0,HLOOKUP("KP",A1:CV300,120,FALSE)/HLOOKUP("Mins",A1:CV300,120,FALSE)* 90)</f>
        <v>25.714285714285712</v>
      </c>
      <c r="BK120" s="27443">
        <f>IF(HLOOKUP("Mins",A1:CV300,120,FALSE)=0,0,HLOOKUP("BC",A1:CV300,120,FALSE)/HLOOKUP("Mins",A1:CV300,120,FALSE)* 90)</f>
        <v>0</v>
      </c>
      <c r="BL120" s="27444">
        <f>IF(HLOOKUP("Mins",A1:CV300,120,FALSE)=0,0,HLOOKUP("BC Miss",A1:CV300,120,FALSE)/HLOOKUP("Mins",A1:CV300,120,FALSE)* 90)</f>
        <v>0</v>
      </c>
      <c r="BM120" s="27445">
        <f>IF(HLOOKUP("Mins",A1:CV300,120,FALSE)=0,0,HLOOKUP("Gs - BC",A1:CV300,120,FALSE)/HLOOKUP("Mins",A1:CV300,120,FALSE)* 90)</f>
        <v>0</v>
      </c>
      <c r="BN120" s="27446">
        <f>IF(HLOOKUP("Mins",A1:CV300,120,FALSE)=0,0,HLOOKUP("GIB",A1:CV300,120,FALSE)/HLOOKUP("Mins",A1:CV300,120,FALSE)* 90)</f>
        <v>0</v>
      </c>
      <c r="BO120" s="27447">
        <f>IF(HLOOKUP("Mins",A1:CV300,120,FALSE)=0,0,HLOOKUP("Gs - Open",A1:CV300,120,FALSE)/HLOOKUP("Mins",A1:CV300,120,FALSE)* 90)</f>
        <v>0</v>
      </c>
      <c r="BP120" s="27448">
        <f>IF(HLOOKUP("Mins",A1:CV300,120,FALSE)=0,0,HLOOKUP("ICT Index",A1:CV300,120,FALSE)/HLOOKUP("Mins",A1:CV300,120,FALSE)* 90)</f>
        <v>36</v>
      </c>
      <c r="BQ120" s="27449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  <v>0</v>
      </c>
      <c r="BR120" s="27450">
        <f>0.0885*HLOOKUP("KP/90",A1:CV300,120,FALSE)</f>
        <v>2.2757142857142854</v>
      </c>
      <c r="BS120" s="27451">
        <f>5*HLOOKUP("xG/90",A1:CV300,120,FALSE)+3*HLOOKUP("xA/90",A1:CV300,120,FALSE)</f>
        <v>6.8271428571428565</v>
      </c>
      <c r="BT120" s="27452">
        <f>HLOOKUP("xPts/90",A1:CV300,120,FALSE)-(5*0.75*(HLOOKUP("PK Gs",A1:CV300,120,FALSE)+HLOOKUP("PK Miss",A1:CV300,120,FALSE))*90/HLOOKUP("Mins",A1:CV300,120,FALSE))</f>
        <v>6.8271428571428565</v>
      </c>
      <c r="BU120" s="27453">
        <f>IF(HLOOKUP("Mins",A1:CV300,120,FALSE)=0,0,HLOOKUP("fsXG",A1:CV300,120,FALSE)/HLOOKUP("Mins",A1:CV300,120,FALSE)* 90)</f>
        <v>0</v>
      </c>
      <c r="BV120" s="27454">
        <f>IF(HLOOKUP("Mins",A1:CV300,120,FALSE)=0,0,HLOOKUP("fsXA",A1:CV300,120,FALSE)/HLOOKUP("Mins",A1:CV300,120,FALSE)* 90)</f>
        <v>0.25714285714285712</v>
      </c>
      <c r="BW120" s="27455">
        <f>5*HLOOKUP("fsXG/90",A1:CV300,120,FALSE)+3*HLOOKUP("fsXA/90",A1:CV300,120,FALSE)</f>
        <v>0.77142857142857135</v>
      </c>
      <c r="BX120" s="27456">
        <v>0</v>
      </c>
      <c r="BY120" s="27457">
        <v>1.4327811002731323</v>
      </c>
      <c r="BZ120" s="27458">
        <f>5*HLOOKUP("uXG/90",A1:CV300,120,FALSE)+3*HLOOKUP("uXA/90",A1:CV300,120,FALSE)</f>
        <v>4.298343300819397</v>
      </c>
    </row>
    <row r="121" spans="1:78" x14ac:dyDescent="0.3">
      <c r="A121" s="27459" t="s">
        <v>448</v>
      </c>
      <c r="B121" s="27460" t="s">
        <v>118</v>
      </c>
      <c r="C121" s="27461">
        <v>6.4000000953674316</v>
      </c>
      <c r="D121" s="27462">
        <v>728</v>
      </c>
      <c r="E121" s="27463">
        <v>13</v>
      </c>
      <c r="F121" s="27464">
        <v>42</v>
      </c>
      <c r="G121" s="27465">
        <v>2</v>
      </c>
      <c r="H121" s="27466">
        <v>5</v>
      </c>
      <c r="I121" s="27467">
        <v>140</v>
      </c>
      <c r="J121" s="27468">
        <f>HLOOKUP("BPS",A1:CV300,121,FALSE)-((-6*HLOOKUP("OG",A1:CV300,121,FALSE))+(-6*HLOOKUP("PK Miss",A1:CV300,121,FALSE))+(9*HLOOKUP("FPL As",A1:CV300,121,FALSE))+(0*HLOOKUP("CS",A1:CV300,121,FALSE))+(18*HLOOKUP("Gs",A1:CV300,121,FALSE)))</f>
        <v>95</v>
      </c>
      <c r="K121" s="27469">
        <v>0</v>
      </c>
      <c r="L121" s="27470">
        <v>6</v>
      </c>
      <c r="M121" s="27471">
        <v>35</v>
      </c>
      <c r="N121" s="27472">
        <v>7</v>
      </c>
      <c r="O121" s="27473">
        <v>4</v>
      </c>
      <c r="P121" s="27474">
        <f>IF(HLOOKUP("Shots",A1:CV300,121,FALSE)=0,0,HLOOKUP("SIB",A1:CV300,121,FALSE)/HLOOKUP("Shots",A1:CV300,121,FALSE))</f>
        <v>0.5714285714285714</v>
      </c>
      <c r="Q121" s="27475">
        <v>1</v>
      </c>
      <c r="R121" s="27476">
        <f>IF(HLOOKUP("Shots",A1:CV300,121,FALSE)=0,0,HLOOKUP("S6YD",A1:CV300,121,FALSE)/HLOOKUP("Shots",A1:CV300,121,FALSE))</f>
        <v>0.14285714285714285</v>
      </c>
      <c r="S121" s="27477">
        <v>0</v>
      </c>
      <c r="T121" s="27478">
        <f>IF(HLOOKUP("Shots",A1:CV300,121,FALSE)=0,0,HLOOKUP("Headers",A1:CV300,121,FALSE)/HLOOKUP("Shots",A1:CV300,121,FALSE))</f>
        <v>0</v>
      </c>
      <c r="U121" s="27479">
        <v>2</v>
      </c>
      <c r="V121" s="27480">
        <f>IF(HLOOKUP("Shots",A1:CV300,121,FALSE)=0,0,HLOOKUP("SOT",A1:CV300,121,FALSE)/HLOOKUP("Shots",A1:CV300,121,FALSE))</f>
        <v>0.2857142857142857</v>
      </c>
      <c r="W121" s="27481">
        <f>IF(HLOOKUP("Shots",A1:CV300,121,FALSE)=0,0,HLOOKUP("Gs",A1:CV300,121,FALSE)/HLOOKUP("Shots",A1:CV300,121,FALSE))</f>
        <v>0.2857142857142857</v>
      </c>
      <c r="X121" s="27482">
        <v>1</v>
      </c>
      <c r="Y121" s="27483">
        <v>1</v>
      </c>
      <c r="Z121" s="27484">
        <v>15</v>
      </c>
      <c r="AA121" s="27485">
        <f>IF(HLOOKUP("KP",A1:CV300,121,FALSE)=0,0,HLOOKUP("As",A1:CV300,121,FALSE)/HLOOKUP("KP",A1:CV300,121,FALSE))</f>
        <v>6.6666666666666666E-2</v>
      </c>
      <c r="AB121" s="27486">
        <v>55.5</v>
      </c>
      <c r="AC121" s="27487">
        <v>38</v>
      </c>
      <c r="AD121" s="27488">
        <v>2</v>
      </c>
      <c r="AE121" s="27489">
        <v>1</v>
      </c>
      <c r="AF121" s="27490">
        <v>0</v>
      </c>
      <c r="AG121" s="27491">
        <f>IF(HLOOKUP("BC",A1:CV300,121,FALSE)=0,0,HLOOKUP("Gs - BC",A1:CV300,121,FALSE)/HLOOKUP("BC",A1:CV300,121,FALSE))</f>
        <v>1</v>
      </c>
      <c r="AH121" s="27492">
        <f>HLOOKUP("BC",A1:CV300,121,FALSE) - HLOOKUP("BC Miss",A1:CV300,121,FALSE)</f>
        <v>1</v>
      </c>
      <c r="AI121" s="27493">
        <f>IF(HLOOKUP("Gs",A1:CV300,121,FALSE)=0,0,HLOOKUP("Gs - BC",A1:CV300,121,FALSE)/HLOOKUP("Gs",A1:CV300,121,FALSE))</f>
        <v>0.5</v>
      </c>
      <c r="AJ121" s="27494">
        <v>0</v>
      </c>
      <c r="AK121" s="27495">
        <v>0</v>
      </c>
      <c r="AL121" s="27496">
        <f>HLOOKUP("BC",A1:CV300,121,FALSE) - (HLOOKUP("PK Gs",A1:CV300,121,FALSE) + HLOOKUP("PK Miss",A1:CV300,121,FALSE))</f>
        <v>1</v>
      </c>
      <c r="AM121" s="27497">
        <f>HLOOKUP("BC Miss",A1:CV300,121,FALSE) - HLOOKUP("PK Miss",A1:CV300,121,FALSE)</f>
        <v>0</v>
      </c>
      <c r="AN121" s="27498">
        <f>IF(HLOOKUP("BC - Open",A1:CV300,121,FALSE)=0,0,HLOOKUP("BC - Open Miss",A1:CV300,121,FALSE)/HLOOKUP("BC - Open",A1:CV300,121,FALSE))</f>
        <v>0</v>
      </c>
      <c r="AO121" s="27499">
        <v>2</v>
      </c>
      <c r="AP121" s="27500">
        <f>IF(HLOOKUP("Gs",A1:CV300,121,FALSE)=0,0,HLOOKUP("GIB",A1:CV300,121,FALSE)/HLOOKUP("Gs",A1:CV300,121,FALSE))</f>
        <v>1</v>
      </c>
      <c r="AQ121" s="27501">
        <v>2</v>
      </c>
      <c r="AR121" s="27502">
        <f>IF(HLOOKUP("Gs",A1:CV300,121,FALSE)=0,0,HLOOKUP("Gs - Open",A1:CV300,121,FALSE)/HLOOKUP("Gs",A1:CV300,121,FALSE))</f>
        <v>1</v>
      </c>
      <c r="AS121" s="27503">
        <v>0.83</v>
      </c>
      <c r="AT121" s="27504">
        <v>1.3</v>
      </c>
      <c r="AU121" s="27505">
        <f>IF(HLOOKUP("Mins",A1:CV300,121,FALSE)=0,0,HLOOKUP("Pts",A1:CV300,121,FALSE)/HLOOKUP("Mins",A1:CV300,121,FALSE)* 90)</f>
        <v>5.1923076923076925</v>
      </c>
      <c r="AV121" s="27506">
        <f>IF(HLOOKUP("Apps",A1:CV300,121,FALSE)=0,0,HLOOKUP("Pts",A1:CV300,121,FALSE)/HLOOKUP("Apps",A1:CV300,121,FALSE)* 1)</f>
        <v>3.2307692307692308</v>
      </c>
      <c r="AW121" s="27507">
        <f>IF(HLOOKUP("Mins",A1:CV300,121,FALSE)=0,0,HLOOKUP("Gs",A1:CV300,121,FALSE)/HLOOKUP("Mins",A1:CV300,121,FALSE)* 90)</f>
        <v>0.24725274725274726</v>
      </c>
      <c r="AX121" s="27508">
        <f>IF(HLOOKUP("Mins",A1:CV300,121,FALSE)=0,0,HLOOKUP("Bonus",A1:CV300,121,FALSE)/HLOOKUP("Mins",A1:CV300,121,FALSE)* 90)</f>
        <v>0.61813186813186816</v>
      </c>
      <c r="AY121" s="27509">
        <f>IF(HLOOKUP("Mins",A1:CV300,121,FALSE)=0,0,HLOOKUP("BPS",A1:CV300,121,FALSE)/HLOOKUP("Mins",A1:CV300,121,FALSE)* 90)</f>
        <v>17.30769230769231</v>
      </c>
      <c r="AZ121" s="27510">
        <f>IF(HLOOKUP("Mins",A1:CV300,121,FALSE)=0,0,HLOOKUP("Base BPS",A1:CV300,121,FALSE)/HLOOKUP("Mins",A1:CV300,121,FALSE)* 90)</f>
        <v>11.744505494505495</v>
      </c>
      <c r="BA121" s="27511">
        <f>IF(HLOOKUP("Mins",A1:CV300,121,FALSE)=0,0,HLOOKUP("PenTchs",A1:CV300,121,FALSE)/HLOOKUP("Mins",A1:CV300,121,FALSE)* 90)</f>
        <v>4.3269230769230775</v>
      </c>
      <c r="BB121" s="27512">
        <f>IF(HLOOKUP("Mins",A1:CV300,121,FALSE)=0,0,HLOOKUP("Shots",A1:CV300,121,FALSE)/HLOOKUP("Mins",A1:CV300,121,FALSE)* 90)</f>
        <v>0.86538461538461542</v>
      </c>
      <c r="BC121" s="27513">
        <f>IF(HLOOKUP("Mins",A1:CV300,121,FALSE)=0,0,HLOOKUP("SIB",A1:CV300,121,FALSE)/HLOOKUP("Mins",A1:CV300,121,FALSE)* 90)</f>
        <v>0.49450549450549453</v>
      </c>
      <c r="BD121" s="27514">
        <f>IF(HLOOKUP("Mins",A1:CV300,121,FALSE)=0,0,HLOOKUP("S6YD",A1:CV300,121,FALSE)/HLOOKUP("Mins",A1:CV300,121,FALSE)* 90)</f>
        <v>0.12362637362637363</v>
      </c>
      <c r="BE121" s="27515">
        <f>IF(HLOOKUP("Mins",A1:CV300,121,FALSE)=0,0,HLOOKUP("Headers",A1:CV300,121,FALSE)/HLOOKUP("Mins",A1:CV300,121,FALSE)* 90)</f>
        <v>0</v>
      </c>
      <c r="BF121" s="27516">
        <f>IF(HLOOKUP("Mins",A1:CV300,121,FALSE)=0,0,HLOOKUP("SOT",A1:CV300,121,FALSE)/HLOOKUP("Mins",A1:CV300,121,FALSE)* 90)</f>
        <v>0.24725274725274726</v>
      </c>
      <c r="BG121" s="27517">
        <f>IF(HLOOKUP("Mins",A1:CV300,121,FALSE)=0,0,HLOOKUP("As",A1:CV300,121,FALSE)/HLOOKUP("Mins",A1:CV300,121,FALSE)* 90)</f>
        <v>0.12362637362637363</v>
      </c>
      <c r="BH121" s="27518">
        <f>IF(HLOOKUP("Mins",A1:CV300,121,FALSE)=0,0,HLOOKUP("FPL As",A1:CV300,121,FALSE)/HLOOKUP("Mins",A1:CV300,121,FALSE)* 90)</f>
        <v>0.12362637362637363</v>
      </c>
      <c r="BI121" s="27519">
        <f>IF(HLOOKUP("Mins",A1:CV300,121,FALSE)=0,0,HLOOKUP("BC Created",A1:CV300,121,FALSE)/HLOOKUP("Mins",A1:CV300,121,FALSE)* 90)</f>
        <v>0.24725274725274726</v>
      </c>
      <c r="BJ121" s="27520">
        <f>IF(HLOOKUP("Mins",A1:CV300,121,FALSE)=0,0,HLOOKUP("KP",A1:CV300,121,FALSE)/HLOOKUP("Mins",A1:CV300,121,FALSE)* 90)</f>
        <v>1.8543956043956045</v>
      </c>
      <c r="BK121" s="27521">
        <f>IF(HLOOKUP("Mins",A1:CV300,121,FALSE)=0,0,HLOOKUP("BC",A1:CV300,121,FALSE)/HLOOKUP("Mins",A1:CV300,121,FALSE)* 90)</f>
        <v>0.12362637362637363</v>
      </c>
      <c r="BL121" s="27522">
        <f>IF(HLOOKUP("Mins",A1:CV300,121,FALSE)=0,0,HLOOKUP("BC Miss",A1:CV300,121,FALSE)/HLOOKUP("Mins",A1:CV300,121,FALSE)* 90)</f>
        <v>0</v>
      </c>
      <c r="BM121" s="27523">
        <f>IF(HLOOKUP("Mins",A1:CV300,121,FALSE)=0,0,HLOOKUP("Gs - BC",A1:CV300,121,FALSE)/HLOOKUP("Mins",A1:CV300,121,FALSE)* 90)</f>
        <v>0.12362637362637363</v>
      </c>
      <c r="BN121" s="27524">
        <f>IF(HLOOKUP("Mins",A1:CV300,121,FALSE)=0,0,HLOOKUP("GIB",A1:CV300,121,FALSE)/HLOOKUP("Mins",A1:CV300,121,FALSE)* 90)</f>
        <v>0.24725274725274726</v>
      </c>
      <c r="BO121" s="27525">
        <f>IF(HLOOKUP("Mins",A1:CV300,121,FALSE)=0,0,HLOOKUP("Gs - Open",A1:CV300,121,FALSE)/HLOOKUP("Mins",A1:CV300,121,FALSE)* 90)</f>
        <v>0.24725274725274726</v>
      </c>
      <c r="BP121" s="27526">
        <f>IF(HLOOKUP("Mins",A1:CV300,121,FALSE)=0,0,HLOOKUP("ICT Index",A1:CV300,121,FALSE)/HLOOKUP("Mins",A1:CV300,121,FALSE)* 90)</f>
        <v>6.8612637362637372</v>
      </c>
      <c r="BQ121" s="27527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  <v>8.357142857142856E-2</v>
      </c>
      <c r="BR121" s="27528">
        <f>0.0885*HLOOKUP("KP/90",A1:CV300,121,FALSE)</f>
        <v>0.16411401098901099</v>
      </c>
      <c r="BS121" s="27529">
        <f>5*HLOOKUP("xG/90",A1:CV300,121,FALSE)+3*HLOOKUP("xA/90",A1:CV300,121,FALSE)</f>
        <v>0.91019917582417575</v>
      </c>
      <c r="BT121" s="27530">
        <f>HLOOKUP("xPts/90",A1:CV300,121,FALSE)-(5*0.75*(HLOOKUP("PK Gs",A1:CV300,121,FALSE)+HLOOKUP("PK Miss",A1:CV300,121,FALSE))*90/HLOOKUP("Mins",A1:CV300,121,FALSE))</f>
        <v>0.91019917582417575</v>
      </c>
      <c r="BU121" s="27531">
        <f>IF(HLOOKUP("Mins",A1:CV300,121,FALSE)=0,0,HLOOKUP("fsXG",A1:CV300,121,FALSE)/HLOOKUP("Mins",A1:CV300,121,FALSE)* 90)</f>
        <v>0.10260989010989011</v>
      </c>
      <c r="BV121" s="27532">
        <f>IF(HLOOKUP("Mins",A1:CV300,121,FALSE)=0,0,HLOOKUP("fsXA",A1:CV300,121,FALSE)/HLOOKUP("Mins",A1:CV300,121,FALSE)* 90)</f>
        <v>0.16071428571428573</v>
      </c>
      <c r="BW121" s="27533">
        <f>5*HLOOKUP("fsXG/90",A1:CV300,121,FALSE)+3*HLOOKUP("fsXA/90",A1:CV300,121,FALSE)</f>
        <v>0.99519230769230771</v>
      </c>
      <c r="BX121" s="27534">
        <v>9.4887271523475647E-2</v>
      </c>
      <c r="BY121" s="27535">
        <v>0.12635967135429382</v>
      </c>
      <c r="BZ121" s="27536">
        <f>5*HLOOKUP("uXG/90",A1:CV300,121,FALSE)+3*HLOOKUP("uXA/90",A1:CV300,121,FALSE)</f>
        <v>0.8535153716802597</v>
      </c>
    </row>
    <row r="122" spans="1:78" x14ac:dyDescent="0.3">
      <c r="A122" s="27537" t="s">
        <v>449</v>
      </c>
      <c r="B122" s="27538" t="s">
        <v>98</v>
      </c>
      <c r="C122" s="27539">
        <v>6.1999998092651367</v>
      </c>
      <c r="D122" s="27540">
        <v>1701</v>
      </c>
      <c r="E122" s="27541">
        <v>20</v>
      </c>
      <c r="F122" s="27542">
        <v>52</v>
      </c>
      <c r="G122" s="27543">
        <v>2</v>
      </c>
      <c r="H122" s="27544">
        <v>2</v>
      </c>
      <c r="I122" s="27545">
        <v>201</v>
      </c>
      <c r="J122" s="27546">
        <f>HLOOKUP("BPS",A1:CV300,122,FALSE)-((-6*HLOOKUP("OG",A1:CV300,122,FALSE))+(-6*HLOOKUP("PK Miss",A1:CV300,122,FALSE))+(9*HLOOKUP("FPL As",A1:CV300,122,FALSE))+(0*HLOOKUP("CS",A1:CV300,122,FALSE))+(18*HLOOKUP("Gs",A1:CV300,122,FALSE)))</f>
        <v>165</v>
      </c>
      <c r="K122" s="27547">
        <v>0</v>
      </c>
      <c r="L122" s="27548">
        <v>3</v>
      </c>
      <c r="M122" s="27549">
        <v>76</v>
      </c>
      <c r="N122" s="27550">
        <v>36</v>
      </c>
      <c r="O122" s="27551">
        <v>24</v>
      </c>
      <c r="P122" s="27552">
        <f>IF(HLOOKUP("Shots",A1:CV300,122,FALSE)=0,0,HLOOKUP("SIB",A1:CV300,122,FALSE)/HLOOKUP("Shots",A1:CV300,122,FALSE))</f>
        <v>0.66666666666666663</v>
      </c>
      <c r="Q122" s="27553">
        <v>2</v>
      </c>
      <c r="R122" s="27554">
        <f>IF(HLOOKUP("Shots",A1:CV300,122,FALSE)=0,0,HLOOKUP("S6YD",A1:CV300,122,FALSE)/HLOOKUP("Shots",A1:CV300,122,FALSE))</f>
        <v>5.5555555555555552E-2</v>
      </c>
      <c r="S122" s="27555">
        <v>0</v>
      </c>
      <c r="T122" s="27556">
        <f>IF(HLOOKUP("Shots",A1:CV300,122,FALSE)=0,0,HLOOKUP("Headers",A1:CV300,122,FALSE)/HLOOKUP("Shots",A1:CV300,122,FALSE))</f>
        <v>0</v>
      </c>
      <c r="U122" s="27557">
        <v>12</v>
      </c>
      <c r="V122" s="27558">
        <f>IF(HLOOKUP("Shots",A1:CV300,122,FALSE)=0,0,HLOOKUP("SOT",A1:CV300,122,FALSE)/HLOOKUP("Shots",A1:CV300,122,FALSE))</f>
        <v>0.33333333333333331</v>
      </c>
      <c r="W122" s="27559">
        <f>IF(HLOOKUP("Shots",A1:CV300,122,FALSE)=0,0,HLOOKUP("Gs",A1:CV300,122,FALSE)/HLOOKUP("Shots",A1:CV300,122,FALSE))</f>
        <v>5.5555555555555552E-2</v>
      </c>
      <c r="X122" s="27560">
        <v>0</v>
      </c>
      <c r="Y122" s="27561">
        <v>0</v>
      </c>
      <c r="Z122" s="27562">
        <v>21</v>
      </c>
      <c r="AA122" s="27563">
        <f>IF(HLOOKUP("KP",A1:CV300,122,FALSE)=0,0,HLOOKUP("As",A1:CV300,122,FALSE)/HLOOKUP("KP",A1:CV300,122,FALSE))</f>
        <v>0</v>
      </c>
      <c r="AB122" s="27564">
        <v>102.1</v>
      </c>
      <c r="AC122" s="27565">
        <v>9</v>
      </c>
      <c r="AD122" s="27566">
        <v>3</v>
      </c>
      <c r="AE122" s="27567">
        <v>4</v>
      </c>
      <c r="AF122" s="27568">
        <v>2</v>
      </c>
      <c r="AG122" s="27569">
        <f>IF(HLOOKUP("BC",A1:CV300,122,FALSE)=0,0,HLOOKUP("Gs - BC",A1:CV300,122,FALSE)/HLOOKUP("BC",A1:CV300,122,FALSE))</f>
        <v>0.5</v>
      </c>
      <c r="AH122" s="27570">
        <f>HLOOKUP("BC",A1:CV300,122,FALSE) - HLOOKUP("BC Miss",A1:CV300,122,FALSE)</f>
        <v>2</v>
      </c>
      <c r="AI122" s="27571">
        <f>IF(HLOOKUP("Gs",A1:CV300,122,FALSE)=0,0,HLOOKUP("Gs - BC",A1:CV300,122,FALSE)/HLOOKUP("Gs",A1:CV300,122,FALSE))</f>
        <v>1</v>
      </c>
      <c r="AJ122" s="27572">
        <v>0</v>
      </c>
      <c r="AK122" s="27573">
        <v>0</v>
      </c>
      <c r="AL122" s="27574">
        <f>HLOOKUP("BC",A1:CV300,122,FALSE) - (HLOOKUP("PK Gs",A1:CV300,122,FALSE) + HLOOKUP("PK Miss",A1:CV300,122,FALSE))</f>
        <v>4</v>
      </c>
      <c r="AM122" s="27575">
        <f>HLOOKUP("BC Miss",A1:CV300,122,FALSE) - HLOOKUP("PK Miss",A1:CV300,122,FALSE)</f>
        <v>2</v>
      </c>
      <c r="AN122" s="27576">
        <f>IF(HLOOKUP("BC - Open",A1:CV300,122,FALSE)=0,0,HLOOKUP("BC - Open Miss",A1:CV300,122,FALSE)/HLOOKUP("BC - Open",A1:CV300,122,FALSE))</f>
        <v>0.5</v>
      </c>
      <c r="AO122" s="27577">
        <v>2</v>
      </c>
      <c r="AP122" s="27578">
        <f>IF(HLOOKUP("Gs",A1:CV300,122,FALSE)=0,0,HLOOKUP("GIB",A1:CV300,122,FALSE)/HLOOKUP("Gs",A1:CV300,122,FALSE))</f>
        <v>1</v>
      </c>
      <c r="AQ122" s="27579">
        <v>2</v>
      </c>
      <c r="AR122" s="27580">
        <f>IF(HLOOKUP("Gs",A1:CV300,122,FALSE)=0,0,HLOOKUP("Gs - Open",A1:CV300,122,FALSE)/HLOOKUP("Gs",A1:CV300,122,FALSE))</f>
        <v>1</v>
      </c>
      <c r="AS122" s="27581">
        <v>3.71</v>
      </c>
      <c r="AT122" s="27582">
        <v>1.35</v>
      </c>
      <c r="AU122" s="27583">
        <f>IF(HLOOKUP("Mins",A1:CV300,122,FALSE)=0,0,HLOOKUP("Pts",A1:CV300,122,FALSE)/HLOOKUP("Mins",A1:CV300,122,FALSE)* 90)</f>
        <v>2.7513227513227512</v>
      </c>
      <c r="AV122" s="27584">
        <f>IF(HLOOKUP("Apps",A1:CV300,122,FALSE)=0,0,HLOOKUP("Pts",A1:CV300,122,FALSE)/HLOOKUP("Apps",A1:CV300,122,FALSE)* 1)</f>
        <v>2.6</v>
      </c>
      <c r="AW122" s="27585">
        <f>IF(HLOOKUP("Mins",A1:CV300,122,FALSE)=0,0,HLOOKUP("Gs",A1:CV300,122,FALSE)/HLOOKUP("Mins",A1:CV300,122,FALSE)* 90)</f>
        <v>0.10582010582010581</v>
      </c>
      <c r="AX122" s="27586">
        <f>IF(HLOOKUP("Mins",A1:CV300,122,FALSE)=0,0,HLOOKUP("Bonus",A1:CV300,122,FALSE)/HLOOKUP("Mins",A1:CV300,122,FALSE)* 90)</f>
        <v>0.10582010582010581</v>
      </c>
      <c r="AY122" s="27587">
        <f>IF(HLOOKUP("Mins",A1:CV300,122,FALSE)=0,0,HLOOKUP("BPS",A1:CV300,122,FALSE)/HLOOKUP("Mins",A1:CV300,122,FALSE)* 90)</f>
        <v>10.634920634920634</v>
      </c>
      <c r="AZ122" s="27588">
        <f>IF(HLOOKUP("Mins",A1:CV300,122,FALSE)=0,0,HLOOKUP("Base BPS",A1:CV300,122,FALSE)/HLOOKUP("Mins",A1:CV300,122,FALSE)* 90)</f>
        <v>8.7301587301587293</v>
      </c>
      <c r="BA122" s="27589">
        <f>IF(HLOOKUP("Mins",A1:CV300,122,FALSE)=0,0,HLOOKUP("PenTchs",A1:CV300,122,FALSE)/HLOOKUP("Mins",A1:CV300,122,FALSE)* 90)</f>
        <v>4.0211640211640214</v>
      </c>
      <c r="BB122" s="27590">
        <f>IF(HLOOKUP("Mins",A1:CV300,122,FALSE)=0,0,HLOOKUP("Shots",A1:CV300,122,FALSE)/HLOOKUP("Mins",A1:CV300,122,FALSE)* 90)</f>
        <v>1.9047619047619047</v>
      </c>
      <c r="BC122" s="27591">
        <f>IF(HLOOKUP("Mins",A1:CV300,122,FALSE)=0,0,HLOOKUP("SIB",A1:CV300,122,FALSE)/HLOOKUP("Mins",A1:CV300,122,FALSE)* 90)</f>
        <v>1.2698412698412698</v>
      </c>
      <c r="BD122" s="27592">
        <f>IF(HLOOKUP("Mins",A1:CV300,122,FALSE)=0,0,HLOOKUP("S6YD",A1:CV300,122,FALSE)/HLOOKUP("Mins",A1:CV300,122,FALSE)* 90)</f>
        <v>0.10582010582010581</v>
      </c>
      <c r="BE122" s="27593">
        <f>IF(HLOOKUP("Mins",A1:CV300,122,FALSE)=0,0,HLOOKUP("Headers",A1:CV300,122,FALSE)/HLOOKUP("Mins",A1:CV300,122,FALSE)* 90)</f>
        <v>0</v>
      </c>
      <c r="BF122" s="27594">
        <f>IF(HLOOKUP("Mins",A1:CV300,122,FALSE)=0,0,HLOOKUP("SOT",A1:CV300,122,FALSE)/HLOOKUP("Mins",A1:CV300,122,FALSE)* 90)</f>
        <v>0.63492063492063489</v>
      </c>
      <c r="BG122" s="27595">
        <f>IF(HLOOKUP("Mins",A1:CV300,122,FALSE)=0,0,HLOOKUP("As",A1:CV300,122,FALSE)/HLOOKUP("Mins",A1:CV300,122,FALSE)* 90)</f>
        <v>0</v>
      </c>
      <c r="BH122" s="27596">
        <f>IF(HLOOKUP("Mins",A1:CV300,122,FALSE)=0,0,HLOOKUP("FPL As",A1:CV300,122,FALSE)/HLOOKUP("Mins",A1:CV300,122,FALSE)* 90)</f>
        <v>0</v>
      </c>
      <c r="BI122" s="27597">
        <f>IF(HLOOKUP("Mins",A1:CV300,122,FALSE)=0,0,HLOOKUP("BC Created",A1:CV300,122,FALSE)/HLOOKUP("Mins",A1:CV300,122,FALSE)* 90)</f>
        <v>0.15873015873015872</v>
      </c>
      <c r="BJ122" s="27598">
        <f>IF(HLOOKUP("Mins",A1:CV300,122,FALSE)=0,0,HLOOKUP("KP",A1:CV300,122,FALSE)/HLOOKUP("Mins",A1:CV300,122,FALSE)* 90)</f>
        <v>1.1111111111111112</v>
      </c>
      <c r="BK122" s="27599">
        <f>IF(HLOOKUP("Mins",A1:CV300,122,FALSE)=0,0,HLOOKUP("BC",A1:CV300,122,FALSE)/HLOOKUP("Mins",A1:CV300,122,FALSE)* 90)</f>
        <v>0.21164021164021163</v>
      </c>
      <c r="BL122" s="27600">
        <f>IF(HLOOKUP("Mins",A1:CV300,122,FALSE)=0,0,HLOOKUP("BC Miss",A1:CV300,122,FALSE)/HLOOKUP("Mins",A1:CV300,122,FALSE)* 90)</f>
        <v>0.10582010582010581</v>
      </c>
      <c r="BM122" s="27601">
        <f>IF(HLOOKUP("Mins",A1:CV300,122,FALSE)=0,0,HLOOKUP("Gs - BC",A1:CV300,122,FALSE)/HLOOKUP("Mins",A1:CV300,122,FALSE)* 90)</f>
        <v>0.10582010582010581</v>
      </c>
      <c r="BN122" s="27602">
        <f>IF(HLOOKUP("Mins",A1:CV300,122,FALSE)=0,0,HLOOKUP("GIB",A1:CV300,122,FALSE)/HLOOKUP("Mins",A1:CV300,122,FALSE)* 90)</f>
        <v>0.10582010582010581</v>
      </c>
      <c r="BO122" s="27603">
        <f>IF(HLOOKUP("Mins",A1:CV300,122,FALSE)=0,0,HLOOKUP("Gs - Open",A1:CV300,122,FALSE)/HLOOKUP("Mins",A1:CV300,122,FALSE)* 90)</f>
        <v>0.10582010582010581</v>
      </c>
      <c r="BP122" s="27604">
        <f>IF(HLOOKUP("Mins",A1:CV300,122,FALSE)=0,0,HLOOKUP("ICT Index",A1:CV300,122,FALSE)/HLOOKUP("Mins",A1:CV300,122,FALSE)* 90)</f>
        <v>5.4021164021164019</v>
      </c>
      <c r="BQ122" s="27605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  <v>0.20317460317460315</v>
      </c>
      <c r="BR122" s="27606">
        <f>0.0885*HLOOKUP("KP/90",A1:CV300,122,FALSE)</f>
        <v>9.8333333333333328E-2</v>
      </c>
      <c r="BS122" s="27607">
        <f>5*HLOOKUP("xG/90",A1:CV300,122,FALSE)+3*HLOOKUP("xA/90",A1:CV300,122,FALSE)</f>
        <v>1.3108730158730157</v>
      </c>
      <c r="BT122" s="27608">
        <f>HLOOKUP("xPts/90",A1:CV300,122,FALSE)-(5*0.75*(HLOOKUP("PK Gs",A1:CV300,122,FALSE)+HLOOKUP("PK Miss",A1:CV300,122,FALSE))*90/HLOOKUP("Mins",A1:CV300,122,FALSE))</f>
        <v>1.3108730158730157</v>
      </c>
      <c r="BU122" s="27609">
        <f>IF(HLOOKUP("Mins",A1:CV300,122,FALSE)=0,0,HLOOKUP("fsXG",A1:CV300,122,FALSE)/HLOOKUP("Mins",A1:CV300,122,FALSE)* 90)</f>
        <v>0.1962962962962963</v>
      </c>
      <c r="BV122" s="27610">
        <f>IF(HLOOKUP("Mins",A1:CV300,122,FALSE)=0,0,HLOOKUP("fsXA",A1:CV300,122,FALSE)/HLOOKUP("Mins",A1:CV300,122,FALSE)* 90)</f>
        <v>7.1428571428571425E-2</v>
      </c>
      <c r="BW122" s="27611">
        <f>5*HLOOKUP("fsXG/90",A1:CV300,122,FALSE)+3*HLOOKUP("fsXA/90",A1:CV300,122,FALSE)</f>
        <v>1.1957671957671958</v>
      </c>
      <c r="BX122" s="27612">
        <v>0.19843961298465729</v>
      </c>
      <c r="BY122" s="27613">
        <v>0.10055994242429733</v>
      </c>
      <c r="BZ122" s="27614">
        <f>5*HLOOKUP("uXG/90",A1:CV300,122,FALSE)+3*HLOOKUP("uXA/90",A1:CV300,122,FALSE)</f>
        <v>1.2938778921961784</v>
      </c>
    </row>
    <row r="123" spans="1:78" x14ac:dyDescent="0.3">
      <c r="A123" s="27615" t="s">
        <v>450</v>
      </c>
      <c r="B123" s="27616" t="s">
        <v>98</v>
      </c>
      <c r="C123" s="27617">
        <v>5.1999998092651367</v>
      </c>
      <c r="D123" s="27618">
        <v>656</v>
      </c>
      <c r="E123" s="27619">
        <v>13</v>
      </c>
      <c r="F123" s="27620">
        <v>32</v>
      </c>
      <c r="G123" s="27621">
        <v>2</v>
      </c>
      <c r="H123" s="27622">
        <v>3</v>
      </c>
      <c r="I123" s="27623">
        <v>119</v>
      </c>
      <c r="J123" s="27624">
        <f>HLOOKUP("BPS",A1:CV300,123,FALSE)-((-6*HLOOKUP("OG",A1:CV300,123,FALSE))+(-6*HLOOKUP("PK Miss",A1:CV300,123,FALSE))+(9*HLOOKUP("FPL As",A1:CV300,123,FALSE))+(0*HLOOKUP("CS",A1:CV300,123,FALSE))+(18*HLOOKUP("Gs",A1:CV300,123,FALSE)))</f>
        <v>74</v>
      </c>
      <c r="K123" s="27625">
        <v>0</v>
      </c>
      <c r="L123" s="27626">
        <v>1</v>
      </c>
      <c r="M123" s="27627">
        <v>32</v>
      </c>
      <c r="N123" s="27628">
        <v>14</v>
      </c>
      <c r="O123" s="27629">
        <v>7</v>
      </c>
      <c r="P123" s="27630">
        <f>IF(HLOOKUP("Shots",A1:CV300,123,FALSE)=0,0,HLOOKUP("SIB",A1:CV300,123,FALSE)/HLOOKUP("Shots",A1:CV300,123,FALSE))</f>
        <v>0.5</v>
      </c>
      <c r="Q123" s="27631">
        <v>1</v>
      </c>
      <c r="R123" s="27632">
        <f>IF(HLOOKUP("Shots",A1:CV300,123,FALSE)=0,0,HLOOKUP("S6YD",A1:CV300,123,FALSE)/HLOOKUP("Shots",A1:CV300,123,FALSE))</f>
        <v>7.1428571428571425E-2</v>
      </c>
      <c r="S123" s="27633">
        <v>1</v>
      </c>
      <c r="T123" s="27634">
        <f>IF(HLOOKUP("Shots",A1:CV300,123,FALSE)=0,0,HLOOKUP("Headers",A1:CV300,123,FALSE)/HLOOKUP("Shots",A1:CV300,123,FALSE))</f>
        <v>7.1428571428571425E-2</v>
      </c>
      <c r="U123" s="27635">
        <v>4</v>
      </c>
      <c r="V123" s="27636">
        <f>IF(HLOOKUP("Shots",A1:CV300,123,FALSE)=0,0,HLOOKUP("SOT",A1:CV300,123,FALSE)/HLOOKUP("Shots",A1:CV300,123,FALSE))</f>
        <v>0.2857142857142857</v>
      </c>
      <c r="W123" s="27637">
        <f>IF(HLOOKUP("Shots",A1:CV300,123,FALSE)=0,0,HLOOKUP("Gs",A1:CV300,123,FALSE)/HLOOKUP("Shots",A1:CV300,123,FALSE))</f>
        <v>0.14285714285714285</v>
      </c>
      <c r="X123" s="27638">
        <v>1</v>
      </c>
      <c r="Y123" s="27639">
        <v>1</v>
      </c>
      <c r="Z123" s="27640">
        <v>6</v>
      </c>
      <c r="AA123" s="27641">
        <f>IF(HLOOKUP("KP",A1:CV300,123,FALSE)=0,0,HLOOKUP("As",A1:CV300,123,FALSE)/HLOOKUP("KP",A1:CV300,123,FALSE))</f>
        <v>0.16666666666666666</v>
      </c>
      <c r="AB123" s="27642">
        <v>42.1</v>
      </c>
      <c r="AC123" s="27643">
        <v>23</v>
      </c>
      <c r="AD123" s="27644">
        <v>2</v>
      </c>
      <c r="AE123" s="27645">
        <v>3</v>
      </c>
      <c r="AF123" s="27646">
        <v>2</v>
      </c>
      <c r="AG123" s="27647">
        <f>IF(HLOOKUP("BC",A1:CV300,123,FALSE)=0,0,HLOOKUP("Gs - BC",A1:CV300,123,FALSE)/HLOOKUP("BC",A1:CV300,123,FALSE))</f>
        <v>0.33333333333333331</v>
      </c>
      <c r="AH123" s="27648">
        <f>HLOOKUP("BC",A1:CV300,123,FALSE) - HLOOKUP("BC Miss",A1:CV300,123,FALSE)</f>
        <v>1</v>
      </c>
      <c r="AI123" s="27649">
        <f>IF(HLOOKUP("Gs",A1:CV300,123,FALSE)=0,0,HLOOKUP("Gs - BC",A1:CV300,123,FALSE)/HLOOKUP("Gs",A1:CV300,123,FALSE))</f>
        <v>0.5</v>
      </c>
      <c r="AJ123" s="27650">
        <v>0</v>
      </c>
      <c r="AK123" s="27651">
        <v>0</v>
      </c>
      <c r="AL123" s="27652">
        <f>HLOOKUP("BC",A1:CV300,123,FALSE) - (HLOOKUP("PK Gs",A1:CV300,123,FALSE) + HLOOKUP("PK Miss",A1:CV300,123,FALSE))</f>
        <v>3</v>
      </c>
      <c r="AM123" s="27653">
        <f>HLOOKUP("BC Miss",A1:CV300,123,FALSE) - HLOOKUP("PK Miss",A1:CV300,123,FALSE)</f>
        <v>2</v>
      </c>
      <c r="AN123" s="27654">
        <f>IF(HLOOKUP("BC - Open",A1:CV300,123,FALSE)=0,0,HLOOKUP("BC - Open Miss",A1:CV300,123,FALSE)/HLOOKUP("BC - Open",A1:CV300,123,FALSE))</f>
        <v>0.66666666666666663</v>
      </c>
      <c r="AO123" s="27655">
        <v>1</v>
      </c>
      <c r="AP123" s="27656">
        <f>IF(HLOOKUP("Gs",A1:CV300,123,FALSE)=0,0,HLOOKUP("GIB",A1:CV300,123,FALSE)/HLOOKUP("Gs",A1:CV300,123,FALSE))</f>
        <v>0.5</v>
      </c>
      <c r="AQ123" s="27657">
        <v>2</v>
      </c>
      <c r="AR123" s="27658">
        <f>IF(HLOOKUP("Gs",A1:CV300,123,FALSE)=0,0,HLOOKUP("Gs - Open",A1:CV300,123,FALSE)/HLOOKUP("Gs",A1:CV300,123,FALSE))</f>
        <v>1</v>
      </c>
      <c r="AS123" s="27659">
        <v>1.87</v>
      </c>
      <c r="AT123" s="27660">
        <v>0.93</v>
      </c>
      <c r="AU123" s="27661">
        <f>IF(HLOOKUP("Mins",A1:CV300,123,FALSE)=0,0,HLOOKUP("Pts",A1:CV300,123,FALSE)/HLOOKUP("Mins",A1:CV300,123,FALSE)* 90)</f>
        <v>4.3902439024390247</v>
      </c>
      <c r="AV123" s="27662">
        <f>IF(HLOOKUP("Apps",A1:CV300,123,FALSE)=0,0,HLOOKUP("Pts",A1:CV300,123,FALSE)/HLOOKUP("Apps",A1:CV300,123,FALSE)* 1)</f>
        <v>2.4615384615384617</v>
      </c>
      <c r="AW123" s="27663">
        <f>IF(HLOOKUP("Mins",A1:CV300,123,FALSE)=0,0,HLOOKUP("Gs",A1:CV300,123,FALSE)/HLOOKUP("Mins",A1:CV300,123,FALSE)* 90)</f>
        <v>0.27439024390243905</v>
      </c>
      <c r="AX123" s="27664">
        <f>IF(HLOOKUP("Mins",A1:CV300,123,FALSE)=0,0,HLOOKUP("Bonus",A1:CV300,123,FALSE)/HLOOKUP("Mins",A1:CV300,123,FALSE)* 90)</f>
        <v>0.41158536585365851</v>
      </c>
      <c r="AY123" s="27665">
        <f>IF(HLOOKUP("Mins",A1:CV300,123,FALSE)=0,0,HLOOKUP("BPS",A1:CV300,123,FALSE)/HLOOKUP("Mins",A1:CV300,123,FALSE)* 90)</f>
        <v>16.32621951219512</v>
      </c>
      <c r="AZ123" s="27666">
        <f>IF(HLOOKUP("Mins",A1:CV300,123,FALSE)=0,0,HLOOKUP("Base BPS",A1:CV300,123,FALSE)/HLOOKUP("Mins",A1:CV300,123,FALSE)* 90)</f>
        <v>10.152439024390244</v>
      </c>
      <c r="BA123" s="27667">
        <f>IF(HLOOKUP("Mins",A1:CV300,123,FALSE)=0,0,HLOOKUP("PenTchs",A1:CV300,123,FALSE)/HLOOKUP("Mins",A1:CV300,123,FALSE)* 90)</f>
        <v>4.3902439024390247</v>
      </c>
      <c r="BB123" s="27668">
        <f>IF(HLOOKUP("Mins",A1:CV300,123,FALSE)=0,0,HLOOKUP("Shots",A1:CV300,123,FALSE)/HLOOKUP("Mins",A1:CV300,123,FALSE)* 90)</f>
        <v>1.9207317073170733</v>
      </c>
      <c r="BC123" s="27669">
        <f>IF(HLOOKUP("Mins",A1:CV300,123,FALSE)=0,0,HLOOKUP("SIB",A1:CV300,123,FALSE)/HLOOKUP("Mins",A1:CV300,123,FALSE)* 90)</f>
        <v>0.96036585365853666</v>
      </c>
      <c r="BD123" s="27670">
        <f>IF(HLOOKUP("Mins",A1:CV300,123,FALSE)=0,0,HLOOKUP("S6YD",A1:CV300,123,FALSE)/HLOOKUP("Mins",A1:CV300,123,FALSE)* 90)</f>
        <v>0.13719512195121952</v>
      </c>
      <c r="BE123" s="27671">
        <f>IF(HLOOKUP("Mins",A1:CV300,123,FALSE)=0,0,HLOOKUP("Headers",A1:CV300,123,FALSE)/HLOOKUP("Mins",A1:CV300,123,FALSE)* 90)</f>
        <v>0.13719512195121952</v>
      </c>
      <c r="BF123" s="27672">
        <f>IF(HLOOKUP("Mins",A1:CV300,123,FALSE)=0,0,HLOOKUP("SOT",A1:CV300,123,FALSE)/HLOOKUP("Mins",A1:CV300,123,FALSE)* 90)</f>
        <v>0.54878048780487809</v>
      </c>
      <c r="BG123" s="27673">
        <f>IF(HLOOKUP("Mins",A1:CV300,123,FALSE)=0,0,HLOOKUP("As",A1:CV300,123,FALSE)/HLOOKUP("Mins",A1:CV300,123,FALSE)* 90)</f>
        <v>0.13719512195121952</v>
      </c>
      <c r="BH123" s="27674">
        <f>IF(HLOOKUP("Mins",A1:CV300,123,FALSE)=0,0,HLOOKUP("FPL As",A1:CV300,123,FALSE)/HLOOKUP("Mins",A1:CV300,123,FALSE)* 90)</f>
        <v>0.13719512195121952</v>
      </c>
      <c r="BI123" s="27675">
        <f>IF(HLOOKUP("Mins",A1:CV300,123,FALSE)=0,0,HLOOKUP("BC Created",A1:CV300,123,FALSE)/HLOOKUP("Mins",A1:CV300,123,FALSE)* 90)</f>
        <v>0.27439024390243905</v>
      </c>
      <c r="BJ123" s="27676">
        <f>IF(HLOOKUP("Mins",A1:CV300,123,FALSE)=0,0,HLOOKUP("KP",A1:CV300,123,FALSE)/HLOOKUP("Mins",A1:CV300,123,FALSE)* 90)</f>
        <v>0.82317073170731703</v>
      </c>
      <c r="BK123" s="27677">
        <f>IF(HLOOKUP("Mins",A1:CV300,123,FALSE)=0,0,HLOOKUP("BC",A1:CV300,123,FALSE)/HLOOKUP("Mins",A1:CV300,123,FALSE)* 90)</f>
        <v>0.41158536585365851</v>
      </c>
      <c r="BL123" s="27678">
        <f>IF(HLOOKUP("Mins",A1:CV300,123,FALSE)=0,0,HLOOKUP("BC Miss",A1:CV300,123,FALSE)/HLOOKUP("Mins",A1:CV300,123,FALSE)* 90)</f>
        <v>0.27439024390243905</v>
      </c>
      <c r="BM123" s="27679">
        <f>IF(HLOOKUP("Mins",A1:CV300,123,FALSE)=0,0,HLOOKUP("Gs - BC",A1:CV300,123,FALSE)/HLOOKUP("Mins",A1:CV300,123,FALSE)* 90)</f>
        <v>0.13719512195121952</v>
      </c>
      <c r="BN123" s="27680">
        <f>IF(HLOOKUP("Mins",A1:CV300,123,FALSE)=0,0,HLOOKUP("GIB",A1:CV300,123,FALSE)/HLOOKUP("Mins",A1:CV300,123,FALSE)* 90)</f>
        <v>0.13719512195121952</v>
      </c>
      <c r="BO123" s="27681">
        <f>IF(HLOOKUP("Mins",A1:CV300,123,FALSE)=0,0,HLOOKUP("Gs - Open",A1:CV300,123,FALSE)/HLOOKUP("Mins",A1:CV300,123,FALSE)* 90)</f>
        <v>0.27439024390243905</v>
      </c>
      <c r="BP123" s="27682">
        <f>IF(HLOOKUP("Mins",A1:CV300,123,FALSE)=0,0,HLOOKUP("ICT Index",A1:CV300,123,FALSE)/HLOOKUP("Mins",A1:CV300,123,FALSE)* 90)</f>
        <v>5.7759146341463419</v>
      </c>
      <c r="BQ123" s="27683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  <v>0.1709451219512195</v>
      </c>
      <c r="BR123" s="27684">
        <f>0.0885*HLOOKUP("KP/90",A1:CV300,123,FALSE)</f>
        <v>7.2850609756097556E-2</v>
      </c>
      <c r="BS123" s="27685">
        <f>5*HLOOKUP("xG/90",A1:CV300,123,FALSE)+3*HLOOKUP("xA/90",A1:CV300,123,FALSE)</f>
        <v>1.0732774390243902</v>
      </c>
      <c r="BT123" s="27686">
        <f>HLOOKUP("xPts/90",A1:CV300,123,FALSE)-(5*0.75*(HLOOKUP("PK Gs",A1:CV300,123,FALSE)+HLOOKUP("PK Miss",A1:CV300,123,FALSE))*90/HLOOKUP("Mins",A1:CV300,123,FALSE))</f>
        <v>1.0732774390243902</v>
      </c>
      <c r="BU123" s="27687">
        <f>IF(HLOOKUP("Mins",A1:CV300,123,FALSE)=0,0,HLOOKUP("fsXG",A1:CV300,123,FALSE)/HLOOKUP("Mins",A1:CV300,123,FALSE)* 90)</f>
        <v>0.25655487804878052</v>
      </c>
      <c r="BV123" s="27688">
        <f>IF(HLOOKUP("Mins",A1:CV300,123,FALSE)=0,0,HLOOKUP("fsXA",A1:CV300,123,FALSE)/HLOOKUP("Mins",A1:CV300,123,FALSE)* 90)</f>
        <v>0.12759146341463415</v>
      </c>
      <c r="BW123" s="27689">
        <f>5*HLOOKUP("fsXG/90",A1:CV300,123,FALSE)+3*HLOOKUP("fsXA/90",A1:CV300,123,FALSE)</f>
        <v>1.6655487804878051</v>
      </c>
      <c r="BX123" s="27690">
        <v>0.23842041194438934</v>
      </c>
      <c r="BY123" s="27691">
        <v>0.20425237715244293</v>
      </c>
      <c r="BZ123" s="27692">
        <f>5*HLOOKUP("uXG/90",A1:CV300,123,FALSE)+3*HLOOKUP("uXA/90",A1:CV300,123,FALSE)</f>
        <v>1.8048591911792755</v>
      </c>
    </row>
    <row r="124" spans="1:78" x14ac:dyDescent="0.3">
      <c r="A124" s="27693" t="s">
        <v>451</v>
      </c>
      <c r="B124" s="27694" t="s">
        <v>98</v>
      </c>
      <c r="C124" s="27695">
        <v>4.8000001907348633</v>
      </c>
      <c r="D124" s="27696">
        <v>1817</v>
      </c>
      <c r="E124" s="27697">
        <v>21</v>
      </c>
      <c r="F124" s="27698">
        <v>50</v>
      </c>
      <c r="G124" s="27699">
        <v>0</v>
      </c>
      <c r="H124" s="27700">
        <v>1</v>
      </c>
      <c r="I124" s="27701">
        <v>266</v>
      </c>
      <c r="J124" s="27702">
        <f>HLOOKUP("BPS",A1:CV300,124,FALSE)-((-6*HLOOKUP("OG",A1:CV300,124,FALSE))+(-6*HLOOKUP("PK Miss",A1:CV300,124,FALSE))+(9*HLOOKUP("FPL As",A1:CV300,124,FALSE))+(0*HLOOKUP("CS",A1:CV300,124,FALSE))+(18*HLOOKUP("Gs",A1:CV300,124,FALSE)))</f>
        <v>239</v>
      </c>
      <c r="K124" s="27703">
        <v>0</v>
      </c>
      <c r="L124" s="27704">
        <v>4</v>
      </c>
      <c r="M124" s="27705">
        <v>23</v>
      </c>
      <c r="N124" s="27706">
        <v>30</v>
      </c>
      <c r="O124" s="27707">
        <v>9</v>
      </c>
      <c r="P124" s="27708">
        <f>IF(HLOOKUP("Shots",A1:CV300,124,FALSE)=0,0,HLOOKUP("SIB",A1:CV300,124,FALSE)/HLOOKUP("Shots",A1:CV300,124,FALSE))</f>
        <v>0.3</v>
      </c>
      <c r="Q124" s="27709">
        <v>2</v>
      </c>
      <c r="R124" s="27710">
        <f>IF(HLOOKUP("Shots",A1:CV300,124,FALSE)=0,0,HLOOKUP("S6YD",A1:CV300,124,FALSE)/HLOOKUP("Shots",A1:CV300,124,FALSE))</f>
        <v>6.6666666666666666E-2</v>
      </c>
      <c r="S124" s="27711">
        <v>3</v>
      </c>
      <c r="T124" s="27712">
        <f>IF(HLOOKUP("Shots",A1:CV300,124,FALSE)=0,0,HLOOKUP("Headers",A1:CV300,124,FALSE)/HLOOKUP("Shots",A1:CV300,124,FALSE))</f>
        <v>0.1</v>
      </c>
      <c r="U124" s="27713">
        <v>6</v>
      </c>
      <c r="V124" s="27714">
        <f>IF(HLOOKUP("Shots",A1:CV300,124,FALSE)=0,0,HLOOKUP("SOT",A1:CV300,124,FALSE)/HLOOKUP("Shots",A1:CV300,124,FALSE))</f>
        <v>0.2</v>
      </c>
      <c r="W124" s="27715">
        <f>IF(HLOOKUP("Shots",A1:CV300,124,FALSE)=0,0,HLOOKUP("Gs",A1:CV300,124,FALSE)/HLOOKUP("Shots",A1:CV300,124,FALSE))</f>
        <v>0</v>
      </c>
      <c r="X124" s="27716">
        <v>1</v>
      </c>
      <c r="Y124" s="27717">
        <v>3</v>
      </c>
      <c r="Z124" s="27718">
        <v>24</v>
      </c>
      <c r="AA124" s="27719">
        <f>IF(HLOOKUP("KP",A1:CV300,124,FALSE)=0,0,HLOOKUP("As",A1:CV300,124,FALSE)/HLOOKUP("KP",A1:CV300,124,FALSE))</f>
        <v>4.1666666666666664E-2</v>
      </c>
      <c r="AB124" s="27720">
        <v>87.8</v>
      </c>
      <c r="AC124" s="27721">
        <v>12</v>
      </c>
      <c r="AD124" s="27722">
        <v>0</v>
      </c>
      <c r="AE124" s="27723">
        <v>2</v>
      </c>
      <c r="AF124" s="27724">
        <v>2</v>
      </c>
      <c r="AG124" s="27725">
        <f>IF(HLOOKUP("BC",A1:CV300,124,FALSE)=0,0,HLOOKUP("Gs - BC",A1:CV300,124,FALSE)/HLOOKUP("BC",A1:CV300,124,FALSE))</f>
        <v>0</v>
      </c>
      <c r="AH124" s="27726">
        <f>HLOOKUP("BC",A1:CV300,124,FALSE) - HLOOKUP("BC Miss",A1:CV300,124,FALSE)</f>
        <v>0</v>
      </c>
      <c r="AI124" s="27727">
        <f>IF(HLOOKUP("Gs",A1:CV300,124,FALSE)=0,0,HLOOKUP("Gs - BC",A1:CV300,124,FALSE)/HLOOKUP("Gs",A1:CV300,124,FALSE))</f>
        <v>0</v>
      </c>
      <c r="AJ124" s="27728">
        <v>0</v>
      </c>
      <c r="AK124" s="27729">
        <v>0</v>
      </c>
      <c r="AL124" s="27730">
        <f>HLOOKUP("BC",A1:CV300,124,FALSE) - (HLOOKUP("PK Gs",A1:CV300,124,FALSE) + HLOOKUP("PK Miss",A1:CV300,124,FALSE))</f>
        <v>2</v>
      </c>
      <c r="AM124" s="27731">
        <f>HLOOKUP("BC Miss",A1:CV300,124,FALSE) - HLOOKUP("PK Miss",A1:CV300,124,FALSE)</f>
        <v>2</v>
      </c>
      <c r="AN124" s="27732">
        <f>IF(HLOOKUP("BC - Open",A1:CV300,124,FALSE)=0,0,HLOOKUP("BC - Open Miss",A1:CV300,124,FALSE)/HLOOKUP("BC - Open",A1:CV300,124,FALSE))</f>
        <v>1</v>
      </c>
      <c r="AO124" s="27733">
        <v>0</v>
      </c>
      <c r="AP124" s="27734">
        <f>IF(HLOOKUP("Gs",A1:CV300,124,FALSE)=0,0,HLOOKUP("GIB",A1:CV300,124,FALSE)/HLOOKUP("Gs",A1:CV300,124,FALSE))</f>
        <v>0</v>
      </c>
      <c r="AQ124" s="27735">
        <v>0</v>
      </c>
      <c r="AR124" s="27736">
        <f>IF(HLOOKUP("Gs",A1:CV300,124,FALSE)=0,0,HLOOKUP("Gs - Open",A1:CV300,124,FALSE)/HLOOKUP("Gs",A1:CV300,124,FALSE))</f>
        <v>0</v>
      </c>
      <c r="AS124" s="27737">
        <v>2.11</v>
      </c>
      <c r="AT124" s="27738">
        <v>1.08</v>
      </c>
      <c r="AU124" s="27739">
        <f>IF(HLOOKUP("Mins",A1:CV300,124,FALSE)=0,0,HLOOKUP("Pts",A1:CV300,124,FALSE)/HLOOKUP("Mins",A1:CV300,124,FALSE)* 90)</f>
        <v>2.4766097963676388</v>
      </c>
      <c r="AV124" s="27740">
        <f>IF(HLOOKUP("Apps",A1:CV300,124,FALSE)=0,0,HLOOKUP("Pts",A1:CV300,124,FALSE)/HLOOKUP("Apps",A1:CV300,124,FALSE)* 1)</f>
        <v>2.3809523809523809</v>
      </c>
      <c r="AW124" s="27741">
        <f>IF(HLOOKUP("Mins",A1:CV300,124,FALSE)=0,0,HLOOKUP("Gs",A1:CV300,124,FALSE)/HLOOKUP("Mins",A1:CV300,124,FALSE)* 90)</f>
        <v>0</v>
      </c>
      <c r="AX124" s="27742">
        <f>IF(HLOOKUP("Mins",A1:CV300,124,FALSE)=0,0,HLOOKUP("Bonus",A1:CV300,124,FALSE)/HLOOKUP("Mins",A1:CV300,124,FALSE)* 90)</f>
        <v>4.9532195927352779E-2</v>
      </c>
      <c r="AY124" s="27743">
        <f>IF(HLOOKUP("Mins",A1:CV300,124,FALSE)=0,0,HLOOKUP("BPS",A1:CV300,124,FALSE)/HLOOKUP("Mins",A1:CV300,124,FALSE)* 90)</f>
        <v>13.17556411667584</v>
      </c>
      <c r="AZ124" s="27744">
        <f>IF(HLOOKUP("Mins",A1:CV300,124,FALSE)=0,0,HLOOKUP("Base BPS",A1:CV300,124,FALSE)/HLOOKUP("Mins",A1:CV300,124,FALSE)* 90)</f>
        <v>11.838194826637313</v>
      </c>
      <c r="BA124" s="27745">
        <f>IF(HLOOKUP("Mins",A1:CV300,124,FALSE)=0,0,HLOOKUP("PenTchs",A1:CV300,124,FALSE)/HLOOKUP("Mins",A1:CV300,124,FALSE)* 90)</f>
        <v>1.139240506329114</v>
      </c>
      <c r="BB124" s="27746">
        <f>IF(HLOOKUP("Mins",A1:CV300,124,FALSE)=0,0,HLOOKUP("Shots",A1:CV300,124,FALSE)/HLOOKUP("Mins",A1:CV300,124,FALSE)* 90)</f>
        <v>1.4859658778205833</v>
      </c>
      <c r="BC124" s="27747">
        <f>IF(HLOOKUP("Mins",A1:CV300,124,FALSE)=0,0,HLOOKUP("SIB",A1:CV300,124,FALSE)/HLOOKUP("Mins",A1:CV300,124,FALSE)* 90)</f>
        <v>0.44578976334617498</v>
      </c>
      <c r="BD124" s="27748">
        <f>IF(HLOOKUP("Mins",A1:CV300,124,FALSE)=0,0,HLOOKUP("S6YD",A1:CV300,124,FALSE)/HLOOKUP("Mins",A1:CV300,124,FALSE)* 90)</f>
        <v>9.9064391854705558E-2</v>
      </c>
      <c r="BE124" s="27749">
        <f>IF(HLOOKUP("Mins",A1:CV300,124,FALSE)=0,0,HLOOKUP("Headers",A1:CV300,124,FALSE)/HLOOKUP("Mins",A1:CV300,124,FALSE)* 90)</f>
        <v>0.14859658778205834</v>
      </c>
      <c r="BF124" s="27750">
        <f>IF(HLOOKUP("Mins",A1:CV300,124,FALSE)=0,0,HLOOKUP("SOT",A1:CV300,124,FALSE)/HLOOKUP("Mins",A1:CV300,124,FALSE)* 90)</f>
        <v>0.29719317556411667</v>
      </c>
      <c r="BG124" s="27751">
        <f>IF(HLOOKUP("Mins",A1:CV300,124,FALSE)=0,0,HLOOKUP("As",A1:CV300,124,FALSE)/HLOOKUP("Mins",A1:CV300,124,FALSE)* 90)</f>
        <v>4.9532195927352779E-2</v>
      </c>
      <c r="BH124" s="27752">
        <f>IF(HLOOKUP("Mins",A1:CV300,124,FALSE)=0,0,HLOOKUP("FPL As",A1:CV300,124,FALSE)/HLOOKUP("Mins",A1:CV300,124,FALSE)* 90)</f>
        <v>0.14859658778205834</v>
      </c>
      <c r="BI124" s="27753">
        <f>IF(HLOOKUP("Mins",A1:CV300,124,FALSE)=0,0,HLOOKUP("BC Created",A1:CV300,124,FALSE)/HLOOKUP("Mins",A1:CV300,124,FALSE)* 90)</f>
        <v>0</v>
      </c>
      <c r="BJ124" s="27754">
        <f>IF(HLOOKUP("Mins",A1:CV300,124,FALSE)=0,0,HLOOKUP("KP",A1:CV300,124,FALSE)/HLOOKUP("Mins",A1:CV300,124,FALSE)* 90)</f>
        <v>1.1887727022564667</v>
      </c>
      <c r="BK124" s="27755">
        <f>IF(HLOOKUP("Mins",A1:CV300,124,FALSE)=0,0,HLOOKUP("BC",A1:CV300,124,FALSE)/HLOOKUP("Mins",A1:CV300,124,FALSE)* 90)</f>
        <v>9.9064391854705558E-2</v>
      </c>
      <c r="BL124" s="27756">
        <f>IF(HLOOKUP("Mins",A1:CV300,124,FALSE)=0,0,HLOOKUP("BC Miss",A1:CV300,124,FALSE)/HLOOKUP("Mins",A1:CV300,124,FALSE)* 90)</f>
        <v>9.9064391854705558E-2</v>
      </c>
      <c r="BM124" s="27757">
        <f>IF(HLOOKUP("Mins",A1:CV300,124,FALSE)=0,0,HLOOKUP("Gs - BC",A1:CV300,124,FALSE)/HLOOKUP("Mins",A1:CV300,124,FALSE)* 90)</f>
        <v>0</v>
      </c>
      <c r="BN124" s="27758">
        <f>IF(HLOOKUP("Mins",A1:CV300,124,FALSE)=0,0,HLOOKUP("GIB",A1:CV300,124,FALSE)/HLOOKUP("Mins",A1:CV300,124,FALSE)* 90)</f>
        <v>0</v>
      </c>
      <c r="BO124" s="27759">
        <f>IF(HLOOKUP("Mins",A1:CV300,124,FALSE)=0,0,HLOOKUP("Gs - Open",A1:CV300,124,FALSE)/HLOOKUP("Mins",A1:CV300,124,FALSE)* 90)</f>
        <v>0</v>
      </c>
      <c r="BP124" s="27760">
        <f>IF(HLOOKUP("Mins",A1:CV300,124,FALSE)=0,0,HLOOKUP("ICT Index",A1:CV300,124,FALSE)/HLOOKUP("Mins",A1:CV300,124,FALSE)* 90)</f>
        <v>4.3489268024215733</v>
      </c>
      <c r="BQ124" s="27761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  <v>0.10074848651623555</v>
      </c>
      <c r="BR124" s="27762">
        <f>0.0885*HLOOKUP("KP/90",A1:CV300,124,FALSE)</f>
        <v>0.1052063841496973</v>
      </c>
      <c r="BS124" s="27763">
        <f>5*HLOOKUP("xG/90",A1:CV300,124,FALSE)+3*HLOOKUP("xA/90",A1:CV300,124,FALSE)</f>
        <v>0.81936158503026968</v>
      </c>
      <c r="BT124" s="27764">
        <f>HLOOKUP("xPts/90",A1:CV300,124,FALSE)-(5*0.75*(HLOOKUP("PK Gs",A1:CV300,124,FALSE)+HLOOKUP("PK Miss",A1:CV300,124,FALSE))*90/HLOOKUP("Mins",A1:CV300,124,FALSE))</f>
        <v>0.81936158503026968</v>
      </c>
      <c r="BU124" s="27765">
        <f>IF(HLOOKUP("Mins",A1:CV300,124,FALSE)=0,0,HLOOKUP("fsXG",A1:CV300,124,FALSE)/HLOOKUP("Mins",A1:CV300,124,FALSE)* 90)</f>
        <v>0.10451293340671436</v>
      </c>
      <c r="BV124" s="27766">
        <f>IF(HLOOKUP("Mins",A1:CV300,124,FALSE)=0,0,HLOOKUP("fsXA",A1:CV300,124,FALSE)/HLOOKUP("Mins",A1:CV300,124,FALSE)* 90)</f>
        <v>5.3494771601541008E-2</v>
      </c>
      <c r="BW124" s="27767">
        <f>5*HLOOKUP("fsXG/90",A1:CV300,124,FALSE)+3*HLOOKUP("fsXA/90",A1:CV300,124,FALSE)</f>
        <v>0.68304898183819474</v>
      </c>
      <c r="BX124" s="27768">
        <v>9.1734565794467926E-2</v>
      </c>
      <c r="BY124" s="27769">
        <v>7.3146902024745941E-2</v>
      </c>
      <c r="BZ124" s="27770">
        <f>5*HLOOKUP("uXG/90",A1:CV300,124,FALSE)+3*HLOOKUP("uXA/90",A1:CV300,124,FALSE)</f>
        <v>0.67811353504657745</v>
      </c>
    </row>
    <row r="125" spans="1:78" x14ac:dyDescent="0.3">
      <c r="A125" s="27771" t="s">
        <v>452</v>
      </c>
      <c r="B125" s="27772" t="s">
        <v>91</v>
      </c>
      <c r="C125" s="27773">
        <v>4.4000000953674316</v>
      </c>
      <c r="D125" s="27774">
        <v>1029</v>
      </c>
      <c r="E125" s="27775">
        <v>14</v>
      </c>
      <c r="F125" s="27776">
        <v>25</v>
      </c>
      <c r="G125" s="27777">
        <v>0</v>
      </c>
      <c r="H125" s="27778">
        <v>0</v>
      </c>
      <c r="I125" s="27779">
        <v>161</v>
      </c>
      <c r="J125" s="27780">
        <f>HLOOKUP("BPS",A1:CV300,125,FALSE)-((-6*HLOOKUP("OG",A1:CV300,125,FALSE))+(-6*HLOOKUP("PK Miss",A1:CV300,125,FALSE))+(9*HLOOKUP("FPL As",A1:CV300,125,FALSE))+(0*HLOOKUP("CS",A1:CV300,125,FALSE))+(18*HLOOKUP("Gs",A1:CV300,125,FALSE)))</f>
        <v>161</v>
      </c>
      <c r="K125" s="27781">
        <v>0</v>
      </c>
      <c r="L125" s="27782">
        <v>2</v>
      </c>
      <c r="M125" s="27783">
        <v>9</v>
      </c>
      <c r="N125" s="27784">
        <v>11</v>
      </c>
      <c r="O125" s="27785">
        <v>7</v>
      </c>
      <c r="P125" s="27786">
        <f>IF(HLOOKUP("Shots",A1:CV300,125,FALSE)=0,0,HLOOKUP("SIB",A1:CV300,125,FALSE)/HLOOKUP("Shots",A1:CV300,125,FALSE))</f>
        <v>0.63636363636363635</v>
      </c>
      <c r="Q125" s="27787">
        <v>0</v>
      </c>
      <c r="R125" s="27788">
        <f>IF(HLOOKUP("Shots",A1:CV300,125,FALSE)=0,0,HLOOKUP("S6YD",A1:CV300,125,FALSE)/HLOOKUP("Shots",A1:CV300,125,FALSE))</f>
        <v>0</v>
      </c>
      <c r="S125" s="27789">
        <v>5</v>
      </c>
      <c r="T125" s="27790">
        <f>IF(HLOOKUP("Shots",A1:CV300,125,FALSE)=0,0,HLOOKUP("Headers",A1:CV300,125,FALSE)/HLOOKUP("Shots",A1:CV300,125,FALSE))</f>
        <v>0.45454545454545453</v>
      </c>
      <c r="U125" s="27791">
        <v>2</v>
      </c>
      <c r="V125" s="27792">
        <f>IF(HLOOKUP("Shots",A1:CV300,125,FALSE)=0,0,HLOOKUP("SOT",A1:CV300,125,FALSE)/HLOOKUP("Shots",A1:CV300,125,FALSE))</f>
        <v>0.18181818181818182</v>
      </c>
      <c r="W125" s="27793">
        <f>IF(HLOOKUP("Shots",A1:CV300,125,FALSE)=0,0,HLOOKUP("Gs",A1:CV300,125,FALSE)/HLOOKUP("Shots",A1:CV300,125,FALSE))</f>
        <v>0</v>
      </c>
      <c r="X125" s="27794">
        <v>0</v>
      </c>
      <c r="Y125" s="27795">
        <v>0</v>
      </c>
      <c r="Z125" s="27796">
        <v>2</v>
      </c>
      <c r="AA125" s="27797">
        <f>IF(HLOOKUP("KP",A1:CV300,125,FALSE)=0,0,HLOOKUP("As",A1:CV300,125,FALSE)/HLOOKUP("KP",A1:CV300,125,FALSE))</f>
        <v>0</v>
      </c>
      <c r="AB125" s="27798">
        <v>31.5</v>
      </c>
      <c r="AC125" s="27799">
        <v>0</v>
      </c>
      <c r="AD125" s="27800">
        <v>0</v>
      </c>
      <c r="AE125" s="27801">
        <v>0</v>
      </c>
      <c r="AF125" s="27802">
        <v>0</v>
      </c>
      <c r="AG125" s="27803">
        <f>IF(HLOOKUP("BC",A1:CV300,125,FALSE)=0,0,HLOOKUP("Gs - BC",A1:CV300,125,FALSE)/HLOOKUP("BC",A1:CV300,125,FALSE))</f>
        <v>0</v>
      </c>
      <c r="AH125" s="27804">
        <f>HLOOKUP("BC",A1:CV300,125,FALSE) - HLOOKUP("BC Miss",A1:CV300,125,FALSE)</f>
        <v>0</v>
      </c>
      <c r="AI125" s="27805">
        <f>IF(HLOOKUP("Gs",A1:CV300,125,FALSE)=0,0,HLOOKUP("Gs - BC",A1:CV300,125,FALSE)/HLOOKUP("Gs",A1:CV300,125,FALSE))</f>
        <v>0</v>
      </c>
      <c r="AJ125" s="27806">
        <v>0</v>
      </c>
      <c r="AK125" s="27807">
        <v>0</v>
      </c>
      <c r="AL125" s="27808">
        <f>HLOOKUP("BC",A1:CV300,125,FALSE) - (HLOOKUP("PK Gs",A1:CV300,125,FALSE) + HLOOKUP("PK Miss",A1:CV300,125,FALSE))</f>
        <v>0</v>
      </c>
      <c r="AM125" s="27809">
        <f>HLOOKUP("BC Miss",A1:CV300,125,FALSE) - HLOOKUP("PK Miss",A1:CV300,125,FALSE)</f>
        <v>0</v>
      </c>
      <c r="AN125" s="27810">
        <f>IF(HLOOKUP("BC - Open",A1:CV300,125,FALSE)=0,0,HLOOKUP("BC - Open Miss",A1:CV300,125,FALSE)/HLOOKUP("BC - Open",A1:CV300,125,FALSE))</f>
        <v>0</v>
      </c>
      <c r="AO125" s="27811">
        <v>0</v>
      </c>
      <c r="AP125" s="27812">
        <f>IF(HLOOKUP("Gs",A1:CV300,125,FALSE)=0,0,HLOOKUP("GIB",A1:CV300,125,FALSE)/HLOOKUP("Gs",A1:CV300,125,FALSE))</f>
        <v>0</v>
      </c>
      <c r="AQ125" s="27813">
        <v>0</v>
      </c>
      <c r="AR125" s="27814">
        <f>IF(HLOOKUP("Gs",A1:CV300,125,FALSE)=0,0,HLOOKUP("Gs - Open",A1:CV300,125,FALSE)/HLOOKUP("Gs",A1:CV300,125,FALSE))</f>
        <v>0</v>
      </c>
      <c r="AS125" s="27815">
        <v>0.46</v>
      </c>
      <c r="AT125" s="27816">
        <v>0.11</v>
      </c>
      <c r="AU125" s="27817">
        <f>IF(HLOOKUP("Mins",A1:CV300,125,FALSE)=0,0,HLOOKUP("Pts",A1:CV300,125,FALSE)/HLOOKUP("Mins",A1:CV300,125,FALSE)* 90)</f>
        <v>2.1865889212827989</v>
      </c>
      <c r="AV125" s="27818">
        <f>IF(HLOOKUP("Apps",A1:CV300,125,FALSE)=0,0,HLOOKUP("Pts",A1:CV300,125,FALSE)/HLOOKUP("Apps",A1:CV300,125,FALSE)* 1)</f>
        <v>1.7857142857142858</v>
      </c>
      <c r="AW125" s="27819">
        <f>IF(HLOOKUP("Mins",A1:CV300,125,FALSE)=0,0,HLOOKUP("Gs",A1:CV300,125,FALSE)/HLOOKUP("Mins",A1:CV300,125,FALSE)* 90)</f>
        <v>0</v>
      </c>
      <c r="AX125" s="27820">
        <f>IF(HLOOKUP("Mins",A1:CV300,125,FALSE)=0,0,HLOOKUP("Bonus",A1:CV300,125,FALSE)/HLOOKUP("Mins",A1:CV300,125,FALSE)* 90)</f>
        <v>0</v>
      </c>
      <c r="AY125" s="27821">
        <f>IF(HLOOKUP("Mins",A1:CV300,125,FALSE)=0,0,HLOOKUP("BPS",A1:CV300,125,FALSE)/HLOOKUP("Mins",A1:CV300,125,FALSE)* 90)</f>
        <v>14.081632653061225</v>
      </c>
      <c r="AZ125" s="27822">
        <f>IF(HLOOKUP("Mins",A1:CV300,125,FALSE)=0,0,HLOOKUP("Base BPS",A1:CV300,125,FALSE)/HLOOKUP("Mins",A1:CV300,125,FALSE)* 90)</f>
        <v>14.081632653061225</v>
      </c>
      <c r="BA125" s="27823">
        <f>IF(HLOOKUP("Mins",A1:CV300,125,FALSE)=0,0,HLOOKUP("PenTchs",A1:CV300,125,FALSE)/HLOOKUP("Mins",A1:CV300,125,FALSE)* 90)</f>
        <v>0.78717201166180761</v>
      </c>
      <c r="BB125" s="27824">
        <f>IF(HLOOKUP("Mins",A1:CV300,125,FALSE)=0,0,HLOOKUP("Shots",A1:CV300,125,FALSE)/HLOOKUP("Mins",A1:CV300,125,FALSE)* 90)</f>
        <v>0.96209912536443154</v>
      </c>
      <c r="BC125" s="27825">
        <f>IF(HLOOKUP("Mins",A1:CV300,125,FALSE)=0,0,HLOOKUP("SIB",A1:CV300,125,FALSE)/HLOOKUP("Mins",A1:CV300,125,FALSE)* 90)</f>
        <v>0.61224489795918369</v>
      </c>
      <c r="BD125" s="27826">
        <f>IF(HLOOKUP("Mins",A1:CV300,125,FALSE)=0,0,HLOOKUP("S6YD",A1:CV300,125,FALSE)/HLOOKUP("Mins",A1:CV300,125,FALSE)* 90)</f>
        <v>0</v>
      </c>
      <c r="BE125" s="27827">
        <f>IF(HLOOKUP("Mins",A1:CV300,125,FALSE)=0,0,HLOOKUP("Headers",A1:CV300,125,FALSE)/HLOOKUP("Mins",A1:CV300,125,FALSE)* 90)</f>
        <v>0.43731778425655976</v>
      </c>
      <c r="BF125" s="27828">
        <f>IF(HLOOKUP("Mins",A1:CV300,125,FALSE)=0,0,HLOOKUP("SOT",A1:CV300,125,FALSE)/HLOOKUP("Mins",A1:CV300,125,FALSE)* 90)</f>
        <v>0.1749271137026239</v>
      </c>
      <c r="BG125" s="27829">
        <f>IF(HLOOKUP("Mins",A1:CV300,125,FALSE)=0,0,HLOOKUP("As",A1:CV300,125,FALSE)/HLOOKUP("Mins",A1:CV300,125,FALSE)* 90)</f>
        <v>0</v>
      </c>
      <c r="BH125" s="27830">
        <f>IF(HLOOKUP("Mins",A1:CV300,125,FALSE)=0,0,HLOOKUP("FPL As",A1:CV300,125,FALSE)/HLOOKUP("Mins",A1:CV300,125,FALSE)* 90)</f>
        <v>0</v>
      </c>
      <c r="BI125" s="27831">
        <f>IF(HLOOKUP("Mins",A1:CV300,125,FALSE)=0,0,HLOOKUP("BC Created",A1:CV300,125,FALSE)/HLOOKUP("Mins",A1:CV300,125,FALSE)* 90)</f>
        <v>0</v>
      </c>
      <c r="BJ125" s="27832">
        <f>IF(HLOOKUP("Mins",A1:CV300,125,FALSE)=0,0,HLOOKUP("KP",A1:CV300,125,FALSE)/HLOOKUP("Mins",A1:CV300,125,FALSE)* 90)</f>
        <v>0.1749271137026239</v>
      </c>
      <c r="BK125" s="27833">
        <f>IF(HLOOKUP("Mins",A1:CV300,125,FALSE)=0,0,HLOOKUP("BC",A1:CV300,125,FALSE)/HLOOKUP("Mins",A1:CV300,125,FALSE)* 90)</f>
        <v>0</v>
      </c>
      <c r="BL125" s="27834">
        <f>IF(HLOOKUP("Mins",A1:CV300,125,FALSE)=0,0,HLOOKUP("BC Miss",A1:CV300,125,FALSE)/HLOOKUP("Mins",A1:CV300,125,FALSE)* 90)</f>
        <v>0</v>
      </c>
      <c r="BM125" s="27835">
        <f>IF(HLOOKUP("Mins",A1:CV300,125,FALSE)=0,0,HLOOKUP("Gs - BC",A1:CV300,125,FALSE)/HLOOKUP("Mins",A1:CV300,125,FALSE)* 90)</f>
        <v>0</v>
      </c>
      <c r="BN125" s="27836">
        <f>IF(HLOOKUP("Mins",A1:CV300,125,FALSE)=0,0,HLOOKUP("GIB",A1:CV300,125,FALSE)/HLOOKUP("Mins",A1:CV300,125,FALSE)* 90)</f>
        <v>0</v>
      </c>
      <c r="BO125" s="27837">
        <f>IF(HLOOKUP("Mins",A1:CV300,125,FALSE)=0,0,HLOOKUP("Gs - Open",A1:CV300,125,FALSE)/HLOOKUP("Mins",A1:CV300,125,FALSE)* 90)</f>
        <v>0</v>
      </c>
      <c r="BP125" s="27838">
        <f>IF(HLOOKUP("Mins",A1:CV300,125,FALSE)=0,0,HLOOKUP("ICT Index",A1:CV300,125,FALSE)/HLOOKUP("Mins",A1:CV300,125,FALSE)* 90)</f>
        <v>2.7551020408163263</v>
      </c>
      <c r="BQ125" s="27839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  <v>9.9533527696793009E-2</v>
      </c>
      <c r="BR125" s="27840">
        <f>0.0885*HLOOKUP("KP/90",A1:CV300,125,FALSE)</f>
        <v>1.5481049562682214E-2</v>
      </c>
      <c r="BS125" s="27841">
        <f>5*HLOOKUP("xG/90",A1:CV300,125,FALSE)+3*HLOOKUP("xA/90",A1:CV300,125,FALSE)</f>
        <v>0.54411078717201167</v>
      </c>
      <c r="BT125" s="27842">
        <f>HLOOKUP("xPts/90",A1:CV300,125,FALSE)-(5*0.75*(HLOOKUP("PK Gs",A1:CV300,125,FALSE)+HLOOKUP("PK Miss",A1:CV300,125,FALSE))*90/HLOOKUP("Mins",A1:CV300,125,FALSE))</f>
        <v>0.54411078717201167</v>
      </c>
      <c r="BU125" s="27843">
        <f>IF(HLOOKUP("Mins",A1:CV300,125,FALSE)=0,0,HLOOKUP("fsXG",A1:CV300,125,FALSE)/HLOOKUP("Mins",A1:CV300,125,FALSE)* 90)</f>
        <v>4.0233236151603499E-2</v>
      </c>
      <c r="BV125" s="27844">
        <f>IF(HLOOKUP("Mins",A1:CV300,125,FALSE)=0,0,HLOOKUP("fsXA",A1:CV300,125,FALSE)/HLOOKUP("Mins",A1:CV300,125,FALSE)* 90)</f>
        <v>9.6209912536443145E-3</v>
      </c>
      <c r="BW125" s="27845">
        <f>5*HLOOKUP("fsXG/90",A1:CV300,125,FALSE)+3*HLOOKUP("fsXA/90",A1:CV300,125,FALSE)</f>
        <v>0.23002915451895045</v>
      </c>
      <c r="BX125" s="27846">
        <v>3.8187999278306961E-2</v>
      </c>
      <c r="BY125" s="27847">
        <v>1.1748781427741051E-2</v>
      </c>
      <c r="BZ125" s="27848">
        <f>5*HLOOKUP("uXG/90",A1:CV300,125,FALSE)+3*HLOOKUP("uXA/90",A1:CV300,125,FALSE)</f>
        <v>0.22618634067475796</v>
      </c>
    </row>
    <row r="126" spans="1:78" x14ac:dyDescent="0.3">
      <c r="A126" s="27849" t="s">
        <v>453</v>
      </c>
      <c r="B126" s="27850" t="s">
        <v>147</v>
      </c>
      <c r="C126" s="27851">
        <v>5.3000001907348633</v>
      </c>
      <c r="D126" s="27852">
        <v>1331</v>
      </c>
      <c r="E126" s="27853">
        <v>20</v>
      </c>
      <c r="F126" s="27854">
        <v>48</v>
      </c>
      <c r="G126" s="27855">
        <v>1</v>
      </c>
      <c r="H126" s="27856">
        <v>4</v>
      </c>
      <c r="I126" s="27857">
        <v>316</v>
      </c>
      <c r="J126" s="27858">
        <f>HLOOKUP("BPS",A1:CV300,126,FALSE)-((-6*HLOOKUP("OG",A1:CV300,126,FALSE))+(-6*HLOOKUP("PK Miss",A1:CV300,126,FALSE))+(9*HLOOKUP("FPL As",A1:CV300,126,FALSE))+(0*HLOOKUP("CS",A1:CV300,126,FALSE))+(18*HLOOKUP("Gs",A1:CV300,126,FALSE)))</f>
        <v>271</v>
      </c>
      <c r="K126" s="27859">
        <v>0</v>
      </c>
      <c r="L126" s="27860">
        <v>2</v>
      </c>
      <c r="M126" s="27861">
        <v>8</v>
      </c>
      <c r="N126" s="27862">
        <v>12</v>
      </c>
      <c r="O126" s="27863">
        <v>3</v>
      </c>
      <c r="P126" s="27864">
        <f>IF(HLOOKUP("Shots",A1:CV300,126,FALSE)=0,0,HLOOKUP("SIB",A1:CV300,126,FALSE)/HLOOKUP("Shots",A1:CV300,126,FALSE))</f>
        <v>0.25</v>
      </c>
      <c r="Q126" s="27865">
        <v>0</v>
      </c>
      <c r="R126" s="27866">
        <f>IF(HLOOKUP("Shots",A1:CV300,126,FALSE)=0,0,HLOOKUP("S6YD",A1:CV300,126,FALSE)/HLOOKUP("Shots",A1:CV300,126,FALSE))</f>
        <v>0</v>
      </c>
      <c r="S126" s="27867">
        <v>0</v>
      </c>
      <c r="T126" s="27868">
        <f>IF(HLOOKUP("Shots",A1:CV300,126,FALSE)=0,0,HLOOKUP("Headers",A1:CV300,126,FALSE)/HLOOKUP("Shots",A1:CV300,126,FALSE))</f>
        <v>0</v>
      </c>
      <c r="U126" s="27869">
        <v>4</v>
      </c>
      <c r="V126" s="27870">
        <f>IF(HLOOKUP("Shots",A1:CV300,126,FALSE)=0,0,HLOOKUP("SOT",A1:CV300,126,FALSE)/HLOOKUP("Shots",A1:CV300,126,FALSE))</f>
        <v>0.33333333333333331</v>
      </c>
      <c r="W126" s="27871">
        <f>IF(HLOOKUP("Shots",A1:CV300,126,FALSE)=0,0,HLOOKUP("Gs",A1:CV300,126,FALSE)/HLOOKUP("Shots",A1:CV300,126,FALSE))</f>
        <v>8.3333333333333329E-2</v>
      </c>
      <c r="X126" s="27872">
        <v>3</v>
      </c>
      <c r="Y126" s="27873">
        <v>3</v>
      </c>
      <c r="Z126" s="27874">
        <v>19</v>
      </c>
      <c r="AA126" s="27875">
        <f>IF(HLOOKUP("KP",A1:CV300,126,FALSE)=0,0,HLOOKUP("As",A1:CV300,126,FALSE)/HLOOKUP("KP",A1:CV300,126,FALSE))</f>
        <v>0.15789473684210525</v>
      </c>
      <c r="AB126" s="27876">
        <v>75.900000000000006</v>
      </c>
      <c r="AC126" s="27877">
        <v>15</v>
      </c>
      <c r="AD126" s="27878">
        <v>2</v>
      </c>
      <c r="AE126" s="27879">
        <v>0</v>
      </c>
      <c r="AF126" s="27880">
        <v>0</v>
      </c>
      <c r="AG126" s="27881">
        <f>IF(HLOOKUP("BC",A1:CV300,126,FALSE)=0,0,HLOOKUP("Gs - BC",A1:CV300,126,FALSE)/HLOOKUP("BC",A1:CV300,126,FALSE))</f>
        <v>0</v>
      </c>
      <c r="AH126" s="27882">
        <f>HLOOKUP("BC",A1:CV300,126,FALSE) - HLOOKUP("BC Miss",A1:CV300,126,FALSE)</f>
        <v>0</v>
      </c>
      <c r="AI126" s="27883">
        <f>IF(HLOOKUP("Gs",A1:CV300,126,FALSE)=0,0,HLOOKUP("Gs - BC",A1:CV300,126,FALSE)/HLOOKUP("Gs",A1:CV300,126,FALSE))</f>
        <v>0</v>
      </c>
      <c r="AJ126" s="27884">
        <v>0</v>
      </c>
      <c r="AK126" s="27885">
        <v>0</v>
      </c>
      <c r="AL126" s="27886">
        <f>HLOOKUP("BC",A1:CV300,126,FALSE) - (HLOOKUP("PK Gs",A1:CV300,126,FALSE) + HLOOKUP("PK Miss",A1:CV300,126,FALSE))</f>
        <v>0</v>
      </c>
      <c r="AM126" s="27887">
        <f>HLOOKUP("BC Miss",A1:CV300,126,FALSE) - HLOOKUP("PK Miss",A1:CV300,126,FALSE)</f>
        <v>0</v>
      </c>
      <c r="AN126" s="27888">
        <f>IF(HLOOKUP("BC - Open",A1:CV300,126,FALSE)=0,0,HLOOKUP("BC - Open Miss",A1:CV300,126,FALSE)/HLOOKUP("BC - Open",A1:CV300,126,FALSE))</f>
        <v>0</v>
      </c>
      <c r="AO126" s="27889">
        <v>0</v>
      </c>
      <c r="AP126" s="27890">
        <f>IF(HLOOKUP("Gs",A1:CV300,126,FALSE)=0,0,HLOOKUP("GIB",A1:CV300,126,FALSE)/HLOOKUP("Gs",A1:CV300,126,FALSE))</f>
        <v>0</v>
      </c>
      <c r="AQ126" s="27891">
        <v>1</v>
      </c>
      <c r="AR126" s="27892">
        <f>IF(HLOOKUP("Gs",A1:CV300,126,FALSE)=0,0,HLOOKUP("Gs - Open",A1:CV300,126,FALSE)/HLOOKUP("Gs",A1:CV300,126,FALSE))</f>
        <v>1</v>
      </c>
      <c r="AS126" s="27893">
        <v>0.49</v>
      </c>
      <c r="AT126" s="27894">
        <v>1.41</v>
      </c>
      <c r="AU126" s="27895">
        <f>IF(HLOOKUP("Mins",A1:CV300,126,FALSE)=0,0,HLOOKUP("Pts",A1:CV300,126,FALSE)/HLOOKUP("Mins",A1:CV300,126,FALSE)* 90)</f>
        <v>3.2456799398948157</v>
      </c>
      <c r="AV126" s="27896">
        <f>IF(HLOOKUP("Apps",A1:CV300,126,FALSE)=0,0,HLOOKUP("Pts",A1:CV300,126,FALSE)/HLOOKUP("Apps",A1:CV300,126,FALSE)* 1)</f>
        <v>2.4</v>
      </c>
      <c r="AW126" s="27897">
        <f>IF(HLOOKUP("Mins",A1:CV300,126,FALSE)=0,0,HLOOKUP("Gs",A1:CV300,126,FALSE)/HLOOKUP("Mins",A1:CV300,126,FALSE)* 90)</f>
        <v>6.7618332081141999E-2</v>
      </c>
      <c r="AX126" s="27898">
        <f>IF(HLOOKUP("Mins",A1:CV300,126,FALSE)=0,0,HLOOKUP("Bonus",A1:CV300,126,FALSE)/HLOOKUP("Mins",A1:CV300,126,FALSE)* 90)</f>
        <v>0.270473328324568</v>
      </c>
      <c r="AY126" s="27899">
        <f>IF(HLOOKUP("Mins",A1:CV300,126,FALSE)=0,0,HLOOKUP("BPS",A1:CV300,126,FALSE)/HLOOKUP("Mins",A1:CV300,126,FALSE)* 90)</f>
        <v>21.367392937640872</v>
      </c>
      <c r="AZ126" s="27900">
        <f>IF(HLOOKUP("Mins",A1:CV300,126,FALSE)=0,0,HLOOKUP("Base BPS",A1:CV300,126,FALSE)/HLOOKUP("Mins",A1:CV300,126,FALSE)* 90)</f>
        <v>18.324567993989483</v>
      </c>
      <c r="BA126" s="27901">
        <f>IF(HLOOKUP("Mins",A1:CV300,126,FALSE)=0,0,HLOOKUP("PenTchs",A1:CV300,126,FALSE)/HLOOKUP("Mins",A1:CV300,126,FALSE)* 90)</f>
        <v>0.54094665664913599</v>
      </c>
      <c r="BB126" s="27902">
        <f>IF(HLOOKUP("Mins",A1:CV300,126,FALSE)=0,0,HLOOKUP("Shots",A1:CV300,126,FALSE)/HLOOKUP("Mins",A1:CV300,126,FALSE)* 90)</f>
        <v>0.81141998497370393</v>
      </c>
      <c r="BC126" s="27903">
        <f>IF(HLOOKUP("Mins",A1:CV300,126,FALSE)=0,0,HLOOKUP("SIB",A1:CV300,126,FALSE)/HLOOKUP("Mins",A1:CV300,126,FALSE)* 90)</f>
        <v>0.20285499624342598</v>
      </c>
      <c r="BD126" s="27904">
        <f>IF(HLOOKUP("Mins",A1:CV300,126,FALSE)=0,0,HLOOKUP("S6YD",A1:CV300,126,FALSE)/HLOOKUP("Mins",A1:CV300,126,FALSE)* 90)</f>
        <v>0</v>
      </c>
      <c r="BE126" s="27905">
        <f>IF(HLOOKUP("Mins",A1:CV300,126,FALSE)=0,0,HLOOKUP("Headers",A1:CV300,126,FALSE)/HLOOKUP("Mins",A1:CV300,126,FALSE)* 90)</f>
        <v>0</v>
      </c>
      <c r="BF126" s="27906">
        <f>IF(HLOOKUP("Mins",A1:CV300,126,FALSE)=0,0,HLOOKUP("SOT",A1:CV300,126,FALSE)/HLOOKUP("Mins",A1:CV300,126,FALSE)* 90)</f>
        <v>0.270473328324568</v>
      </c>
      <c r="BG126" s="27907">
        <f>IF(HLOOKUP("Mins",A1:CV300,126,FALSE)=0,0,HLOOKUP("As",A1:CV300,126,FALSE)/HLOOKUP("Mins",A1:CV300,126,FALSE)* 90)</f>
        <v>0.20285499624342598</v>
      </c>
      <c r="BH126" s="27908">
        <f>IF(HLOOKUP("Mins",A1:CV300,126,FALSE)=0,0,HLOOKUP("FPL As",A1:CV300,126,FALSE)/HLOOKUP("Mins",A1:CV300,126,FALSE)* 90)</f>
        <v>0.20285499624342598</v>
      </c>
      <c r="BI126" s="27909">
        <f>IF(HLOOKUP("Mins",A1:CV300,126,FALSE)=0,0,HLOOKUP("BC Created",A1:CV300,126,FALSE)/HLOOKUP("Mins",A1:CV300,126,FALSE)* 90)</f>
        <v>0.135236664162284</v>
      </c>
      <c r="BJ126" s="27910">
        <f>IF(HLOOKUP("Mins",A1:CV300,126,FALSE)=0,0,HLOOKUP("KP",A1:CV300,126,FALSE)/HLOOKUP("Mins",A1:CV300,126,FALSE)* 90)</f>
        <v>1.2847483095416981</v>
      </c>
      <c r="BK126" s="27911">
        <f>IF(HLOOKUP("Mins",A1:CV300,126,FALSE)=0,0,HLOOKUP("BC",A1:CV300,126,FALSE)/HLOOKUP("Mins",A1:CV300,126,FALSE)* 90)</f>
        <v>0</v>
      </c>
      <c r="BL126" s="27912">
        <f>IF(HLOOKUP("Mins",A1:CV300,126,FALSE)=0,0,HLOOKUP("BC Miss",A1:CV300,126,FALSE)/HLOOKUP("Mins",A1:CV300,126,FALSE)* 90)</f>
        <v>0</v>
      </c>
      <c r="BM126" s="27913">
        <f>IF(HLOOKUP("Mins",A1:CV300,126,FALSE)=0,0,HLOOKUP("Gs - BC",A1:CV300,126,FALSE)/HLOOKUP("Mins",A1:CV300,126,FALSE)* 90)</f>
        <v>0</v>
      </c>
      <c r="BN126" s="27914">
        <f>IF(HLOOKUP("Mins",A1:CV300,126,FALSE)=0,0,HLOOKUP("GIB",A1:CV300,126,FALSE)/HLOOKUP("Mins",A1:CV300,126,FALSE)* 90)</f>
        <v>0</v>
      </c>
      <c r="BO126" s="27915">
        <f>IF(HLOOKUP("Mins",A1:CV300,126,FALSE)=0,0,HLOOKUP("Gs - Open",A1:CV300,126,FALSE)/HLOOKUP("Mins",A1:CV300,126,FALSE)* 90)</f>
        <v>6.7618332081141999E-2</v>
      </c>
      <c r="BP126" s="27916">
        <f>IF(HLOOKUP("Mins",A1:CV300,126,FALSE)=0,0,HLOOKUP("ICT Index",A1:CV300,126,FALSE)/HLOOKUP("Mins",A1:CV300,126,FALSE)* 90)</f>
        <v>5.1322314049586781</v>
      </c>
      <c r="BQ126" s="27917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  <v>5.0713749060856489E-2</v>
      </c>
      <c r="BR126" s="27918">
        <f>0.0885*HLOOKUP("KP/90",A1:CV300,126,FALSE)</f>
        <v>0.11370022539444027</v>
      </c>
      <c r="BS126" s="27919">
        <f>5*HLOOKUP("xG/90",A1:CV300,126,FALSE)+3*HLOOKUP("xA/90",A1:CV300,126,FALSE)</f>
        <v>0.59466942148760327</v>
      </c>
      <c r="BT126" s="27920">
        <f>HLOOKUP("xPts/90",A1:CV300,126,FALSE)-(5*0.75*(HLOOKUP("PK Gs",A1:CV300,126,FALSE)+HLOOKUP("PK Miss",A1:CV300,126,FALSE))*90/HLOOKUP("Mins",A1:CV300,126,FALSE))</f>
        <v>0.59466942148760327</v>
      </c>
      <c r="BU126" s="27921">
        <f>IF(HLOOKUP("Mins",A1:CV300,126,FALSE)=0,0,HLOOKUP("fsXG",A1:CV300,126,FALSE)/HLOOKUP("Mins",A1:CV300,126,FALSE)* 90)</f>
        <v>3.3132982719759577E-2</v>
      </c>
      <c r="BV126" s="27922">
        <f>IF(HLOOKUP("Mins",A1:CV300,126,FALSE)=0,0,HLOOKUP("fsXA",A1:CV300,126,FALSE)/HLOOKUP("Mins",A1:CV300,126,FALSE)* 90)</f>
        <v>9.5341848234410206E-2</v>
      </c>
      <c r="BW126" s="27923">
        <f>5*HLOOKUP("fsXG/90",A1:CV300,126,FALSE)+3*HLOOKUP("fsXA/90",A1:CV300,126,FALSE)</f>
        <v>0.45169045830202847</v>
      </c>
      <c r="BX126" s="27924">
        <v>3.438146784901619E-2</v>
      </c>
      <c r="BY126" s="27925">
        <v>9.8352819681167603E-2</v>
      </c>
      <c r="BZ126" s="27926">
        <f>5*HLOOKUP("uXG/90",A1:CV300,126,FALSE)+3*HLOOKUP("uXA/90",A1:CV300,126,FALSE)</f>
        <v>0.46696579828858376</v>
      </c>
    </row>
    <row r="127" spans="1:78" x14ac:dyDescent="0.3">
      <c r="A127" s="27927" t="s">
        <v>454</v>
      </c>
      <c r="B127" s="27928" t="s">
        <v>132</v>
      </c>
      <c r="C127" s="27929">
        <v>12.300000190734863</v>
      </c>
      <c r="D127" s="27930">
        <v>1531</v>
      </c>
      <c r="E127" s="27931">
        <v>18</v>
      </c>
      <c r="F127" s="27932">
        <v>126</v>
      </c>
      <c r="G127" s="27933">
        <v>10</v>
      </c>
      <c r="H127" s="27934">
        <v>15</v>
      </c>
      <c r="I127" s="27935">
        <v>344</v>
      </c>
      <c r="J127" s="27936">
        <f>HLOOKUP("BPS",A1:CV300,127,FALSE)-((-6*HLOOKUP("OG",A1:CV300,127,FALSE))+(-6*HLOOKUP("PK Miss",A1:CV300,127,FALSE))+(9*HLOOKUP("FPL As",A1:CV300,127,FALSE))+(0*HLOOKUP("CS",A1:CV300,127,FALSE))+(18*HLOOKUP("Gs",A1:CV300,127,FALSE)))</f>
        <v>119</v>
      </c>
      <c r="K127" s="27937">
        <v>0</v>
      </c>
      <c r="L127" s="27938">
        <v>10</v>
      </c>
      <c r="M127" s="27939">
        <v>165</v>
      </c>
      <c r="N127" s="27940">
        <v>66</v>
      </c>
      <c r="O127" s="27941">
        <v>54</v>
      </c>
      <c r="P127" s="27942">
        <f>IF(HLOOKUP("Shots",A1:CV300,127,FALSE)=0,0,HLOOKUP("SIB",A1:CV300,127,FALSE)/HLOOKUP("Shots",A1:CV300,127,FALSE))</f>
        <v>0.81818181818181823</v>
      </c>
      <c r="Q127" s="27943">
        <v>5</v>
      </c>
      <c r="R127" s="27944">
        <f>IF(HLOOKUP("Shots",A1:CV300,127,FALSE)=0,0,HLOOKUP("S6YD",A1:CV300,127,FALSE)/HLOOKUP("Shots",A1:CV300,127,FALSE))</f>
        <v>7.575757575757576E-2</v>
      </c>
      <c r="S127" s="27945">
        <v>4</v>
      </c>
      <c r="T127" s="27946">
        <f>IF(HLOOKUP("Shots",A1:CV300,127,FALSE)=0,0,HLOOKUP("Headers",A1:CV300,127,FALSE)/HLOOKUP("Shots",A1:CV300,127,FALSE))</f>
        <v>6.0606060606060608E-2</v>
      </c>
      <c r="U127" s="27947">
        <v>31</v>
      </c>
      <c r="V127" s="27948">
        <f>IF(HLOOKUP("Shots",A1:CV300,127,FALSE)=0,0,HLOOKUP("SOT",A1:CV300,127,FALSE)/HLOOKUP("Shots",A1:CV300,127,FALSE))</f>
        <v>0.46969696969696972</v>
      </c>
      <c r="W127" s="27949">
        <f>IF(HLOOKUP("Shots",A1:CV300,127,FALSE)=0,0,HLOOKUP("Gs",A1:CV300,127,FALSE)/HLOOKUP("Shots",A1:CV300,127,FALSE))</f>
        <v>0.15151515151515152</v>
      </c>
      <c r="X127" s="27950">
        <v>5</v>
      </c>
      <c r="Y127" s="27951">
        <v>5</v>
      </c>
      <c r="Z127" s="27952">
        <v>31</v>
      </c>
      <c r="AA127" s="27953">
        <f>IF(HLOOKUP("KP",A1:CV300,127,FALSE)=0,0,HLOOKUP("As",A1:CV300,127,FALSE)/HLOOKUP("KP",A1:CV300,127,FALSE))</f>
        <v>0.16129032258064516</v>
      </c>
      <c r="AB127" s="27954">
        <v>204.8</v>
      </c>
      <c r="AC127" s="27955">
        <v>42</v>
      </c>
      <c r="AD127" s="27956">
        <v>6</v>
      </c>
      <c r="AE127" s="27957">
        <v>15</v>
      </c>
      <c r="AF127" s="27958">
        <v>6</v>
      </c>
      <c r="AG127" s="27959">
        <f>IF(HLOOKUP("BC",A1:CV300,127,FALSE)=0,0,HLOOKUP("Gs - BC",A1:CV300,127,FALSE)/HLOOKUP("BC",A1:CV300,127,FALSE))</f>
        <v>0.6</v>
      </c>
      <c r="AH127" s="27960">
        <f>HLOOKUP("BC",A1:CV300,127,FALSE) - HLOOKUP("BC Miss",A1:CV300,127,FALSE)</f>
        <v>9</v>
      </c>
      <c r="AI127" s="27961">
        <f>IF(HLOOKUP("Gs",A1:CV300,127,FALSE)=0,0,HLOOKUP("Gs - BC",A1:CV300,127,FALSE)/HLOOKUP("Gs",A1:CV300,127,FALSE))</f>
        <v>0.9</v>
      </c>
      <c r="AJ127" s="27962">
        <v>2</v>
      </c>
      <c r="AK127" s="27963">
        <v>0</v>
      </c>
      <c r="AL127" s="27964">
        <f>HLOOKUP("BC",A1:CV300,127,FALSE) - (HLOOKUP("PK Gs",A1:CV300,127,FALSE) + HLOOKUP("PK Miss",A1:CV300,127,FALSE))</f>
        <v>13</v>
      </c>
      <c r="AM127" s="27965">
        <f>HLOOKUP("BC Miss",A1:CV300,127,FALSE) - HLOOKUP("PK Miss",A1:CV300,127,FALSE)</f>
        <v>6</v>
      </c>
      <c r="AN127" s="27966">
        <f>IF(HLOOKUP("BC - Open",A1:CV300,127,FALSE)=0,0,HLOOKUP("BC - Open Miss",A1:CV300,127,FALSE)/HLOOKUP("BC - Open",A1:CV300,127,FALSE))</f>
        <v>0.46153846153846156</v>
      </c>
      <c r="AO127" s="27967">
        <v>10</v>
      </c>
      <c r="AP127" s="27968">
        <f>IF(HLOOKUP("Gs",A1:CV300,127,FALSE)=0,0,HLOOKUP("GIB",A1:CV300,127,FALSE)/HLOOKUP("Gs",A1:CV300,127,FALSE))</f>
        <v>1</v>
      </c>
      <c r="AQ127" s="27969">
        <v>7</v>
      </c>
      <c r="AR127" s="27970">
        <f>IF(HLOOKUP("Gs",A1:CV300,127,FALSE)=0,0,HLOOKUP("Gs - Open",A1:CV300,127,FALSE)/HLOOKUP("Gs",A1:CV300,127,FALSE))</f>
        <v>0.7</v>
      </c>
      <c r="AS127" s="27971">
        <v>10.02</v>
      </c>
      <c r="AT127" s="27972">
        <v>3.46</v>
      </c>
      <c r="AU127" s="27973">
        <f>IF(HLOOKUP("Mins",A1:CV300,127,FALSE)=0,0,HLOOKUP("Pts",A1:CV300,127,FALSE)/HLOOKUP("Mins",A1:CV300,127,FALSE)* 90)</f>
        <v>7.4069235793598951</v>
      </c>
      <c r="AV127" s="27974">
        <f>IF(HLOOKUP("Apps",A1:CV300,127,FALSE)=0,0,HLOOKUP("Pts",A1:CV300,127,FALSE)/HLOOKUP("Apps",A1:CV300,127,FALSE)* 1)</f>
        <v>7</v>
      </c>
      <c r="AW127" s="27975">
        <f>IF(HLOOKUP("Mins",A1:CV300,127,FALSE)=0,0,HLOOKUP("Gs",A1:CV300,127,FALSE)/HLOOKUP("Mins",A1:CV300,127,FALSE)* 90)</f>
        <v>0.58785107772697587</v>
      </c>
      <c r="AX127" s="27976">
        <f>IF(HLOOKUP("Mins",A1:CV300,127,FALSE)=0,0,HLOOKUP("Bonus",A1:CV300,127,FALSE)/HLOOKUP("Mins",A1:CV300,127,FALSE)* 90)</f>
        <v>0.88177661659046369</v>
      </c>
      <c r="AY127" s="27977">
        <f>IF(HLOOKUP("Mins",A1:CV300,127,FALSE)=0,0,HLOOKUP("BPS",A1:CV300,127,FALSE)/HLOOKUP("Mins",A1:CV300,127,FALSE)* 90)</f>
        <v>20.222077073807966</v>
      </c>
      <c r="AZ127" s="27978">
        <f>IF(HLOOKUP("Mins",A1:CV300,127,FALSE)=0,0,HLOOKUP("Base BPS",A1:CV300,127,FALSE)/HLOOKUP("Mins",A1:CV300,127,FALSE)* 90)</f>
        <v>6.9954278249510118</v>
      </c>
      <c r="BA127" s="27979">
        <f>IF(HLOOKUP("Mins",A1:CV300,127,FALSE)=0,0,HLOOKUP("PenTchs",A1:CV300,127,FALSE)/HLOOKUP("Mins",A1:CV300,127,FALSE)* 90)</f>
        <v>9.6995427824951008</v>
      </c>
      <c r="BB127" s="27980">
        <f>IF(HLOOKUP("Mins",A1:CV300,127,FALSE)=0,0,HLOOKUP("Shots",A1:CV300,127,FALSE)/HLOOKUP("Mins",A1:CV300,127,FALSE)* 90)</f>
        <v>3.8798171129980408</v>
      </c>
      <c r="BC127" s="27981">
        <f>IF(HLOOKUP("Mins",A1:CV300,127,FALSE)=0,0,HLOOKUP("SIB",A1:CV300,127,FALSE)/HLOOKUP("Mins",A1:CV300,127,FALSE)* 90)</f>
        <v>3.1743958197256692</v>
      </c>
      <c r="BD127" s="27982">
        <f>IF(HLOOKUP("Mins",A1:CV300,127,FALSE)=0,0,HLOOKUP("S6YD",A1:CV300,127,FALSE)/HLOOKUP("Mins",A1:CV300,127,FALSE)* 90)</f>
        <v>0.29392553886348793</v>
      </c>
      <c r="BE127" s="27983">
        <f>IF(HLOOKUP("Mins",A1:CV300,127,FALSE)=0,0,HLOOKUP("Headers",A1:CV300,127,FALSE)/HLOOKUP("Mins",A1:CV300,127,FALSE)* 90)</f>
        <v>0.23514043109079033</v>
      </c>
      <c r="BF127" s="27984">
        <f>IF(HLOOKUP("Mins",A1:CV300,127,FALSE)=0,0,HLOOKUP("SOT",A1:CV300,127,FALSE)/HLOOKUP("Mins",A1:CV300,127,FALSE)* 90)</f>
        <v>1.8223383409536251</v>
      </c>
      <c r="BG127" s="27985">
        <f>IF(HLOOKUP("Mins",A1:CV300,127,FALSE)=0,0,HLOOKUP("As",A1:CV300,127,FALSE)/HLOOKUP("Mins",A1:CV300,127,FALSE)* 90)</f>
        <v>0.29392553886348793</v>
      </c>
      <c r="BH127" s="27986">
        <f>IF(HLOOKUP("Mins",A1:CV300,127,FALSE)=0,0,HLOOKUP("FPL As",A1:CV300,127,FALSE)/HLOOKUP("Mins",A1:CV300,127,FALSE)* 90)</f>
        <v>0.29392553886348793</v>
      </c>
      <c r="BI127" s="27987">
        <f>IF(HLOOKUP("Mins",A1:CV300,127,FALSE)=0,0,HLOOKUP("BC Created",A1:CV300,127,FALSE)/HLOOKUP("Mins",A1:CV300,127,FALSE)* 90)</f>
        <v>0.35271064663618551</v>
      </c>
      <c r="BJ127" s="27988">
        <f>IF(HLOOKUP("Mins",A1:CV300,127,FALSE)=0,0,HLOOKUP("KP",A1:CV300,127,FALSE)/HLOOKUP("Mins",A1:CV300,127,FALSE)* 90)</f>
        <v>1.8223383409536251</v>
      </c>
      <c r="BK127" s="27989">
        <f>IF(HLOOKUP("Mins",A1:CV300,127,FALSE)=0,0,HLOOKUP("BC",A1:CV300,127,FALSE)/HLOOKUP("Mins",A1:CV300,127,FALSE)* 90)</f>
        <v>0.88177661659046369</v>
      </c>
      <c r="BL127" s="27990">
        <f>IF(HLOOKUP("Mins",A1:CV300,127,FALSE)=0,0,HLOOKUP("BC Miss",A1:CV300,127,FALSE)/HLOOKUP("Mins",A1:CV300,127,FALSE)* 90)</f>
        <v>0.35271064663618551</v>
      </c>
      <c r="BM127" s="27991">
        <f>IF(HLOOKUP("Mins",A1:CV300,127,FALSE)=0,0,HLOOKUP("Gs - BC",A1:CV300,127,FALSE)/HLOOKUP("Mins",A1:CV300,127,FALSE)* 90)</f>
        <v>0.52906596995427824</v>
      </c>
      <c r="BN127" s="27992">
        <f>IF(HLOOKUP("Mins",A1:CV300,127,FALSE)=0,0,HLOOKUP("GIB",A1:CV300,127,FALSE)/HLOOKUP("Mins",A1:CV300,127,FALSE)* 90)</f>
        <v>0.58785107772697587</v>
      </c>
      <c r="BO127" s="27993">
        <f>IF(HLOOKUP("Mins",A1:CV300,127,FALSE)=0,0,HLOOKUP("Gs - Open",A1:CV300,127,FALSE)/HLOOKUP("Mins",A1:CV300,127,FALSE)* 90)</f>
        <v>0.41149575440888309</v>
      </c>
      <c r="BP127" s="27994">
        <f>IF(HLOOKUP("Mins",A1:CV300,127,FALSE)=0,0,HLOOKUP("ICT Index",A1:CV300,127,FALSE)/HLOOKUP("Mins",A1:CV300,127,FALSE)* 90)</f>
        <v>12.039190071848466</v>
      </c>
      <c r="BQ127" s="27995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  <v>0.54764206401045057</v>
      </c>
      <c r="BR127" s="27996">
        <f>0.0885*HLOOKUP("KP/90",A1:CV300,127,FALSE)</f>
        <v>0.16127694317439581</v>
      </c>
      <c r="BS127" s="27997">
        <f>5*HLOOKUP("xG/90",A1:CV300,127,FALSE)+3*HLOOKUP("xA/90",A1:CV300,127,FALSE)</f>
        <v>3.22204114957544</v>
      </c>
      <c r="BT127" s="27998">
        <f>HLOOKUP("xPts/90",A1:CV300,127,FALSE)-(5*0.75*(HLOOKUP("PK Gs",A1:CV300,127,FALSE)+HLOOKUP("PK Miss",A1:CV300,127,FALSE))*90/HLOOKUP("Mins",A1:CV300,127,FALSE))</f>
        <v>2.7811528412802082</v>
      </c>
      <c r="BU127" s="27999">
        <f>IF(HLOOKUP("Mins",A1:CV300,127,FALSE)=0,0,HLOOKUP("fsXG",A1:CV300,127,FALSE)/HLOOKUP("Mins",A1:CV300,127,FALSE)* 90)</f>
        <v>0.5890267798824298</v>
      </c>
      <c r="BV127" s="28000">
        <f>IF(HLOOKUP("Mins",A1:CV300,127,FALSE)=0,0,HLOOKUP("fsXA",A1:CV300,127,FALSE)/HLOOKUP("Mins",A1:CV300,127,FALSE)* 90)</f>
        <v>0.20339647289353363</v>
      </c>
      <c r="BW127" s="28001">
        <f>5*HLOOKUP("fsXG/90",A1:CV300,127,FALSE)+3*HLOOKUP("fsXA/90",A1:CV300,127,FALSE)</f>
        <v>3.5553233180927499</v>
      </c>
      <c r="BX127" s="28002">
        <v>0.6343839168548584</v>
      </c>
      <c r="BY127" s="28003">
        <v>0.25867319107055664</v>
      </c>
      <c r="BZ127" s="28004">
        <f>5*HLOOKUP("uXG/90",A1:CV300,127,FALSE)+3*HLOOKUP("uXA/90",A1:CV300,127,FALSE)</f>
        <v>3.9479391574859619</v>
      </c>
    </row>
    <row r="128" spans="1:78" x14ac:dyDescent="0.3">
      <c r="A128" s="28005" t="s">
        <v>455</v>
      </c>
      <c r="B128" s="28006" t="s">
        <v>86</v>
      </c>
      <c r="C128" s="28007">
        <v>4.3000001907348633</v>
      </c>
      <c r="D128" s="28008">
        <v>74</v>
      </c>
      <c r="E128" s="28009">
        <v>6</v>
      </c>
      <c r="F128" s="28010">
        <v>6</v>
      </c>
      <c r="G128" s="28011">
        <v>0</v>
      </c>
      <c r="H128" s="28012">
        <v>0</v>
      </c>
      <c r="I128" s="28013">
        <v>16</v>
      </c>
      <c r="J128" s="28014">
        <f>HLOOKUP("BPS",A1:CV300,128,FALSE)-((-6*HLOOKUP("OG",A1:CV300,128,FALSE))+(-6*HLOOKUP("PK Miss",A1:CV300,128,FALSE))+(9*HLOOKUP("FPL As",A1:CV300,128,FALSE))+(0*HLOOKUP("CS",A1:CV300,128,FALSE))+(18*HLOOKUP("Gs",A1:CV300,128,FALSE)))</f>
        <v>16</v>
      </c>
      <c r="K128" s="28015">
        <v>0</v>
      </c>
      <c r="L128" s="28016">
        <v>0</v>
      </c>
      <c r="M128" s="28017">
        <v>6</v>
      </c>
      <c r="N128" s="28018">
        <v>4</v>
      </c>
      <c r="O128" s="28019">
        <v>4</v>
      </c>
      <c r="P128" s="28020">
        <f>IF(HLOOKUP("Shots",A1:CV300,128,FALSE)=0,0,HLOOKUP("SIB",A1:CV300,128,FALSE)/HLOOKUP("Shots",A1:CV300,128,FALSE))</f>
        <v>1</v>
      </c>
      <c r="Q128" s="28021">
        <v>0</v>
      </c>
      <c r="R128" s="28022">
        <f>IF(HLOOKUP("Shots",A1:CV300,128,FALSE)=0,0,HLOOKUP("S6YD",A1:CV300,128,FALSE)/HLOOKUP("Shots",A1:CV300,128,FALSE))</f>
        <v>0</v>
      </c>
      <c r="S128" s="28023">
        <v>0</v>
      </c>
      <c r="T128" s="28024">
        <f>IF(HLOOKUP("Shots",A1:CV300,128,FALSE)=0,0,HLOOKUP("Headers",A1:CV300,128,FALSE)/HLOOKUP("Shots",A1:CV300,128,FALSE))</f>
        <v>0</v>
      </c>
      <c r="U128" s="28025">
        <v>2</v>
      </c>
      <c r="V128" s="28026">
        <f>IF(HLOOKUP("Shots",A1:CV300,128,FALSE)=0,0,HLOOKUP("SOT",A1:CV300,128,FALSE)/HLOOKUP("Shots",A1:CV300,128,FALSE))</f>
        <v>0.5</v>
      </c>
      <c r="W128" s="28027">
        <f>IF(HLOOKUP("Shots",A1:CV300,128,FALSE)=0,0,HLOOKUP("Gs",A1:CV300,128,FALSE)/HLOOKUP("Shots",A1:CV300,128,FALSE))</f>
        <v>0</v>
      </c>
      <c r="X128" s="28028">
        <v>0</v>
      </c>
      <c r="Y128" s="28029">
        <v>0</v>
      </c>
      <c r="Z128" s="28030">
        <v>2</v>
      </c>
      <c r="AA128" s="28031">
        <f>IF(HLOOKUP("KP",A1:CV300,128,FALSE)=0,0,HLOOKUP("As",A1:CV300,128,FALSE)/HLOOKUP("KP",A1:CV300,128,FALSE))</f>
        <v>0</v>
      </c>
      <c r="AB128" s="28032">
        <v>8.1999999999999993</v>
      </c>
      <c r="AC128" s="28033">
        <v>0</v>
      </c>
      <c r="AD128" s="28034">
        <v>0</v>
      </c>
      <c r="AE128" s="28035">
        <v>1</v>
      </c>
      <c r="AF128" s="28036">
        <v>1</v>
      </c>
      <c r="AG128" s="28037">
        <f>IF(HLOOKUP("BC",A1:CV300,128,FALSE)=0,0,HLOOKUP("Gs - BC",A1:CV300,128,FALSE)/HLOOKUP("BC",A1:CV300,128,FALSE))</f>
        <v>0</v>
      </c>
      <c r="AH128" s="28038">
        <f>HLOOKUP("BC",A1:CV300,128,FALSE) - HLOOKUP("BC Miss",A1:CV300,128,FALSE)</f>
        <v>0</v>
      </c>
      <c r="AI128" s="28039">
        <f>IF(HLOOKUP("Gs",A1:CV300,128,FALSE)=0,0,HLOOKUP("Gs - BC",A1:CV300,128,FALSE)/HLOOKUP("Gs",A1:CV300,128,FALSE))</f>
        <v>0</v>
      </c>
      <c r="AJ128" s="28040">
        <v>0</v>
      </c>
      <c r="AK128" s="28041">
        <v>0</v>
      </c>
      <c r="AL128" s="28042">
        <f>HLOOKUP("BC",A1:CV300,128,FALSE) - (HLOOKUP("PK Gs",A1:CV300,128,FALSE) + HLOOKUP("PK Miss",A1:CV300,128,FALSE))</f>
        <v>1</v>
      </c>
      <c r="AM128" s="28043">
        <f>HLOOKUP("BC Miss",A1:CV300,128,FALSE) - HLOOKUP("PK Miss",A1:CV300,128,FALSE)</f>
        <v>1</v>
      </c>
      <c r="AN128" s="28044">
        <f>IF(HLOOKUP("BC - Open",A1:CV300,128,FALSE)=0,0,HLOOKUP("BC - Open Miss",A1:CV300,128,FALSE)/HLOOKUP("BC - Open",A1:CV300,128,FALSE))</f>
        <v>1</v>
      </c>
      <c r="AO128" s="28045">
        <v>0</v>
      </c>
      <c r="AP128" s="28046">
        <f>IF(HLOOKUP("Gs",A1:CV300,128,FALSE)=0,0,HLOOKUP("GIB",A1:CV300,128,FALSE)/HLOOKUP("Gs",A1:CV300,128,FALSE))</f>
        <v>0</v>
      </c>
      <c r="AQ128" s="28047">
        <v>0</v>
      </c>
      <c r="AR128" s="28048">
        <f>IF(HLOOKUP("Gs",A1:CV300,128,FALSE)=0,0,HLOOKUP("Gs - Open",A1:CV300,128,FALSE)/HLOOKUP("Gs",A1:CV300,128,FALSE))</f>
        <v>0</v>
      </c>
      <c r="AS128" s="28049">
        <v>0.63</v>
      </c>
      <c r="AT128" s="28050">
        <v>0.02</v>
      </c>
      <c r="AU128" s="28051">
        <f>IF(HLOOKUP("Mins",A1:CV300,128,FALSE)=0,0,HLOOKUP("Pts",A1:CV300,128,FALSE)/HLOOKUP("Mins",A1:CV300,128,FALSE)* 90)</f>
        <v>7.2972972972972974</v>
      </c>
      <c r="AV128" s="28052">
        <f>IF(HLOOKUP("Apps",A1:CV300,128,FALSE)=0,0,HLOOKUP("Pts",A1:CV300,128,FALSE)/HLOOKUP("Apps",A1:CV300,128,FALSE)* 1)</f>
        <v>1</v>
      </c>
      <c r="AW128" s="28053">
        <f>IF(HLOOKUP("Mins",A1:CV300,128,FALSE)=0,0,HLOOKUP("Gs",A1:CV300,128,FALSE)/HLOOKUP("Mins",A1:CV300,128,FALSE)* 90)</f>
        <v>0</v>
      </c>
      <c r="AX128" s="28054">
        <f>IF(HLOOKUP("Mins",A1:CV300,128,FALSE)=0,0,HLOOKUP("Bonus",A1:CV300,128,FALSE)/HLOOKUP("Mins",A1:CV300,128,FALSE)* 90)</f>
        <v>0</v>
      </c>
      <c r="AY128" s="28055">
        <f>IF(HLOOKUP("Mins",A1:CV300,128,FALSE)=0,0,HLOOKUP("BPS",A1:CV300,128,FALSE)/HLOOKUP("Mins",A1:CV300,128,FALSE)* 90)</f>
        <v>19.45945945945946</v>
      </c>
      <c r="AZ128" s="28056">
        <f>IF(HLOOKUP("Mins",A1:CV300,128,FALSE)=0,0,HLOOKUP("Base BPS",A1:CV300,128,FALSE)/HLOOKUP("Mins",A1:CV300,128,FALSE)* 90)</f>
        <v>19.45945945945946</v>
      </c>
      <c r="BA128" s="28057">
        <f>IF(HLOOKUP("Mins",A1:CV300,128,FALSE)=0,0,HLOOKUP("PenTchs",A1:CV300,128,FALSE)/HLOOKUP("Mins",A1:CV300,128,FALSE)* 90)</f>
        <v>7.2972972972972974</v>
      </c>
      <c r="BB128" s="28058">
        <f>IF(HLOOKUP("Mins",A1:CV300,128,FALSE)=0,0,HLOOKUP("Shots",A1:CV300,128,FALSE)/HLOOKUP("Mins",A1:CV300,128,FALSE)* 90)</f>
        <v>4.8648648648648649</v>
      </c>
      <c r="BC128" s="28059">
        <f>IF(HLOOKUP("Mins",A1:CV300,128,FALSE)=0,0,HLOOKUP("SIB",A1:CV300,128,FALSE)/HLOOKUP("Mins",A1:CV300,128,FALSE)* 90)</f>
        <v>4.8648648648648649</v>
      </c>
      <c r="BD128" s="28060">
        <f>IF(HLOOKUP("Mins",A1:CV300,128,FALSE)=0,0,HLOOKUP("S6YD",A1:CV300,128,FALSE)/HLOOKUP("Mins",A1:CV300,128,FALSE)* 90)</f>
        <v>0</v>
      </c>
      <c r="BE128" s="28061">
        <f>IF(HLOOKUP("Mins",A1:CV300,128,FALSE)=0,0,HLOOKUP("Headers",A1:CV300,128,FALSE)/HLOOKUP("Mins",A1:CV300,128,FALSE)* 90)</f>
        <v>0</v>
      </c>
      <c r="BF128" s="28062">
        <f>IF(HLOOKUP("Mins",A1:CV300,128,FALSE)=0,0,HLOOKUP("SOT",A1:CV300,128,FALSE)/HLOOKUP("Mins",A1:CV300,128,FALSE)* 90)</f>
        <v>2.4324324324324325</v>
      </c>
      <c r="BG128" s="28063">
        <f>IF(HLOOKUP("Mins",A1:CV300,128,FALSE)=0,0,HLOOKUP("As",A1:CV300,128,FALSE)/HLOOKUP("Mins",A1:CV300,128,FALSE)* 90)</f>
        <v>0</v>
      </c>
      <c r="BH128" s="28064">
        <f>IF(HLOOKUP("Mins",A1:CV300,128,FALSE)=0,0,HLOOKUP("FPL As",A1:CV300,128,FALSE)/HLOOKUP("Mins",A1:CV300,128,FALSE)* 90)</f>
        <v>0</v>
      </c>
      <c r="BI128" s="28065">
        <f>IF(HLOOKUP("Mins",A1:CV300,128,FALSE)=0,0,HLOOKUP("BC Created",A1:CV300,128,FALSE)/HLOOKUP("Mins",A1:CV300,128,FALSE)* 90)</f>
        <v>0</v>
      </c>
      <c r="BJ128" s="28066">
        <f>IF(HLOOKUP("Mins",A1:CV300,128,FALSE)=0,0,HLOOKUP("KP",A1:CV300,128,FALSE)/HLOOKUP("Mins",A1:CV300,128,FALSE)* 90)</f>
        <v>2.4324324324324325</v>
      </c>
      <c r="BK128" s="28067">
        <f>IF(HLOOKUP("Mins",A1:CV300,128,FALSE)=0,0,HLOOKUP("BC",A1:CV300,128,FALSE)/HLOOKUP("Mins",A1:CV300,128,FALSE)* 90)</f>
        <v>1.2162162162162162</v>
      </c>
      <c r="BL128" s="28068">
        <f>IF(HLOOKUP("Mins",A1:CV300,128,FALSE)=0,0,HLOOKUP("BC Miss",A1:CV300,128,FALSE)/HLOOKUP("Mins",A1:CV300,128,FALSE)* 90)</f>
        <v>1.2162162162162162</v>
      </c>
      <c r="BM128" s="28069">
        <f>IF(HLOOKUP("Mins",A1:CV300,128,FALSE)=0,0,HLOOKUP("Gs - BC",A1:CV300,128,FALSE)/HLOOKUP("Mins",A1:CV300,128,FALSE)* 90)</f>
        <v>0</v>
      </c>
      <c r="BN128" s="28070">
        <f>IF(HLOOKUP("Mins",A1:CV300,128,FALSE)=0,0,HLOOKUP("GIB",A1:CV300,128,FALSE)/HLOOKUP("Mins",A1:CV300,128,FALSE)* 90)</f>
        <v>0</v>
      </c>
      <c r="BO128" s="28071">
        <f>IF(HLOOKUP("Mins",A1:CV300,128,FALSE)=0,0,HLOOKUP("Gs - Open",A1:CV300,128,FALSE)/HLOOKUP("Mins",A1:CV300,128,FALSE)* 90)</f>
        <v>0</v>
      </c>
      <c r="BP128" s="28072">
        <f>IF(HLOOKUP("Mins",A1:CV300,128,FALSE)=0,0,HLOOKUP("ICT Index",A1:CV300,128,FALSE)/HLOOKUP("Mins",A1:CV300,128,FALSE)* 90)</f>
        <v>9.9729729729729719</v>
      </c>
      <c r="BQ128" s="28073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  <v>0.69081081081081075</v>
      </c>
      <c r="BR128" s="28074">
        <f>0.0885*HLOOKUP("KP/90",A1:CV300,128,FALSE)</f>
        <v>0.21527027027027026</v>
      </c>
      <c r="BS128" s="28075">
        <f>5*HLOOKUP("xG/90",A1:CV300,128,FALSE)+3*HLOOKUP("xA/90",A1:CV300,128,FALSE)</f>
        <v>4.0998648648648643</v>
      </c>
      <c r="BT128" s="28076">
        <f>HLOOKUP("xPts/90",A1:CV300,128,FALSE)-(5*0.75*(HLOOKUP("PK Gs",A1:CV300,128,FALSE)+HLOOKUP("PK Miss",A1:CV300,128,FALSE))*90/HLOOKUP("Mins",A1:CV300,128,FALSE))</f>
        <v>4.0998648648648643</v>
      </c>
      <c r="BU128" s="28077">
        <f>IF(HLOOKUP("Mins",A1:CV300,128,FALSE)=0,0,HLOOKUP("fsXG",A1:CV300,128,FALSE)/HLOOKUP("Mins",A1:CV300,128,FALSE)* 90)</f>
        <v>0.76621621621621616</v>
      </c>
      <c r="BV128" s="28078">
        <f>IF(HLOOKUP("Mins",A1:CV300,128,FALSE)=0,0,HLOOKUP("fsXA",A1:CV300,128,FALSE)/HLOOKUP("Mins",A1:CV300,128,FALSE)* 90)</f>
        <v>2.4324324324324326E-2</v>
      </c>
      <c r="BW128" s="28079">
        <f>5*HLOOKUP("fsXG/90",A1:CV300,128,FALSE)+3*HLOOKUP("fsXA/90",A1:CV300,128,FALSE)</f>
        <v>3.9040540540540536</v>
      </c>
      <c r="BX128" s="28080">
        <v>0.74458903074264526</v>
      </c>
      <c r="BY128" s="28081">
        <v>5.0842899829149246E-2</v>
      </c>
      <c r="BZ128" s="28082">
        <f>5*HLOOKUP("uXG/90",A1:CV300,128,FALSE)+3*HLOOKUP("uXA/90",A1:CV300,128,FALSE)</f>
        <v>3.8754738532006741</v>
      </c>
    </row>
    <row r="129" spans="1:78" x14ac:dyDescent="0.3">
      <c r="A129" s="28083" t="s">
        <v>456</v>
      </c>
      <c r="B129" s="28084" t="s">
        <v>105</v>
      </c>
      <c r="C129" s="28085">
        <v>5.1999998092651367</v>
      </c>
      <c r="D129" s="28086">
        <v>1548</v>
      </c>
      <c r="E129" s="28087">
        <v>18</v>
      </c>
      <c r="F129" s="28088">
        <v>36</v>
      </c>
      <c r="G129" s="28089">
        <v>0</v>
      </c>
      <c r="H129" s="28090">
        <v>1</v>
      </c>
      <c r="I129" s="28091">
        <v>264</v>
      </c>
      <c r="J129" s="28092">
        <f>HLOOKUP("BPS",A1:CV300,129,FALSE)-((-6*HLOOKUP("OG",A1:CV300,129,FALSE))+(-6*HLOOKUP("PK Miss",A1:CV300,129,FALSE))+(9*HLOOKUP("FPL As",A1:CV300,129,FALSE))+(0*HLOOKUP("CS",A1:CV300,129,FALSE))+(18*HLOOKUP("Gs",A1:CV300,129,FALSE)))</f>
        <v>264</v>
      </c>
      <c r="K129" s="28093">
        <v>0</v>
      </c>
      <c r="L129" s="28094">
        <v>7</v>
      </c>
      <c r="M129" s="28095">
        <v>15</v>
      </c>
      <c r="N129" s="28096">
        <v>8</v>
      </c>
      <c r="O129" s="28097">
        <v>8</v>
      </c>
      <c r="P129" s="28098">
        <f>IF(HLOOKUP("Shots",A1:CV300,129,FALSE)=0,0,HLOOKUP("SIB",A1:CV300,129,FALSE)/HLOOKUP("Shots",A1:CV300,129,FALSE))</f>
        <v>1</v>
      </c>
      <c r="Q129" s="28099">
        <v>1</v>
      </c>
      <c r="R129" s="28100">
        <f>IF(HLOOKUP("Shots",A1:CV300,129,FALSE)=0,0,HLOOKUP("S6YD",A1:CV300,129,FALSE)/HLOOKUP("Shots",A1:CV300,129,FALSE))</f>
        <v>0.125</v>
      </c>
      <c r="S129" s="28101">
        <v>4</v>
      </c>
      <c r="T129" s="28102">
        <f>IF(HLOOKUP("Shots",A1:CV300,129,FALSE)=0,0,HLOOKUP("Headers",A1:CV300,129,FALSE)/HLOOKUP("Shots",A1:CV300,129,FALSE))</f>
        <v>0.5</v>
      </c>
      <c r="U129" s="28103">
        <v>1</v>
      </c>
      <c r="V129" s="28104">
        <f>IF(HLOOKUP("Shots",A1:CV300,129,FALSE)=0,0,HLOOKUP("SOT",A1:CV300,129,FALSE)/HLOOKUP("Shots",A1:CV300,129,FALSE))</f>
        <v>0.125</v>
      </c>
      <c r="W129" s="28105">
        <f>IF(HLOOKUP("Shots",A1:CV300,129,FALSE)=0,0,HLOOKUP("Gs",A1:CV300,129,FALSE)/HLOOKUP("Shots",A1:CV300,129,FALSE))</f>
        <v>0</v>
      </c>
      <c r="X129" s="28106">
        <v>0</v>
      </c>
      <c r="Y129" s="28107">
        <v>0</v>
      </c>
      <c r="Z129" s="28108">
        <v>3</v>
      </c>
      <c r="AA129" s="28109">
        <f>IF(HLOOKUP("KP",A1:CV300,129,FALSE)=0,0,HLOOKUP("As",A1:CV300,129,FALSE)/HLOOKUP("KP",A1:CV300,129,FALSE))</f>
        <v>0</v>
      </c>
      <c r="AB129" s="28110">
        <v>54.2</v>
      </c>
      <c r="AC129" s="28111">
        <v>0</v>
      </c>
      <c r="AD129" s="28112">
        <v>0</v>
      </c>
      <c r="AE129" s="28113">
        <v>0</v>
      </c>
      <c r="AF129" s="28114">
        <v>0</v>
      </c>
      <c r="AG129" s="28115">
        <f>IF(HLOOKUP("BC",A1:CV300,129,FALSE)=0,0,HLOOKUP("Gs - BC",A1:CV300,129,FALSE)/HLOOKUP("BC",A1:CV300,129,FALSE))</f>
        <v>0</v>
      </c>
      <c r="AH129" s="28116">
        <f>HLOOKUP("BC",A1:CV300,129,FALSE) - HLOOKUP("BC Miss",A1:CV300,129,FALSE)</f>
        <v>0</v>
      </c>
      <c r="AI129" s="28117">
        <f>IF(HLOOKUP("Gs",A1:CV300,129,FALSE)=0,0,HLOOKUP("Gs - BC",A1:CV300,129,FALSE)/HLOOKUP("Gs",A1:CV300,129,FALSE))</f>
        <v>0</v>
      </c>
      <c r="AJ129" s="28118">
        <v>0</v>
      </c>
      <c r="AK129" s="28119">
        <v>0</v>
      </c>
      <c r="AL129" s="28120">
        <f>HLOOKUP("BC",A1:CV300,129,FALSE) - (HLOOKUP("PK Gs",A1:CV300,129,FALSE) + HLOOKUP("PK Miss",A1:CV300,129,FALSE))</f>
        <v>0</v>
      </c>
      <c r="AM129" s="28121">
        <f>HLOOKUP("BC Miss",A1:CV300,129,FALSE) - HLOOKUP("PK Miss",A1:CV300,129,FALSE)</f>
        <v>0</v>
      </c>
      <c r="AN129" s="28122">
        <f>IF(HLOOKUP("BC - Open",A1:CV300,129,FALSE)=0,0,HLOOKUP("BC - Open Miss",A1:CV300,129,FALSE)/HLOOKUP("BC - Open",A1:CV300,129,FALSE))</f>
        <v>0</v>
      </c>
      <c r="AO129" s="28123">
        <v>0</v>
      </c>
      <c r="AP129" s="28124">
        <f>IF(HLOOKUP("Gs",A1:CV300,129,FALSE)=0,0,HLOOKUP("GIB",A1:CV300,129,FALSE)/HLOOKUP("Gs",A1:CV300,129,FALSE))</f>
        <v>0</v>
      </c>
      <c r="AQ129" s="28125">
        <v>0</v>
      </c>
      <c r="AR129" s="28126">
        <f>IF(HLOOKUP("Gs",A1:CV300,129,FALSE)=0,0,HLOOKUP("Gs - Open",A1:CV300,129,FALSE)/HLOOKUP("Gs",A1:CV300,129,FALSE))</f>
        <v>0</v>
      </c>
      <c r="AS129" s="28127">
        <v>0.56000000000000005</v>
      </c>
      <c r="AT129" s="28128">
        <v>0.37</v>
      </c>
      <c r="AU129" s="28129">
        <f>IF(HLOOKUP("Mins",A1:CV300,129,FALSE)=0,0,HLOOKUP("Pts",A1:CV300,129,FALSE)/HLOOKUP("Mins",A1:CV300,129,FALSE)* 90)</f>
        <v>2.0930232558139537</v>
      </c>
      <c r="AV129" s="28130">
        <f>IF(HLOOKUP("Apps",A1:CV300,129,FALSE)=0,0,HLOOKUP("Pts",A1:CV300,129,FALSE)/HLOOKUP("Apps",A1:CV300,129,FALSE)* 1)</f>
        <v>2</v>
      </c>
      <c r="AW129" s="28131">
        <f>IF(HLOOKUP("Mins",A1:CV300,129,FALSE)=0,0,HLOOKUP("Gs",A1:CV300,129,FALSE)/HLOOKUP("Mins",A1:CV300,129,FALSE)* 90)</f>
        <v>0</v>
      </c>
      <c r="AX129" s="28132">
        <f>IF(HLOOKUP("Mins",A1:CV300,129,FALSE)=0,0,HLOOKUP("Bonus",A1:CV300,129,FALSE)/HLOOKUP("Mins",A1:CV300,129,FALSE)* 90)</f>
        <v>5.8139534883720929E-2</v>
      </c>
      <c r="AY129" s="28133">
        <f>IF(HLOOKUP("Mins",A1:CV300,129,FALSE)=0,0,HLOOKUP("BPS",A1:CV300,129,FALSE)/HLOOKUP("Mins",A1:CV300,129,FALSE)* 90)</f>
        <v>15.348837209302326</v>
      </c>
      <c r="AZ129" s="28134">
        <f>IF(HLOOKUP("Mins",A1:CV300,129,FALSE)=0,0,HLOOKUP("Base BPS",A1:CV300,129,FALSE)/HLOOKUP("Mins",A1:CV300,129,FALSE)* 90)</f>
        <v>15.348837209302326</v>
      </c>
      <c r="BA129" s="28135">
        <f>IF(HLOOKUP("Mins",A1:CV300,129,FALSE)=0,0,HLOOKUP("PenTchs",A1:CV300,129,FALSE)/HLOOKUP("Mins",A1:CV300,129,FALSE)* 90)</f>
        <v>0.87209302325581395</v>
      </c>
      <c r="BB129" s="28136">
        <f>IF(HLOOKUP("Mins",A1:CV300,129,FALSE)=0,0,HLOOKUP("Shots",A1:CV300,129,FALSE)/HLOOKUP("Mins",A1:CV300,129,FALSE)* 90)</f>
        <v>0.46511627906976744</v>
      </c>
      <c r="BC129" s="28137">
        <f>IF(HLOOKUP("Mins",A1:CV300,129,FALSE)=0,0,HLOOKUP("SIB",A1:CV300,129,FALSE)/HLOOKUP("Mins",A1:CV300,129,FALSE)* 90)</f>
        <v>0.46511627906976744</v>
      </c>
      <c r="BD129" s="28138">
        <f>IF(HLOOKUP("Mins",A1:CV300,129,FALSE)=0,0,HLOOKUP("S6YD",A1:CV300,129,FALSE)/HLOOKUP("Mins",A1:CV300,129,FALSE)* 90)</f>
        <v>5.8139534883720929E-2</v>
      </c>
      <c r="BE129" s="28139">
        <f>IF(HLOOKUP("Mins",A1:CV300,129,FALSE)=0,0,HLOOKUP("Headers",A1:CV300,129,FALSE)/HLOOKUP("Mins",A1:CV300,129,FALSE)* 90)</f>
        <v>0.23255813953488372</v>
      </c>
      <c r="BF129" s="28140">
        <f>IF(HLOOKUP("Mins",A1:CV300,129,FALSE)=0,0,HLOOKUP("SOT",A1:CV300,129,FALSE)/HLOOKUP("Mins",A1:CV300,129,FALSE)* 90)</f>
        <v>5.8139534883720929E-2</v>
      </c>
      <c r="BG129" s="28141">
        <f>IF(HLOOKUP("Mins",A1:CV300,129,FALSE)=0,0,HLOOKUP("As",A1:CV300,129,FALSE)/HLOOKUP("Mins",A1:CV300,129,FALSE)* 90)</f>
        <v>0</v>
      </c>
      <c r="BH129" s="28142">
        <f>IF(HLOOKUP("Mins",A1:CV300,129,FALSE)=0,0,HLOOKUP("FPL As",A1:CV300,129,FALSE)/HLOOKUP("Mins",A1:CV300,129,FALSE)* 90)</f>
        <v>0</v>
      </c>
      <c r="BI129" s="28143">
        <f>IF(HLOOKUP("Mins",A1:CV300,129,FALSE)=0,0,HLOOKUP("BC Created",A1:CV300,129,FALSE)/HLOOKUP("Mins",A1:CV300,129,FALSE)* 90)</f>
        <v>0</v>
      </c>
      <c r="BJ129" s="28144">
        <f>IF(HLOOKUP("Mins",A1:CV300,129,FALSE)=0,0,HLOOKUP("KP",A1:CV300,129,FALSE)/HLOOKUP("Mins",A1:CV300,129,FALSE)* 90)</f>
        <v>0.1744186046511628</v>
      </c>
      <c r="BK129" s="28145">
        <f>IF(HLOOKUP("Mins",A1:CV300,129,FALSE)=0,0,HLOOKUP("BC",A1:CV300,129,FALSE)/HLOOKUP("Mins",A1:CV300,129,FALSE)* 90)</f>
        <v>0</v>
      </c>
      <c r="BL129" s="28146">
        <f>IF(HLOOKUP("Mins",A1:CV300,129,FALSE)=0,0,HLOOKUP("BC Miss",A1:CV300,129,FALSE)/HLOOKUP("Mins",A1:CV300,129,FALSE)* 90)</f>
        <v>0</v>
      </c>
      <c r="BM129" s="28147">
        <f>IF(HLOOKUP("Mins",A1:CV300,129,FALSE)=0,0,HLOOKUP("Gs - BC",A1:CV300,129,FALSE)/HLOOKUP("Mins",A1:CV300,129,FALSE)* 90)</f>
        <v>0</v>
      </c>
      <c r="BN129" s="28148">
        <f>IF(HLOOKUP("Mins",A1:CV300,129,FALSE)=0,0,HLOOKUP("GIB",A1:CV300,129,FALSE)/HLOOKUP("Mins",A1:CV300,129,FALSE)* 90)</f>
        <v>0</v>
      </c>
      <c r="BO129" s="28149">
        <f>IF(HLOOKUP("Mins",A1:CV300,129,FALSE)=0,0,HLOOKUP("Gs - Open",A1:CV300,129,FALSE)/HLOOKUP("Mins",A1:CV300,129,FALSE)* 90)</f>
        <v>0</v>
      </c>
      <c r="BP129" s="28150">
        <f>IF(HLOOKUP("Mins",A1:CV300,129,FALSE)=0,0,HLOOKUP("ICT Index",A1:CV300,129,FALSE)/HLOOKUP("Mins",A1:CV300,129,FALSE)* 90)</f>
        <v>3.1511627906976747</v>
      </c>
      <c r="BQ129" s="28151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  <v>6.6046511627906979E-2</v>
      </c>
      <c r="BR129" s="28152">
        <f>0.0885*HLOOKUP("KP/90",A1:CV300,129,FALSE)</f>
        <v>1.5436046511627907E-2</v>
      </c>
      <c r="BS129" s="28153">
        <f>5*HLOOKUP("xG/90",A1:CV300,129,FALSE)+3*HLOOKUP("xA/90",A1:CV300,129,FALSE)</f>
        <v>0.37654069767441861</v>
      </c>
      <c r="BT129" s="28154">
        <f>HLOOKUP("xPts/90",A1:CV300,129,FALSE)-(5*0.75*(HLOOKUP("PK Gs",A1:CV300,129,FALSE)+HLOOKUP("PK Miss",A1:CV300,129,FALSE))*90/HLOOKUP("Mins",A1:CV300,129,FALSE))</f>
        <v>0.37654069767441861</v>
      </c>
      <c r="BU129" s="28155">
        <f>IF(HLOOKUP("Mins",A1:CV300,129,FALSE)=0,0,HLOOKUP("fsXG",A1:CV300,129,FALSE)/HLOOKUP("Mins",A1:CV300,129,FALSE)* 90)</f>
        <v>3.2558139534883727E-2</v>
      </c>
      <c r="BV129" s="28156">
        <f>IF(HLOOKUP("Mins",A1:CV300,129,FALSE)=0,0,HLOOKUP("fsXA",A1:CV300,129,FALSE)/HLOOKUP("Mins",A1:CV300,129,FALSE)* 90)</f>
        <v>2.1511627906976742E-2</v>
      </c>
      <c r="BW129" s="28157">
        <f>5*HLOOKUP("fsXG/90",A1:CV300,129,FALSE)+3*HLOOKUP("fsXA/90",A1:CV300,129,FALSE)</f>
        <v>0.22732558139534886</v>
      </c>
      <c r="BX129" s="28158">
        <v>1.8915191292762756E-2</v>
      </c>
      <c r="BY129" s="28159">
        <v>8.4125110879540443E-3</v>
      </c>
      <c r="BZ129" s="28160">
        <f>5*HLOOKUP("uXG/90",A1:CV300,129,FALSE)+3*HLOOKUP("uXA/90",A1:CV300,129,FALSE)</f>
        <v>0.11981348972767591</v>
      </c>
    </row>
    <row r="130" spans="1:78" x14ac:dyDescent="0.3">
      <c r="A130" s="28161" t="s">
        <v>457</v>
      </c>
      <c r="B130" s="28162" t="s">
        <v>79</v>
      </c>
      <c r="C130" s="28163">
        <v>6.8000001907348633</v>
      </c>
      <c r="D130" s="28164">
        <v>111</v>
      </c>
      <c r="E130" s="28165">
        <v>3</v>
      </c>
      <c r="F130" s="28166">
        <v>4</v>
      </c>
      <c r="G130" s="28167">
        <v>0</v>
      </c>
      <c r="H130" s="28168">
        <v>0</v>
      </c>
      <c r="I130" s="28169">
        <v>3</v>
      </c>
      <c r="J130" s="28170">
        <f>HLOOKUP("BPS",A1:CV300,130,FALSE)-((-6*HLOOKUP("OG",A1:CV300,130,FALSE))+(-6*HLOOKUP("PK Miss",A1:CV300,130,FALSE))+(9*HLOOKUP("FPL As",A1:CV300,130,FALSE))+(0*HLOOKUP("CS",A1:CV300,130,FALSE))+(18*HLOOKUP("Gs",A1:CV300,130,FALSE)))</f>
        <v>3</v>
      </c>
      <c r="K130" s="28171">
        <v>0</v>
      </c>
      <c r="L130" s="28172">
        <v>1</v>
      </c>
      <c r="M130" s="28173">
        <v>14</v>
      </c>
      <c r="N130" s="28174">
        <v>2</v>
      </c>
      <c r="O130" s="28175">
        <v>2</v>
      </c>
      <c r="P130" s="28176">
        <f>IF(HLOOKUP("Shots",A1:CV300,130,FALSE)=0,0,HLOOKUP("SIB",A1:CV300,130,FALSE)/HLOOKUP("Shots",A1:CV300,130,FALSE))</f>
        <v>1</v>
      </c>
      <c r="Q130" s="28177">
        <v>0</v>
      </c>
      <c r="R130" s="28178">
        <f>IF(HLOOKUP("Shots",A1:CV300,130,FALSE)=0,0,HLOOKUP("S6YD",A1:CV300,130,FALSE)/HLOOKUP("Shots",A1:CV300,130,FALSE))</f>
        <v>0</v>
      </c>
      <c r="S130" s="28179">
        <v>0</v>
      </c>
      <c r="T130" s="28180">
        <f>IF(HLOOKUP("Shots",A1:CV300,130,FALSE)=0,0,HLOOKUP("Headers",A1:CV300,130,FALSE)/HLOOKUP("Shots",A1:CV300,130,FALSE))</f>
        <v>0</v>
      </c>
      <c r="U130" s="28181">
        <v>0</v>
      </c>
      <c r="V130" s="28182">
        <f>IF(HLOOKUP("Shots",A1:CV300,130,FALSE)=0,0,HLOOKUP("SOT",A1:CV300,130,FALSE)/HLOOKUP("Shots",A1:CV300,130,FALSE))</f>
        <v>0</v>
      </c>
      <c r="W130" s="28183">
        <f>IF(HLOOKUP("Shots",A1:CV300,130,FALSE)=0,0,HLOOKUP("Gs",A1:CV300,130,FALSE)/HLOOKUP("Shots",A1:CV300,130,FALSE))</f>
        <v>0</v>
      </c>
      <c r="X130" s="28184">
        <v>0</v>
      </c>
      <c r="Y130" s="28185">
        <v>0</v>
      </c>
      <c r="Z130" s="28186">
        <v>2</v>
      </c>
      <c r="AA130" s="28187">
        <f>IF(HLOOKUP("KP",A1:CV300,130,FALSE)=0,0,HLOOKUP("As",A1:CV300,130,FALSE)/HLOOKUP("KP",A1:CV300,130,FALSE))</f>
        <v>0</v>
      </c>
      <c r="AB130" s="28188">
        <v>8.5</v>
      </c>
      <c r="AC130" s="28189">
        <v>0</v>
      </c>
      <c r="AD130" s="28190">
        <v>0</v>
      </c>
      <c r="AE130" s="28191">
        <v>1</v>
      </c>
      <c r="AF130" s="28192">
        <v>1</v>
      </c>
      <c r="AG130" s="28193">
        <f>IF(HLOOKUP("BC",A1:CV300,130,FALSE)=0,0,HLOOKUP("Gs - BC",A1:CV300,130,FALSE)/HLOOKUP("BC",A1:CV300,130,FALSE))</f>
        <v>0</v>
      </c>
      <c r="AH130" s="28194">
        <f>HLOOKUP("BC",A1:CV300,130,FALSE) - HLOOKUP("BC Miss",A1:CV300,130,FALSE)</f>
        <v>0</v>
      </c>
      <c r="AI130" s="28195">
        <f>IF(HLOOKUP("Gs",A1:CV300,130,FALSE)=0,0,HLOOKUP("Gs - BC",A1:CV300,130,FALSE)/HLOOKUP("Gs",A1:CV300,130,FALSE))</f>
        <v>0</v>
      </c>
      <c r="AJ130" s="28196">
        <v>0</v>
      </c>
      <c r="AK130" s="28197">
        <v>0</v>
      </c>
      <c r="AL130" s="28198">
        <f>HLOOKUP("BC",A1:CV300,130,FALSE) - (HLOOKUP("PK Gs",A1:CV300,130,FALSE) + HLOOKUP("PK Miss",A1:CV300,130,FALSE))</f>
        <v>1</v>
      </c>
      <c r="AM130" s="28199">
        <f>HLOOKUP("BC Miss",A1:CV300,130,FALSE) - HLOOKUP("PK Miss",A1:CV300,130,FALSE)</f>
        <v>1</v>
      </c>
      <c r="AN130" s="28200">
        <f>IF(HLOOKUP("BC - Open",A1:CV300,130,FALSE)=0,0,HLOOKUP("BC - Open Miss",A1:CV300,130,FALSE)/HLOOKUP("BC - Open",A1:CV300,130,FALSE))</f>
        <v>1</v>
      </c>
      <c r="AO130" s="28201">
        <v>0</v>
      </c>
      <c r="AP130" s="28202">
        <f>IF(HLOOKUP("Gs",A1:CV300,130,FALSE)=0,0,HLOOKUP("GIB",A1:CV300,130,FALSE)/HLOOKUP("Gs",A1:CV300,130,FALSE))</f>
        <v>0</v>
      </c>
      <c r="AQ130" s="28203">
        <v>0</v>
      </c>
      <c r="AR130" s="28204">
        <f>IF(HLOOKUP("Gs",A1:CV300,130,FALSE)=0,0,HLOOKUP("Gs - Open",A1:CV300,130,FALSE)/HLOOKUP("Gs",A1:CV300,130,FALSE))</f>
        <v>0</v>
      </c>
      <c r="AS130" s="28205">
        <v>0.32</v>
      </c>
      <c r="AT130" s="28206">
        <v>0.34</v>
      </c>
      <c r="AU130" s="28207">
        <f>IF(HLOOKUP("Mins",A1:CV300,130,FALSE)=0,0,HLOOKUP("Pts",A1:CV300,130,FALSE)/HLOOKUP("Mins",A1:CV300,130,FALSE)* 90)</f>
        <v>3.2432432432432434</v>
      </c>
      <c r="AV130" s="28208">
        <f>IF(HLOOKUP("Apps",A1:CV300,130,FALSE)=0,0,HLOOKUP("Pts",A1:CV300,130,FALSE)/HLOOKUP("Apps",A1:CV300,130,FALSE)* 1)</f>
        <v>1.3333333333333333</v>
      </c>
      <c r="AW130" s="28209">
        <f>IF(HLOOKUP("Mins",A1:CV300,130,FALSE)=0,0,HLOOKUP("Gs",A1:CV300,130,FALSE)/HLOOKUP("Mins",A1:CV300,130,FALSE)* 90)</f>
        <v>0</v>
      </c>
      <c r="AX130" s="28210">
        <f>IF(HLOOKUP("Mins",A1:CV300,130,FALSE)=0,0,HLOOKUP("Bonus",A1:CV300,130,FALSE)/HLOOKUP("Mins",A1:CV300,130,FALSE)* 90)</f>
        <v>0</v>
      </c>
      <c r="AY130" s="28211">
        <f>IF(HLOOKUP("Mins",A1:CV300,130,FALSE)=0,0,HLOOKUP("BPS",A1:CV300,130,FALSE)/HLOOKUP("Mins",A1:CV300,130,FALSE)* 90)</f>
        <v>2.4324324324324325</v>
      </c>
      <c r="AZ130" s="28212">
        <f>IF(HLOOKUP("Mins",A1:CV300,130,FALSE)=0,0,HLOOKUP("Base BPS",A1:CV300,130,FALSE)/HLOOKUP("Mins",A1:CV300,130,FALSE)* 90)</f>
        <v>2.4324324324324325</v>
      </c>
      <c r="BA130" s="28213">
        <f>IF(HLOOKUP("Mins",A1:CV300,130,FALSE)=0,0,HLOOKUP("PenTchs",A1:CV300,130,FALSE)/HLOOKUP("Mins",A1:CV300,130,FALSE)* 90)</f>
        <v>11.351351351351351</v>
      </c>
      <c r="BB130" s="28214">
        <f>IF(HLOOKUP("Mins",A1:CV300,130,FALSE)=0,0,HLOOKUP("Shots",A1:CV300,130,FALSE)/HLOOKUP("Mins",A1:CV300,130,FALSE)* 90)</f>
        <v>1.6216216216216217</v>
      </c>
      <c r="BC130" s="28215">
        <f>IF(HLOOKUP("Mins",A1:CV300,130,FALSE)=0,0,HLOOKUP("SIB",A1:CV300,130,FALSE)/HLOOKUP("Mins",A1:CV300,130,FALSE)* 90)</f>
        <v>1.6216216216216217</v>
      </c>
      <c r="BD130" s="28216">
        <f>IF(HLOOKUP("Mins",A1:CV300,130,FALSE)=0,0,HLOOKUP("S6YD",A1:CV300,130,FALSE)/HLOOKUP("Mins",A1:CV300,130,FALSE)* 90)</f>
        <v>0</v>
      </c>
      <c r="BE130" s="28217">
        <f>IF(HLOOKUP("Mins",A1:CV300,130,FALSE)=0,0,HLOOKUP("Headers",A1:CV300,130,FALSE)/HLOOKUP("Mins",A1:CV300,130,FALSE)* 90)</f>
        <v>0</v>
      </c>
      <c r="BF130" s="28218">
        <f>IF(HLOOKUP("Mins",A1:CV300,130,FALSE)=0,0,HLOOKUP("SOT",A1:CV300,130,FALSE)/HLOOKUP("Mins",A1:CV300,130,FALSE)* 90)</f>
        <v>0</v>
      </c>
      <c r="BG130" s="28219">
        <f>IF(HLOOKUP("Mins",A1:CV300,130,FALSE)=0,0,HLOOKUP("As",A1:CV300,130,FALSE)/HLOOKUP("Mins",A1:CV300,130,FALSE)* 90)</f>
        <v>0</v>
      </c>
      <c r="BH130" s="28220">
        <f>IF(HLOOKUP("Mins",A1:CV300,130,FALSE)=0,0,HLOOKUP("FPL As",A1:CV300,130,FALSE)/HLOOKUP("Mins",A1:CV300,130,FALSE)* 90)</f>
        <v>0</v>
      </c>
      <c r="BI130" s="28221">
        <f>IF(HLOOKUP("Mins",A1:CV300,130,FALSE)=0,0,HLOOKUP("BC Created",A1:CV300,130,FALSE)/HLOOKUP("Mins",A1:CV300,130,FALSE)* 90)</f>
        <v>0</v>
      </c>
      <c r="BJ130" s="28222">
        <f>IF(HLOOKUP("Mins",A1:CV300,130,FALSE)=0,0,HLOOKUP("KP",A1:CV300,130,FALSE)/HLOOKUP("Mins",A1:CV300,130,FALSE)* 90)</f>
        <v>1.6216216216216217</v>
      </c>
      <c r="BK130" s="28223">
        <f>IF(HLOOKUP("Mins",A1:CV300,130,FALSE)=0,0,HLOOKUP("BC",A1:CV300,130,FALSE)/HLOOKUP("Mins",A1:CV300,130,FALSE)* 90)</f>
        <v>0.81081081081081086</v>
      </c>
      <c r="BL130" s="28224">
        <f>IF(HLOOKUP("Mins",A1:CV300,130,FALSE)=0,0,HLOOKUP("BC Miss",A1:CV300,130,FALSE)/HLOOKUP("Mins",A1:CV300,130,FALSE)* 90)</f>
        <v>0.81081081081081086</v>
      </c>
      <c r="BM130" s="28225">
        <f>IF(HLOOKUP("Mins",A1:CV300,130,FALSE)=0,0,HLOOKUP("Gs - BC",A1:CV300,130,FALSE)/HLOOKUP("Mins",A1:CV300,130,FALSE)* 90)</f>
        <v>0</v>
      </c>
      <c r="BN130" s="28226">
        <f>IF(HLOOKUP("Mins",A1:CV300,130,FALSE)=0,0,HLOOKUP("GIB",A1:CV300,130,FALSE)/HLOOKUP("Mins",A1:CV300,130,FALSE)* 90)</f>
        <v>0</v>
      </c>
      <c r="BO130" s="28227">
        <f>IF(HLOOKUP("Mins",A1:CV300,130,FALSE)=0,0,HLOOKUP("Gs - Open",A1:CV300,130,FALSE)/HLOOKUP("Mins",A1:CV300,130,FALSE)* 90)</f>
        <v>0</v>
      </c>
      <c r="BP130" s="28228">
        <f>IF(HLOOKUP("Mins",A1:CV300,130,FALSE)=0,0,HLOOKUP("ICT Index",A1:CV300,130,FALSE)/HLOOKUP("Mins",A1:CV300,130,FALSE)* 90)</f>
        <v>6.8918918918918912</v>
      </c>
      <c r="BQ130" s="28229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  <v>0.23027027027027025</v>
      </c>
      <c r="BR130" s="28230">
        <f>0.0885*HLOOKUP("KP/90",A1:CV300,130,FALSE)</f>
        <v>0.14351351351351352</v>
      </c>
      <c r="BS130" s="28231">
        <f>5*HLOOKUP("xG/90",A1:CV300,130,FALSE)+3*HLOOKUP("xA/90",A1:CV300,130,FALSE)</f>
        <v>1.5818918918918916</v>
      </c>
      <c r="BT130" s="28232">
        <f>HLOOKUP("xPts/90",A1:CV300,130,FALSE)-(5*0.75*(HLOOKUP("PK Gs",A1:CV300,130,FALSE)+HLOOKUP("PK Miss",A1:CV300,130,FALSE))*90/HLOOKUP("Mins",A1:CV300,130,FALSE))</f>
        <v>1.5818918918918916</v>
      </c>
      <c r="BU130" s="28233">
        <f>IF(HLOOKUP("Mins",A1:CV300,130,FALSE)=0,0,HLOOKUP("fsXG",A1:CV300,130,FALSE)/HLOOKUP("Mins",A1:CV300,130,FALSE)* 90)</f>
        <v>0.25945945945945947</v>
      </c>
      <c r="BV130" s="28234">
        <f>IF(HLOOKUP("Mins",A1:CV300,130,FALSE)=0,0,HLOOKUP("fsXA",A1:CV300,130,FALSE)/HLOOKUP("Mins",A1:CV300,130,FALSE)* 90)</f>
        <v>0.27567567567567569</v>
      </c>
      <c r="BW130" s="28235">
        <f>5*HLOOKUP("fsXG/90",A1:CV300,130,FALSE)+3*HLOOKUP("fsXA/90",A1:CV300,130,FALSE)</f>
        <v>2.1243243243243244</v>
      </c>
      <c r="BX130" s="28236">
        <v>0.35464778542518616</v>
      </c>
      <c r="BY130" s="28237">
        <v>0.22648786008358002</v>
      </c>
      <c r="BZ130" s="28238">
        <f>5*HLOOKUP("uXG/90",A1:CV300,130,FALSE)+3*HLOOKUP("uXA/90",A1:CV300,130,FALSE)</f>
        <v>2.4527025073766708</v>
      </c>
    </row>
    <row r="131" spans="1:78" x14ac:dyDescent="0.3">
      <c r="A131" s="28239" t="s">
        <v>458</v>
      </c>
      <c r="B131" s="28240" t="s">
        <v>113</v>
      </c>
      <c r="C131" s="28241">
        <v>5.3000001907348633</v>
      </c>
      <c r="D131" s="28242">
        <v>828</v>
      </c>
      <c r="E131" s="28243">
        <v>15</v>
      </c>
      <c r="F131" s="28244">
        <v>49</v>
      </c>
      <c r="G131" s="28245">
        <v>3</v>
      </c>
      <c r="H131" s="28246">
        <v>8</v>
      </c>
      <c r="I131" s="28247">
        <v>156</v>
      </c>
      <c r="J131" s="28248">
        <f>HLOOKUP("BPS",A1:CV300,131,FALSE)-((-6*HLOOKUP("OG",A1:CV300,131,FALSE))+(-6*HLOOKUP("PK Miss",A1:CV300,131,FALSE))+(9*HLOOKUP("FPL As",A1:CV300,131,FALSE))+(0*HLOOKUP("CS",A1:CV300,131,FALSE))+(18*HLOOKUP("Gs",A1:CV300,131,FALSE)))</f>
        <v>93</v>
      </c>
      <c r="K131" s="28249">
        <v>0</v>
      </c>
      <c r="L131" s="28250">
        <v>3</v>
      </c>
      <c r="M131" s="28251">
        <v>40</v>
      </c>
      <c r="N131" s="28252">
        <v>20</v>
      </c>
      <c r="O131" s="28253">
        <v>14</v>
      </c>
      <c r="P131" s="28254">
        <f>IF(HLOOKUP("Shots",A1:CV300,131,FALSE)=0,0,HLOOKUP("SIB",A1:CV300,131,FALSE)/HLOOKUP("Shots",A1:CV300,131,FALSE))</f>
        <v>0.7</v>
      </c>
      <c r="Q131" s="28255">
        <v>1</v>
      </c>
      <c r="R131" s="28256">
        <f>IF(HLOOKUP("Shots",A1:CV300,131,FALSE)=0,0,HLOOKUP("S6YD",A1:CV300,131,FALSE)/HLOOKUP("Shots",A1:CV300,131,FALSE))</f>
        <v>0.05</v>
      </c>
      <c r="S131" s="28257">
        <v>0</v>
      </c>
      <c r="T131" s="28258">
        <f>IF(HLOOKUP("Shots",A1:CV300,131,FALSE)=0,0,HLOOKUP("Headers",A1:CV300,131,FALSE)/HLOOKUP("Shots",A1:CV300,131,FALSE))</f>
        <v>0</v>
      </c>
      <c r="U131" s="28259">
        <v>9</v>
      </c>
      <c r="V131" s="28260">
        <f>IF(HLOOKUP("Shots",A1:CV300,131,FALSE)=0,0,HLOOKUP("SOT",A1:CV300,131,FALSE)/HLOOKUP("Shots",A1:CV300,131,FALSE))</f>
        <v>0.45</v>
      </c>
      <c r="W131" s="28261">
        <f>IF(HLOOKUP("Shots",A1:CV300,131,FALSE)=0,0,HLOOKUP("Gs",A1:CV300,131,FALSE)/HLOOKUP("Shots",A1:CV300,131,FALSE))</f>
        <v>0.15</v>
      </c>
      <c r="X131" s="28262">
        <v>1</v>
      </c>
      <c r="Y131" s="28263">
        <v>1</v>
      </c>
      <c r="Z131" s="28264">
        <v>15</v>
      </c>
      <c r="AA131" s="28265">
        <f>IF(HLOOKUP("KP",A1:CV300,131,FALSE)=0,0,HLOOKUP("As",A1:CV300,131,FALSE)/HLOOKUP("KP",A1:CV300,131,FALSE))</f>
        <v>6.6666666666666666E-2</v>
      </c>
      <c r="AB131" s="28266">
        <v>64.2</v>
      </c>
      <c r="AC131" s="28267">
        <v>44</v>
      </c>
      <c r="AD131" s="28268">
        <v>6</v>
      </c>
      <c r="AE131" s="28269">
        <v>2</v>
      </c>
      <c r="AF131" s="28270">
        <v>2</v>
      </c>
      <c r="AG131" s="28271">
        <f>IF(HLOOKUP("BC",A1:CV300,131,FALSE)=0,0,HLOOKUP("Gs - BC",A1:CV300,131,FALSE)/HLOOKUP("BC",A1:CV300,131,FALSE))</f>
        <v>0</v>
      </c>
      <c r="AH131" s="28272">
        <f>HLOOKUP("BC",A1:CV300,131,FALSE) - HLOOKUP("BC Miss",A1:CV300,131,FALSE)</f>
        <v>0</v>
      </c>
      <c r="AI131" s="28273">
        <f>IF(HLOOKUP("Gs",A1:CV300,131,FALSE)=0,0,HLOOKUP("Gs - BC",A1:CV300,131,FALSE)/HLOOKUP("Gs",A1:CV300,131,FALSE))</f>
        <v>0</v>
      </c>
      <c r="AJ131" s="28274">
        <v>0</v>
      </c>
      <c r="AK131" s="28275">
        <v>0</v>
      </c>
      <c r="AL131" s="28276">
        <f>HLOOKUP("BC",A1:CV300,131,FALSE) - (HLOOKUP("PK Gs",A1:CV300,131,FALSE) + HLOOKUP("PK Miss",A1:CV300,131,FALSE))</f>
        <v>2</v>
      </c>
      <c r="AM131" s="28277">
        <f>HLOOKUP("BC Miss",A1:CV300,131,FALSE) - HLOOKUP("PK Miss",A1:CV300,131,FALSE)</f>
        <v>2</v>
      </c>
      <c r="AN131" s="28278">
        <f>IF(HLOOKUP("BC - Open",A1:CV300,131,FALSE)=0,0,HLOOKUP("BC - Open Miss",A1:CV300,131,FALSE)/HLOOKUP("BC - Open",A1:CV300,131,FALSE))</f>
        <v>1</v>
      </c>
      <c r="AO131" s="28279">
        <v>3</v>
      </c>
      <c r="AP131" s="28280">
        <f>IF(HLOOKUP("Gs",A1:CV300,131,FALSE)=0,0,HLOOKUP("GIB",A1:CV300,131,FALSE)/HLOOKUP("Gs",A1:CV300,131,FALSE))</f>
        <v>1</v>
      </c>
      <c r="AQ131" s="28281">
        <v>3</v>
      </c>
      <c r="AR131" s="28282">
        <f>IF(HLOOKUP("Gs",A1:CV300,131,FALSE)=0,0,HLOOKUP("Gs - Open",A1:CV300,131,FALSE)/HLOOKUP("Gs",A1:CV300,131,FALSE))</f>
        <v>1</v>
      </c>
      <c r="AS131" s="28283">
        <v>1.78</v>
      </c>
      <c r="AT131" s="28284">
        <v>1.85</v>
      </c>
      <c r="AU131" s="28285">
        <f>IF(HLOOKUP("Mins",A1:CV300,131,FALSE)=0,0,HLOOKUP("Pts",A1:CV300,131,FALSE)/HLOOKUP("Mins",A1:CV300,131,FALSE)* 90)</f>
        <v>5.3260869565217392</v>
      </c>
      <c r="AV131" s="28286">
        <f>IF(HLOOKUP("Apps",A1:CV300,131,FALSE)=0,0,HLOOKUP("Pts",A1:CV300,131,FALSE)/HLOOKUP("Apps",A1:CV300,131,FALSE)* 1)</f>
        <v>3.2666666666666666</v>
      </c>
      <c r="AW131" s="28287">
        <f>IF(HLOOKUP("Mins",A1:CV300,131,FALSE)=0,0,HLOOKUP("Gs",A1:CV300,131,FALSE)/HLOOKUP("Mins",A1:CV300,131,FALSE)* 90)</f>
        <v>0.32608695652173914</v>
      </c>
      <c r="AX131" s="28288">
        <f>IF(HLOOKUP("Mins",A1:CV300,131,FALSE)=0,0,HLOOKUP("Bonus",A1:CV300,131,FALSE)/HLOOKUP("Mins",A1:CV300,131,FALSE)* 90)</f>
        <v>0.86956521739130432</v>
      </c>
      <c r="AY131" s="28289">
        <f>IF(HLOOKUP("Mins",A1:CV300,131,FALSE)=0,0,HLOOKUP("BPS",A1:CV300,131,FALSE)/HLOOKUP("Mins",A1:CV300,131,FALSE)* 90)</f>
        <v>16.956521739130434</v>
      </c>
      <c r="AZ131" s="28290">
        <f>IF(HLOOKUP("Mins",A1:CV300,131,FALSE)=0,0,HLOOKUP("Base BPS",A1:CV300,131,FALSE)/HLOOKUP("Mins",A1:CV300,131,FALSE)* 90)</f>
        <v>10.108695652173912</v>
      </c>
      <c r="BA131" s="28291">
        <f>IF(HLOOKUP("Mins",A1:CV300,131,FALSE)=0,0,HLOOKUP("PenTchs",A1:CV300,131,FALSE)/HLOOKUP("Mins",A1:CV300,131,FALSE)* 90)</f>
        <v>4.3478260869565215</v>
      </c>
      <c r="BB131" s="28292">
        <f>IF(HLOOKUP("Mins",A1:CV300,131,FALSE)=0,0,HLOOKUP("Shots",A1:CV300,131,FALSE)/HLOOKUP("Mins",A1:CV300,131,FALSE)* 90)</f>
        <v>2.1739130434782608</v>
      </c>
      <c r="BC131" s="28293">
        <f>IF(HLOOKUP("Mins",A1:CV300,131,FALSE)=0,0,HLOOKUP("SIB",A1:CV300,131,FALSE)/HLOOKUP("Mins",A1:CV300,131,FALSE)* 90)</f>
        <v>1.5217391304347825</v>
      </c>
      <c r="BD131" s="28294">
        <f>IF(HLOOKUP("Mins",A1:CV300,131,FALSE)=0,0,HLOOKUP("S6YD",A1:CV300,131,FALSE)/HLOOKUP("Mins",A1:CV300,131,FALSE)* 90)</f>
        <v>0.10869565217391304</v>
      </c>
      <c r="BE131" s="28295">
        <f>IF(HLOOKUP("Mins",A1:CV300,131,FALSE)=0,0,HLOOKUP("Headers",A1:CV300,131,FALSE)/HLOOKUP("Mins",A1:CV300,131,FALSE)* 90)</f>
        <v>0</v>
      </c>
      <c r="BF131" s="28296">
        <f>IF(HLOOKUP("Mins",A1:CV300,131,FALSE)=0,0,HLOOKUP("SOT",A1:CV300,131,FALSE)/HLOOKUP("Mins",A1:CV300,131,FALSE)* 90)</f>
        <v>0.97826086956521741</v>
      </c>
      <c r="BG131" s="28297">
        <f>IF(HLOOKUP("Mins",A1:CV300,131,FALSE)=0,0,HLOOKUP("As",A1:CV300,131,FALSE)/HLOOKUP("Mins",A1:CV300,131,FALSE)* 90)</f>
        <v>0.10869565217391304</v>
      </c>
      <c r="BH131" s="28298">
        <f>IF(HLOOKUP("Mins",A1:CV300,131,FALSE)=0,0,HLOOKUP("FPL As",A1:CV300,131,FALSE)/HLOOKUP("Mins",A1:CV300,131,FALSE)* 90)</f>
        <v>0.10869565217391304</v>
      </c>
      <c r="BI131" s="28299">
        <f>IF(HLOOKUP("Mins",A1:CV300,131,FALSE)=0,0,HLOOKUP("BC Created",A1:CV300,131,FALSE)/HLOOKUP("Mins",A1:CV300,131,FALSE)* 90)</f>
        <v>0.65217391304347827</v>
      </c>
      <c r="BJ131" s="28300">
        <f>IF(HLOOKUP("Mins",A1:CV300,131,FALSE)=0,0,HLOOKUP("KP",A1:CV300,131,FALSE)/HLOOKUP("Mins",A1:CV300,131,FALSE)* 90)</f>
        <v>1.6304347826086958</v>
      </c>
      <c r="BK131" s="28301">
        <f>IF(HLOOKUP("Mins",A1:CV300,131,FALSE)=0,0,HLOOKUP("BC",A1:CV300,131,FALSE)/HLOOKUP("Mins",A1:CV300,131,FALSE)* 90)</f>
        <v>0.21739130434782608</v>
      </c>
      <c r="BL131" s="28302">
        <f>IF(HLOOKUP("Mins",A1:CV300,131,FALSE)=0,0,HLOOKUP("BC Miss",A1:CV300,131,FALSE)/HLOOKUP("Mins",A1:CV300,131,FALSE)* 90)</f>
        <v>0.21739130434782608</v>
      </c>
      <c r="BM131" s="28303">
        <f>IF(HLOOKUP("Mins",A1:CV300,131,FALSE)=0,0,HLOOKUP("Gs - BC",A1:CV300,131,FALSE)/HLOOKUP("Mins",A1:CV300,131,FALSE)* 90)</f>
        <v>0</v>
      </c>
      <c r="BN131" s="28304">
        <f>IF(HLOOKUP("Mins",A1:CV300,131,FALSE)=0,0,HLOOKUP("GIB",A1:CV300,131,FALSE)/HLOOKUP("Mins",A1:CV300,131,FALSE)* 90)</f>
        <v>0.32608695652173914</v>
      </c>
      <c r="BO131" s="28305">
        <f>IF(HLOOKUP("Mins",A1:CV300,131,FALSE)=0,0,HLOOKUP("Gs - Open",A1:CV300,131,FALSE)/HLOOKUP("Mins",A1:CV300,131,FALSE)* 90)</f>
        <v>0.32608695652173914</v>
      </c>
      <c r="BP131" s="28306">
        <f>IF(HLOOKUP("Mins",A1:CV300,131,FALSE)=0,0,HLOOKUP("ICT Index",A1:CV300,131,FALSE)/HLOOKUP("Mins",A1:CV300,131,FALSE)* 90)</f>
        <v>6.9782608695652177</v>
      </c>
      <c r="BQ131" s="28307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  <v>0.23956521739130432</v>
      </c>
      <c r="BR131" s="28308">
        <f>0.0885*HLOOKUP("KP/90",A1:CV300,131,FALSE)</f>
        <v>0.14429347826086958</v>
      </c>
      <c r="BS131" s="28309">
        <f>5*HLOOKUP("xG/90",A1:CV300,131,FALSE)+3*HLOOKUP("xA/90",A1:CV300,131,FALSE)</f>
        <v>1.6307065217391303</v>
      </c>
      <c r="BT131" s="28310">
        <f>HLOOKUP("xPts/90",A1:CV300,131,FALSE)-(5*0.75*(HLOOKUP("PK Gs",A1:CV300,131,FALSE)+HLOOKUP("PK Miss",A1:CV300,131,FALSE))*90/HLOOKUP("Mins",A1:CV300,131,FALSE))</f>
        <v>1.6307065217391303</v>
      </c>
      <c r="BU131" s="28311">
        <f>IF(HLOOKUP("Mins",A1:CV300,131,FALSE)=0,0,HLOOKUP("fsXG",A1:CV300,131,FALSE)/HLOOKUP("Mins",A1:CV300,131,FALSE)* 90)</f>
        <v>0.19347826086956521</v>
      </c>
      <c r="BV131" s="28312">
        <f>IF(HLOOKUP("Mins",A1:CV300,131,FALSE)=0,0,HLOOKUP("fsXA",A1:CV300,131,FALSE)/HLOOKUP("Mins",A1:CV300,131,FALSE)* 90)</f>
        <v>0.20108695652173914</v>
      </c>
      <c r="BW131" s="28313">
        <f>5*HLOOKUP("fsXG/90",A1:CV300,131,FALSE)+3*HLOOKUP("fsXA/90",A1:CV300,131,FALSE)</f>
        <v>1.5706521739130435</v>
      </c>
      <c r="BX131" s="28314">
        <v>0.20793713629245758</v>
      </c>
      <c r="BY131" s="28315">
        <v>0.35909897089004517</v>
      </c>
      <c r="BZ131" s="28316">
        <f>5*HLOOKUP("uXG/90",A1:CV300,131,FALSE)+3*HLOOKUP("uXA/90",A1:CV300,131,FALSE)</f>
        <v>2.1169825941324234</v>
      </c>
    </row>
    <row r="132" spans="1:78" x14ac:dyDescent="0.3">
      <c r="A132" s="28317" t="s">
        <v>459</v>
      </c>
      <c r="B132" s="28318" t="s">
        <v>79</v>
      </c>
      <c r="C132" s="28319">
        <v>7.1999998092651367</v>
      </c>
      <c r="D132" s="28320">
        <v>980</v>
      </c>
      <c r="E132" s="28321">
        <v>12</v>
      </c>
      <c r="F132" s="28322">
        <v>32</v>
      </c>
      <c r="G132" s="28323">
        <v>0</v>
      </c>
      <c r="H132" s="28324">
        <v>1</v>
      </c>
      <c r="I132" s="28325">
        <v>151</v>
      </c>
      <c r="J132" s="28326">
        <f>HLOOKUP("BPS",A1:CV300,132,FALSE)-((-6*HLOOKUP("OG",A1:CV300,132,FALSE))+(-6*HLOOKUP("PK Miss",A1:CV300,132,FALSE))+(9*HLOOKUP("FPL As",A1:CV300,132,FALSE))+(0*HLOOKUP("CS",A1:CV300,132,FALSE))+(18*HLOOKUP("Gs",A1:CV300,132,FALSE)))</f>
        <v>133</v>
      </c>
      <c r="K132" s="28327">
        <v>0</v>
      </c>
      <c r="L132" s="28328">
        <v>2</v>
      </c>
      <c r="M132" s="28329">
        <v>28</v>
      </c>
      <c r="N132" s="28330">
        <v>6</v>
      </c>
      <c r="O132" s="28331">
        <v>6</v>
      </c>
      <c r="P132" s="28332">
        <f>IF(HLOOKUP("Shots",A1:CV300,132,FALSE)=0,0,HLOOKUP("SIB",A1:CV300,132,FALSE)/HLOOKUP("Shots",A1:CV300,132,FALSE))</f>
        <v>1</v>
      </c>
      <c r="Q132" s="28333">
        <v>1</v>
      </c>
      <c r="R132" s="28334">
        <f>IF(HLOOKUP("Shots",A1:CV300,132,FALSE)=0,0,HLOOKUP("S6YD",A1:CV300,132,FALSE)/HLOOKUP("Shots",A1:CV300,132,FALSE))</f>
        <v>0.16666666666666666</v>
      </c>
      <c r="S132" s="28335">
        <v>1</v>
      </c>
      <c r="T132" s="28336">
        <f>IF(HLOOKUP("Shots",A1:CV300,132,FALSE)=0,0,HLOOKUP("Headers",A1:CV300,132,FALSE)/HLOOKUP("Shots",A1:CV300,132,FALSE))</f>
        <v>0.16666666666666666</v>
      </c>
      <c r="U132" s="28337">
        <v>2</v>
      </c>
      <c r="V132" s="28338">
        <f>IF(HLOOKUP("Shots",A1:CV300,132,FALSE)=0,0,HLOOKUP("SOT",A1:CV300,132,FALSE)/HLOOKUP("Shots",A1:CV300,132,FALSE))</f>
        <v>0.33333333333333331</v>
      </c>
      <c r="W132" s="28339">
        <f>IF(HLOOKUP("Shots",A1:CV300,132,FALSE)=0,0,HLOOKUP("Gs",A1:CV300,132,FALSE)/HLOOKUP("Shots",A1:CV300,132,FALSE))</f>
        <v>0</v>
      </c>
      <c r="X132" s="28340">
        <v>1</v>
      </c>
      <c r="Y132" s="28341">
        <v>2</v>
      </c>
      <c r="Z132" s="28342">
        <v>25</v>
      </c>
      <c r="AA132" s="28343">
        <f>IF(HLOOKUP("KP",A1:CV300,132,FALSE)=0,0,HLOOKUP("As",A1:CV300,132,FALSE)/HLOOKUP("KP",A1:CV300,132,FALSE))</f>
        <v>0.04</v>
      </c>
      <c r="AB132" s="28344">
        <v>66.099999999999994</v>
      </c>
      <c r="AC132" s="28345">
        <v>12</v>
      </c>
      <c r="AD132" s="28346">
        <v>0</v>
      </c>
      <c r="AE132" s="28347">
        <v>1</v>
      </c>
      <c r="AF132" s="28348">
        <v>1</v>
      </c>
      <c r="AG132" s="28349">
        <f>IF(HLOOKUP("BC",A1:CV300,132,FALSE)=0,0,HLOOKUP("Gs - BC",A1:CV300,132,FALSE)/HLOOKUP("BC",A1:CV300,132,FALSE))</f>
        <v>0</v>
      </c>
      <c r="AH132" s="28350">
        <f>HLOOKUP("BC",A1:CV300,132,FALSE) - HLOOKUP("BC Miss",A1:CV300,132,FALSE)</f>
        <v>0</v>
      </c>
      <c r="AI132" s="28351">
        <f>IF(HLOOKUP("Gs",A1:CV300,132,FALSE)=0,0,HLOOKUP("Gs - BC",A1:CV300,132,FALSE)/HLOOKUP("Gs",A1:CV300,132,FALSE))</f>
        <v>0</v>
      </c>
      <c r="AJ132" s="28352">
        <v>0</v>
      </c>
      <c r="AK132" s="28353">
        <v>0</v>
      </c>
      <c r="AL132" s="28354">
        <f>HLOOKUP("BC",A1:CV300,132,FALSE) - (HLOOKUP("PK Gs",A1:CV300,132,FALSE) + HLOOKUP("PK Miss",A1:CV300,132,FALSE))</f>
        <v>1</v>
      </c>
      <c r="AM132" s="28355">
        <f>HLOOKUP("BC Miss",A1:CV300,132,FALSE) - HLOOKUP("PK Miss",A1:CV300,132,FALSE)</f>
        <v>1</v>
      </c>
      <c r="AN132" s="28356">
        <f>IF(HLOOKUP("BC - Open",A1:CV300,132,FALSE)=0,0,HLOOKUP("BC - Open Miss",A1:CV300,132,FALSE)/HLOOKUP("BC - Open",A1:CV300,132,FALSE))</f>
        <v>1</v>
      </c>
      <c r="AO132" s="28357">
        <v>0</v>
      </c>
      <c r="AP132" s="28358">
        <f>IF(HLOOKUP("Gs",A1:CV300,132,FALSE)=0,0,HLOOKUP("GIB",A1:CV300,132,FALSE)/HLOOKUP("Gs",A1:CV300,132,FALSE))</f>
        <v>0</v>
      </c>
      <c r="AQ132" s="28359">
        <v>0</v>
      </c>
      <c r="AR132" s="28360">
        <f>IF(HLOOKUP("Gs",A1:CV300,132,FALSE)=0,0,HLOOKUP("Gs - Open",A1:CV300,132,FALSE)/HLOOKUP("Gs",A1:CV300,132,FALSE))</f>
        <v>0</v>
      </c>
      <c r="AS132" s="28361">
        <v>0.83</v>
      </c>
      <c r="AT132" s="28362">
        <v>1.63</v>
      </c>
      <c r="AU132" s="28363">
        <f>IF(HLOOKUP("Mins",A1:CV300,132,FALSE)=0,0,HLOOKUP("Pts",A1:CV300,132,FALSE)/HLOOKUP("Mins",A1:CV300,132,FALSE)* 90)</f>
        <v>2.9387755102040818</v>
      </c>
      <c r="AV132" s="28364">
        <f>IF(HLOOKUP("Apps",A1:CV300,132,FALSE)=0,0,HLOOKUP("Pts",A1:CV300,132,FALSE)/HLOOKUP("Apps",A1:CV300,132,FALSE)* 1)</f>
        <v>2.6666666666666665</v>
      </c>
      <c r="AW132" s="28365">
        <f>IF(HLOOKUP("Mins",A1:CV300,132,FALSE)=0,0,HLOOKUP("Gs",A1:CV300,132,FALSE)/HLOOKUP("Mins",A1:CV300,132,FALSE)* 90)</f>
        <v>0</v>
      </c>
      <c r="AX132" s="28366">
        <f>IF(HLOOKUP("Mins",A1:CV300,132,FALSE)=0,0,HLOOKUP("Bonus",A1:CV300,132,FALSE)/HLOOKUP("Mins",A1:CV300,132,FALSE)* 90)</f>
        <v>9.1836734693877556E-2</v>
      </c>
      <c r="AY132" s="28367">
        <f>IF(HLOOKUP("Mins",A1:CV300,132,FALSE)=0,0,HLOOKUP("BPS",A1:CV300,132,FALSE)/HLOOKUP("Mins",A1:CV300,132,FALSE)* 90)</f>
        <v>13.867346938775508</v>
      </c>
      <c r="AZ132" s="28368">
        <f>IF(HLOOKUP("Mins",A1:CV300,132,FALSE)=0,0,HLOOKUP("Base BPS",A1:CV300,132,FALSE)/HLOOKUP("Mins",A1:CV300,132,FALSE)* 90)</f>
        <v>12.214285714285714</v>
      </c>
      <c r="BA132" s="28369">
        <f>IF(HLOOKUP("Mins",A1:CV300,132,FALSE)=0,0,HLOOKUP("PenTchs",A1:CV300,132,FALSE)/HLOOKUP("Mins",A1:CV300,132,FALSE)* 90)</f>
        <v>2.5714285714285712</v>
      </c>
      <c r="BB132" s="28370">
        <f>IF(HLOOKUP("Mins",A1:CV300,132,FALSE)=0,0,HLOOKUP("Shots",A1:CV300,132,FALSE)/HLOOKUP("Mins",A1:CV300,132,FALSE)* 90)</f>
        <v>0.55102040816326525</v>
      </c>
      <c r="BC132" s="28371">
        <f>IF(HLOOKUP("Mins",A1:CV300,132,FALSE)=0,0,HLOOKUP("SIB",A1:CV300,132,FALSE)/HLOOKUP("Mins",A1:CV300,132,FALSE)* 90)</f>
        <v>0.55102040816326525</v>
      </c>
      <c r="BD132" s="28372">
        <f>IF(HLOOKUP("Mins",A1:CV300,132,FALSE)=0,0,HLOOKUP("S6YD",A1:CV300,132,FALSE)/HLOOKUP("Mins",A1:CV300,132,FALSE)* 90)</f>
        <v>9.1836734693877556E-2</v>
      </c>
      <c r="BE132" s="28373">
        <f>IF(HLOOKUP("Mins",A1:CV300,132,FALSE)=0,0,HLOOKUP("Headers",A1:CV300,132,FALSE)/HLOOKUP("Mins",A1:CV300,132,FALSE)* 90)</f>
        <v>9.1836734693877556E-2</v>
      </c>
      <c r="BF132" s="28374">
        <f>IF(HLOOKUP("Mins",A1:CV300,132,FALSE)=0,0,HLOOKUP("SOT",A1:CV300,132,FALSE)/HLOOKUP("Mins",A1:CV300,132,FALSE)* 90)</f>
        <v>0.18367346938775511</v>
      </c>
      <c r="BG132" s="28375">
        <f>IF(HLOOKUP("Mins",A1:CV300,132,FALSE)=0,0,HLOOKUP("As",A1:CV300,132,FALSE)/HLOOKUP("Mins",A1:CV300,132,FALSE)* 90)</f>
        <v>9.1836734693877556E-2</v>
      </c>
      <c r="BH132" s="28376">
        <f>IF(HLOOKUP("Mins",A1:CV300,132,FALSE)=0,0,HLOOKUP("FPL As",A1:CV300,132,FALSE)/HLOOKUP("Mins",A1:CV300,132,FALSE)* 90)</f>
        <v>0.18367346938775511</v>
      </c>
      <c r="BI132" s="28377">
        <f>IF(HLOOKUP("Mins",A1:CV300,132,FALSE)=0,0,HLOOKUP("BC Created",A1:CV300,132,FALSE)/HLOOKUP("Mins",A1:CV300,132,FALSE)* 90)</f>
        <v>0</v>
      </c>
      <c r="BJ132" s="28378">
        <f>IF(HLOOKUP("Mins",A1:CV300,132,FALSE)=0,0,HLOOKUP("KP",A1:CV300,132,FALSE)/HLOOKUP("Mins",A1:CV300,132,FALSE)* 90)</f>
        <v>2.295918367346939</v>
      </c>
      <c r="BK132" s="28379">
        <f>IF(HLOOKUP("Mins",A1:CV300,132,FALSE)=0,0,HLOOKUP("BC",A1:CV300,132,FALSE)/HLOOKUP("Mins",A1:CV300,132,FALSE)* 90)</f>
        <v>9.1836734693877556E-2</v>
      </c>
      <c r="BL132" s="28380">
        <f>IF(HLOOKUP("Mins",A1:CV300,132,FALSE)=0,0,HLOOKUP("BC Miss",A1:CV300,132,FALSE)/HLOOKUP("Mins",A1:CV300,132,FALSE)* 90)</f>
        <v>9.1836734693877556E-2</v>
      </c>
      <c r="BM132" s="28381">
        <f>IF(HLOOKUP("Mins",A1:CV300,132,FALSE)=0,0,HLOOKUP("Gs - BC",A1:CV300,132,FALSE)/HLOOKUP("Mins",A1:CV300,132,FALSE)* 90)</f>
        <v>0</v>
      </c>
      <c r="BN132" s="28382">
        <f>IF(HLOOKUP("Mins",A1:CV300,132,FALSE)=0,0,HLOOKUP("GIB",A1:CV300,132,FALSE)/HLOOKUP("Mins",A1:CV300,132,FALSE)* 90)</f>
        <v>0</v>
      </c>
      <c r="BO132" s="28383">
        <f>IF(HLOOKUP("Mins",A1:CV300,132,FALSE)=0,0,HLOOKUP("Gs - Open",A1:CV300,132,FALSE)/HLOOKUP("Mins",A1:CV300,132,FALSE)* 90)</f>
        <v>0</v>
      </c>
      <c r="BP132" s="28384">
        <f>IF(HLOOKUP("Mins",A1:CV300,132,FALSE)=0,0,HLOOKUP("ICT Index",A1:CV300,132,FALSE)/HLOOKUP("Mins",A1:CV300,132,FALSE)* 90)</f>
        <v>6.0704081632653049</v>
      </c>
      <c r="BQ132" s="28385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  <v>7.8244897959183657E-2</v>
      </c>
      <c r="BR132" s="28386">
        <f>0.0885*HLOOKUP("KP/90",A1:CV300,132,FALSE)</f>
        <v>0.20318877551020409</v>
      </c>
      <c r="BS132" s="28387">
        <f>5*HLOOKUP("xG/90",A1:CV300,132,FALSE)+3*HLOOKUP("xA/90",A1:CV300,132,FALSE)</f>
        <v>1.0007908163265307</v>
      </c>
      <c r="BT132" s="28388">
        <f>HLOOKUP("xPts/90",A1:CV300,132,FALSE)-(5*0.75*(HLOOKUP("PK Gs",A1:CV300,132,FALSE)+HLOOKUP("PK Miss",A1:CV300,132,FALSE))*90/HLOOKUP("Mins",A1:CV300,132,FALSE))</f>
        <v>1.0007908163265307</v>
      </c>
      <c r="BU132" s="28389">
        <f>IF(HLOOKUP("Mins",A1:CV300,132,FALSE)=0,0,HLOOKUP("fsXG",A1:CV300,132,FALSE)/HLOOKUP("Mins",A1:CV300,132,FALSE)* 90)</f>
        <v>7.6224489795918365E-2</v>
      </c>
      <c r="BV132" s="28390">
        <f>IF(HLOOKUP("Mins",A1:CV300,132,FALSE)=0,0,HLOOKUP("fsXA",A1:CV300,132,FALSE)/HLOOKUP("Mins",A1:CV300,132,FALSE)* 90)</f>
        <v>0.1496938775510204</v>
      </c>
      <c r="BW132" s="28391">
        <f>5*HLOOKUP("fsXG/90",A1:CV300,132,FALSE)+3*HLOOKUP("fsXA/90",A1:CV300,132,FALSE)</f>
        <v>0.83020408163265302</v>
      </c>
      <c r="BX132" s="28392">
        <v>8.9274361729621887E-2</v>
      </c>
      <c r="BY132" s="28393">
        <v>0.11715015023946762</v>
      </c>
      <c r="BZ132" s="28394">
        <f>5*HLOOKUP("uXG/90",A1:CV300,132,FALSE)+3*HLOOKUP("uXA/90",A1:CV300,132,FALSE)</f>
        <v>0.7978222593665123</v>
      </c>
    </row>
    <row r="133" spans="1:78" x14ac:dyDescent="0.3">
      <c r="A133" s="28395" t="s">
        <v>460</v>
      </c>
      <c r="B133" s="28396" t="s">
        <v>91</v>
      </c>
      <c r="C133" s="28397">
        <v>6</v>
      </c>
      <c r="D133" s="28398">
        <v>1684</v>
      </c>
      <c r="E133" s="28399">
        <v>22</v>
      </c>
      <c r="F133" s="28400">
        <v>71</v>
      </c>
      <c r="G133" s="28401">
        <v>0</v>
      </c>
      <c r="H133" s="28402">
        <v>10</v>
      </c>
      <c r="I133" s="28403">
        <v>344</v>
      </c>
      <c r="J133" s="28404">
        <f>HLOOKUP("BPS",A1:CV300,133,FALSE)-((-6*HLOOKUP("OG",A1:CV300,133,FALSE))+(-6*HLOOKUP("PK Miss",A1:CV300,133,FALSE))+(9*HLOOKUP("FPL As",A1:CV300,133,FALSE))+(0*HLOOKUP("CS",A1:CV300,133,FALSE))+(18*HLOOKUP("Gs",A1:CV300,133,FALSE)))</f>
        <v>281</v>
      </c>
      <c r="K133" s="28405">
        <v>0</v>
      </c>
      <c r="L133" s="28406">
        <v>1</v>
      </c>
      <c r="M133" s="28407">
        <v>50</v>
      </c>
      <c r="N133" s="28408">
        <v>24</v>
      </c>
      <c r="O133" s="28409">
        <v>10</v>
      </c>
      <c r="P133" s="28410">
        <f>IF(HLOOKUP("Shots",A1:CV300,133,FALSE)=0,0,HLOOKUP("SIB",A1:CV300,133,FALSE)/HLOOKUP("Shots",A1:CV300,133,FALSE))</f>
        <v>0.41666666666666669</v>
      </c>
      <c r="Q133" s="28411">
        <v>0</v>
      </c>
      <c r="R133" s="28412">
        <f>IF(HLOOKUP("Shots",A1:CV300,133,FALSE)=0,0,HLOOKUP("S6YD",A1:CV300,133,FALSE)/HLOOKUP("Shots",A1:CV300,133,FALSE))</f>
        <v>0</v>
      </c>
      <c r="S133" s="28413">
        <v>1</v>
      </c>
      <c r="T133" s="28414">
        <f>IF(HLOOKUP("Shots",A1:CV300,133,FALSE)=0,0,HLOOKUP("Headers",A1:CV300,133,FALSE)/HLOOKUP("Shots",A1:CV300,133,FALSE))</f>
        <v>4.1666666666666664E-2</v>
      </c>
      <c r="U133" s="28415">
        <v>7</v>
      </c>
      <c r="V133" s="28416">
        <f>IF(HLOOKUP("Shots",A1:CV300,133,FALSE)=0,0,HLOOKUP("SOT",A1:CV300,133,FALSE)/HLOOKUP("Shots",A1:CV300,133,FALSE))</f>
        <v>0.29166666666666669</v>
      </c>
      <c r="W133" s="28417">
        <f>IF(HLOOKUP("Shots",A1:CV300,133,FALSE)=0,0,HLOOKUP("Gs",A1:CV300,133,FALSE)/HLOOKUP("Shots",A1:CV300,133,FALSE))</f>
        <v>0</v>
      </c>
      <c r="X133" s="28418">
        <v>7</v>
      </c>
      <c r="Y133" s="28419">
        <v>7</v>
      </c>
      <c r="Z133" s="28420">
        <v>64</v>
      </c>
      <c r="AA133" s="28421">
        <f>IF(HLOOKUP("KP",A1:CV300,133,FALSE)=0,0,HLOOKUP("As",A1:CV300,133,FALSE)/HLOOKUP("KP",A1:CV300,133,FALSE))</f>
        <v>0.109375</v>
      </c>
      <c r="AB133" s="28422">
        <v>168.7</v>
      </c>
      <c r="AC133" s="28423">
        <v>39</v>
      </c>
      <c r="AD133" s="28424">
        <v>6</v>
      </c>
      <c r="AE133" s="28425">
        <v>1</v>
      </c>
      <c r="AF133" s="28426">
        <v>1</v>
      </c>
      <c r="AG133" s="28427">
        <f>IF(HLOOKUP("BC",A1:CV300,133,FALSE)=0,0,HLOOKUP("Gs - BC",A1:CV300,133,FALSE)/HLOOKUP("BC",A1:CV300,133,FALSE))</f>
        <v>0</v>
      </c>
      <c r="AH133" s="28428">
        <f>HLOOKUP("BC",A1:CV300,133,FALSE) - HLOOKUP("BC Miss",A1:CV300,133,FALSE)</f>
        <v>0</v>
      </c>
      <c r="AI133" s="28429">
        <f>IF(HLOOKUP("Gs",A1:CV300,133,FALSE)=0,0,HLOOKUP("Gs - BC",A1:CV300,133,FALSE)/HLOOKUP("Gs",A1:CV300,133,FALSE))</f>
        <v>0</v>
      </c>
      <c r="AJ133" s="28430">
        <v>0</v>
      </c>
      <c r="AK133" s="28431">
        <v>0</v>
      </c>
      <c r="AL133" s="28432">
        <f>HLOOKUP("BC",A1:CV300,133,FALSE) - (HLOOKUP("PK Gs",A1:CV300,133,FALSE) + HLOOKUP("PK Miss",A1:CV300,133,FALSE))</f>
        <v>1</v>
      </c>
      <c r="AM133" s="28433">
        <f>HLOOKUP("BC Miss",A1:CV300,133,FALSE) - HLOOKUP("PK Miss",A1:CV300,133,FALSE)</f>
        <v>1</v>
      </c>
      <c r="AN133" s="28434">
        <f>IF(HLOOKUP("BC - Open",A1:CV300,133,FALSE)=0,0,HLOOKUP("BC - Open Miss",A1:CV300,133,FALSE)/HLOOKUP("BC - Open",A1:CV300,133,FALSE))</f>
        <v>1</v>
      </c>
      <c r="AO133" s="28435">
        <v>0</v>
      </c>
      <c r="AP133" s="28436">
        <f>IF(HLOOKUP("Gs",A1:CV300,133,FALSE)=0,0,HLOOKUP("GIB",A1:CV300,133,FALSE)/HLOOKUP("Gs",A1:CV300,133,FALSE))</f>
        <v>0</v>
      </c>
      <c r="AQ133" s="28437">
        <v>0</v>
      </c>
      <c r="AR133" s="28438">
        <f>IF(HLOOKUP("Gs",A1:CV300,133,FALSE)=0,0,HLOOKUP("Gs - Open",A1:CV300,133,FALSE)/HLOOKUP("Gs",A1:CV300,133,FALSE))</f>
        <v>0</v>
      </c>
      <c r="AS133" s="28439">
        <v>1.47</v>
      </c>
      <c r="AT133" s="28440">
        <v>4.84</v>
      </c>
      <c r="AU133" s="28441">
        <f>IF(HLOOKUP("Mins",A1:CV300,133,FALSE)=0,0,HLOOKUP("Pts",A1:CV300,133,FALSE)/HLOOKUP("Mins",A1:CV300,133,FALSE)* 90)</f>
        <v>3.7945368171021379</v>
      </c>
      <c r="AV133" s="28442">
        <f>IF(HLOOKUP("Apps",A1:CV300,133,FALSE)=0,0,HLOOKUP("Pts",A1:CV300,133,FALSE)/HLOOKUP("Apps",A1:CV300,133,FALSE)* 1)</f>
        <v>3.2272727272727271</v>
      </c>
      <c r="AW133" s="28443">
        <f>IF(HLOOKUP("Mins",A1:CV300,133,FALSE)=0,0,HLOOKUP("Gs",A1:CV300,133,FALSE)/HLOOKUP("Mins",A1:CV300,133,FALSE)* 90)</f>
        <v>0</v>
      </c>
      <c r="AX133" s="28444">
        <f>IF(HLOOKUP("Mins",A1:CV300,133,FALSE)=0,0,HLOOKUP("Bonus",A1:CV300,133,FALSE)/HLOOKUP("Mins",A1:CV300,133,FALSE)* 90)</f>
        <v>0.53444180522565321</v>
      </c>
      <c r="AY133" s="28445">
        <f>IF(HLOOKUP("Mins",A1:CV300,133,FALSE)=0,0,HLOOKUP("BPS",A1:CV300,133,FALSE)/HLOOKUP("Mins",A1:CV300,133,FALSE)* 90)</f>
        <v>18.38479809976247</v>
      </c>
      <c r="AZ133" s="28446">
        <f>IF(HLOOKUP("Mins",A1:CV300,133,FALSE)=0,0,HLOOKUP("Base BPS",A1:CV300,133,FALSE)/HLOOKUP("Mins",A1:CV300,133,FALSE)* 90)</f>
        <v>15.017814726840855</v>
      </c>
      <c r="BA133" s="28447">
        <f>IF(HLOOKUP("Mins",A1:CV300,133,FALSE)=0,0,HLOOKUP("PenTchs",A1:CV300,133,FALSE)/HLOOKUP("Mins",A1:CV300,133,FALSE)* 90)</f>
        <v>2.6722090261282658</v>
      </c>
      <c r="BB133" s="28448">
        <f>IF(HLOOKUP("Mins",A1:CV300,133,FALSE)=0,0,HLOOKUP("Shots",A1:CV300,133,FALSE)/HLOOKUP("Mins",A1:CV300,133,FALSE)* 90)</f>
        <v>1.2826603325415677</v>
      </c>
      <c r="BC133" s="28449">
        <f>IF(HLOOKUP("Mins",A1:CV300,133,FALSE)=0,0,HLOOKUP("SIB",A1:CV300,133,FALSE)/HLOOKUP("Mins",A1:CV300,133,FALSE)* 90)</f>
        <v>0.53444180522565321</v>
      </c>
      <c r="BD133" s="28450">
        <f>IF(HLOOKUP("Mins",A1:CV300,133,FALSE)=0,0,HLOOKUP("S6YD",A1:CV300,133,FALSE)/HLOOKUP("Mins",A1:CV300,133,FALSE)* 90)</f>
        <v>0</v>
      </c>
      <c r="BE133" s="28451">
        <f>IF(HLOOKUP("Mins",A1:CV300,133,FALSE)=0,0,HLOOKUP("Headers",A1:CV300,133,FALSE)/HLOOKUP("Mins",A1:CV300,133,FALSE)* 90)</f>
        <v>5.3444180522565325E-2</v>
      </c>
      <c r="BF133" s="28452">
        <f>IF(HLOOKUP("Mins",A1:CV300,133,FALSE)=0,0,HLOOKUP("SOT",A1:CV300,133,FALSE)/HLOOKUP("Mins",A1:CV300,133,FALSE)* 90)</f>
        <v>0.37410926365795727</v>
      </c>
      <c r="BG133" s="28453">
        <f>IF(HLOOKUP("Mins",A1:CV300,133,FALSE)=0,0,HLOOKUP("As",A1:CV300,133,FALSE)/HLOOKUP("Mins",A1:CV300,133,FALSE)* 90)</f>
        <v>0.37410926365795727</v>
      </c>
      <c r="BH133" s="28454">
        <f>IF(HLOOKUP("Mins",A1:CV300,133,FALSE)=0,0,HLOOKUP("FPL As",A1:CV300,133,FALSE)/HLOOKUP("Mins",A1:CV300,133,FALSE)* 90)</f>
        <v>0.37410926365795727</v>
      </c>
      <c r="BI133" s="28455">
        <f>IF(HLOOKUP("Mins",A1:CV300,133,FALSE)=0,0,HLOOKUP("BC Created",A1:CV300,133,FALSE)/HLOOKUP("Mins",A1:CV300,133,FALSE)* 90)</f>
        <v>0.32066508313539194</v>
      </c>
      <c r="BJ133" s="28456">
        <f>IF(HLOOKUP("Mins",A1:CV300,133,FALSE)=0,0,HLOOKUP("KP",A1:CV300,133,FALSE)/HLOOKUP("Mins",A1:CV300,133,FALSE)* 90)</f>
        <v>3.4204275534441808</v>
      </c>
      <c r="BK133" s="28457">
        <f>IF(HLOOKUP("Mins",A1:CV300,133,FALSE)=0,0,HLOOKUP("BC",A1:CV300,133,FALSE)/HLOOKUP("Mins",A1:CV300,133,FALSE)* 90)</f>
        <v>5.3444180522565325E-2</v>
      </c>
      <c r="BL133" s="28458">
        <f>IF(HLOOKUP("Mins",A1:CV300,133,FALSE)=0,0,HLOOKUP("BC Miss",A1:CV300,133,FALSE)/HLOOKUP("Mins",A1:CV300,133,FALSE)* 90)</f>
        <v>5.3444180522565325E-2</v>
      </c>
      <c r="BM133" s="28459">
        <f>IF(HLOOKUP("Mins",A1:CV300,133,FALSE)=0,0,HLOOKUP("Gs - BC",A1:CV300,133,FALSE)/HLOOKUP("Mins",A1:CV300,133,FALSE)* 90)</f>
        <v>0</v>
      </c>
      <c r="BN133" s="28460">
        <f>IF(HLOOKUP("Mins",A1:CV300,133,FALSE)=0,0,HLOOKUP("GIB",A1:CV300,133,FALSE)/HLOOKUP("Mins",A1:CV300,133,FALSE)* 90)</f>
        <v>0</v>
      </c>
      <c r="BO133" s="28461">
        <f>IF(HLOOKUP("Mins",A1:CV300,133,FALSE)=0,0,HLOOKUP("Gs - Open",A1:CV300,133,FALSE)/HLOOKUP("Mins",A1:CV300,133,FALSE)* 90)</f>
        <v>0</v>
      </c>
      <c r="BP133" s="28462">
        <f>IF(HLOOKUP("Mins",A1:CV300,133,FALSE)=0,0,HLOOKUP("ICT Index",A1:CV300,133,FALSE)/HLOOKUP("Mins",A1:CV300,133,FALSE)* 90)</f>
        <v>9.0160332541567687</v>
      </c>
      <c r="BQ133" s="28463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  <v>0.10282660332541568</v>
      </c>
      <c r="BR133" s="28464">
        <f>0.0885*HLOOKUP("KP/90",A1:CV300,133,FALSE)</f>
        <v>0.30270783847980998</v>
      </c>
      <c r="BS133" s="28465">
        <f>5*HLOOKUP("xG/90",A1:CV300,133,FALSE)+3*HLOOKUP("xA/90",A1:CV300,133,FALSE)</f>
        <v>1.4222565320665084</v>
      </c>
      <c r="BT133" s="28466">
        <f>HLOOKUP("xPts/90",A1:CV300,133,FALSE)-(5*0.75*(HLOOKUP("PK Gs",A1:CV300,133,FALSE)+HLOOKUP("PK Miss",A1:CV300,133,FALSE))*90/HLOOKUP("Mins",A1:CV300,133,FALSE))</f>
        <v>1.4222565320665084</v>
      </c>
      <c r="BU133" s="28467">
        <f>IF(HLOOKUP("Mins",A1:CV300,133,FALSE)=0,0,HLOOKUP("fsXG",A1:CV300,133,FALSE)/HLOOKUP("Mins",A1:CV300,133,FALSE)* 90)</f>
        <v>7.8562945368171017E-2</v>
      </c>
      <c r="BV133" s="28468">
        <f>IF(HLOOKUP("Mins",A1:CV300,133,FALSE)=0,0,HLOOKUP("fsXA",A1:CV300,133,FALSE)/HLOOKUP("Mins",A1:CV300,133,FALSE)* 90)</f>
        <v>0.25866983372921615</v>
      </c>
      <c r="BW133" s="28469">
        <f>5*HLOOKUP("fsXG/90",A1:CV300,133,FALSE)+3*HLOOKUP("fsXA/90",A1:CV300,133,FALSE)</f>
        <v>1.1688242280285035</v>
      </c>
      <c r="BX133" s="28470">
        <v>8.1946365535259247E-2</v>
      </c>
      <c r="BY133" s="28471">
        <v>0.30236619710922241</v>
      </c>
      <c r="BZ133" s="28472">
        <f>5*HLOOKUP("uXG/90",A1:CV300,133,FALSE)+3*HLOOKUP("uXA/90",A1:CV300,133,FALSE)</f>
        <v>1.3168304190039635</v>
      </c>
    </row>
    <row r="134" spans="1:78" x14ac:dyDescent="0.3">
      <c r="A134" s="28473" t="s">
        <v>461</v>
      </c>
      <c r="B134" s="28474" t="s">
        <v>96</v>
      </c>
      <c r="C134" s="28475">
        <v>5.4000000953674316</v>
      </c>
      <c r="D134" s="28476">
        <v>1305</v>
      </c>
      <c r="E134" s="28477">
        <v>17</v>
      </c>
      <c r="F134" s="28478">
        <v>49</v>
      </c>
      <c r="G134" s="28479">
        <v>2</v>
      </c>
      <c r="H134" s="28480">
        <v>4</v>
      </c>
      <c r="I134" s="28481">
        <v>150</v>
      </c>
      <c r="J134" s="28482">
        <f>HLOOKUP("BPS",A1:CV300,134,FALSE)-((-6*HLOOKUP("OG",A1:CV300,134,FALSE))+(-6*HLOOKUP("PK Miss",A1:CV300,134,FALSE))+(9*HLOOKUP("FPL As",A1:CV300,134,FALSE))+(0*HLOOKUP("CS",A1:CV300,134,FALSE))+(18*HLOOKUP("Gs",A1:CV300,134,FALSE)))</f>
        <v>105</v>
      </c>
      <c r="K134" s="28483">
        <v>0</v>
      </c>
      <c r="L134" s="28484">
        <v>6</v>
      </c>
      <c r="M134" s="28485">
        <v>23</v>
      </c>
      <c r="N134" s="28486">
        <v>15</v>
      </c>
      <c r="O134" s="28487">
        <v>8</v>
      </c>
      <c r="P134" s="28488">
        <f>IF(HLOOKUP("Shots",A1:CV300,134,FALSE)=0,0,HLOOKUP("SIB",A1:CV300,134,FALSE)/HLOOKUP("Shots",A1:CV300,134,FALSE))</f>
        <v>0.53333333333333333</v>
      </c>
      <c r="Q134" s="28489">
        <v>1</v>
      </c>
      <c r="R134" s="28490">
        <f>IF(HLOOKUP("Shots",A1:CV300,134,FALSE)=0,0,HLOOKUP("S6YD",A1:CV300,134,FALSE)/HLOOKUP("Shots",A1:CV300,134,FALSE))</f>
        <v>6.6666666666666666E-2</v>
      </c>
      <c r="S134" s="28491">
        <v>0</v>
      </c>
      <c r="T134" s="28492">
        <f>IF(HLOOKUP("Shots",A1:CV300,134,FALSE)=0,0,HLOOKUP("Headers",A1:CV300,134,FALSE)/HLOOKUP("Shots",A1:CV300,134,FALSE))</f>
        <v>0</v>
      </c>
      <c r="U134" s="28493">
        <v>6</v>
      </c>
      <c r="V134" s="28494">
        <f>IF(HLOOKUP("Shots",A1:CV300,134,FALSE)=0,0,HLOOKUP("SOT",A1:CV300,134,FALSE)/HLOOKUP("Shots",A1:CV300,134,FALSE))</f>
        <v>0.4</v>
      </c>
      <c r="W134" s="28495">
        <f>IF(HLOOKUP("Shots",A1:CV300,134,FALSE)=0,0,HLOOKUP("Gs",A1:CV300,134,FALSE)/HLOOKUP("Shots",A1:CV300,134,FALSE))</f>
        <v>0.13333333333333333</v>
      </c>
      <c r="X134" s="28496">
        <v>1</v>
      </c>
      <c r="Y134" s="28497">
        <v>1</v>
      </c>
      <c r="Z134" s="28498">
        <v>7</v>
      </c>
      <c r="AA134" s="28499">
        <f>IF(HLOOKUP("KP",A1:CV300,134,FALSE)=0,0,HLOOKUP("As",A1:CV300,134,FALSE)/HLOOKUP("KP",A1:CV300,134,FALSE))</f>
        <v>0.14285714285714285</v>
      </c>
      <c r="AB134" s="28500">
        <v>49.6</v>
      </c>
      <c r="AC134" s="28501">
        <v>20</v>
      </c>
      <c r="AD134" s="28502">
        <v>2</v>
      </c>
      <c r="AE134" s="28503">
        <v>1</v>
      </c>
      <c r="AF134" s="28504">
        <v>1</v>
      </c>
      <c r="AG134" s="28505">
        <f>IF(HLOOKUP("BC",A1:CV300,134,FALSE)=0,0,HLOOKUP("Gs - BC",A1:CV300,134,FALSE)/HLOOKUP("BC",A1:CV300,134,FALSE))</f>
        <v>0</v>
      </c>
      <c r="AH134" s="28506">
        <f>HLOOKUP("BC",A1:CV300,134,FALSE) - HLOOKUP("BC Miss",A1:CV300,134,FALSE)</f>
        <v>0</v>
      </c>
      <c r="AI134" s="28507">
        <f>IF(HLOOKUP("Gs",A1:CV300,134,FALSE)=0,0,HLOOKUP("Gs - BC",A1:CV300,134,FALSE)/HLOOKUP("Gs",A1:CV300,134,FALSE))</f>
        <v>0</v>
      </c>
      <c r="AJ134" s="28508">
        <v>0</v>
      </c>
      <c r="AK134" s="28509">
        <v>0</v>
      </c>
      <c r="AL134" s="28510">
        <f>HLOOKUP("BC",A1:CV300,134,FALSE) - (HLOOKUP("PK Gs",A1:CV300,134,FALSE) + HLOOKUP("PK Miss",A1:CV300,134,FALSE))</f>
        <v>1</v>
      </c>
      <c r="AM134" s="28511">
        <f>HLOOKUP("BC Miss",A1:CV300,134,FALSE) - HLOOKUP("PK Miss",A1:CV300,134,FALSE)</f>
        <v>1</v>
      </c>
      <c r="AN134" s="28512">
        <f>IF(HLOOKUP("BC - Open",A1:CV300,134,FALSE)=0,0,HLOOKUP("BC - Open Miss",A1:CV300,134,FALSE)/HLOOKUP("BC - Open",A1:CV300,134,FALSE))</f>
        <v>1</v>
      </c>
      <c r="AO134" s="28513">
        <v>1</v>
      </c>
      <c r="AP134" s="28514">
        <f>IF(HLOOKUP("Gs",A1:CV300,134,FALSE)=0,0,HLOOKUP("GIB",A1:CV300,134,FALSE)/HLOOKUP("Gs",A1:CV300,134,FALSE))</f>
        <v>0.5</v>
      </c>
      <c r="AQ134" s="28515">
        <v>1</v>
      </c>
      <c r="AR134" s="28516">
        <f>IF(HLOOKUP("Gs",A1:CV300,134,FALSE)=0,0,HLOOKUP("Gs - Open",A1:CV300,134,FALSE)/HLOOKUP("Gs",A1:CV300,134,FALSE))</f>
        <v>0.5</v>
      </c>
      <c r="AS134" s="28517">
        <v>0.94</v>
      </c>
      <c r="AT134" s="28518">
        <v>1.51</v>
      </c>
      <c r="AU134" s="28519">
        <f>IF(HLOOKUP("Mins",A1:CV300,134,FALSE)=0,0,HLOOKUP("Pts",A1:CV300,134,FALSE)/HLOOKUP("Mins",A1:CV300,134,FALSE)* 90)</f>
        <v>3.3793103448275863</v>
      </c>
      <c r="AV134" s="28520">
        <f>IF(HLOOKUP("Apps",A1:CV300,134,FALSE)=0,0,HLOOKUP("Pts",A1:CV300,134,FALSE)/HLOOKUP("Apps",A1:CV300,134,FALSE)* 1)</f>
        <v>2.8823529411764706</v>
      </c>
      <c r="AW134" s="28521">
        <f>IF(HLOOKUP("Mins",A1:CV300,134,FALSE)=0,0,HLOOKUP("Gs",A1:CV300,134,FALSE)/HLOOKUP("Mins",A1:CV300,134,FALSE)* 90)</f>
        <v>0.13793103448275862</v>
      </c>
      <c r="AX134" s="28522">
        <f>IF(HLOOKUP("Mins",A1:CV300,134,FALSE)=0,0,HLOOKUP("Bonus",A1:CV300,134,FALSE)/HLOOKUP("Mins",A1:CV300,134,FALSE)* 90)</f>
        <v>0.27586206896551724</v>
      </c>
      <c r="AY134" s="28523">
        <f>IF(HLOOKUP("Mins",A1:CV300,134,FALSE)=0,0,HLOOKUP("BPS",A1:CV300,134,FALSE)/HLOOKUP("Mins",A1:CV300,134,FALSE)* 90)</f>
        <v>10.344827586206897</v>
      </c>
      <c r="AZ134" s="28524">
        <f>IF(HLOOKUP("Mins",A1:CV300,134,FALSE)=0,0,HLOOKUP("Base BPS",A1:CV300,134,FALSE)/HLOOKUP("Mins",A1:CV300,134,FALSE)* 90)</f>
        <v>7.2413793103448274</v>
      </c>
      <c r="BA134" s="28525">
        <f>IF(HLOOKUP("Mins",A1:CV300,134,FALSE)=0,0,HLOOKUP("PenTchs",A1:CV300,134,FALSE)/HLOOKUP("Mins",A1:CV300,134,FALSE)* 90)</f>
        <v>1.5862068965517242</v>
      </c>
      <c r="BB134" s="28526">
        <f>IF(HLOOKUP("Mins",A1:CV300,134,FALSE)=0,0,HLOOKUP("Shots",A1:CV300,134,FALSE)/HLOOKUP("Mins",A1:CV300,134,FALSE)* 90)</f>
        <v>1.0344827586206897</v>
      </c>
      <c r="BC134" s="28527">
        <f>IF(HLOOKUP("Mins",A1:CV300,134,FALSE)=0,0,HLOOKUP("SIB",A1:CV300,134,FALSE)/HLOOKUP("Mins",A1:CV300,134,FALSE)* 90)</f>
        <v>0.55172413793103448</v>
      </c>
      <c r="BD134" s="28528">
        <f>IF(HLOOKUP("Mins",A1:CV300,134,FALSE)=0,0,HLOOKUP("S6YD",A1:CV300,134,FALSE)/HLOOKUP("Mins",A1:CV300,134,FALSE)* 90)</f>
        <v>6.8965517241379309E-2</v>
      </c>
      <c r="BE134" s="28529">
        <f>IF(HLOOKUP("Mins",A1:CV300,134,FALSE)=0,0,HLOOKUP("Headers",A1:CV300,134,FALSE)/HLOOKUP("Mins",A1:CV300,134,FALSE)* 90)</f>
        <v>0</v>
      </c>
      <c r="BF134" s="28530">
        <f>IF(HLOOKUP("Mins",A1:CV300,134,FALSE)=0,0,HLOOKUP("SOT",A1:CV300,134,FALSE)/HLOOKUP("Mins",A1:CV300,134,FALSE)* 90)</f>
        <v>0.41379310344827586</v>
      </c>
      <c r="BG134" s="28531">
        <f>IF(HLOOKUP("Mins",A1:CV300,134,FALSE)=0,0,HLOOKUP("As",A1:CV300,134,FALSE)/HLOOKUP("Mins",A1:CV300,134,FALSE)* 90)</f>
        <v>6.8965517241379309E-2</v>
      </c>
      <c r="BH134" s="28532">
        <f>IF(HLOOKUP("Mins",A1:CV300,134,FALSE)=0,0,HLOOKUP("FPL As",A1:CV300,134,FALSE)/HLOOKUP("Mins",A1:CV300,134,FALSE)* 90)</f>
        <v>6.8965517241379309E-2</v>
      </c>
      <c r="BI134" s="28533">
        <f>IF(HLOOKUP("Mins",A1:CV300,134,FALSE)=0,0,HLOOKUP("BC Created",A1:CV300,134,FALSE)/HLOOKUP("Mins",A1:CV300,134,FALSE)* 90)</f>
        <v>0.13793103448275862</v>
      </c>
      <c r="BJ134" s="28534">
        <f>IF(HLOOKUP("Mins",A1:CV300,134,FALSE)=0,0,HLOOKUP("KP",A1:CV300,134,FALSE)/HLOOKUP("Mins",A1:CV300,134,FALSE)* 90)</f>
        <v>0.48275862068965514</v>
      </c>
      <c r="BK134" s="28535">
        <f>IF(HLOOKUP("Mins",A1:CV300,134,FALSE)=0,0,HLOOKUP("BC",A1:CV300,134,FALSE)/HLOOKUP("Mins",A1:CV300,134,FALSE)* 90)</f>
        <v>6.8965517241379309E-2</v>
      </c>
      <c r="BL134" s="28536">
        <f>IF(HLOOKUP("Mins",A1:CV300,134,FALSE)=0,0,HLOOKUP("BC Miss",A1:CV300,134,FALSE)/HLOOKUP("Mins",A1:CV300,134,FALSE)* 90)</f>
        <v>6.8965517241379309E-2</v>
      </c>
      <c r="BM134" s="28537">
        <f>IF(HLOOKUP("Mins",A1:CV300,134,FALSE)=0,0,HLOOKUP("Gs - BC",A1:CV300,134,FALSE)/HLOOKUP("Mins",A1:CV300,134,FALSE)* 90)</f>
        <v>0</v>
      </c>
      <c r="BN134" s="28538">
        <f>IF(HLOOKUP("Mins",A1:CV300,134,FALSE)=0,0,HLOOKUP("GIB",A1:CV300,134,FALSE)/HLOOKUP("Mins",A1:CV300,134,FALSE)* 90)</f>
        <v>6.8965517241379309E-2</v>
      </c>
      <c r="BO134" s="28539">
        <f>IF(HLOOKUP("Mins",A1:CV300,134,FALSE)=0,0,HLOOKUP("Gs - Open",A1:CV300,134,FALSE)/HLOOKUP("Mins",A1:CV300,134,FALSE)* 90)</f>
        <v>6.8965517241379309E-2</v>
      </c>
      <c r="BP134" s="28540">
        <f>IF(HLOOKUP("Mins",A1:CV300,134,FALSE)=0,0,HLOOKUP("ICT Index",A1:CV300,134,FALSE)/HLOOKUP("Mins",A1:CV300,134,FALSE)* 90)</f>
        <v>3.4206896551724135</v>
      </c>
      <c r="BQ134" s="28541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  <v>9.5724137931034473E-2</v>
      </c>
      <c r="BR134" s="28542">
        <f>0.0885*HLOOKUP("KP/90",A1:CV300,134,FALSE)</f>
        <v>4.2724137931034474E-2</v>
      </c>
      <c r="BS134" s="28543">
        <f>5*HLOOKUP("xG/90",A1:CV300,134,FALSE)+3*HLOOKUP("xA/90",A1:CV300,134,FALSE)</f>
        <v>0.60679310344827575</v>
      </c>
      <c r="BT134" s="28544">
        <f>HLOOKUP("xPts/90",A1:CV300,134,FALSE)-(5*0.75*(HLOOKUP("PK Gs",A1:CV300,134,FALSE)+HLOOKUP("PK Miss",A1:CV300,134,FALSE))*90/HLOOKUP("Mins",A1:CV300,134,FALSE))</f>
        <v>0.60679310344827575</v>
      </c>
      <c r="BU134" s="28545">
        <f>IF(HLOOKUP("Mins",A1:CV300,134,FALSE)=0,0,HLOOKUP("fsXG",A1:CV300,134,FALSE)/HLOOKUP("Mins",A1:CV300,134,FALSE)* 90)</f>
        <v>6.4827586206896548E-2</v>
      </c>
      <c r="BV134" s="28546">
        <f>IF(HLOOKUP("Mins",A1:CV300,134,FALSE)=0,0,HLOOKUP("fsXA",A1:CV300,134,FALSE)/HLOOKUP("Mins",A1:CV300,134,FALSE)* 90)</f>
        <v>0.10413793103448275</v>
      </c>
      <c r="BW134" s="28547">
        <f>5*HLOOKUP("fsXG/90",A1:CV300,134,FALSE)+3*HLOOKUP("fsXA/90",A1:CV300,134,FALSE)</f>
        <v>0.63655172413793104</v>
      </c>
      <c r="BX134" s="28548">
        <v>7.2143644094467163E-2</v>
      </c>
      <c r="BY134" s="28549">
        <v>7.0354737341403961E-2</v>
      </c>
      <c r="BZ134" s="28550">
        <f>5*HLOOKUP("uXG/90",A1:CV300,134,FALSE)+3*HLOOKUP("uXA/90",A1:CV300,134,FALSE)</f>
        <v>0.5717824324965477</v>
      </c>
    </row>
    <row r="135" spans="1:78" x14ac:dyDescent="0.3">
      <c r="A135" s="28551" t="s">
        <v>462</v>
      </c>
      <c r="B135" s="28552" t="s">
        <v>151</v>
      </c>
      <c r="C135" s="28553">
        <v>4.9000000953674316</v>
      </c>
      <c r="D135" s="28554">
        <v>1453</v>
      </c>
      <c r="E135" s="28555">
        <v>17</v>
      </c>
      <c r="F135" s="28556">
        <v>55</v>
      </c>
      <c r="G135" s="28557">
        <v>3</v>
      </c>
      <c r="H135" s="28558">
        <v>6</v>
      </c>
      <c r="I135" s="28559">
        <v>237</v>
      </c>
      <c r="J135" s="28560">
        <f>HLOOKUP("BPS",A1:CV300,135,FALSE)-((-6*HLOOKUP("OG",A1:CV300,135,FALSE))+(-6*HLOOKUP("PK Miss",A1:CV300,135,FALSE))+(9*HLOOKUP("FPL As",A1:CV300,135,FALSE))+(0*HLOOKUP("CS",A1:CV300,135,FALSE))+(18*HLOOKUP("Gs",A1:CV300,135,FALSE)))</f>
        <v>165</v>
      </c>
      <c r="K135" s="28561">
        <v>0</v>
      </c>
      <c r="L135" s="28562">
        <v>2</v>
      </c>
      <c r="M135" s="28563">
        <v>26</v>
      </c>
      <c r="N135" s="28564">
        <v>27</v>
      </c>
      <c r="O135" s="28565">
        <v>9</v>
      </c>
      <c r="P135" s="28566">
        <f>IF(HLOOKUP("Shots",A1:CV300,135,FALSE)=0,0,HLOOKUP("SIB",A1:CV300,135,FALSE)/HLOOKUP("Shots",A1:CV300,135,FALSE))</f>
        <v>0.33333333333333331</v>
      </c>
      <c r="Q135" s="28567">
        <v>3</v>
      </c>
      <c r="R135" s="28568">
        <f>IF(HLOOKUP("Shots",A1:CV300,135,FALSE)=0,0,HLOOKUP("S6YD",A1:CV300,135,FALSE)/HLOOKUP("Shots",A1:CV300,135,FALSE))</f>
        <v>0.1111111111111111</v>
      </c>
      <c r="S135" s="28569">
        <v>6</v>
      </c>
      <c r="T135" s="28570">
        <f>IF(HLOOKUP("Shots",A1:CV300,135,FALSE)=0,0,HLOOKUP("Headers",A1:CV300,135,FALSE)/HLOOKUP("Shots",A1:CV300,135,FALSE))</f>
        <v>0.22222222222222221</v>
      </c>
      <c r="U135" s="28571">
        <v>8</v>
      </c>
      <c r="V135" s="28572">
        <f>IF(HLOOKUP("Shots",A1:CV300,135,FALSE)=0,0,HLOOKUP("SOT",A1:CV300,135,FALSE)/HLOOKUP("Shots",A1:CV300,135,FALSE))</f>
        <v>0.29629629629629628</v>
      </c>
      <c r="W135" s="28573">
        <f>IF(HLOOKUP("Shots",A1:CV300,135,FALSE)=0,0,HLOOKUP("Gs",A1:CV300,135,FALSE)/HLOOKUP("Shots",A1:CV300,135,FALSE))</f>
        <v>0.1111111111111111</v>
      </c>
      <c r="X135" s="28574">
        <v>1</v>
      </c>
      <c r="Y135" s="28575">
        <v>2</v>
      </c>
      <c r="Z135" s="28576">
        <v>15</v>
      </c>
      <c r="AA135" s="28577">
        <f>IF(HLOOKUP("KP",A1:CV300,135,FALSE)=0,0,HLOOKUP("As",A1:CV300,135,FALSE)/HLOOKUP("KP",A1:CV300,135,FALSE))</f>
        <v>6.6666666666666666E-2</v>
      </c>
      <c r="AB135" s="28578">
        <v>86.7</v>
      </c>
      <c r="AC135" s="28579">
        <v>17</v>
      </c>
      <c r="AD135" s="28580">
        <v>2</v>
      </c>
      <c r="AE135" s="28581">
        <v>3</v>
      </c>
      <c r="AF135" s="28582">
        <v>1</v>
      </c>
      <c r="AG135" s="28583">
        <f>IF(HLOOKUP("BC",A1:CV300,135,FALSE)=0,0,HLOOKUP("Gs - BC",A1:CV300,135,FALSE)/HLOOKUP("BC",A1:CV300,135,FALSE))</f>
        <v>0.66666666666666663</v>
      </c>
      <c r="AH135" s="28584">
        <f>HLOOKUP("BC",A1:CV300,135,FALSE) - HLOOKUP("BC Miss",A1:CV300,135,FALSE)</f>
        <v>2</v>
      </c>
      <c r="AI135" s="28585">
        <f>IF(HLOOKUP("Gs",A1:CV300,135,FALSE)=0,0,HLOOKUP("Gs - BC",A1:CV300,135,FALSE)/HLOOKUP("Gs",A1:CV300,135,FALSE))</f>
        <v>0.66666666666666663</v>
      </c>
      <c r="AJ135" s="28586">
        <v>0</v>
      </c>
      <c r="AK135" s="28587">
        <v>0</v>
      </c>
      <c r="AL135" s="28588">
        <f>HLOOKUP("BC",A1:CV300,135,FALSE) - (HLOOKUP("PK Gs",A1:CV300,135,FALSE) + HLOOKUP("PK Miss",A1:CV300,135,FALSE))</f>
        <v>3</v>
      </c>
      <c r="AM135" s="28589">
        <f>HLOOKUP("BC Miss",A1:CV300,135,FALSE) - HLOOKUP("PK Miss",A1:CV300,135,FALSE)</f>
        <v>1</v>
      </c>
      <c r="AN135" s="28590">
        <f>IF(HLOOKUP("BC - Open",A1:CV300,135,FALSE)=0,0,HLOOKUP("BC - Open Miss",A1:CV300,135,FALSE)/HLOOKUP("BC - Open",A1:CV300,135,FALSE))</f>
        <v>0.33333333333333331</v>
      </c>
      <c r="AO135" s="28591">
        <v>2</v>
      </c>
      <c r="AP135" s="28592">
        <f>IF(HLOOKUP("Gs",A1:CV300,135,FALSE)=0,0,HLOOKUP("GIB",A1:CV300,135,FALSE)/HLOOKUP("Gs",A1:CV300,135,FALSE))</f>
        <v>0.66666666666666663</v>
      </c>
      <c r="AQ135" s="28593">
        <v>1</v>
      </c>
      <c r="AR135" s="28594">
        <f>IF(HLOOKUP("Gs",A1:CV300,135,FALSE)=0,0,HLOOKUP("Gs - Open",A1:CV300,135,FALSE)/HLOOKUP("Gs",A1:CV300,135,FALSE))</f>
        <v>0.33333333333333331</v>
      </c>
      <c r="AS135" s="28595">
        <v>2.08</v>
      </c>
      <c r="AT135" s="28596">
        <v>1.17</v>
      </c>
      <c r="AU135" s="28597">
        <f>IF(HLOOKUP("Mins",A1:CV300,135,FALSE)=0,0,HLOOKUP("Pts",A1:CV300,135,FALSE)/HLOOKUP("Mins",A1:CV300,135,FALSE)* 90)</f>
        <v>3.4067446662078456</v>
      </c>
      <c r="AV135" s="28598">
        <f>IF(HLOOKUP("Apps",A1:CV300,135,FALSE)=0,0,HLOOKUP("Pts",A1:CV300,135,FALSE)/HLOOKUP("Apps",A1:CV300,135,FALSE)* 1)</f>
        <v>3.2352941176470589</v>
      </c>
      <c r="AW135" s="28599">
        <f>IF(HLOOKUP("Mins",A1:CV300,135,FALSE)=0,0,HLOOKUP("Gs",A1:CV300,135,FALSE)/HLOOKUP("Mins",A1:CV300,135,FALSE)* 90)</f>
        <v>0.18582243633860979</v>
      </c>
      <c r="AX135" s="28600">
        <f>IF(HLOOKUP("Mins",A1:CV300,135,FALSE)=0,0,HLOOKUP("Bonus",A1:CV300,135,FALSE)/HLOOKUP("Mins",A1:CV300,135,FALSE)* 90)</f>
        <v>0.37164487267721957</v>
      </c>
      <c r="AY135" s="28601">
        <f>IF(HLOOKUP("Mins",A1:CV300,135,FALSE)=0,0,HLOOKUP("BPS",A1:CV300,135,FALSE)/HLOOKUP("Mins",A1:CV300,135,FALSE)* 90)</f>
        <v>14.679972470750171</v>
      </c>
      <c r="AZ135" s="28602">
        <f>IF(HLOOKUP("Mins",A1:CV300,135,FALSE)=0,0,HLOOKUP("Base BPS",A1:CV300,135,FALSE)/HLOOKUP("Mins",A1:CV300,135,FALSE)* 90)</f>
        <v>10.220233998623538</v>
      </c>
      <c r="BA135" s="28603">
        <f>IF(HLOOKUP("Mins",A1:CV300,135,FALSE)=0,0,HLOOKUP("PenTchs",A1:CV300,135,FALSE)/HLOOKUP("Mins",A1:CV300,135,FALSE)* 90)</f>
        <v>1.6104611149346182</v>
      </c>
      <c r="BB135" s="28604">
        <f>IF(HLOOKUP("Mins",A1:CV300,135,FALSE)=0,0,HLOOKUP("Shots",A1:CV300,135,FALSE)/HLOOKUP("Mins",A1:CV300,135,FALSE)* 90)</f>
        <v>1.6724019270474879</v>
      </c>
      <c r="BC135" s="28605">
        <f>IF(HLOOKUP("Mins",A1:CV300,135,FALSE)=0,0,HLOOKUP("SIB",A1:CV300,135,FALSE)/HLOOKUP("Mins",A1:CV300,135,FALSE)* 90)</f>
        <v>0.5574673090158293</v>
      </c>
      <c r="BD135" s="28606">
        <f>IF(HLOOKUP("Mins",A1:CV300,135,FALSE)=0,0,HLOOKUP("S6YD",A1:CV300,135,FALSE)/HLOOKUP("Mins",A1:CV300,135,FALSE)* 90)</f>
        <v>0.18582243633860979</v>
      </c>
      <c r="BE135" s="28607">
        <f>IF(HLOOKUP("Mins",A1:CV300,135,FALSE)=0,0,HLOOKUP("Headers",A1:CV300,135,FALSE)/HLOOKUP("Mins",A1:CV300,135,FALSE)* 90)</f>
        <v>0.37164487267721957</v>
      </c>
      <c r="BF135" s="28608">
        <f>IF(HLOOKUP("Mins",A1:CV300,135,FALSE)=0,0,HLOOKUP("SOT",A1:CV300,135,FALSE)/HLOOKUP("Mins",A1:CV300,135,FALSE)* 90)</f>
        <v>0.49552649690295936</v>
      </c>
      <c r="BG135" s="28609">
        <f>IF(HLOOKUP("Mins",A1:CV300,135,FALSE)=0,0,HLOOKUP("As",A1:CV300,135,FALSE)/HLOOKUP("Mins",A1:CV300,135,FALSE)* 90)</f>
        <v>6.194081211286992E-2</v>
      </c>
      <c r="BH135" s="28610">
        <f>IF(HLOOKUP("Mins",A1:CV300,135,FALSE)=0,0,HLOOKUP("FPL As",A1:CV300,135,FALSE)/HLOOKUP("Mins",A1:CV300,135,FALSE)* 90)</f>
        <v>0.12388162422573984</v>
      </c>
      <c r="BI135" s="28611">
        <f>IF(HLOOKUP("Mins",A1:CV300,135,FALSE)=0,0,HLOOKUP("BC Created",A1:CV300,135,FALSE)/HLOOKUP("Mins",A1:CV300,135,FALSE)* 90)</f>
        <v>0.12388162422573984</v>
      </c>
      <c r="BJ135" s="28612">
        <f>IF(HLOOKUP("Mins",A1:CV300,135,FALSE)=0,0,HLOOKUP("KP",A1:CV300,135,FALSE)/HLOOKUP("Mins",A1:CV300,135,FALSE)* 90)</f>
        <v>0.92911218169304888</v>
      </c>
      <c r="BK135" s="28613">
        <f>IF(HLOOKUP("Mins",A1:CV300,135,FALSE)=0,0,HLOOKUP("BC",A1:CV300,135,FALSE)/HLOOKUP("Mins",A1:CV300,135,FALSE)* 90)</f>
        <v>0.18582243633860979</v>
      </c>
      <c r="BL135" s="28614">
        <f>IF(HLOOKUP("Mins",A1:CV300,135,FALSE)=0,0,HLOOKUP("BC Miss",A1:CV300,135,FALSE)/HLOOKUP("Mins",A1:CV300,135,FALSE)* 90)</f>
        <v>6.194081211286992E-2</v>
      </c>
      <c r="BM135" s="28615">
        <f>IF(HLOOKUP("Mins",A1:CV300,135,FALSE)=0,0,HLOOKUP("Gs - BC",A1:CV300,135,FALSE)/HLOOKUP("Mins",A1:CV300,135,FALSE)* 90)</f>
        <v>0.12388162422573984</v>
      </c>
      <c r="BN135" s="28616">
        <f>IF(HLOOKUP("Mins",A1:CV300,135,FALSE)=0,0,HLOOKUP("GIB",A1:CV300,135,FALSE)/HLOOKUP("Mins",A1:CV300,135,FALSE)* 90)</f>
        <v>0.12388162422573984</v>
      </c>
      <c r="BO135" s="28617">
        <f>IF(HLOOKUP("Mins",A1:CV300,135,FALSE)=0,0,HLOOKUP("Gs - Open",A1:CV300,135,FALSE)/HLOOKUP("Mins",A1:CV300,135,FALSE)* 90)</f>
        <v>6.194081211286992E-2</v>
      </c>
      <c r="BP135" s="28618">
        <f>IF(HLOOKUP("Mins",A1:CV300,135,FALSE)=0,0,HLOOKUP("ICT Index",A1:CV300,135,FALSE)/HLOOKUP("Mins",A1:CV300,135,FALSE)* 90)</f>
        <v>5.3702684101858225</v>
      </c>
      <c r="BQ135" s="28619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  <v>0.11929800412938746</v>
      </c>
      <c r="BR135" s="28620">
        <f>0.0885*HLOOKUP("KP/90",A1:CV300,135,FALSE)</f>
        <v>8.2226428079834823E-2</v>
      </c>
      <c r="BS135" s="28621">
        <f>5*HLOOKUP("xG/90",A1:CV300,135,FALSE)+3*HLOOKUP("xA/90",A1:CV300,135,FALSE)</f>
        <v>0.84316930488644171</v>
      </c>
      <c r="BT135" s="28622">
        <f>HLOOKUP("xPts/90",A1:CV300,135,FALSE)-(5*0.75*(HLOOKUP("PK Gs",A1:CV300,135,FALSE)+HLOOKUP("PK Miss",A1:CV300,135,FALSE))*90/HLOOKUP("Mins",A1:CV300,135,FALSE))</f>
        <v>0.84316930488644171</v>
      </c>
      <c r="BU135" s="28623">
        <f>IF(HLOOKUP("Mins",A1:CV300,135,FALSE)=0,0,HLOOKUP("fsXG",A1:CV300,135,FALSE)/HLOOKUP("Mins",A1:CV300,135,FALSE)* 90)</f>
        <v>0.12883688919476946</v>
      </c>
      <c r="BV135" s="28624">
        <f>IF(HLOOKUP("Mins",A1:CV300,135,FALSE)=0,0,HLOOKUP("fsXA",A1:CV300,135,FALSE)/HLOOKUP("Mins",A1:CV300,135,FALSE)* 90)</f>
        <v>7.2470750172057813E-2</v>
      </c>
      <c r="BW135" s="28625">
        <f>5*HLOOKUP("fsXG/90",A1:CV300,135,FALSE)+3*HLOOKUP("fsXA/90",A1:CV300,135,FALSE)</f>
        <v>0.86159669649002069</v>
      </c>
      <c r="BX135" s="28626">
        <v>0.11309697479009628</v>
      </c>
      <c r="BY135" s="28627">
        <v>8.7208963930606842E-2</v>
      </c>
      <c r="BZ135" s="28628">
        <f>5*HLOOKUP("uXG/90",A1:CV300,135,FALSE)+3*HLOOKUP("uXA/90",A1:CV300,135,FALSE)</f>
        <v>0.82711176574230194</v>
      </c>
    </row>
    <row r="136" spans="1:78" x14ac:dyDescent="0.3">
      <c r="A136" s="28629" t="s">
        <v>463</v>
      </c>
      <c r="B136" s="28630" t="s">
        <v>132</v>
      </c>
      <c r="C136" s="28631">
        <v>5.3000001907348633</v>
      </c>
      <c r="D136" s="28632">
        <v>663</v>
      </c>
      <c r="E136" s="28633">
        <v>16</v>
      </c>
      <c r="F136" s="28634">
        <v>42</v>
      </c>
      <c r="G136" s="28635">
        <v>2</v>
      </c>
      <c r="H136" s="28636">
        <v>3</v>
      </c>
      <c r="I136" s="28637">
        <v>158</v>
      </c>
      <c r="J136" s="28638">
        <f>HLOOKUP("BPS",A1:CV300,136,FALSE)-((-6*HLOOKUP("OG",A1:CV300,136,FALSE))+(-6*HLOOKUP("PK Miss",A1:CV300,136,FALSE))+(9*HLOOKUP("FPL As",A1:CV300,136,FALSE))+(0*HLOOKUP("CS",A1:CV300,136,FALSE))+(18*HLOOKUP("Gs",A1:CV300,136,FALSE)))</f>
        <v>104</v>
      </c>
      <c r="K136" s="28639">
        <v>0</v>
      </c>
      <c r="L136" s="28640">
        <v>4</v>
      </c>
      <c r="M136" s="28641">
        <v>10</v>
      </c>
      <c r="N136" s="28642">
        <v>11</v>
      </c>
      <c r="O136" s="28643">
        <v>4</v>
      </c>
      <c r="P136" s="28644">
        <f>IF(HLOOKUP("Shots",A1:CV300,136,FALSE)=0,0,HLOOKUP("SIB",A1:CV300,136,FALSE)/HLOOKUP("Shots",A1:CV300,136,FALSE))</f>
        <v>0.36363636363636365</v>
      </c>
      <c r="Q136" s="28645">
        <v>0</v>
      </c>
      <c r="R136" s="28646">
        <f>IF(HLOOKUP("Shots",A1:CV300,136,FALSE)=0,0,HLOOKUP("S6YD",A1:CV300,136,FALSE)/HLOOKUP("Shots",A1:CV300,136,FALSE))</f>
        <v>0</v>
      </c>
      <c r="S136" s="28647">
        <v>0</v>
      </c>
      <c r="T136" s="28648">
        <f>IF(HLOOKUP("Shots",A1:CV300,136,FALSE)=0,0,HLOOKUP("Headers",A1:CV300,136,FALSE)/HLOOKUP("Shots",A1:CV300,136,FALSE))</f>
        <v>0</v>
      </c>
      <c r="U136" s="28649">
        <v>3</v>
      </c>
      <c r="V136" s="28650">
        <f>IF(HLOOKUP("Shots",A1:CV300,136,FALSE)=0,0,HLOOKUP("SOT",A1:CV300,136,FALSE)/HLOOKUP("Shots",A1:CV300,136,FALSE))</f>
        <v>0.27272727272727271</v>
      </c>
      <c r="W136" s="28651">
        <f>IF(HLOOKUP("Shots",A1:CV300,136,FALSE)=0,0,HLOOKUP("Gs",A1:CV300,136,FALSE)/HLOOKUP("Shots",A1:CV300,136,FALSE))</f>
        <v>0.18181818181818182</v>
      </c>
      <c r="X136" s="28652">
        <v>2</v>
      </c>
      <c r="Y136" s="28653">
        <v>2</v>
      </c>
      <c r="Z136" s="28654">
        <v>8</v>
      </c>
      <c r="AA136" s="28655">
        <f>IF(HLOOKUP("KP",A1:CV300,136,FALSE)=0,0,HLOOKUP("As",A1:CV300,136,FALSE)/HLOOKUP("KP",A1:CV300,136,FALSE))</f>
        <v>0.25</v>
      </c>
      <c r="AB136" s="28656">
        <v>38.200000000000003</v>
      </c>
      <c r="AC136" s="28657">
        <v>20</v>
      </c>
      <c r="AD136" s="28658">
        <v>1</v>
      </c>
      <c r="AE136" s="28659">
        <v>3</v>
      </c>
      <c r="AF136" s="28660">
        <v>1</v>
      </c>
      <c r="AG136" s="28661">
        <f>IF(HLOOKUP("BC",A1:CV300,136,FALSE)=0,0,HLOOKUP("Gs - BC",A1:CV300,136,FALSE)/HLOOKUP("BC",A1:CV300,136,FALSE))</f>
        <v>0.66666666666666663</v>
      </c>
      <c r="AH136" s="28662">
        <f>HLOOKUP("BC",A1:CV300,136,FALSE) - HLOOKUP("BC Miss",A1:CV300,136,FALSE)</f>
        <v>2</v>
      </c>
      <c r="AI136" s="28663">
        <f>IF(HLOOKUP("Gs",A1:CV300,136,FALSE)=0,0,HLOOKUP("Gs - BC",A1:CV300,136,FALSE)/HLOOKUP("Gs",A1:CV300,136,FALSE))</f>
        <v>1</v>
      </c>
      <c r="AJ136" s="28664">
        <v>2</v>
      </c>
      <c r="AK136" s="28665">
        <v>0</v>
      </c>
      <c r="AL136" s="28666">
        <f>HLOOKUP("BC",A1:CV300,136,FALSE) - (HLOOKUP("PK Gs",A1:CV300,136,FALSE) + HLOOKUP("PK Miss",A1:CV300,136,FALSE))</f>
        <v>1</v>
      </c>
      <c r="AM136" s="28667">
        <f>HLOOKUP("BC Miss",A1:CV300,136,FALSE) - HLOOKUP("PK Miss",A1:CV300,136,FALSE)</f>
        <v>1</v>
      </c>
      <c r="AN136" s="28668">
        <f>IF(HLOOKUP("BC - Open",A1:CV300,136,FALSE)=0,0,HLOOKUP("BC - Open Miss",A1:CV300,136,FALSE)/HLOOKUP("BC - Open",A1:CV300,136,FALSE))</f>
        <v>1</v>
      </c>
      <c r="AO136" s="28669">
        <v>2</v>
      </c>
      <c r="AP136" s="28670">
        <f>IF(HLOOKUP("Gs",A1:CV300,136,FALSE)=0,0,HLOOKUP("GIB",A1:CV300,136,FALSE)/HLOOKUP("Gs",A1:CV300,136,FALSE))</f>
        <v>1</v>
      </c>
      <c r="AQ136" s="28671">
        <v>0</v>
      </c>
      <c r="AR136" s="28672">
        <f>IF(HLOOKUP("Gs",A1:CV300,136,FALSE)=0,0,HLOOKUP("Gs - Open",A1:CV300,136,FALSE)/HLOOKUP("Gs",A1:CV300,136,FALSE))</f>
        <v>0</v>
      </c>
      <c r="AS136" s="28673">
        <v>2.13</v>
      </c>
      <c r="AT136" s="28674">
        <v>0.68</v>
      </c>
      <c r="AU136" s="28675">
        <f>IF(HLOOKUP("Mins",A1:CV300,136,FALSE)=0,0,HLOOKUP("Pts",A1:CV300,136,FALSE)/HLOOKUP("Mins",A1:CV300,136,FALSE)* 90)</f>
        <v>5.7013574660633477</v>
      </c>
      <c r="AV136" s="28676">
        <f>IF(HLOOKUP("Apps",A1:CV300,136,FALSE)=0,0,HLOOKUP("Pts",A1:CV300,136,FALSE)/HLOOKUP("Apps",A1:CV300,136,FALSE)* 1)</f>
        <v>2.625</v>
      </c>
      <c r="AW136" s="28677">
        <f>IF(HLOOKUP("Mins",A1:CV300,136,FALSE)=0,0,HLOOKUP("Gs",A1:CV300,136,FALSE)/HLOOKUP("Mins",A1:CV300,136,FALSE)* 90)</f>
        <v>0.27149321266968329</v>
      </c>
      <c r="AX136" s="28678">
        <f>IF(HLOOKUP("Mins",A1:CV300,136,FALSE)=0,0,HLOOKUP("Bonus",A1:CV300,136,FALSE)/HLOOKUP("Mins",A1:CV300,136,FALSE)* 90)</f>
        <v>0.40723981900452494</v>
      </c>
      <c r="AY136" s="28679">
        <f>IF(HLOOKUP("Mins",A1:CV300,136,FALSE)=0,0,HLOOKUP("BPS",A1:CV300,136,FALSE)/HLOOKUP("Mins",A1:CV300,136,FALSE)* 90)</f>
        <v>21.447963800904979</v>
      </c>
      <c r="AZ136" s="28680">
        <f>IF(HLOOKUP("Mins",A1:CV300,136,FALSE)=0,0,HLOOKUP("Base BPS",A1:CV300,136,FALSE)/HLOOKUP("Mins",A1:CV300,136,FALSE)* 90)</f>
        <v>14.117647058823529</v>
      </c>
      <c r="BA136" s="28681">
        <f>IF(HLOOKUP("Mins",A1:CV300,136,FALSE)=0,0,HLOOKUP("PenTchs",A1:CV300,136,FALSE)/HLOOKUP("Mins",A1:CV300,136,FALSE)* 90)</f>
        <v>1.3574660633484164</v>
      </c>
      <c r="BB136" s="28682">
        <f>IF(HLOOKUP("Mins",A1:CV300,136,FALSE)=0,0,HLOOKUP("Shots",A1:CV300,136,FALSE)/HLOOKUP("Mins",A1:CV300,136,FALSE)* 90)</f>
        <v>1.4932126696832579</v>
      </c>
      <c r="BC136" s="28683">
        <f>IF(HLOOKUP("Mins",A1:CV300,136,FALSE)=0,0,HLOOKUP("SIB",A1:CV300,136,FALSE)/HLOOKUP("Mins",A1:CV300,136,FALSE)* 90)</f>
        <v>0.54298642533936659</v>
      </c>
      <c r="BD136" s="28684">
        <f>IF(HLOOKUP("Mins",A1:CV300,136,FALSE)=0,0,HLOOKUP("S6YD",A1:CV300,136,FALSE)/HLOOKUP("Mins",A1:CV300,136,FALSE)* 90)</f>
        <v>0</v>
      </c>
      <c r="BE136" s="28685">
        <f>IF(HLOOKUP("Mins",A1:CV300,136,FALSE)=0,0,HLOOKUP("Headers",A1:CV300,136,FALSE)/HLOOKUP("Mins",A1:CV300,136,FALSE)* 90)</f>
        <v>0</v>
      </c>
      <c r="BF136" s="28686">
        <f>IF(HLOOKUP("Mins",A1:CV300,136,FALSE)=0,0,HLOOKUP("SOT",A1:CV300,136,FALSE)/HLOOKUP("Mins",A1:CV300,136,FALSE)* 90)</f>
        <v>0.40723981900452494</v>
      </c>
      <c r="BG136" s="28687">
        <f>IF(HLOOKUP("Mins",A1:CV300,136,FALSE)=0,0,HLOOKUP("As",A1:CV300,136,FALSE)/HLOOKUP("Mins",A1:CV300,136,FALSE)* 90)</f>
        <v>0.27149321266968329</v>
      </c>
      <c r="BH136" s="28688">
        <f>IF(HLOOKUP("Mins",A1:CV300,136,FALSE)=0,0,HLOOKUP("FPL As",A1:CV300,136,FALSE)/HLOOKUP("Mins",A1:CV300,136,FALSE)* 90)</f>
        <v>0.27149321266968329</v>
      </c>
      <c r="BI136" s="28689">
        <f>IF(HLOOKUP("Mins",A1:CV300,136,FALSE)=0,0,HLOOKUP("BC Created",A1:CV300,136,FALSE)/HLOOKUP("Mins",A1:CV300,136,FALSE)* 90)</f>
        <v>0.13574660633484165</v>
      </c>
      <c r="BJ136" s="28690">
        <f>IF(HLOOKUP("Mins",A1:CV300,136,FALSE)=0,0,HLOOKUP("KP",A1:CV300,136,FALSE)/HLOOKUP("Mins",A1:CV300,136,FALSE)* 90)</f>
        <v>1.0859728506787332</v>
      </c>
      <c r="BK136" s="28691">
        <f>IF(HLOOKUP("Mins",A1:CV300,136,FALSE)=0,0,HLOOKUP("BC",A1:CV300,136,FALSE)/HLOOKUP("Mins",A1:CV300,136,FALSE)* 90)</f>
        <v>0.40723981900452494</v>
      </c>
      <c r="BL136" s="28692">
        <f>IF(HLOOKUP("Mins",A1:CV300,136,FALSE)=0,0,HLOOKUP("BC Miss",A1:CV300,136,FALSE)/HLOOKUP("Mins",A1:CV300,136,FALSE)* 90)</f>
        <v>0.13574660633484165</v>
      </c>
      <c r="BM136" s="28693">
        <f>IF(HLOOKUP("Mins",A1:CV300,136,FALSE)=0,0,HLOOKUP("Gs - BC",A1:CV300,136,FALSE)/HLOOKUP("Mins",A1:CV300,136,FALSE)* 90)</f>
        <v>0.27149321266968329</v>
      </c>
      <c r="BN136" s="28694">
        <f>IF(HLOOKUP("Mins",A1:CV300,136,FALSE)=0,0,HLOOKUP("GIB",A1:CV300,136,FALSE)/HLOOKUP("Mins",A1:CV300,136,FALSE)* 90)</f>
        <v>0.27149321266968329</v>
      </c>
      <c r="BO136" s="28695">
        <f>IF(HLOOKUP("Mins",A1:CV300,136,FALSE)=0,0,HLOOKUP("Gs - Open",A1:CV300,136,FALSE)/HLOOKUP("Mins",A1:CV300,136,FALSE)* 90)</f>
        <v>0</v>
      </c>
      <c r="BP136" s="28696">
        <f>IF(HLOOKUP("Mins",A1:CV300,136,FALSE)=0,0,HLOOKUP("ICT Index",A1:CV300,136,FALSE)/HLOOKUP("Mins",A1:CV300,136,FALSE)* 90)</f>
        <v>5.1855203619909505</v>
      </c>
      <c r="BQ136" s="28697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  <v>0.27638009049773754</v>
      </c>
      <c r="BR136" s="28698">
        <f>0.0885*HLOOKUP("KP/90",A1:CV300,136,FALSE)</f>
        <v>9.6108597285067876E-2</v>
      </c>
      <c r="BS136" s="28699">
        <f>5*HLOOKUP("xG/90",A1:CV300,136,FALSE)+3*HLOOKUP("xA/90",A1:CV300,136,FALSE)</f>
        <v>1.6702262443438913</v>
      </c>
      <c r="BT136" s="28700">
        <f>HLOOKUP("xPts/90",A1:CV300,136,FALSE)-(5*0.75*(HLOOKUP("PK Gs",A1:CV300,136,FALSE)+HLOOKUP("PK Miss",A1:CV300,136,FALSE))*90/HLOOKUP("Mins",A1:CV300,136,FALSE))</f>
        <v>0.65212669683257918</v>
      </c>
      <c r="BU136" s="28701">
        <f>IF(HLOOKUP("Mins",A1:CV300,136,FALSE)=0,0,HLOOKUP("fsXG",A1:CV300,136,FALSE)/HLOOKUP("Mins",A1:CV300,136,FALSE)* 90)</f>
        <v>0.2891402714932127</v>
      </c>
      <c r="BV136" s="28702">
        <f>IF(HLOOKUP("Mins",A1:CV300,136,FALSE)=0,0,HLOOKUP("fsXA",A1:CV300,136,FALSE)/HLOOKUP("Mins",A1:CV300,136,FALSE)* 90)</f>
        <v>9.2307692307692313E-2</v>
      </c>
      <c r="BW136" s="28703">
        <f>5*HLOOKUP("fsXG/90",A1:CV300,136,FALSE)+3*HLOOKUP("fsXA/90",A1:CV300,136,FALSE)</f>
        <v>1.7226244343891404</v>
      </c>
      <c r="BX136" s="28704">
        <v>0.29455727338790894</v>
      </c>
      <c r="BY136" s="28705">
        <v>0.12621614336967468</v>
      </c>
      <c r="BZ136" s="28706">
        <f>5*HLOOKUP("uXG/90",A1:CV300,136,FALSE)+3*HLOOKUP("uXA/90",A1:CV300,136,FALSE)</f>
        <v>1.8514347970485687</v>
      </c>
    </row>
    <row r="137" spans="1:78" x14ac:dyDescent="0.3">
      <c r="A137" s="28707" t="s">
        <v>464</v>
      </c>
      <c r="B137" s="28708" t="s">
        <v>107</v>
      </c>
      <c r="C137" s="28709">
        <v>5.5999999046325684</v>
      </c>
      <c r="D137" s="28710">
        <v>782</v>
      </c>
      <c r="E137" s="28711">
        <v>14</v>
      </c>
      <c r="F137" s="28712">
        <v>33</v>
      </c>
      <c r="G137" s="28713">
        <v>1</v>
      </c>
      <c r="H137" s="28714">
        <v>0</v>
      </c>
      <c r="I137" s="28715">
        <v>138</v>
      </c>
      <c r="J137" s="28716">
        <f>HLOOKUP("BPS",A1:CV300,137,FALSE)-((-6*HLOOKUP("OG",A1:CV300,137,FALSE))+(-6*HLOOKUP("PK Miss",A1:CV300,137,FALSE))+(9*HLOOKUP("FPL As",A1:CV300,137,FALSE))+(0*HLOOKUP("CS",A1:CV300,137,FALSE))+(18*HLOOKUP("Gs",A1:CV300,137,FALSE)))</f>
        <v>111</v>
      </c>
      <c r="K137" s="28717">
        <v>0</v>
      </c>
      <c r="L137" s="28718">
        <v>3</v>
      </c>
      <c r="M137" s="28719">
        <v>13</v>
      </c>
      <c r="N137" s="28720">
        <v>5</v>
      </c>
      <c r="O137" s="28721">
        <v>1</v>
      </c>
      <c r="P137" s="28722">
        <f>IF(HLOOKUP("Shots",A1:CV300,137,FALSE)=0,0,HLOOKUP("SIB",A1:CV300,137,FALSE)/HLOOKUP("Shots",A1:CV300,137,FALSE))</f>
        <v>0.2</v>
      </c>
      <c r="Q137" s="28723">
        <v>0</v>
      </c>
      <c r="R137" s="28724">
        <f>IF(HLOOKUP("Shots",A1:CV300,137,FALSE)=0,0,HLOOKUP("S6YD",A1:CV300,137,FALSE)/HLOOKUP("Shots",A1:CV300,137,FALSE))</f>
        <v>0</v>
      </c>
      <c r="S137" s="28725">
        <v>0</v>
      </c>
      <c r="T137" s="28726">
        <f>IF(HLOOKUP("Shots",A1:CV300,137,FALSE)=0,0,HLOOKUP("Headers",A1:CV300,137,FALSE)/HLOOKUP("Shots",A1:CV300,137,FALSE))</f>
        <v>0</v>
      </c>
      <c r="U137" s="28727">
        <v>4</v>
      </c>
      <c r="V137" s="28728">
        <f>IF(HLOOKUP("Shots",A1:CV300,137,FALSE)=0,0,HLOOKUP("SOT",A1:CV300,137,FALSE)/HLOOKUP("Shots",A1:CV300,137,FALSE))</f>
        <v>0.8</v>
      </c>
      <c r="W137" s="28729">
        <f>IF(HLOOKUP("Shots",A1:CV300,137,FALSE)=0,0,HLOOKUP("Gs",A1:CV300,137,FALSE)/HLOOKUP("Shots",A1:CV300,137,FALSE))</f>
        <v>0.2</v>
      </c>
      <c r="X137" s="28730">
        <v>1</v>
      </c>
      <c r="Y137" s="28731">
        <v>1</v>
      </c>
      <c r="Z137" s="28732">
        <v>8</v>
      </c>
      <c r="AA137" s="28733">
        <f>IF(HLOOKUP("KP",A1:CV300,137,FALSE)=0,0,HLOOKUP("As",A1:CV300,137,FALSE)/HLOOKUP("KP",A1:CV300,137,FALSE))</f>
        <v>0.125</v>
      </c>
      <c r="AB137" s="28734">
        <v>37.1</v>
      </c>
      <c r="AC137" s="28735">
        <v>29</v>
      </c>
      <c r="AD137" s="28736">
        <v>2</v>
      </c>
      <c r="AE137" s="28737">
        <v>0</v>
      </c>
      <c r="AF137" s="28738">
        <v>0</v>
      </c>
      <c r="AG137" s="28739">
        <f>IF(HLOOKUP("BC",A1:CV300,137,FALSE)=0,0,HLOOKUP("Gs - BC",A1:CV300,137,FALSE)/HLOOKUP("BC",A1:CV300,137,FALSE))</f>
        <v>0</v>
      </c>
      <c r="AH137" s="28740">
        <f>HLOOKUP("BC",A1:CV300,137,FALSE) - HLOOKUP("BC Miss",A1:CV300,137,FALSE)</f>
        <v>0</v>
      </c>
      <c r="AI137" s="28741">
        <f>IF(HLOOKUP("Gs",A1:CV300,137,FALSE)=0,0,HLOOKUP("Gs - BC",A1:CV300,137,FALSE)/HLOOKUP("Gs",A1:CV300,137,FALSE))</f>
        <v>0</v>
      </c>
      <c r="AJ137" s="28742">
        <v>0</v>
      </c>
      <c r="AK137" s="28743">
        <v>0</v>
      </c>
      <c r="AL137" s="28744">
        <f>HLOOKUP("BC",A1:CV300,137,FALSE) - (HLOOKUP("PK Gs",A1:CV300,137,FALSE) + HLOOKUP("PK Miss",A1:CV300,137,FALSE))</f>
        <v>0</v>
      </c>
      <c r="AM137" s="28745">
        <f>HLOOKUP("BC Miss",A1:CV300,137,FALSE) - HLOOKUP("PK Miss",A1:CV300,137,FALSE)</f>
        <v>0</v>
      </c>
      <c r="AN137" s="28746">
        <f>IF(HLOOKUP("BC - Open",A1:CV300,137,FALSE)=0,0,HLOOKUP("BC - Open Miss",A1:CV300,137,FALSE)/HLOOKUP("BC - Open",A1:CV300,137,FALSE))</f>
        <v>0</v>
      </c>
      <c r="AO137" s="28747">
        <v>1</v>
      </c>
      <c r="AP137" s="28748">
        <f>IF(HLOOKUP("Gs",A1:CV300,137,FALSE)=0,0,HLOOKUP("GIB",A1:CV300,137,FALSE)/HLOOKUP("Gs",A1:CV300,137,FALSE))</f>
        <v>1</v>
      </c>
      <c r="AQ137" s="28749">
        <v>1</v>
      </c>
      <c r="AR137" s="28750">
        <f>IF(HLOOKUP("Gs",A1:CV300,137,FALSE)=0,0,HLOOKUP("Gs - Open",A1:CV300,137,FALSE)/HLOOKUP("Gs",A1:CV300,137,FALSE))</f>
        <v>1</v>
      </c>
      <c r="AS137" s="28751">
        <v>0.17</v>
      </c>
      <c r="AT137" s="28752">
        <v>0.92</v>
      </c>
      <c r="AU137" s="28753">
        <f>IF(HLOOKUP("Mins",A1:CV300,137,FALSE)=0,0,HLOOKUP("Pts",A1:CV300,137,FALSE)/HLOOKUP("Mins",A1:CV300,137,FALSE)* 90)</f>
        <v>3.7979539641943734</v>
      </c>
      <c r="AV137" s="28754">
        <f>IF(HLOOKUP("Apps",A1:CV300,137,FALSE)=0,0,HLOOKUP("Pts",A1:CV300,137,FALSE)/HLOOKUP("Apps",A1:CV300,137,FALSE)* 1)</f>
        <v>2.3571428571428572</v>
      </c>
      <c r="AW137" s="28755">
        <f>IF(HLOOKUP("Mins",A1:CV300,137,FALSE)=0,0,HLOOKUP("Gs",A1:CV300,137,FALSE)/HLOOKUP("Mins",A1:CV300,137,FALSE)* 90)</f>
        <v>0.11508951406649617</v>
      </c>
      <c r="AX137" s="28756">
        <f>IF(HLOOKUP("Mins",A1:CV300,137,FALSE)=0,0,HLOOKUP("Bonus",A1:CV300,137,FALSE)/HLOOKUP("Mins",A1:CV300,137,FALSE)* 90)</f>
        <v>0</v>
      </c>
      <c r="AY137" s="28757">
        <f>IF(HLOOKUP("Mins",A1:CV300,137,FALSE)=0,0,HLOOKUP("BPS",A1:CV300,137,FALSE)/HLOOKUP("Mins",A1:CV300,137,FALSE)* 90)</f>
        <v>15.882352941176471</v>
      </c>
      <c r="AZ137" s="28758">
        <f>IF(HLOOKUP("Mins",A1:CV300,137,FALSE)=0,0,HLOOKUP("Base BPS",A1:CV300,137,FALSE)/HLOOKUP("Mins",A1:CV300,137,FALSE)* 90)</f>
        <v>12.774936061381075</v>
      </c>
      <c r="BA137" s="28759">
        <f>IF(HLOOKUP("Mins",A1:CV300,137,FALSE)=0,0,HLOOKUP("PenTchs",A1:CV300,137,FALSE)/HLOOKUP("Mins",A1:CV300,137,FALSE)* 90)</f>
        <v>1.4961636828644502</v>
      </c>
      <c r="BB137" s="28760">
        <f>IF(HLOOKUP("Mins",A1:CV300,137,FALSE)=0,0,HLOOKUP("Shots",A1:CV300,137,FALSE)/HLOOKUP("Mins",A1:CV300,137,FALSE)* 90)</f>
        <v>0.57544757033248084</v>
      </c>
      <c r="BC137" s="28761">
        <f>IF(HLOOKUP("Mins",A1:CV300,137,FALSE)=0,0,HLOOKUP("SIB",A1:CV300,137,FALSE)/HLOOKUP("Mins",A1:CV300,137,FALSE)* 90)</f>
        <v>0.11508951406649617</v>
      </c>
      <c r="BD137" s="28762">
        <f>IF(HLOOKUP("Mins",A1:CV300,137,FALSE)=0,0,HLOOKUP("S6YD",A1:CV300,137,FALSE)/HLOOKUP("Mins",A1:CV300,137,FALSE)* 90)</f>
        <v>0</v>
      </c>
      <c r="BE137" s="28763">
        <f>IF(HLOOKUP("Mins",A1:CV300,137,FALSE)=0,0,HLOOKUP("Headers",A1:CV300,137,FALSE)/HLOOKUP("Mins",A1:CV300,137,FALSE)* 90)</f>
        <v>0</v>
      </c>
      <c r="BF137" s="28764">
        <f>IF(HLOOKUP("Mins",A1:CV300,137,FALSE)=0,0,HLOOKUP("SOT",A1:CV300,137,FALSE)/HLOOKUP("Mins",A1:CV300,137,FALSE)* 90)</f>
        <v>0.46035805626598469</v>
      </c>
      <c r="BG137" s="28765">
        <f>IF(HLOOKUP("Mins",A1:CV300,137,FALSE)=0,0,HLOOKUP("As",A1:CV300,137,FALSE)/HLOOKUP("Mins",A1:CV300,137,FALSE)* 90)</f>
        <v>0.11508951406649617</v>
      </c>
      <c r="BH137" s="28766">
        <f>IF(HLOOKUP("Mins",A1:CV300,137,FALSE)=0,0,HLOOKUP("FPL As",A1:CV300,137,FALSE)/HLOOKUP("Mins",A1:CV300,137,FALSE)* 90)</f>
        <v>0.11508951406649617</v>
      </c>
      <c r="BI137" s="28767">
        <f>IF(HLOOKUP("Mins",A1:CV300,137,FALSE)=0,0,HLOOKUP("BC Created",A1:CV300,137,FALSE)/HLOOKUP("Mins",A1:CV300,137,FALSE)* 90)</f>
        <v>0.23017902813299235</v>
      </c>
      <c r="BJ137" s="28768">
        <f>IF(HLOOKUP("Mins",A1:CV300,137,FALSE)=0,0,HLOOKUP("KP",A1:CV300,137,FALSE)/HLOOKUP("Mins",A1:CV300,137,FALSE)* 90)</f>
        <v>0.92071611253196939</v>
      </c>
      <c r="BK137" s="28769">
        <f>IF(HLOOKUP("Mins",A1:CV300,137,FALSE)=0,0,HLOOKUP("BC",A1:CV300,137,FALSE)/HLOOKUP("Mins",A1:CV300,137,FALSE)* 90)</f>
        <v>0</v>
      </c>
      <c r="BL137" s="28770">
        <f>IF(HLOOKUP("Mins",A1:CV300,137,FALSE)=0,0,HLOOKUP("BC Miss",A1:CV300,137,FALSE)/HLOOKUP("Mins",A1:CV300,137,FALSE)* 90)</f>
        <v>0</v>
      </c>
      <c r="BM137" s="28771">
        <f>IF(HLOOKUP("Mins",A1:CV300,137,FALSE)=0,0,HLOOKUP("Gs - BC",A1:CV300,137,FALSE)/HLOOKUP("Mins",A1:CV300,137,FALSE)* 90)</f>
        <v>0</v>
      </c>
      <c r="BN137" s="28772">
        <f>IF(HLOOKUP("Mins",A1:CV300,137,FALSE)=0,0,HLOOKUP("GIB",A1:CV300,137,FALSE)/HLOOKUP("Mins",A1:CV300,137,FALSE)* 90)</f>
        <v>0.11508951406649617</v>
      </c>
      <c r="BO137" s="28773">
        <f>IF(HLOOKUP("Mins",A1:CV300,137,FALSE)=0,0,HLOOKUP("Gs - Open",A1:CV300,137,FALSE)/HLOOKUP("Mins",A1:CV300,137,FALSE)* 90)</f>
        <v>0.11508951406649617</v>
      </c>
      <c r="BP137" s="28774">
        <f>IF(HLOOKUP("Mins",A1:CV300,137,FALSE)=0,0,HLOOKUP("ICT Index",A1:CV300,137,FALSE)/HLOOKUP("Mins",A1:CV300,137,FALSE)* 90)</f>
        <v>4.2698209718670075</v>
      </c>
      <c r="BQ137" s="28775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  <v>3.2915601023017903E-2</v>
      </c>
      <c r="BR137" s="28776">
        <f>0.0885*HLOOKUP("KP/90",A1:CV300,137,FALSE)</f>
        <v>8.1483375959079285E-2</v>
      </c>
      <c r="BS137" s="28777">
        <f>5*HLOOKUP("xG/90",A1:CV300,137,FALSE)+3*HLOOKUP("xA/90",A1:CV300,137,FALSE)</f>
        <v>0.40902813299232738</v>
      </c>
      <c r="BT137" s="28778">
        <f>HLOOKUP("xPts/90",A1:CV300,137,FALSE)-(5*0.75*(HLOOKUP("PK Gs",A1:CV300,137,FALSE)+HLOOKUP("PK Miss",A1:CV300,137,FALSE))*90/HLOOKUP("Mins",A1:CV300,137,FALSE))</f>
        <v>0.40902813299232738</v>
      </c>
      <c r="BU137" s="28779">
        <f>IF(HLOOKUP("Mins",A1:CV300,137,FALSE)=0,0,HLOOKUP("fsXG",A1:CV300,137,FALSE)/HLOOKUP("Mins",A1:CV300,137,FALSE)* 90)</f>
        <v>1.9565217391304349E-2</v>
      </c>
      <c r="BV137" s="28780">
        <f>IF(HLOOKUP("Mins",A1:CV300,137,FALSE)=0,0,HLOOKUP("fsXA",A1:CV300,137,FALSE)/HLOOKUP("Mins",A1:CV300,137,FALSE)* 90)</f>
        <v>0.10588235294117648</v>
      </c>
      <c r="BW137" s="28781">
        <f>5*HLOOKUP("fsXG/90",A1:CV300,137,FALSE)+3*HLOOKUP("fsXA/90",A1:CV300,137,FALSE)</f>
        <v>0.41547314578005118</v>
      </c>
      <c r="BX137" s="28782">
        <v>2.2804223001003265E-2</v>
      </c>
      <c r="BY137" s="28783">
        <v>0.13082019984722137</v>
      </c>
      <c r="BZ137" s="28784">
        <f>5*HLOOKUP("uXG/90",A1:CV300,137,FALSE)+3*HLOOKUP("uXA/90",A1:CV300,137,FALSE)</f>
        <v>0.50648171454668045</v>
      </c>
    </row>
    <row r="138" spans="1:78" x14ac:dyDescent="0.3">
      <c r="A138" s="28785" t="s">
        <v>465</v>
      </c>
      <c r="B138" s="28786" t="s">
        <v>107</v>
      </c>
      <c r="C138" s="28787">
        <v>6.6999998092651367</v>
      </c>
      <c r="D138" s="28788">
        <v>1786</v>
      </c>
      <c r="E138" s="28789">
        <v>20</v>
      </c>
      <c r="F138" s="28790">
        <v>58</v>
      </c>
      <c r="G138" s="28791">
        <v>2</v>
      </c>
      <c r="H138" s="28792">
        <v>7</v>
      </c>
      <c r="I138" s="28793">
        <v>271</v>
      </c>
      <c r="J138" s="28794">
        <f>HLOOKUP("BPS",A1:CV300,138,FALSE)-((-6*HLOOKUP("OG",A1:CV300,138,FALSE))+(-6*HLOOKUP("PK Miss",A1:CV300,138,FALSE))+(9*HLOOKUP("FPL As",A1:CV300,138,FALSE))+(0*HLOOKUP("CS",A1:CV300,138,FALSE))+(18*HLOOKUP("Gs",A1:CV300,138,FALSE)))</f>
        <v>226</v>
      </c>
      <c r="K138" s="28795">
        <v>0</v>
      </c>
      <c r="L138" s="28796">
        <v>6</v>
      </c>
      <c r="M138" s="28797">
        <v>6</v>
      </c>
      <c r="N138" s="28798">
        <v>22</v>
      </c>
      <c r="O138" s="28799">
        <v>3</v>
      </c>
      <c r="P138" s="28800">
        <f>IF(HLOOKUP("Shots",A1:CV300,138,FALSE)=0,0,HLOOKUP("SIB",A1:CV300,138,FALSE)/HLOOKUP("Shots",A1:CV300,138,FALSE))</f>
        <v>0.13636363636363635</v>
      </c>
      <c r="Q138" s="28801">
        <v>0</v>
      </c>
      <c r="R138" s="28802">
        <f>IF(HLOOKUP("Shots",A1:CV300,138,FALSE)=0,0,HLOOKUP("S6YD",A1:CV300,138,FALSE)/HLOOKUP("Shots",A1:CV300,138,FALSE))</f>
        <v>0</v>
      </c>
      <c r="S138" s="28803">
        <v>0</v>
      </c>
      <c r="T138" s="28804">
        <f>IF(HLOOKUP("Shots",A1:CV300,138,FALSE)=0,0,HLOOKUP("Headers",A1:CV300,138,FALSE)/HLOOKUP("Shots",A1:CV300,138,FALSE))</f>
        <v>0</v>
      </c>
      <c r="U138" s="28805">
        <v>7</v>
      </c>
      <c r="V138" s="28806">
        <f>IF(HLOOKUP("Shots",A1:CV300,138,FALSE)=0,0,HLOOKUP("SOT",A1:CV300,138,FALSE)/HLOOKUP("Shots",A1:CV300,138,FALSE))</f>
        <v>0.31818181818181818</v>
      </c>
      <c r="W138" s="28807">
        <f>IF(HLOOKUP("Shots",A1:CV300,138,FALSE)=0,0,HLOOKUP("Gs",A1:CV300,138,FALSE)/HLOOKUP("Shots",A1:CV300,138,FALSE))</f>
        <v>9.0909090909090912E-2</v>
      </c>
      <c r="X138" s="28808">
        <v>1</v>
      </c>
      <c r="Y138" s="28809">
        <v>1</v>
      </c>
      <c r="Z138" s="28810">
        <v>24</v>
      </c>
      <c r="AA138" s="28811">
        <f>IF(HLOOKUP("KP",A1:CV300,138,FALSE)=0,0,HLOOKUP("As",A1:CV300,138,FALSE)/HLOOKUP("KP",A1:CV300,138,FALSE))</f>
        <v>4.1666666666666664E-2</v>
      </c>
      <c r="AB138" s="28812">
        <v>88.1</v>
      </c>
      <c r="AC138" s="28813">
        <v>18</v>
      </c>
      <c r="AD138" s="28814">
        <v>1</v>
      </c>
      <c r="AE138" s="28815">
        <v>2</v>
      </c>
      <c r="AF138" s="28816">
        <v>0</v>
      </c>
      <c r="AG138" s="28817">
        <f>IF(HLOOKUP("BC",A1:CV300,138,FALSE)=0,0,HLOOKUP("Gs - BC",A1:CV300,138,FALSE)/HLOOKUP("BC",A1:CV300,138,FALSE))</f>
        <v>1</v>
      </c>
      <c r="AH138" s="28818">
        <f>HLOOKUP("BC",A1:CV300,138,FALSE) - HLOOKUP("BC Miss",A1:CV300,138,FALSE)</f>
        <v>2</v>
      </c>
      <c r="AI138" s="28819">
        <f>IF(HLOOKUP("Gs",A1:CV300,138,FALSE)=0,0,HLOOKUP("Gs - BC",A1:CV300,138,FALSE)/HLOOKUP("Gs",A1:CV300,138,FALSE))</f>
        <v>1</v>
      </c>
      <c r="AJ138" s="28820">
        <v>2</v>
      </c>
      <c r="AK138" s="28821">
        <v>0</v>
      </c>
      <c r="AL138" s="28822">
        <f>HLOOKUP("BC",A1:CV300,138,FALSE) - (HLOOKUP("PK Gs",A1:CV300,138,FALSE) + HLOOKUP("PK Miss",A1:CV300,138,FALSE))</f>
        <v>0</v>
      </c>
      <c r="AM138" s="28823">
        <f>HLOOKUP("BC Miss",A1:CV300,138,FALSE) - HLOOKUP("PK Miss",A1:CV300,138,FALSE)</f>
        <v>0</v>
      </c>
      <c r="AN138" s="28824">
        <f>IF(HLOOKUP("BC - Open",A1:CV300,138,FALSE)=0,0,HLOOKUP("BC - Open Miss",A1:CV300,138,FALSE)/HLOOKUP("BC - Open",A1:CV300,138,FALSE))</f>
        <v>0</v>
      </c>
      <c r="AO138" s="28825">
        <v>2</v>
      </c>
      <c r="AP138" s="28826">
        <f>IF(HLOOKUP("Gs",A1:CV300,138,FALSE)=0,0,HLOOKUP("GIB",A1:CV300,138,FALSE)/HLOOKUP("Gs",A1:CV300,138,FALSE))</f>
        <v>1</v>
      </c>
      <c r="AQ138" s="28827">
        <v>0</v>
      </c>
      <c r="AR138" s="28828">
        <f>IF(HLOOKUP("Gs",A1:CV300,138,FALSE)=0,0,HLOOKUP("Gs - Open",A1:CV300,138,FALSE)/HLOOKUP("Gs",A1:CV300,138,FALSE))</f>
        <v>0</v>
      </c>
      <c r="AS138" s="28829">
        <v>2.2799999999999998</v>
      </c>
      <c r="AT138" s="28830">
        <v>2.11</v>
      </c>
      <c r="AU138" s="28831">
        <f>IF(HLOOKUP("Mins",A1:CV300,138,FALSE)=0,0,HLOOKUP("Pts",A1:CV300,138,FALSE)/HLOOKUP("Mins",A1:CV300,138,FALSE)* 90)</f>
        <v>2.9227323628219484</v>
      </c>
      <c r="AV138" s="28832">
        <f>IF(HLOOKUP("Apps",A1:CV300,138,FALSE)=0,0,HLOOKUP("Pts",A1:CV300,138,FALSE)/HLOOKUP("Apps",A1:CV300,138,FALSE)* 1)</f>
        <v>2.9</v>
      </c>
      <c r="AW138" s="28833">
        <f>IF(HLOOKUP("Mins",A1:CV300,138,FALSE)=0,0,HLOOKUP("Gs",A1:CV300,138,FALSE)/HLOOKUP("Mins",A1:CV300,138,FALSE)* 90)</f>
        <v>0.10078387458006718</v>
      </c>
      <c r="AX138" s="28834">
        <f>IF(HLOOKUP("Mins",A1:CV300,138,FALSE)=0,0,HLOOKUP("Bonus",A1:CV300,138,FALSE)/HLOOKUP("Mins",A1:CV300,138,FALSE)* 90)</f>
        <v>0.35274356103023519</v>
      </c>
      <c r="AY138" s="28835">
        <f>IF(HLOOKUP("Mins",A1:CV300,138,FALSE)=0,0,HLOOKUP("BPS",A1:CV300,138,FALSE)/HLOOKUP("Mins",A1:CV300,138,FALSE)* 90)</f>
        <v>13.656215005599105</v>
      </c>
      <c r="AZ138" s="28836">
        <f>IF(HLOOKUP("Mins",A1:CV300,138,FALSE)=0,0,HLOOKUP("Base BPS",A1:CV300,138,FALSE)/HLOOKUP("Mins",A1:CV300,138,FALSE)* 90)</f>
        <v>11.388577827547593</v>
      </c>
      <c r="BA138" s="28837">
        <f>IF(HLOOKUP("Mins",A1:CV300,138,FALSE)=0,0,HLOOKUP("PenTchs",A1:CV300,138,FALSE)/HLOOKUP("Mins",A1:CV300,138,FALSE)* 90)</f>
        <v>0.30235162374020152</v>
      </c>
      <c r="BB138" s="28838">
        <f>IF(HLOOKUP("Mins",A1:CV300,138,FALSE)=0,0,HLOOKUP("Shots",A1:CV300,138,FALSE)/HLOOKUP("Mins",A1:CV300,138,FALSE)* 90)</f>
        <v>1.108622620380739</v>
      </c>
      <c r="BC138" s="28839">
        <f>IF(HLOOKUP("Mins",A1:CV300,138,FALSE)=0,0,HLOOKUP("SIB",A1:CV300,138,FALSE)/HLOOKUP("Mins",A1:CV300,138,FALSE)* 90)</f>
        <v>0.15117581187010076</v>
      </c>
      <c r="BD138" s="28840">
        <f>IF(HLOOKUP("Mins",A1:CV300,138,FALSE)=0,0,HLOOKUP("S6YD",A1:CV300,138,FALSE)/HLOOKUP("Mins",A1:CV300,138,FALSE)* 90)</f>
        <v>0</v>
      </c>
      <c r="BE138" s="28841">
        <f>IF(HLOOKUP("Mins",A1:CV300,138,FALSE)=0,0,HLOOKUP("Headers",A1:CV300,138,FALSE)/HLOOKUP("Mins",A1:CV300,138,FALSE)* 90)</f>
        <v>0</v>
      </c>
      <c r="BF138" s="28842">
        <f>IF(HLOOKUP("Mins",A1:CV300,138,FALSE)=0,0,HLOOKUP("SOT",A1:CV300,138,FALSE)/HLOOKUP("Mins",A1:CV300,138,FALSE)* 90)</f>
        <v>0.35274356103023519</v>
      </c>
      <c r="BG138" s="28843">
        <f>IF(HLOOKUP("Mins",A1:CV300,138,FALSE)=0,0,HLOOKUP("As",A1:CV300,138,FALSE)/HLOOKUP("Mins",A1:CV300,138,FALSE)* 90)</f>
        <v>5.0391937290033592E-2</v>
      </c>
      <c r="BH138" s="28844">
        <f>IF(HLOOKUP("Mins",A1:CV300,138,FALSE)=0,0,HLOOKUP("FPL As",A1:CV300,138,FALSE)/HLOOKUP("Mins",A1:CV300,138,FALSE)* 90)</f>
        <v>5.0391937290033592E-2</v>
      </c>
      <c r="BI138" s="28845">
        <f>IF(HLOOKUP("Mins",A1:CV300,138,FALSE)=0,0,HLOOKUP("BC Created",A1:CV300,138,FALSE)/HLOOKUP("Mins",A1:CV300,138,FALSE)* 90)</f>
        <v>5.0391937290033592E-2</v>
      </c>
      <c r="BJ138" s="28846">
        <f>IF(HLOOKUP("Mins",A1:CV300,138,FALSE)=0,0,HLOOKUP("KP",A1:CV300,138,FALSE)/HLOOKUP("Mins",A1:CV300,138,FALSE)* 90)</f>
        <v>1.2094064949608061</v>
      </c>
      <c r="BK138" s="28847">
        <f>IF(HLOOKUP("Mins",A1:CV300,138,FALSE)=0,0,HLOOKUP("BC",A1:CV300,138,FALSE)/HLOOKUP("Mins",A1:CV300,138,FALSE)* 90)</f>
        <v>0.10078387458006718</v>
      </c>
      <c r="BL138" s="28848">
        <f>IF(HLOOKUP("Mins",A1:CV300,138,FALSE)=0,0,HLOOKUP("BC Miss",A1:CV300,138,FALSE)/HLOOKUP("Mins",A1:CV300,138,FALSE)* 90)</f>
        <v>0</v>
      </c>
      <c r="BM138" s="28849">
        <f>IF(HLOOKUP("Mins",A1:CV300,138,FALSE)=0,0,HLOOKUP("Gs - BC",A1:CV300,138,FALSE)/HLOOKUP("Mins",A1:CV300,138,FALSE)* 90)</f>
        <v>0.10078387458006718</v>
      </c>
      <c r="BN138" s="28850">
        <f>IF(HLOOKUP("Mins",A1:CV300,138,FALSE)=0,0,HLOOKUP("GIB",A1:CV300,138,FALSE)/HLOOKUP("Mins",A1:CV300,138,FALSE)* 90)</f>
        <v>0.10078387458006718</v>
      </c>
      <c r="BO138" s="28851">
        <f>IF(HLOOKUP("Mins",A1:CV300,138,FALSE)=0,0,HLOOKUP("Gs - Open",A1:CV300,138,FALSE)/HLOOKUP("Mins",A1:CV300,138,FALSE)* 90)</f>
        <v>0</v>
      </c>
      <c r="BP138" s="28852">
        <f>IF(HLOOKUP("Mins",A1:CV300,138,FALSE)=0,0,HLOOKUP("ICT Index",A1:CV300,138,FALSE)/HLOOKUP("Mins",A1:CV300,138,FALSE)* 90)</f>
        <v>4.4395296752519595</v>
      </c>
      <c r="BQ138" s="28853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  <v>0.11721164613661815</v>
      </c>
      <c r="BR138" s="28854">
        <f>0.0885*HLOOKUP("KP/90",A1:CV300,138,FALSE)</f>
        <v>0.10703247480403133</v>
      </c>
      <c r="BS138" s="28855">
        <f>5*HLOOKUP("xG/90",A1:CV300,138,FALSE)+3*HLOOKUP("xA/90",A1:CV300,138,FALSE)</f>
        <v>0.9071556550951847</v>
      </c>
      <c r="BT138" s="28856">
        <f>HLOOKUP("xPts/90",A1:CV300,138,FALSE)-(5*0.75*(HLOOKUP("PK Gs",A1:CV300,138,FALSE)+HLOOKUP("PK Miss",A1:CV300,138,FALSE))*90/HLOOKUP("Mins",A1:CV300,138,FALSE))</f>
        <v>0.52921612541993279</v>
      </c>
      <c r="BU138" s="28857">
        <f>IF(HLOOKUP("Mins",A1:CV300,138,FALSE)=0,0,HLOOKUP("fsXG",A1:CV300,138,FALSE)/HLOOKUP("Mins",A1:CV300,138,FALSE)* 90)</f>
        <v>0.1148936170212766</v>
      </c>
      <c r="BV138" s="28858">
        <f>IF(HLOOKUP("Mins",A1:CV300,138,FALSE)=0,0,HLOOKUP("fsXA",A1:CV300,138,FALSE)/HLOOKUP("Mins",A1:CV300,138,FALSE)* 90)</f>
        <v>0.10632698768197088</v>
      </c>
      <c r="BW138" s="28859">
        <f>5*HLOOKUP("fsXG/90",A1:CV300,138,FALSE)+3*HLOOKUP("fsXA/90",A1:CV300,138,FALSE)</f>
        <v>0.89344904815229564</v>
      </c>
      <c r="BX138" s="28860">
        <v>0.10612304508686066</v>
      </c>
      <c r="BY138" s="28861">
        <v>7.6588615775108337E-2</v>
      </c>
      <c r="BZ138" s="28862">
        <f>5*HLOOKUP("uXG/90",A1:CV300,138,FALSE)+3*HLOOKUP("uXA/90",A1:CV300,138,FALSE)</f>
        <v>0.7603810727596283</v>
      </c>
    </row>
    <row r="139" spans="1:78" x14ac:dyDescent="0.3">
      <c r="A139" s="28863" t="s">
        <v>466</v>
      </c>
      <c r="B139" s="28864" t="s">
        <v>109</v>
      </c>
      <c r="C139" s="28865">
        <v>4.5999999046325684</v>
      </c>
      <c r="D139" s="28866">
        <v>599</v>
      </c>
      <c r="E139" s="28867">
        <v>8</v>
      </c>
      <c r="F139" s="28868">
        <v>21</v>
      </c>
      <c r="G139" s="28869">
        <v>0</v>
      </c>
      <c r="H139" s="28870">
        <v>3</v>
      </c>
      <c r="I139" s="28871">
        <v>88</v>
      </c>
      <c r="J139" s="28872">
        <f>HLOOKUP("BPS",A1:CV300,139,FALSE)-((-6*HLOOKUP("OG",A1:CV300,139,FALSE))+(-6*HLOOKUP("PK Miss",A1:CV300,139,FALSE))+(9*HLOOKUP("FPL As",A1:CV300,139,FALSE))+(0*HLOOKUP("CS",A1:CV300,139,FALSE))+(18*HLOOKUP("Gs",A1:CV300,139,FALSE)))</f>
        <v>79</v>
      </c>
      <c r="K139" s="28873">
        <v>0</v>
      </c>
      <c r="L139" s="28874">
        <v>2</v>
      </c>
      <c r="M139" s="28875">
        <v>20</v>
      </c>
      <c r="N139" s="28876">
        <v>7</v>
      </c>
      <c r="O139" s="28877">
        <v>6</v>
      </c>
      <c r="P139" s="28878">
        <f>IF(HLOOKUP("Shots",A1:CV300,139,FALSE)=0,0,HLOOKUP("SIB",A1:CV300,139,FALSE)/HLOOKUP("Shots",A1:CV300,139,FALSE))</f>
        <v>0.8571428571428571</v>
      </c>
      <c r="Q139" s="28879">
        <v>0</v>
      </c>
      <c r="R139" s="28880">
        <f>IF(HLOOKUP("Shots",A1:CV300,139,FALSE)=0,0,HLOOKUP("S6YD",A1:CV300,139,FALSE)/HLOOKUP("Shots",A1:CV300,139,FALSE))</f>
        <v>0</v>
      </c>
      <c r="S139" s="28881">
        <v>0</v>
      </c>
      <c r="T139" s="28882">
        <f>IF(HLOOKUP("Shots",A1:CV300,139,FALSE)=0,0,HLOOKUP("Headers",A1:CV300,139,FALSE)/HLOOKUP("Shots",A1:CV300,139,FALSE))</f>
        <v>0</v>
      </c>
      <c r="U139" s="28883">
        <v>3</v>
      </c>
      <c r="V139" s="28884">
        <f>IF(HLOOKUP("Shots",A1:CV300,139,FALSE)=0,0,HLOOKUP("SOT",A1:CV300,139,FALSE)/HLOOKUP("Shots",A1:CV300,139,FALSE))</f>
        <v>0.42857142857142855</v>
      </c>
      <c r="W139" s="28885">
        <f>IF(HLOOKUP("Shots",A1:CV300,139,FALSE)=0,0,HLOOKUP("Gs",A1:CV300,139,FALSE)/HLOOKUP("Shots",A1:CV300,139,FALSE))</f>
        <v>0</v>
      </c>
      <c r="X139" s="28886">
        <v>1</v>
      </c>
      <c r="Y139" s="28887">
        <v>1</v>
      </c>
      <c r="Z139" s="28888">
        <v>8</v>
      </c>
      <c r="AA139" s="28889">
        <f>IF(HLOOKUP("KP",A1:CV300,139,FALSE)=0,0,HLOOKUP("As",A1:CV300,139,FALSE)/HLOOKUP("KP",A1:CV300,139,FALSE))</f>
        <v>0.125</v>
      </c>
      <c r="AB139" s="28890">
        <v>37.700000000000003</v>
      </c>
      <c r="AC139" s="28891">
        <v>17</v>
      </c>
      <c r="AD139" s="28892">
        <v>1</v>
      </c>
      <c r="AE139" s="28893">
        <v>0</v>
      </c>
      <c r="AF139" s="28894">
        <v>0</v>
      </c>
      <c r="AG139" s="28895">
        <f>IF(HLOOKUP("BC",A1:CV300,139,FALSE)=0,0,HLOOKUP("Gs - BC",A1:CV300,139,FALSE)/HLOOKUP("BC",A1:CV300,139,FALSE))</f>
        <v>0</v>
      </c>
      <c r="AH139" s="28896">
        <f>HLOOKUP("BC",A1:CV300,139,FALSE) - HLOOKUP("BC Miss",A1:CV300,139,FALSE)</f>
        <v>0</v>
      </c>
      <c r="AI139" s="28897">
        <f>IF(HLOOKUP("Gs",A1:CV300,139,FALSE)=0,0,HLOOKUP("Gs - BC",A1:CV300,139,FALSE)/HLOOKUP("Gs",A1:CV300,139,FALSE))</f>
        <v>0</v>
      </c>
      <c r="AJ139" s="28898">
        <v>0</v>
      </c>
      <c r="AK139" s="28899">
        <v>0</v>
      </c>
      <c r="AL139" s="28900">
        <f>HLOOKUP("BC",A1:CV300,139,FALSE) - (HLOOKUP("PK Gs",A1:CV300,139,FALSE) + HLOOKUP("PK Miss",A1:CV300,139,FALSE))</f>
        <v>0</v>
      </c>
      <c r="AM139" s="28901">
        <f>HLOOKUP("BC Miss",A1:CV300,139,FALSE) - HLOOKUP("PK Miss",A1:CV300,139,FALSE)</f>
        <v>0</v>
      </c>
      <c r="AN139" s="28902">
        <f>IF(HLOOKUP("BC - Open",A1:CV300,139,FALSE)=0,0,HLOOKUP("BC - Open Miss",A1:CV300,139,FALSE)/HLOOKUP("BC - Open",A1:CV300,139,FALSE))</f>
        <v>0</v>
      </c>
      <c r="AO139" s="28903">
        <v>0</v>
      </c>
      <c r="AP139" s="28904">
        <f>IF(HLOOKUP("Gs",A1:CV300,139,FALSE)=0,0,HLOOKUP("GIB",A1:CV300,139,FALSE)/HLOOKUP("Gs",A1:CV300,139,FALSE))</f>
        <v>0</v>
      </c>
      <c r="AQ139" s="28905">
        <v>0</v>
      </c>
      <c r="AR139" s="28906">
        <f>IF(HLOOKUP("Gs",A1:CV300,139,FALSE)=0,0,HLOOKUP("Gs - Open",A1:CV300,139,FALSE)/HLOOKUP("Gs",A1:CV300,139,FALSE))</f>
        <v>0</v>
      </c>
      <c r="AS139" s="28907">
        <v>0.37</v>
      </c>
      <c r="AT139" s="28908">
        <v>1.25</v>
      </c>
      <c r="AU139" s="28909">
        <f>IF(HLOOKUP("Mins",A1:CV300,139,FALSE)=0,0,HLOOKUP("Pts",A1:CV300,139,FALSE)/HLOOKUP("Mins",A1:CV300,139,FALSE)* 90)</f>
        <v>3.1552587646076793</v>
      </c>
      <c r="AV139" s="28910">
        <f>IF(HLOOKUP("Apps",A1:CV300,139,FALSE)=0,0,HLOOKUP("Pts",A1:CV300,139,FALSE)/HLOOKUP("Apps",A1:CV300,139,FALSE)* 1)</f>
        <v>2.625</v>
      </c>
      <c r="AW139" s="28911">
        <f>IF(HLOOKUP("Mins",A1:CV300,139,FALSE)=0,0,HLOOKUP("Gs",A1:CV300,139,FALSE)/HLOOKUP("Mins",A1:CV300,139,FALSE)* 90)</f>
        <v>0</v>
      </c>
      <c r="AX139" s="28912">
        <f>IF(HLOOKUP("Mins",A1:CV300,139,FALSE)=0,0,HLOOKUP("Bonus",A1:CV300,139,FALSE)/HLOOKUP("Mins",A1:CV300,139,FALSE)* 90)</f>
        <v>0.45075125208681133</v>
      </c>
      <c r="AY139" s="28913">
        <f>IF(HLOOKUP("Mins",A1:CV300,139,FALSE)=0,0,HLOOKUP("BPS",A1:CV300,139,FALSE)/HLOOKUP("Mins",A1:CV300,139,FALSE)* 90)</f>
        <v>13.2220367278798</v>
      </c>
      <c r="AZ139" s="28914">
        <f>IF(HLOOKUP("Mins",A1:CV300,139,FALSE)=0,0,HLOOKUP("Base BPS",A1:CV300,139,FALSE)/HLOOKUP("Mins",A1:CV300,139,FALSE)* 90)</f>
        <v>11.869782971619365</v>
      </c>
      <c r="BA139" s="28915">
        <f>IF(HLOOKUP("Mins",A1:CV300,139,FALSE)=0,0,HLOOKUP("PenTchs",A1:CV300,139,FALSE)/HLOOKUP("Mins",A1:CV300,139,FALSE)* 90)</f>
        <v>3.005008347245409</v>
      </c>
      <c r="BB139" s="28916">
        <f>IF(HLOOKUP("Mins",A1:CV300,139,FALSE)=0,0,HLOOKUP("Shots",A1:CV300,139,FALSE)/HLOOKUP("Mins",A1:CV300,139,FALSE)* 90)</f>
        <v>1.0517529215358932</v>
      </c>
      <c r="BC139" s="28917">
        <f>IF(HLOOKUP("Mins",A1:CV300,139,FALSE)=0,0,HLOOKUP("SIB",A1:CV300,139,FALSE)/HLOOKUP("Mins",A1:CV300,139,FALSE)* 90)</f>
        <v>0.90150250417362265</v>
      </c>
      <c r="BD139" s="28918">
        <f>IF(HLOOKUP("Mins",A1:CV300,139,FALSE)=0,0,HLOOKUP("S6YD",A1:CV300,139,FALSE)/HLOOKUP("Mins",A1:CV300,139,FALSE)* 90)</f>
        <v>0</v>
      </c>
      <c r="BE139" s="28919">
        <f>IF(HLOOKUP("Mins",A1:CV300,139,FALSE)=0,0,HLOOKUP("Headers",A1:CV300,139,FALSE)/HLOOKUP("Mins",A1:CV300,139,FALSE)* 90)</f>
        <v>0</v>
      </c>
      <c r="BF139" s="28920">
        <f>IF(HLOOKUP("Mins",A1:CV300,139,FALSE)=0,0,HLOOKUP("SOT",A1:CV300,139,FALSE)/HLOOKUP("Mins",A1:CV300,139,FALSE)* 90)</f>
        <v>0.45075125208681133</v>
      </c>
      <c r="BG139" s="28921">
        <f>IF(HLOOKUP("Mins",A1:CV300,139,FALSE)=0,0,HLOOKUP("As",A1:CV300,139,FALSE)/HLOOKUP("Mins",A1:CV300,139,FALSE)* 90)</f>
        <v>0.15025041736227046</v>
      </c>
      <c r="BH139" s="28922">
        <f>IF(HLOOKUP("Mins",A1:CV300,139,FALSE)=0,0,HLOOKUP("FPL As",A1:CV300,139,FALSE)/HLOOKUP("Mins",A1:CV300,139,FALSE)* 90)</f>
        <v>0.15025041736227046</v>
      </c>
      <c r="BI139" s="28923">
        <f>IF(HLOOKUP("Mins",A1:CV300,139,FALSE)=0,0,HLOOKUP("BC Created",A1:CV300,139,FALSE)/HLOOKUP("Mins",A1:CV300,139,FALSE)* 90)</f>
        <v>0.15025041736227046</v>
      </c>
      <c r="BJ139" s="28924">
        <f>IF(HLOOKUP("Mins",A1:CV300,139,FALSE)=0,0,HLOOKUP("KP",A1:CV300,139,FALSE)/HLOOKUP("Mins",A1:CV300,139,FALSE)* 90)</f>
        <v>1.2020033388981637</v>
      </c>
      <c r="BK139" s="28925">
        <f>IF(HLOOKUP("Mins",A1:CV300,139,FALSE)=0,0,HLOOKUP("BC",A1:CV300,139,FALSE)/HLOOKUP("Mins",A1:CV300,139,FALSE)* 90)</f>
        <v>0</v>
      </c>
      <c r="BL139" s="28926">
        <f>IF(HLOOKUP("Mins",A1:CV300,139,FALSE)=0,0,HLOOKUP("BC Miss",A1:CV300,139,FALSE)/HLOOKUP("Mins",A1:CV300,139,FALSE)* 90)</f>
        <v>0</v>
      </c>
      <c r="BM139" s="28927">
        <f>IF(HLOOKUP("Mins",A1:CV300,139,FALSE)=0,0,HLOOKUP("Gs - BC",A1:CV300,139,FALSE)/HLOOKUP("Mins",A1:CV300,139,FALSE)* 90)</f>
        <v>0</v>
      </c>
      <c r="BN139" s="28928">
        <f>IF(HLOOKUP("Mins",A1:CV300,139,FALSE)=0,0,HLOOKUP("GIB",A1:CV300,139,FALSE)/HLOOKUP("Mins",A1:CV300,139,FALSE)* 90)</f>
        <v>0</v>
      </c>
      <c r="BO139" s="28929">
        <f>IF(HLOOKUP("Mins",A1:CV300,139,FALSE)=0,0,HLOOKUP("Gs - Open",A1:CV300,139,FALSE)/HLOOKUP("Mins",A1:CV300,139,FALSE)* 90)</f>
        <v>0</v>
      </c>
      <c r="BP139" s="28930">
        <f>IF(HLOOKUP("Mins",A1:CV300,139,FALSE)=0,0,HLOOKUP("ICT Index",A1:CV300,139,FALSE)/HLOOKUP("Mins",A1:CV300,139,FALSE)* 90)</f>
        <v>5.6644407345575969</v>
      </c>
      <c r="BQ139" s="28931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  <v>0.13342237061769616</v>
      </c>
      <c r="BR139" s="28932">
        <f>0.0885*HLOOKUP("KP/90",A1:CV300,139,FALSE)</f>
        <v>0.10637729549248748</v>
      </c>
      <c r="BS139" s="28933">
        <f>5*HLOOKUP("xG/90",A1:CV300,139,FALSE)+3*HLOOKUP("xA/90",A1:CV300,139,FALSE)</f>
        <v>0.98624373956594313</v>
      </c>
      <c r="BT139" s="28934">
        <f>HLOOKUP("xPts/90",A1:CV300,139,FALSE)-(5*0.75*(HLOOKUP("PK Gs",A1:CV300,139,FALSE)+HLOOKUP("PK Miss",A1:CV300,139,FALSE))*90/HLOOKUP("Mins",A1:CV300,139,FALSE))</f>
        <v>0.98624373956594313</v>
      </c>
      <c r="BU139" s="28935">
        <f>IF(HLOOKUP("Mins",A1:CV300,139,FALSE)=0,0,HLOOKUP("fsXG",A1:CV300,139,FALSE)/HLOOKUP("Mins",A1:CV300,139,FALSE)* 90)</f>
        <v>5.5592654424040065E-2</v>
      </c>
      <c r="BV139" s="28936">
        <f>IF(HLOOKUP("Mins",A1:CV300,139,FALSE)=0,0,HLOOKUP("fsXA",A1:CV300,139,FALSE)/HLOOKUP("Mins",A1:CV300,139,FALSE)* 90)</f>
        <v>0.18781302170283806</v>
      </c>
      <c r="BW139" s="28937">
        <f>5*HLOOKUP("fsXG/90",A1:CV300,139,FALSE)+3*HLOOKUP("fsXA/90",A1:CV300,139,FALSE)</f>
        <v>0.84140233722871449</v>
      </c>
      <c r="BX139" s="28938">
        <v>5.1817763596773148E-2</v>
      </c>
      <c r="BY139" s="28939">
        <v>0.14098529517650604</v>
      </c>
      <c r="BZ139" s="28940">
        <f>5*HLOOKUP("uXG/90",A1:CV300,139,FALSE)+3*HLOOKUP("uXA/90",A1:CV300,139,FALSE)</f>
        <v>0.68204470351338387</v>
      </c>
    </row>
    <row r="140" spans="1:78" x14ac:dyDescent="0.3">
      <c r="A140" s="28941" t="s">
        <v>467</v>
      </c>
      <c r="B140" s="28942" t="s">
        <v>100</v>
      </c>
      <c r="C140" s="28943">
        <v>4.4000000953674316</v>
      </c>
      <c r="D140" s="28944">
        <v>1819</v>
      </c>
      <c r="E140" s="28945">
        <v>22</v>
      </c>
      <c r="F140" s="28946">
        <v>57</v>
      </c>
      <c r="G140" s="28947">
        <v>2</v>
      </c>
      <c r="H140" s="28948">
        <v>6</v>
      </c>
      <c r="I140" s="28949">
        <v>261</v>
      </c>
      <c r="J140" s="28950">
        <f>HLOOKUP("BPS",A1:CV300,140,FALSE)-((-6*HLOOKUP("OG",A1:CV300,140,FALSE))+(-6*HLOOKUP("PK Miss",A1:CV300,140,FALSE))+(9*HLOOKUP("FPL As",A1:CV300,140,FALSE))+(0*HLOOKUP("CS",A1:CV300,140,FALSE))+(18*HLOOKUP("Gs",A1:CV300,140,FALSE)))</f>
        <v>231</v>
      </c>
      <c r="K140" s="28951">
        <v>1</v>
      </c>
      <c r="L140" s="28952">
        <v>4</v>
      </c>
      <c r="M140" s="28953">
        <v>26</v>
      </c>
      <c r="N140" s="28954">
        <v>10</v>
      </c>
      <c r="O140" s="28955">
        <v>8</v>
      </c>
      <c r="P140" s="28956">
        <f>IF(HLOOKUP("Shots",A1:CV300,140,FALSE)=0,0,HLOOKUP("SIB",A1:CV300,140,FALSE)/HLOOKUP("Shots",A1:CV300,140,FALSE))</f>
        <v>0.8</v>
      </c>
      <c r="Q140" s="28957">
        <v>2</v>
      </c>
      <c r="R140" s="28958">
        <f>IF(HLOOKUP("Shots",A1:CV300,140,FALSE)=0,0,HLOOKUP("S6YD",A1:CV300,140,FALSE)/HLOOKUP("Shots",A1:CV300,140,FALSE))</f>
        <v>0.2</v>
      </c>
      <c r="S140" s="28959">
        <v>2</v>
      </c>
      <c r="T140" s="28960">
        <f>IF(HLOOKUP("Shots",A1:CV300,140,FALSE)=0,0,HLOOKUP("Headers",A1:CV300,140,FALSE)/HLOOKUP("Shots",A1:CV300,140,FALSE))</f>
        <v>0.2</v>
      </c>
      <c r="U140" s="28961">
        <v>3</v>
      </c>
      <c r="V140" s="28962">
        <f>IF(HLOOKUP("Shots",A1:CV300,140,FALSE)=0,0,HLOOKUP("SOT",A1:CV300,140,FALSE)/HLOOKUP("Shots",A1:CV300,140,FALSE))</f>
        <v>0.3</v>
      </c>
      <c r="W140" s="28963">
        <f>IF(HLOOKUP("Shots",A1:CV300,140,FALSE)=0,0,HLOOKUP("Gs",A1:CV300,140,FALSE)/HLOOKUP("Shots",A1:CV300,140,FALSE))</f>
        <v>0.2</v>
      </c>
      <c r="X140" s="28964">
        <v>0</v>
      </c>
      <c r="Y140" s="28965">
        <v>0</v>
      </c>
      <c r="Z140" s="28966">
        <v>5</v>
      </c>
      <c r="AA140" s="28967">
        <f>IF(HLOOKUP("KP",A1:CV300,140,FALSE)=0,0,HLOOKUP("As",A1:CV300,140,FALSE)/HLOOKUP("KP",A1:CV300,140,FALSE))</f>
        <v>0</v>
      </c>
      <c r="AB140" s="28968">
        <v>62.2</v>
      </c>
      <c r="AC140" s="28969">
        <v>7</v>
      </c>
      <c r="AD140" s="28970">
        <v>1</v>
      </c>
      <c r="AE140" s="28971">
        <v>3</v>
      </c>
      <c r="AF140" s="28972">
        <v>1</v>
      </c>
      <c r="AG140" s="28973">
        <f>IF(HLOOKUP("BC",A1:CV300,140,FALSE)=0,0,HLOOKUP("Gs - BC",A1:CV300,140,FALSE)/HLOOKUP("BC",A1:CV300,140,FALSE))</f>
        <v>0.66666666666666663</v>
      </c>
      <c r="AH140" s="28974">
        <f>HLOOKUP("BC",A1:CV300,140,FALSE) - HLOOKUP("BC Miss",A1:CV300,140,FALSE)</f>
        <v>2</v>
      </c>
      <c r="AI140" s="28975">
        <f>IF(HLOOKUP("Gs",A1:CV300,140,FALSE)=0,0,HLOOKUP("Gs - BC",A1:CV300,140,FALSE)/HLOOKUP("Gs",A1:CV300,140,FALSE))</f>
        <v>1</v>
      </c>
      <c r="AJ140" s="28976">
        <v>0</v>
      </c>
      <c r="AK140" s="28977">
        <v>0</v>
      </c>
      <c r="AL140" s="28978">
        <f>HLOOKUP("BC",A1:CV300,140,FALSE) - (HLOOKUP("PK Gs",A1:CV300,140,FALSE) + HLOOKUP("PK Miss",A1:CV300,140,FALSE))</f>
        <v>3</v>
      </c>
      <c r="AM140" s="28979">
        <f>HLOOKUP("BC Miss",A1:CV300,140,FALSE) - HLOOKUP("PK Miss",A1:CV300,140,FALSE)</f>
        <v>1</v>
      </c>
      <c r="AN140" s="28980">
        <f>IF(HLOOKUP("BC - Open",A1:CV300,140,FALSE)=0,0,HLOOKUP("BC - Open Miss",A1:CV300,140,FALSE)/HLOOKUP("BC - Open",A1:CV300,140,FALSE))</f>
        <v>0.33333333333333331</v>
      </c>
      <c r="AO140" s="28981">
        <v>2</v>
      </c>
      <c r="AP140" s="28982">
        <f>IF(HLOOKUP("Gs",A1:CV300,140,FALSE)=0,0,HLOOKUP("GIB",A1:CV300,140,FALSE)/HLOOKUP("Gs",A1:CV300,140,FALSE))</f>
        <v>1</v>
      </c>
      <c r="AQ140" s="28983">
        <v>0</v>
      </c>
      <c r="AR140" s="28984">
        <f>IF(HLOOKUP("Gs",A1:CV300,140,FALSE)=0,0,HLOOKUP("Gs - Open",A1:CV300,140,FALSE)/HLOOKUP("Gs",A1:CV300,140,FALSE))</f>
        <v>0</v>
      </c>
      <c r="AS140" s="28985">
        <v>1.1299999999999999</v>
      </c>
      <c r="AT140" s="28986">
        <v>0.4</v>
      </c>
      <c r="AU140" s="28987">
        <f>IF(HLOOKUP("Mins",A1:CV300,140,FALSE)=0,0,HLOOKUP("Pts",A1:CV300,140,FALSE)/HLOOKUP("Mins",A1:CV300,140,FALSE)* 90)</f>
        <v>2.8202308960967564</v>
      </c>
      <c r="AV140" s="28988">
        <f>IF(HLOOKUP("Apps",A1:CV300,140,FALSE)=0,0,HLOOKUP("Pts",A1:CV300,140,FALSE)/HLOOKUP("Apps",A1:CV300,140,FALSE)* 1)</f>
        <v>2.5909090909090908</v>
      </c>
      <c r="AW140" s="28989">
        <f>IF(HLOOKUP("Mins",A1:CV300,140,FALSE)=0,0,HLOOKUP("Gs",A1:CV300,140,FALSE)/HLOOKUP("Mins",A1:CV300,140,FALSE)* 90)</f>
        <v>9.8955470038482693E-2</v>
      </c>
      <c r="AX140" s="28990">
        <f>IF(HLOOKUP("Mins",A1:CV300,140,FALSE)=0,0,HLOOKUP("Bonus",A1:CV300,140,FALSE)/HLOOKUP("Mins",A1:CV300,140,FALSE)* 90)</f>
        <v>0.29686641011544807</v>
      </c>
      <c r="AY140" s="28991">
        <f>IF(HLOOKUP("Mins",A1:CV300,140,FALSE)=0,0,HLOOKUP("BPS",A1:CV300,140,FALSE)/HLOOKUP("Mins",A1:CV300,140,FALSE)* 90)</f>
        <v>12.913688840021992</v>
      </c>
      <c r="AZ140" s="28992">
        <f>IF(HLOOKUP("Mins",A1:CV300,140,FALSE)=0,0,HLOOKUP("Base BPS",A1:CV300,140,FALSE)/HLOOKUP("Mins",A1:CV300,140,FALSE)* 90)</f>
        <v>11.42935678944475</v>
      </c>
      <c r="BA140" s="28993">
        <f>IF(HLOOKUP("Mins",A1:CV300,140,FALSE)=0,0,HLOOKUP("PenTchs",A1:CV300,140,FALSE)/HLOOKUP("Mins",A1:CV300,140,FALSE)* 90)</f>
        <v>1.286421110500275</v>
      </c>
      <c r="BB140" s="28994">
        <f>IF(HLOOKUP("Mins",A1:CV300,140,FALSE)=0,0,HLOOKUP("Shots",A1:CV300,140,FALSE)/HLOOKUP("Mins",A1:CV300,140,FALSE)* 90)</f>
        <v>0.49477735019241342</v>
      </c>
      <c r="BC140" s="28995">
        <f>IF(HLOOKUP("Mins",A1:CV300,140,FALSE)=0,0,HLOOKUP("SIB",A1:CV300,140,FALSE)/HLOOKUP("Mins",A1:CV300,140,FALSE)* 90)</f>
        <v>0.39582188015393077</v>
      </c>
      <c r="BD140" s="28996">
        <f>IF(HLOOKUP("Mins",A1:CV300,140,FALSE)=0,0,HLOOKUP("S6YD",A1:CV300,140,FALSE)/HLOOKUP("Mins",A1:CV300,140,FALSE)* 90)</f>
        <v>9.8955470038482693E-2</v>
      </c>
      <c r="BE140" s="28997">
        <f>IF(HLOOKUP("Mins",A1:CV300,140,FALSE)=0,0,HLOOKUP("Headers",A1:CV300,140,FALSE)/HLOOKUP("Mins",A1:CV300,140,FALSE)* 90)</f>
        <v>9.8955470038482693E-2</v>
      </c>
      <c r="BF140" s="28998">
        <f>IF(HLOOKUP("Mins",A1:CV300,140,FALSE)=0,0,HLOOKUP("SOT",A1:CV300,140,FALSE)/HLOOKUP("Mins",A1:CV300,140,FALSE)* 90)</f>
        <v>0.14843320505772403</v>
      </c>
      <c r="BG140" s="28999">
        <f>IF(HLOOKUP("Mins",A1:CV300,140,FALSE)=0,0,HLOOKUP("As",A1:CV300,140,FALSE)/HLOOKUP("Mins",A1:CV300,140,FALSE)* 90)</f>
        <v>0</v>
      </c>
      <c r="BH140" s="29000">
        <f>IF(HLOOKUP("Mins",A1:CV300,140,FALSE)=0,0,HLOOKUP("FPL As",A1:CV300,140,FALSE)/HLOOKUP("Mins",A1:CV300,140,FALSE)* 90)</f>
        <v>0</v>
      </c>
      <c r="BI140" s="29001">
        <f>IF(HLOOKUP("Mins",A1:CV300,140,FALSE)=0,0,HLOOKUP("BC Created",A1:CV300,140,FALSE)/HLOOKUP("Mins",A1:CV300,140,FALSE)* 90)</f>
        <v>4.9477735019241346E-2</v>
      </c>
      <c r="BJ140" s="29002">
        <f>IF(HLOOKUP("Mins",A1:CV300,140,FALSE)=0,0,HLOOKUP("KP",A1:CV300,140,FALSE)/HLOOKUP("Mins",A1:CV300,140,FALSE)* 90)</f>
        <v>0.24738867509620671</v>
      </c>
      <c r="BK140" s="29003">
        <f>IF(HLOOKUP("Mins",A1:CV300,140,FALSE)=0,0,HLOOKUP("BC",A1:CV300,140,FALSE)/HLOOKUP("Mins",A1:CV300,140,FALSE)* 90)</f>
        <v>0.14843320505772403</v>
      </c>
      <c r="BL140" s="29004">
        <f>IF(HLOOKUP("Mins",A1:CV300,140,FALSE)=0,0,HLOOKUP("BC Miss",A1:CV300,140,FALSE)/HLOOKUP("Mins",A1:CV300,140,FALSE)* 90)</f>
        <v>4.9477735019241346E-2</v>
      </c>
      <c r="BM140" s="29005">
        <f>IF(HLOOKUP("Mins",A1:CV300,140,FALSE)=0,0,HLOOKUP("Gs - BC",A1:CV300,140,FALSE)/HLOOKUP("Mins",A1:CV300,140,FALSE)* 90)</f>
        <v>9.8955470038482693E-2</v>
      </c>
      <c r="BN140" s="29006">
        <f>IF(HLOOKUP("Mins",A1:CV300,140,FALSE)=0,0,HLOOKUP("GIB",A1:CV300,140,FALSE)/HLOOKUP("Mins",A1:CV300,140,FALSE)* 90)</f>
        <v>9.8955470038482693E-2</v>
      </c>
      <c r="BO140" s="29007">
        <f>IF(HLOOKUP("Mins",A1:CV300,140,FALSE)=0,0,HLOOKUP("Gs - Open",A1:CV300,140,FALSE)/HLOOKUP("Mins",A1:CV300,140,FALSE)* 90)</f>
        <v>0</v>
      </c>
      <c r="BP140" s="29008">
        <f>IF(HLOOKUP("Mins",A1:CV300,140,FALSE)=0,0,HLOOKUP("ICT Index",A1:CV300,140,FALSE)/HLOOKUP("Mins",A1:CV300,140,FALSE)* 90)</f>
        <v>3.0775151181968114</v>
      </c>
      <c r="BQ140" s="29009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  <v>5.9769103903243539E-2</v>
      </c>
      <c r="BR140" s="29010">
        <f>0.0885*HLOOKUP("KP/90",A1:CV300,140,FALSE)</f>
        <v>2.1893897746014294E-2</v>
      </c>
      <c r="BS140" s="29011">
        <f>5*HLOOKUP("xG/90",A1:CV300,140,FALSE)+3*HLOOKUP("xA/90",A1:CV300,140,FALSE)</f>
        <v>0.36452721275426059</v>
      </c>
      <c r="BT140" s="29012">
        <f>HLOOKUP("xPts/90",A1:CV300,140,FALSE)-(5*0.75*(HLOOKUP("PK Gs",A1:CV300,140,FALSE)+HLOOKUP("PK Miss",A1:CV300,140,FALSE))*90/HLOOKUP("Mins",A1:CV300,140,FALSE))</f>
        <v>0.36452721275426059</v>
      </c>
      <c r="BU140" s="29013">
        <f>IF(HLOOKUP("Mins",A1:CV300,140,FALSE)=0,0,HLOOKUP("fsXG",A1:CV300,140,FALSE)/HLOOKUP("Mins",A1:CV300,140,FALSE)* 90)</f>
        <v>5.5909840571742718E-2</v>
      </c>
      <c r="BV140" s="29014">
        <f>IF(HLOOKUP("Mins",A1:CV300,140,FALSE)=0,0,HLOOKUP("fsXA",A1:CV300,140,FALSE)/HLOOKUP("Mins",A1:CV300,140,FALSE)* 90)</f>
        <v>1.9791094007696537E-2</v>
      </c>
      <c r="BW140" s="29015">
        <f>5*HLOOKUP("fsXG/90",A1:CV300,140,FALSE)+3*HLOOKUP("fsXA/90",A1:CV300,140,FALSE)</f>
        <v>0.33892248488180321</v>
      </c>
      <c r="BX140" s="29016">
        <v>9.4814740121364594E-2</v>
      </c>
      <c r="BY140" s="29017">
        <v>2.7394562959671021E-2</v>
      </c>
      <c r="BZ140" s="29018">
        <f>5*HLOOKUP("uXG/90",A1:CV300,140,FALSE)+3*HLOOKUP("uXA/90",A1:CV300,140,FALSE)</f>
        <v>0.55625738948583603</v>
      </c>
    </row>
    <row r="141" spans="1:78" x14ac:dyDescent="0.3">
      <c r="A141" s="29019" t="s">
        <v>468</v>
      </c>
      <c r="B141" s="29020" t="s">
        <v>81</v>
      </c>
      <c r="C141" s="29021">
        <v>4.3000001907348633</v>
      </c>
      <c r="D141" s="29022">
        <v>549</v>
      </c>
      <c r="E141" s="29023">
        <v>13</v>
      </c>
      <c r="F141" s="29024">
        <v>25</v>
      </c>
      <c r="G141" s="29025">
        <v>1</v>
      </c>
      <c r="H141" s="29026">
        <v>0</v>
      </c>
      <c r="I141" s="29027">
        <v>111</v>
      </c>
      <c r="J141" s="29028">
        <f>HLOOKUP("BPS",A1:CV300,141,FALSE)-((-6*HLOOKUP("OG",A1:CV300,141,FALSE))+(-6*HLOOKUP("PK Miss",A1:CV300,141,FALSE))+(9*HLOOKUP("FPL As",A1:CV300,141,FALSE))+(0*HLOOKUP("CS",A1:CV300,141,FALSE))+(18*HLOOKUP("Gs",A1:CV300,141,FALSE)))</f>
        <v>84</v>
      </c>
      <c r="K141" s="29029">
        <v>0</v>
      </c>
      <c r="L141" s="29030">
        <v>1</v>
      </c>
      <c r="M141" s="29031">
        <v>8</v>
      </c>
      <c r="N141" s="29032">
        <v>5</v>
      </c>
      <c r="O141" s="29033">
        <v>2</v>
      </c>
      <c r="P141" s="29034">
        <f>IF(HLOOKUP("Shots",A1:CV300,141,FALSE)=0,0,HLOOKUP("SIB",A1:CV300,141,FALSE)/HLOOKUP("Shots",A1:CV300,141,FALSE))</f>
        <v>0.4</v>
      </c>
      <c r="Q141" s="29035">
        <v>0</v>
      </c>
      <c r="R141" s="29036">
        <f>IF(HLOOKUP("Shots",A1:CV300,141,FALSE)=0,0,HLOOKUP("S6YD",A1:CV300,141,FALSE)/HLOOKUP("Shots",A1:CV300,141,FALSE))</f>
        <v>0</v>
      </c>
      <c r="S141" s="29037">
        <v>0</v>
      </c>
      <c r="T141" s="29038">
        <f>IF(HLOOKUP("Shots",A1:CV300,141,FALSE)=0,0,HLOOKUP("Headers",A1:CV300,141,FALSE)/HLOOKUP("Shots",A1:CV300,141,FALSE))</f>
        <v>0</v>
      </c>
      <c r="U141" s="29039">
        <v>2</v>
      </c>
      <c r="V141" s="29040">
        <f>IF(HLOOKUP("Shots",A1:CV300,141,FALSE)=0,0,HLOOKUP("SOT",A1:CV300,141,FALSE)/HLOOKUP("Shots",A1:CV300,141,FALSE))</f>
        <v>0.4</v>
      </c>
      <c r="W141" s="29041">
        <f>IF(HLOOKUP("Shots",A1:CV300,141,FALSE)=0,0,HLOOKUP("Gs",A1:CV300,141,FALSE)/HLOOKUP("Shots",A1:CV300,141,FALSE))</f>
        <v>0.2</v>
      </c>
      <c r="X141" s="29042">
        <v>1</v>
      </c>
      <c r="Y141" s="29043">
        <v>1</v>
      </c>
      <c r="Z141" s="29044">
        <v>3</v>
      </c>
      <c r="AA141" s="29045">
        <f>IF(HLOOKUP("KP",A1:CV300,141,FALSE)=0,0,HLOOKUP("As",A1:CV300,141,FALSE)/HLOOKUP("KP",A1:CV300,141,FALSE))</f>
        <v>0.33333333333333331</v>
      </c>
      <c r="AB141" s="29046">
        <v>25</v>
      </c>
      <c r="AC141" s="29047">
        <v>18</v>
      </c>
      <c r="AD141" s="29048">
        <v>0</v>
      </c>
      <c r="AE141" s="29049">
        <v>0</v>
      </c>
      <c r="AF141" s="29050">
        <v>0</v>
      </c>
      <c r="AG141" s="29051">
        <f>IF(HLOOKUP("BC",A1:CV300,141,FALSE)=0,0,HLOOKUP("Gs - BC",A1:CV300,141,FALSE)/HLOOKUP("BC",A1:CV300,141,FALSE))</f>
        <v>0</v>
      </c>
      <c r="AH141" s="29052">
        <f>HLOOKUP("BC",A1:CV300,141,FALSE) - HLOOKUP("BC Miss",A1:CV300,141,FALSE)</f>
        <v>0</v>
      </c>
      <c r="AI141" s="29053">
        <f>IF(HLOOKUP("Gs",A1:CV300,141,FALSE)=0,0,HLOOKUP("Gs - BC",A1:CV300,141,FALSE)/HLOOKUP("Gs",A1:CV300,141,FALSE))</f>
        <v>0</v>
      </c>
      <c r="AJ141" s="29054">
        <v>0</v>
      </c>
      <c r="AK141" s="29055">
        <v>0</v>
      </c>
      <c r="AL141" s="29056">
        <f>HLOOKUP("BC",A1:CV300,141,FALSE) - (HLOOKUP("PK Gs",A1:CV300,141,FALSE) + HLOOKUP("PK Miss",A1:CV300,141,FALSE))</f>
        <v>0</v>
      </c>
      <c r="AM141" s="29057">
        <f>HLOOKUP("BC Miss",A1:CV300,141,FALSE) - HLOOKUP("PK Miss",A1:CV300,141,FALSE)</f>
        <v>0</v>
      </c>
      <c r="AN141" s="29058">
        <f>IF(HLOOKUP("BC - Open",A1:CV300,141,FALSE)=0,0,HLOOKUP("BC - Open Miss",A1:CV300,141,FALSE)/HLOOKUP("BC - Open",A1:CV300,141,FALSE))</f>
        <v>0</v>
      </c>
      <c r="AO141" s="29059">
        <v>0</v>
      </c>
      <c r="AP141" s="29060">
        <f>IF(HLOOKUP("Gs",A1:CV300,141,FALSE)=0,0,HLOOKUP("GIB",A1:CV300,141,FALSE)/HLOOKUP("Gs",A1:CV300,141,FALSE))</f>
        <v>0</v>
      </c>
      <c r="AQ141" s="29061">
        <v>1</v>
      </c>
      <c r="AR141" s="29062">
        <f>IF(HLOOKUP("Gs",A1:CV300,141,FALSE)=0,0,HLOOKUP("Gs - Open",A1:CV300,141,FALSE)/HLOOKUP("Gs",A1:CV300,141,FALSE))</f>
        <v>1</v>
      </c>
      <c r="AS141" s="29063">
        <v>0.23</v>
      </c>
      <c r="AT141" s="29064">
        <v>0.17</v>
      </c>
      <c r="AU141" s="29065">
        <f>IF(HLOOKUP("Mins",A1:CV300,141,FALSE)=0,0,HLOOKUP("Pts",A1:CV300,141,FALSE)/HLOOKUP("Mins",A1:CV300,141,FALSE)* 90)</f>
        <v>4.0983606557377046</v>
      </c>
      <c r="AV141" s="29066">
        <f>IF(HLOOKUP("Apps",A1:CV300,141,FALSE)=0,0,HLOOKUP("Pts",A1:CV300,141,FALSE)/HLOOKUP("Apps",A1:CV300,141,FALSE)* 1)</f>
        <v>1.9230769230769231</v>
      </c>
      <c r="AW141" s="29067">
        <f>IF(HLOOKUP("Mins",A1:CV300,141,FALSE)=0,0,HLOOKUP("Gs",A1:CV300,141,FALSE)/HLOOKUP("Mins",A1:CV300,141,FALSE)* 90)</f>
        <v>0.16393442622950818</v>
      </c>
      <c r="AX141" s="29068">
        <f>IF(HLOOKUP("Mins",A1:CV300,141,FALSE)=0,0,HLOOKUP("Bonus",A1:CV300,141,FALSE)/HLOOKUP("Mins",A1:CV300,141,FALSE)* 90)</f>
        <v>0</v>
      </c>
      <c r="AY141" s="29069">
        <f>IF(HLOOKUP("Mins",A1:CV300,141,FALSE)=0,0,HLOOKUP("BPS",A1:CV300,141,FALSE)/HLOOKUP("Mins",A1:CV300,141,FALSE)* 90)</f>
        <v>18.196721311475411</v>
      </c>
      <c r="AZ141" s="29070">
        <f>IF(HLOOKUP("Mins",A1:CV300,141,FALSE)=0,0,HLOOKUP("Base BPS",A1:CV300,141,FALSE)/HLOOKUP("Mins",A1:CV300,141,FALSE)* 90)</f>
        <v>13.77049180327869</v>
      </c>
      <c r="BA141" s="29071">
        <f>IF(HLOOKUP("Mins",A1:CV300,141,FALSE)=0,0,HLOOKUP("PenTchs",A1:CV300,141,FALSE)/HLOOKUP("Mins",A1:CV300,141,FALSE)* 90)</f>
        <v>1.3114754098360655</v>
      </c>
      <c r="BB141" s="29072">
        <f>IF(HLOOKUP("Mins",A1:CV300,141,FALSE)=0,0,HLOOKUP("Shots",A1:CV300,141,FALSE)/HLOOKUP("Mins",A1:CV300,141,FALSE)* 90)</f>
        <v>0.81967213114754101</v>
      </c>
      <c r="BC141" s="29073">
        <f>IF(HLOOKUP("Mins",A1:CV300,141,FALSE)=0,0,HLOOKUP("SIB",A1:CV300,141,FALSE)/HLOOKUP("Mins",A1:CV300,141,FALSE)* 90)</f>
        <v>0.32786885245901637</v>
      </c>
      <c r="BD141" s="29074">
        <f>IF(HLOOKUP("Mins",A1:CV300,141,FALSE)=0,0,HLOOKUP("S6YD",A1:CV300,141,FALSE)/HLOOKUP("Mins",A1:CV300,141,FALSE)* 90)</f>
        <v>0</v>
      </c>
      <c r="BE141" s="29075">
        <f>IF(HLOOKUP("Mins",A1:CV300,141,FALSE)=0,0,HLOOKUP("Headers",A1:CV300,141,FALSE)/HLOOKUP("Mins",A1:CV300,141,FALSE)* 90)</f>
        <v>0</v>
      </c>
      <c r="BF141" s="29076">
        <f>IF(HLOOKUP("Mins",A1:CV300,141,FALSE)=0,0,HLOOKUP("SOT",A1:CV300,141,FALSE)/HLOOKUP("Mins",A1:CV300,141,FALSE)* 90)</f>
        <v>0.32786885245901637</v>
      </c>
      <c r="BG141" s="29077">
        <f>IF(HLOOKUP("Mins",A1:CV300,141,FALSE)=0,0,HLOOKUP("As",A1:CV300,141,FALSE)/HLOOKUP("Mins",A1:CV300,141,FALSE)* 90)</f>
        <v>0.16393442622950818</v>
      </c>
      <c r="BH141" s="29078">
        <f>IF(HLOOKUP("Mins",A1:CV300,141,FALSE)=0,0,HLOOKUP("FPL As",A1:CV300,141,FALSE)/HLOOKUP("Mins",A1:CV300,141,FALSE)* 90)</f>
        <v>0.16393442622950818</v>
      </c>
      <c r="BI141" s="29079">
        <f>IF(HLOOKUP("Mins",A1:CV300,141,FALSE)=0,0,HLOOKUP("BC Created",A1:CV300,141,FALSE)/HLOOKUP("Mins",A1:CV300,141,FALSE)* 90)</f>
        <v>0</v>
      </c>
      <c r="BJ141" s="29080">
        <f>IF(HLOOKUP("Mins",A1:CV300,141,FALSE)=0,0,HLOOKUP("KP",A1:CV300,141,FALSE)/HLOOKUP("Mins",A1:CV300,141,FALSE)* 90)</f>
        <v>0.49180327868852458</v>
      </c>
      <c r="BK141" s="29081">
        <f>IF(HLOOKUP("Mins",A1:CV300,141,FALSE)=0,0,HLOOKUP("BC",A1:CV300,141,FALSE)/HLOOKUP("Mins",A1:CV300,141,FALSE)* 90)</f>
        <v>0</v>
      </c>
      <c r="BL141" s="29082">
        <f>IF(HLOOKUP("Mins",A1:CV300,141,FALSE)=0,0,HLOOKUP("BC Miss",A1:CV300,141,FALSE)/HLOOKUP("Mins",A1:CV300,141,FALSE)* 90)</f>
        <v>0</v>
      </c>
      <c r="BM141" s="29083">
        <f>IF(HLOOKUP("Mins",A1:CV300,141,FALSE)=0,0,HLOOKUP("Gs - BC",A1:CV300,141,FALSE)/HLOOKUP("Mins",A1:CV300,141,FALSE)* 90)</f>
        <v>0</v>
      </c>
      <c r="BN141" s="29084">
        <f>IF(HLOOKUP("Mins",A1:CV300,141,FALSE)=0,0,HLOOKUP("GIB",A1:CV300,141,FALSE)/HLOOKUP("Mins",A1:CV300,141,FALSE)* 90)</f>
        <v>0</v>
      </c>
      <c r="BO141" s="29085">
        <f>IF(HLOOKUP("Mins",A1:CV300,141,FALSE)=0,0,HLOOKUP("Gs - Open",A1:CV300,141,FALSE)/HLOOKUP("Mins",A1:CV300,141,FALSE)* 90)</f>
        <v>0.16393442622950818</v>
      </c>
      <c r="BP141" s="29086">
        <f>IF(HLOOKUP("Mins",A1:CV300,141,FALSE)=0,0,HLOOKUP("ICT Index",A1:CV300,141,FALSE)/HLOOKUP("Mins",A1:CV300,141,FALSE)* 90)</f>
        <v>4.0983606557377046</v>
      </c>
      <c r="BQ141" s="29087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  <v>6.4262295081967208E-2</v>
      </c>
      <c r="BR141" s="29088">
        <f>0.0885*HLOOKUP("KP/90",A1:CV300,141,FALSE)</f>
        <v>4.3524590163934423E-2</v>
      </c>
      <c r="BS141" s="29089">
        <f>5*HLOOKUP("xG/90",A1:CV300,141,FALSE)+3*HLOOKUP("xA/90",A1:CV300,141,FALSE)</f>
        <v>0.45188524590163937</v>
      </c>
      <c r="BT141" s="29090">
        <f>HLOOKUP("xPts/90",A1:CV300,141,FALSE)-(5*0.75*(HLOOKUP("PK Gs",A1:CV300,141,FALSE)+HLOOKUP("PK Miss",A1:CV300,141,FALSE))*90/HLOOKUP("Mins",A1:CV300,141,FALSE))</f>
        <v>0.45188524590163937</v>
      </c>
      <c r="BU141" s="29091">
        <f>IF(HLOOKUP("Mins",A1:CV300,141,FALSE)=0,0,HLOOKUP("fsXG",A1:CV300,141,FALSE)/HLOOKUP("Mins",A1:CV300,141,FALSE)* 90)</f>
        <v>3.7704918032786888E-2</v>
      </c>
      <c r="BV141" s="29092">
        <f>IF(HLOOKUP("Mins",A1:CV300,141,FALSE)=0,0,HLOOKUP("fsXA",A1:CV300,141,FALSE)/HLOOKUP("Mins",A1:CV300,141,FALSE)* 90)</f>
        <v>2.7868852459016394E-2</v>
      </c>
      <c r="BW141" s="29093">
        <f>5*HLOOKUP("fsXG/90",A1:CV300,141,FALSE)+3*HLOOKUP("fsXA/90",A1:CV300,141,FALSE)</f>
        <v>0.27213114754098361</v>
      </c>
      <c r="BX141" s="29094">
        <v>4.3230790644884109E-2</v>
      </c>
      <c r="BY141" s="29095">
        <v>1.4793507754802704E-2</v>
      </c>
      <c r="BZ141" s="29096">
        <f>5*HLOOKUP("uXG/90",A1:CV300,141,FALSE)+3*HLOOKUP("uXA/90",A1:CV300,141,FALSE)</f>
        <v>0.26053447648882866</v>
      </c>
    </row>
    <row r="142" spans="1:78" x14ac:dyDescent="0.3">
      <c r="A142" s="29097" t="s">
        <v>469</v>
      </c>
      <c r="B142" s="29098" t="s">
        <v>107</v>
      </c>
      <c r="C142" s="29099">
        <v>6.8000001907348633</v>
      </c>
      <c r="D142" s="29100">
        <v>1915</v>
      </c>
      <c r="E142" s="29101">
        <v>22</v>
      </c>
      <c r="F142" s="29102">
        <v>73</v>
      </c>
      <c r="G142" s="29103">
        <v>3</v>
      </c>
      <c r="H142" s="29104">
        <v>4</v>
      </c>
      <c r="I142" s="29105">
        <v>209</v>
      </c>
      <c r="J142" s="29106">
        <f>HLOOKUP("BPS",A1:CV300,142,FALSE)-((-6*HLOOKUP("OG",A1:CV300,142,FALSE))+(-6*HLOOKUP("PK Miss",A1:CV300,142,FALSE))+(9*HLOOKUP("FPL As",A1:CV300,142,FALSE))+(0*HLOOKUP("CS",A1:CV300,142,FALSE))+(18*HLOOKUP("Gs",A1:CV300,142,FALSE)))</f>
        <v>128</v>
      </c>
      <c r="K142" s="29107">
        <v>0</v>
      </c>
      <c r="L142" s="29108">
        <v>5</v>
      </c>
      <c r="M142" s="29109">
        <v>148</v>
      </c>
      <c r="N142" s="29110">
        <v>33</v>
      </c>
      <c r="O142" s="29111">
        <v>27</v>
      </c>
      <c r="P142" s="29112">
        <f>IF(HLOOKUP("Shots",A1:CV300,142,FALSE)=0,0,HLOOKUP("SIB",A1:CV300,142,FALSE)/HLOOKUP("Shots",A1:CV300,142,FALSE))</f>
        <v>0.81818181818181823</v>
      </c>
      <c r="Q142" s="29113">
        <v>1</v>
      </c>
      <c r="R142" s="29114">
        <f>IF(HLOOKUP("Shots",A1:CV300,142,FALSE)=0,0,HLOOKUP("S6YD",A1:CV300,142,FALSE)/HLOOKUP("Shots",A1:CV300,142,FALSE))</f>
        <v>3.0303030303030304E-2</v>
      </c>
      <c r="S142" s="29115">
        <v>1</v>
      </c>
      <c r="T142" s="29116">
        <f>IF(HLOOKUP("Shots",A1:CV300,142,FALSE)=0,0,HLOOKUP("Headers",A1:CV300,142,FALSE)/HLOOKUP("Shots",A1:CV300,142,FALSE))</f>
        <v>3.0303030303030304E-2</v>
      </c>
      <c r="U142" s="29117">
        <v>9</v>
      </c>
      <c r="V142" s="29118">
        <f>IF(HLOOKUP("Shots",A1:CV300,142,FALSE)=0,0,HLOOKUP("SOT",A1:CV300,142,FALSE)/HLOOKUP("Shots",A1:CV300,142,FALSE))</f>
        <v>0.27272727272727271</v>
      </c>
      <c r="W142" s="29119">
        <f>IF(HLOOKUP("Shots",A1:CV300,142,FALSE)=0,0,HLOOKUP("Gs",A1:CV300,142,FALSE)/HLOOKUP("Shots",A1:CV300,142,FALSE))</f>
        <v>9.0909090909090912E-2</v>
      </c>
      <c r="X142" s="29120">
        <v>2</v>
      </c>
      <c r="Y142" s="29121">
        <v>3</v>
      </c>
      <c r="Z142" s="29122">
        <v>21</v>
      </c>
      <c r="AA142" s="29123">
        <f>IF(HLOOKUP("KP",A1:CV300,142,FALSE)=0,0,HLOOKUP("As",A1:CV300,142,FALSE)/HLOOKUP("KP",A1:CV300,142,FALSE))</f>
        <v>9.5238095238095233E-2</v>
      </c>
      <c r="AB142" s="29124">
        <v>134.30000000000001</v>
      </c>
      <c r="AC142" s="29125">
        <v>30</v>
      </c>
      <c r="AD142" s="29126">
        <v>2</v>
      </c>
      <c r="AE142" s="29127">
        <v>2</v>
      </c>
      <c r="AF142" s="29128">
        <v>2</v>
      </c>
      <c r="AG142" s="29129">
        <f>IF(HLOOKUP("BC",A1:CV300,142,FALSE)=0,0,HLOOKUP("Gs - BC",A1:CV300,142,FALSE)/HLOOKUP("BC",A1:CV300,142,FALSE))</f>
        <v>0</v>
      </c>
      <c r="AH142" s="29130">
        <f>HLOOKUP("BC",A1:CV300,142,FALSE) - HLOOKUP("BC Miss",A1:CV300,142,FALSE)</f>
        <v>0</v>
      </c>
      <c r="AI142" s="29131">
        <f>IF(HLOOKUP("Gs",A1:CV300,142,FALSE)=0,0,HLOOKUP("Gs - BC",A1:CV300,142,FALSE)/HLOOKUP("Gs",A1:CV300,142,FALSE))</f>
        <v>0</v>
      </c>
      <c r="AJ142" s="29132">
        <v>0</v>
      </c>
      <c r="AK142" s="29133">
        <v>0</v>
      </c>
      <c r="AL142" s="29134">
        <f>HLOOKUP("BC",A1:CV300,142,FALSE) - (HLOOKUP("PK Gs",A1:CV300,142,FALSE) + HLOOKUP("PK Miss",A1:CV300,142,FALSE))</f>
        <v>2</v>
      </c>
      <c r="AM142" s="29135">
        <f>HLOOKUP("BC Miss",A1:CV300,142,FALSE) - HLOOKUP("PK Miss",A1:CV300,142,FALSE)</f>
        <v>2</v>
      </c>
      <c r="AN142" s="29136">
        <f>IF(HLOOKUP("BC - Open",A1:CV300,142,FALSE)=0,0,HLOOKUP("BC - Open Miss",A1:CV300,142,FALSE)/HLOOKUP("BC - Open",A1:CV300,142,FALSE))</f>
        <v>1</v>
      </c>
      <c r="AO142" s="29137">
        <v>3</v>
      </c>
      <c r="AP142" s="29138">
        <f>IF(HLOOKUP("Gs",A1:CV300,142,FALSE)=0,0,HLOOKUP("GIB",A1:CV300,142,FALSE)/HLOOKUP("Gs",A1:CV300,142,FALSE))</f>
        <v>1</v>
      </c>
      <c r="AQ142" s="29139">
        <v>3</v>
      </c>
      <c r="AR142" s="29140">
        <f>IF(HLOOKUP("Gs",A1:CV300,142,FALSE)=0,0,HLOOKUP("Gs - Open",A1:CV300,142,FALSE)/HLOOKUP("Gs",A1:CV300,142,FALSE))</f>
        <v>1</v>
      </c>
      <c r="AS142" s="29141">
        <v>2.4</v>
      </c>
      <c r="AT142" s="29142">
        <v>3.17</v>
      </c>
      <c r="AU142" s="29143">
        <f>IF(HLOOKUP("Mins",A1:CV300,142,FALSE)=0,0,HLOOKUP("Pts",A1:CV300,142,FALSE)/HLOOKUP("Mins",A1:CV300,142,FALSE)* 90)</f>
        <v>3.4308093994778068</v>
      </c>
      <c r="AV142" s="29144">
        <f>IF(HLOOKUP("Apps",A1:CV300,142,FALSE)=0,0,HLOOKUP("Pts",A1:CV300,142,FALSE)/HLOOKUP("Apps",A1:CV300,142,FALSE)* 1)</f>
        <v>3.3181818181818183</v>
      </c>
      <c r="AW142" s="29145">
        <f>IF(HLOOKUP("Mins",A1:CV300,142,FALSE)=0,0,HLOOKUP("Gs",A1:CV300,142,FALSE)/HLOOKUP("Mins",A1:CV300,142,FALSE)* 90)</f>
        <v>0.14099216710182769</v>
      </c>
      <c r="AX142" s="29146">
        <f>IF(HLOOKUP("Mins",A1:CV300,142,FALSE)=0,0,HLOOKUP("Bonus",A1:CV300,142,FALSE)/HLOOKUP("Mins",A1:CV300,142,FALSE)* 90)</f>
        <v>0.18798955613577023</v>
      </c>
      <c r="AY142" s="29147">
        <f>IF(HLOOKUP("Mins",A1:CV300,142,FALSE)=0,0,HLOOKUP("BPS",A1:CV300,142,FALSE)/HLOOKUP("Mins",A1:CV300,142,FALSE)* 90)</f>
        <v>9.8224543080939952</v>
      </c>
      <c r="AZ142" s="29148">
        <f>IF(HLOOKUP("Mins",A1:CV300,142,FALSE)=0,0,HLOOKUP("Base BPS",A1:CV300,142,FALSE)/HLOOKUP("Mins",A1:CV300,142,FALSE)* 90)</f>
        <v>6.0156657963446474</v>
      </c>
      <c r="BA142" s="29149">
        <f>IF(HLOOKUP("Mins",A1:CV300,142,FALSE)=0,0,HLOOKUP("PenTchs",A1:CV300,142,FALSE)/HLOOKUP("Mins",A1:CV300,142,FALSE)* 90)</f>
        <v>6.9556135770234979</v>
      </c>
      <c r="BB142" s="29150">
        <f>IF(HLOOKUP("Mins",A1:CV300,142,FALSE)=0,0,HLOOKUP("Shots",A1:CV300,142,FALSE)/HLOOKUP("Mins",A1:CV300,142,FALSE)* 90)</f>
        <v>1.5509138381201044</v>
      </c>
      <c r="BC142" s="29151">
        <f>IF(HLOOKUP("Mins",A1:CV300,142,FALSE)=0,0,HLOOKUP("SIB",A1:CV300,142,FALSE)/HLOOKUP("Mins",A1:CV300,142,FALSE)* 90)</f>
        <v>1.2689295039164492</v>
      </c>
      <c r="BD142" s="29152">
        <f>IF(HLOOKUP("Mins",A1:CV300,142,FALSE)=0,0,HLOOKUP("S6YD",A1:CV300,142,FALSE)/HLOOKUP("Mins",A1:CV300,142,FALSE)* 90)</f>
        <v>4.6997389033942558E-2</v>
      </c>
      <c r="BE142" s="29153">
        <f>IF(HLOOKUP("Mins",A1:CV300,142,FALSE)=0,0,HLOOKUP("Headers",A1:CV300,142,FALSE)/HLOOKUP("Mins",A1:CV300,142,FALSE)* 90)</f>
        <v>4.6997389033942558E-2</v>
      </c>
      <c r="BF142" s="29154">
        <f>IF(HLOOKUP("Mins",A1:CV300,142,FALSE)=0,0,HLOOKUP("SOT",A1:CV300,142,FALSE)/HLOOKUP("Mins",A1:CV300,142,FALSE)* 90)</f>
        <v>0.42297650130548309</v>
      </c>
      <c r="BG142" s="29155">
        <f>IF(HLOOKUP("Mins",A1:CV300,142,FALSE)=0,0,HLOOKUP("As",A1:CV300,142,FALSE)/HLOOKUP("Mins",A1:CV300,142,FALSE)* 90)</f>
        <v>9.3994778067885115E-2</v>
      </c>
      <c r="BH142" s="29156">
        <f>IF(HLOOKUP("Mins",A1:CV300,142,FALSE)=0,0,HLOOKUP("FPL As",A1:CV300,142,FALSE)/HLOOKUP("Mins",A1:CV300,142,FALSE)* 90)</f>
        <v>0.14099216710182769</v>
      </c>
      <c r="BI142" s="29157">
        <f>IF(HLOOKUP("Mins",A1:CV300,142,FALSE)=0,0,HLOOKUP("BC Created",A1:CV300,142,FALSE)/HLOOKUP("Mins",A1:CV300,142,FALSE)* 90)</f>
        <v>9.3994778067885115E-2</v>
      </c>
      <c r="BJ142" s="29158">
        <f>IF(HLOOKUP("Mins",A1:CV300,142,FALSE)=0,0,HLOOKUP("KP",A1:CV300,142,FALSE)/HLOOKUP("Mins",A1:CV300,142,FALSE)* 90)</f>
        <v>0.98694516971279378</v>
      </c>
      <c r="BK142" s="29159">
        <f>IF(HLOOKUP("Mins",A1:CV300,142,FALSE)=0,0,HLOOKUP("BC",A1:CV300,142,FALSE)/HLOOKUP("Mins",A1:CV300,142,FALSE)* 90)</f>
        <v>9.3994778067885115E-2</v>
      </c>
      <c r="BL142" s="29160">
        <f>IF(HLOOKUP("Mins",A1:CV300,142,FALSE)=0,0,HLOOKUP("BC Miss",A1:CV300,142,FALSE)/HLOOKUP("Mins",A1:CV300,142,FALSE)* 90)</f>
        <v>9.3994778067885115E-2</v>
      </c>
      <c r="BM142" s="29161">
        <f>IF(HLOOKUP("Mins",A1:CV300,142,FALSE)=0,0,HLOOKUP("Gs - BC",A1:CV300,142,FALSE)/HLOOKUP("Mins",A1:CV300,142,FALSE)* 90)</f>
        <v>0</v>
      </c>
      <c r="BN142" s="29162">
        <f>IF(HLOOKUP("Mins",A1:CV300,142,FALSE)=0,0,HLOOKUP("GIB",A1:CV300,142,FALSE)/HLOOKUP("Mins",A1:CV300,142,FALSE)* 90)</f>
        <v>0.14099216710182769</v>
      </c>
      <c r="BO142" s="29163">
        <f>IF(HLOOKUP("Mins",A1:CV300,142,FALSE)=0,0,HLOOKUP("Gs - Open",A1:CV300,142,FALSE)/HLOOKUP("Mins",A1:CV300,142,FALSE)* 90)</f>
        <v>0.14099216710182769</v>
      </c>
      <c r="BP142" s="29164">
        <f>IF(HLOOKUP("Mins",A1:CV300,142,FALSE)=0,0,HLOOKUP("ICT Index",A1:CV300,142,FALSE)/HLOOKUP("Mins",A1:CV300,142,FALSE)* 90)</f>
        <v>6.3117493472584867</v>
      </c>
      <c r="BQ142" s="29165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  <v>0.19033942558746733</v>
      </c>
      <c r="BR142" s="29166">
        <f>0.0885*HLOOKUP("KP/90",A1:CV300,142,FALSE)</f>
        <v>8.734464751958225E-2</v>
      </c>
      <c r="BS142" s="29167">
        <f>5*HLOOKUP("xG/90",A1:CV300,142,FALSE)+3*HLOOKUP("xA/90",A1:CV300,142,FALSE)</f>
        <v>1.2137310704960833</v>
      </c>
      <c r="BT142" s="29168">
        <f>HLOOKUP("xPts/90",A1:CV300,142,FALSE)-(5*0.75*(HLOOKUP("PK Gs",A1:CV300,142,FALSE)+HLOOKUP("PK Miss",A1:CV300,142,FALSE))*90/HLOOKUP("Mins",A1:CV300,142,FALSE))</f>
        <v>1.2137310704960833</v>
      </c>
      <c r="BU142" s="29169">
        <f>IF(HLOOKUP("Mins",A1:CV300,142,FALSE)=0,0,HLOOKUP("fsXG",A1:CV300,142,FALSE)/HLOOKUP("Mins",A1:CV300,142,FALSE)* 90)</f>
        <v>0.11279373368146214</v>
      </c>
      <c r="BV142" s="29170">
        <f>IF(HLOOKUP("Mins",A1:CV300,142,FALSE)=0,0,HLOOKUP("fsXA",A1:CV300,142,FALSE)/HLOOKUP("Mins",A1:CV300,142,FALSE)* 90)</f>
        <v>0.1489817232375979</v>
      </c>
      <c r="BW142" s="29171">
        <f>5*HLOOKUP("fsXG/90",A1:CV300,142,FALSE)+3*HLOOKUP("fsXA/90",A1:CV300,142,FALSE)</f>
        <v>1.0109138381201044</v>
      </c>
      <c r="BX142" s="29172">
        <v>0.10908468812704086</v>
      </c>
      <c r="BY142" s="29173">
        <v>0.11620334535837173</v>
      </c>
      <c r="BZ142" s="29174">
        <f>5*HLOOKUP("uXG/90",A1:CV300,142,FALSE)+3*HLOOKUP("uXA/90",A1:CV300,142,FALSE)</f>
        <v>0.89403347671031952</v>
      </c>
    </row>
    <row r="143" spans="1:78" x14ac:dyDescent="0.3">
      <c r="A143" s="29175" t="s">
        <v>470</v>
      </c>
      <c r="B143" s="29176" t="s">
        <v>113</v>
      </c>
      <c r="C143" s="29177">
        <v>5.1999998092651367</v>
      </c>
      <c r="D143" s="29178">
        <v>1024</v>
      </c>
      <c r="E143" s="29179">
        <v>16</v>
      </c>
      <c r="F143" s="29180">
        <v>52</v>
      </c>
      <c r="G143" s="29181">
        <v>3</v>
      </c>
      <c r="H143" s="29182">
        <v>5</v>
      </c>
      <c r="I143" s="29183">
        <v>185</v>
      </c>
      <c r="J143" s="29184">
        <f>HLOOKUP("BPS",A1:CV300,143,FALSE)-((-6*HLOOKUP("OG",A1:CV300,143,FALSE))+(-6*HLOOKUP("PK Miss",A1:CV300,143,FALSE))+(9*HLOOKUP("FPL As",A1:CV300,143,FALSE))+(0*HLOOKUP("CS",A1:CV300,143,FALSE))+(18*HLOOKUP("Gs",A1:CV300,143,FALSE)))</f>
        <v>113</v>
      </c>
      <c r="K143" s="29185">
        <v>0</v>
      </c>
      <c r="L143" s="29186">
        <v>3</v>
      </c>
      <c r="M143" s="29187">
        <v>40</v>
      </c>
      <c r="N143" s="29188">
        <v>13</v>
      </c>
      <c r="O143" s="29189">
        <v>11</v>
      </c>
      <c r="P143" s="29190">
        <f>IF(HLOOKUP("Shots",A1:CV300,143,FALSE)=0,0,HLOOKUP("SIB",A1:CV300,143,FALSE)/HLOOKUP("Shots",A1:CV300,143,FALSE))</f>
        <v>0.84615384615384615</v>
      </c>
      <c r="Q143" s="29191">
        <v>1</v>
      </c>
      <c r="R143" s="29192">
        <f>IF(HLOOKUP("Shots",A1:CV300,143,FALSE)=0,0,HLOOKUP("S6YD",A1:CV300,143,FALSE)/HLOOKUP("Shots",A1:CV300,143,FALSE))</f>
        <v>7.6923076923076927E-2</v>
      </c>
      <c r="S143" s="29193">
        <v>1</v>
      </c>
      <c r="T143" s="29194">
        <f>IF(HLOOKUP("Shots",A1:CV300,143,FALSE)=0,0,HLOOKUP("Headers",A1:CV300,143,FALSE)/HLOOKUP("Shots",A1:CV300,143,FALSE))</f>
        <v>7.6923076923076927E-2</v>
      </c>
      <c r="U143" s="29195">
        <v>6</v>
      </c>
      <c r="V143" s="29196">
        <f>IF(HLOOKUP("Shots",A1:CV300,143,FALSE)=0,0,HLOOKUP("SOT",A1:CV300,143,FALSE)/HLOOKUP("Shots",A1:CV300,143,FALSE))</f>
        <v>0.46153846153846156</v>
      </c>
      <c r="W143" s="29197">
        <f>IF(HLOOKUP("Shots",A1:CV300,143,FALSE)=0,0,HLOOKUP("Gs",A1:CV300,143,FALSE)/HLOOKUP("Shots",A1:CV300,143,FALSE))</f>
        <v>0.23076923076923078</v>
      </c>
      <c r="X143" s="29198">
        <v>2</v>
      </c>
      <c r="Y143" s="29199">
        <v>2</v>
      </c>
      <c r="Z143" s="29200">
        <v>27</v>
      </c>
      <c r="AA143" s="29201">
        <f>IF(HLOOKUP("KP",A1:CV300,143,FALSE)=0,0,HLOOKUP("As",A1:CV300,143,FALSE)/HLOOKUP("KP",A1:CV300,143,FALSE))</f>
        <v>7.407407407407407E-2</v>
      </c>
      <c r="AB143" s="29202">
        <v>94</v>
      </c>
      <c r="AC143" s="29203">
        <v>36</v>
      </c>
      <c r="AD143" s="29204">
        <v>3</v>
      </c>
      <c r="AE143" s="29205">
        <v>4</v>
      </c>
      <c r="AF143" s="29206">
        <v>2</v>
      </c>
      <c r="AG143" s="29207">
        <f>IF(HLOOKUP("BC",A1:CV300,143,FALSE)=0,0,HLOOKUP("Gs - BC",A1:CV300,143,FALSE)/HLOOKUP("BC",A1:CV300,143,FALSE))</f>
        <v>0.5</v>
      </c>
      <c r="AH143" s="29208">
        <f>HLOOKUP("BC",A1:CV300,143,FALSE) - HLOOKUP("BC Miss",A1:CV300,143,FALSE)</f>
        <v>2</v>
      </c>
      <c r="AI143" s="29209">
        <f>IF(HLOOKUP("Gs",A1:CV300,143,FALSE)=0,0,HLOOKUP("Gs - BC",A1:CV300,143,FALSE)/HLOOKUP("Gs",A1:CV300,143,FALSE))</f>
        <v>0.66666666666666663</v>
      </c>
      <c r="AJ143" s="29210">
        <v>0</v>
      </c>
      <c r="AK143" s="29211">
        <v>0</v>
      </c>
      <c r="AL143" s="29212">
        <f>HLOOKUP("BC",A1:CV300,143,FALSE) - (HLOOKUP("PK Gs",A1:CV300,143,FALSE) + HLOOKUP("PK Miss",A1:CV300,143,FALSE))</f>
        <v>4</v>
      </c>
      <c r="AM143" s="29213">
        <f>HLOOKUP("BC Miss",A1:CV300,143,FALSE) - HLOOKUP("PK Miss",A1:CV300,143,FALSE)</f>
        <v>2</v>
      </c>
      <c r="AN143" s="29214">
        <f>IF(HLOOKUP("BC - Open",A1:CV300,143,FALSE)=0,0,HLOOKUP("BC - Open Miss",A1:CV300,143,FALSE)/HLOOKUP("BC - Open",A1:CV300,143,FALSE))</f>
        <v>0.5</v>
      </c>
      <c r="AO143" s="29215">
        <v>3</v>
      </c>
      <c r="AP143" s="29216">
        <f>IF(HLOOKUP("Gs",A1:CV300,143,FALSE)=0,0,HLOOKUP("GIB",A1:CV300,143,FALSE)/HLOOKUP("Gs",A1:CV300,143,FALSE))</f>
        <v>1</v>
      </c>
      <c r="AQ143" s="29217">
        <v>2</v>
      </c>
      <c r="AR143" s="29218">
        <f>IF(HLOOKUP("Gs",A1:CV300,143,FALSE)=0,0,HLOOKUP("Gs - Open",A1:CV300,143,FALSE)/HLOOKUP("Gs",A1:CV300,143,FALSE))</f>
        <v>0.66666666666666663</v>
      </c>
      <c r="AS143" s="29219">
        <v>2.2599999999999998</v>
      </c>
      <c r="AT143" s="29220">
        <v>2.98</v>
      </c>
      <c r="AU143" s="29221">
        <f>IF(HLOOKUP("Mins",A1:CV300,143,FALSE)=0,0,HLOOKUP("Pts",A1:CV300,143,FALSE)/HLOOKUP("Mins",A1:CV300,143,FALSE)* 90)</f>
        <v>4.5703125</v>
      </c>
      <c r="AV143" s="29222">
        <f>IF(HLOOKUP("Apps",A1:CV300,143,FALSE)=0,0,HLOOKUP("Pts",A1:CV300,143,FALSE)/HLOOKUP("Apps",A1:CV300,143,FALSE)* 1)</f>
        <v>3.25</v>
      </c>
      <c r="AW143" s="29223">
        <f>IF(HLOOKUP("Mins",A1:CV300,143,FALSE)=0,0,HLOOKUP("Gs",A1:CV300,143,FALSE)/HLOOKUP("Mins",A1:CV300,143,FALSE)* 90)</f>
        <v>0.263671875</v>
      </c>
      <c r="AX143" s="29224">
        <f>IF(HLOOKUP("Mins",A1:CV300,143,FALSE)=0,0,HLOOKUP("Bonus",A1:CV300,143,FALSE)/HLOOKUP("Mins",A1:CV300,143,FALSE)* 90)</f>
        <v>0.439453125</v>
      </c>
      <c r="AY143" s="29225">
        <f>IF(HLOOKUP("Mins",A1:CV300,143,FALSE)=0,0,HLOOKUP("BPS",A1:CV300,143,FALSE)/HLOOKUP("Mins",A1:CV300,143,FALSE)* 90)</f>
        <v>16.259765625</v>
      </c>
      <c r="AZ143" s="29226">
        <f>IF(HLOOKUP("Mins",A1:CV300,143,FALSE)=0,0,HLOOKUP("Base BPS",A1:CV300,143,FALSE)/HLOOKUP("Mins",A1:CV300,143,FALSE)* 90)</f>
        <v>9.931640625</v>
      </c>
      <c r="BA143" s="29227">
        <f>IF(HLOOKUP("Mins",A1:CV300,143,FALSE)=0,0,HLOOKUP("PenTchs",A1:CV300,143,FALSE)/HLOOKUP("Mins",A1:CV300,143,FALSE)* 90)</f>
        <v>3.515625</v>
      </c>
      <c r="BB143" s="29228">
        <f>IF(HLOOKUP("Mins",A1:CV300,143,FALSE)=0,0,HLOOKUP("Shots",A1:CV300,143,FALSE)/HLOOKUP("Mins",A1:CV300,143,FALSE)* 90)</f>
        <v>1.142578125</v>
      </c>
      <c r="BC143" s="29229">
        <f>IF(HLOOKUP("Mins",A1:CV300,143,FALSE)=0,0,HLOOKUP("SIB",A1:CV300,143,FALSE)/HLOOKUP("Mins",A1:CV300,143,FALSE)* 90)</f>
        <v>0.966796875</v>
      </c>
      <c r="BD143" s="29230">
        <f>IF(HLOOKUP("Mins",A1:CV300,143,FALSE)=0,0,HLOOKUP("S6YD",A1:CV300,143,FALSE)/HLOOKUP("Mins",A1:CV300,143,FALSE)* 90)</f>
        <v>8.7890625E-2</v>
      </c>
      <c r="BE143" s="29231">
        <f>IF(HLOOKUP("Mins",A1:CV300,143,FALSE)=0,0,HLOOKUP("Headers",A1:CV300,143,FALSE)/HLOOKUP("Mins",A1:CV300,143,FALSE)* 90)</f>
        <v>8.7890625E-2</v>
      </c>
      <c r="BF143" s="29232">
        <f>IF(HLOOKUP("Mins",A1:CV300,143,FALSE)=0,0,HLOOKUP("SOT",A1:CV300,143,FALSE)/HLOOKUP("Mins",A1:CV300,143,FALSE)* 90)</f>
        <v>0.52734375</v>
      </c>
      <c r="BG143" s="29233">
        <f>IF(HLOOKUP("Mins",A1:CV300,143,FALSE)=0,0,HLOOKUP("As",A1:CV300,143,FALSE)/HLOOKUP("Mins",A1:CV300,143,FALSE)* 90)</f>
        <v>0.17578125</v>
      </c>
      <c r="BH143" s="29234">
        <f>IF(HLOOKUP("Mins",A1:CV300,143,FALSE)=0,0,HLOOKUP("FPL As",A1:CV300,143,FALSE)/HLOOKUP("Mins",A1:CV300,143,FALSE)* 90)</f>
        <v>0.17578125</v>
      </c>
      <c r="BI143" s="29235">
        <f>IF(HLOOKUP("Mins",A1:CV300,143,FALSE)=0,0,HLOOKUP("BC Created",A1:CV300,143,FALSE)/HLOOKUP("Mins",A1:CV300,143,FALSE)* 90)</f>
        <v>0.263671875</v>
      </c>
      <c r="BJ143" s="29236">
        <f>IF(HLOOKUP("Mins",A1:CV300,143,FALSE)=0,0,HLOOKUP("KP",A1:CV300,143,FALSE)/HLOOKUP("Mins",A1:CV300,143,FALSE)* 90)</f>
        <v>2.373046875</v>
      </c>
      <c r="BK143" s="29237">
        <f>IF(HLOOKUP("Mins",A1:CV300,143,FALSE)=0,0,HLOOKUP("BC",A1:CV300,143,FALSE)/HLOOKUP("Mins",A1:CV300,143,FALSE)* 90)</f>
        <v>0.3515625</v>
      </c>
      <c r="BL143" s="29238">
        <f>IF(HLOOKUP("Mins",A1:CV300,143,FALSE)=0,0,HLOOKUP("BC Miss",A1:CV300,143,FALSE)/HLOOKUP("Mins",A1:CV300,143,FALSE)* 90)</f>
        <v>0.17578125</v>
      </c>
      <c r="BM143" s="29239">
        <f>IF(HLOOKUP("Mins",A1:CV300,143,FALSE)=0,0,HLOOKUP("Gs - BC",A1:CV300,143,FALSE)/HLOOKUP("Mins",A1:CV300,143,FALSE)* 90)</f>
        <v>0.17578125</v>
      </c>
      <c r="BN143" s="29240">
        <f>IF(HLOOKUP("Mins",A1:CV300,143,FALSE)=0,0,HLOOKUP("GIB",A1:CV300,143,FALSE)/HLOOKUP("Mins",A1:CV300,143,FALSE)* 90)</f>
        <v>0.263671875</v>
      </c>
      <c r="BO143" s="29241">
        <f>IF(HLOOKUP("Mins",A1:CV300,143,FALSE)=0,0,HLOOKUP("Gs - Open",A1:CV300,143,FALSE)/HLOOKUP("Mins",A1:CV300,143,FALSE)* 90)</f>
        <v>0.17578125</v>
      </c>
      <c r="BP143" s="29242">
        <f>IF(HLOOKUP("Mins",A1:CV300,143,FALSE)=0,0,HLOOKUP("ICT Index",A1:CV300,143,FALSE)/HLOOKUP("Mins",A1:CV300,143,FALSE)* 90)</f>
        <v>8.26171875</v>
      </c>
      <c r="BQ143" s="29243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  <v>0.14361328125</v>
      </c>
      <c r="BR143" s="29244">
        <f>0.0885*HLOOKUP("KP/90",A1:CV300,143,FALSE)</f>
        <v>0.21001464843749998</v>
      </c>
      <c r="BS143" s="29245">
        <f>5*HLOOKUP("xG/90",A1:CV300,143,FALSE)+3*HLOOKUP("xA/90",A1:CV300,143,FALSE)</f>
        <v>1.3481103515624999</v>
      </c>
      <c r="BT143" s="29246">
        <f>HLOOKUP("xPts/90",A1:CV300,143,FALSE)-(5*0.75*(HLOOKUP("PK Gs",A1:CV300,143,FALSE)+HLOOKUP("PK Miss",A1:CV300,143,FALSE))*90/HLOOKUP("Mins",A1:CV300,143,FALSE))</f>
        <v>1.3481103515624999</v>
      </c>
      <c r="BU143" s="29247">
        <f>IF(HLOOKUP("Mins",A1:CV300,143,FALSE)=0,0,HLOOKUP("fsXG",A1:CV300,143,FALSE)/HLOOKUP("Mins",A1:CV300,143,FALSE)* 90)</f>
        <v>0.19863281249999998</v>
      </c>
      <c r="BV143" s="29248">
        <f>IF(HLOOKUP("Mins",A1:CV300,143,FALSE)=0,0,HLOOKUP("fsXA",A1:CV300,143,FALSE)/HLOOKUP("Mins",A1:CV300,143,FALSE)* 90)</f>
        <v>0.26191406249999999</v>
      </c>
      <c r="BW143" s="29249">
        <f>5*HLOOKUP("fsXG/90",A1:CV300,143,FALSE)+3*HLOOKUP("fsXA/90",A1:CV300,143,FALSE)</f>
        <v>1.7789062499999999</v>
      </c>
      <c r="BX143" s="29250">
        <v>0.17345228791236877</v>
      </c>
      <c r="BY143" s="29251">
        <v>0.22346310317516327</v>
      </c>
      <c r="BZ143" s="29252">
        <f>5*HLOOKUP("uXG/90",A1:CV300,143,FALSE)+3*HLOOKUP("uXA/90",A1:CV300,143,FALSE)</f>
        <v>1.5376507490873337</v>
      </c>
    </row>
    <row r="144" spans="1:78" x14ac:dyDescent="0.3">
      <c r="A144" s="29253" t="s">
        <v>471</v>
      </c>
      <c r="B144" s="29254" t="s">
        <v>151</v>
      </c>
      <c r="C144" s="29255">
        <v>4.3000001907348633</v>
      </c>
      <c r="D144" s="29256">
        <v>24</v>
      </c>
      <c r="E144" s="29257">
        <v>2</v>
      </c>
      <c r="F144" s="29258">
        <v>2</v>
      </c>
      <c r="G144" s="29259">
        <v>0</v>
      </c>
      <c r="H144" s="29260">
        <v>0</v>
      </c>
      <c r="I144" s="29261">
        <v>4</v>
      </c>
      <c r="J144" s="29262">
        <f>HLOOKUP("BPS",A1:CV300,144,FALSE)-((-6*HLOOKUP("OG",A1:CV300,144,FALSE))+(-6*HLOOKUP("PK Miss",A1:CV300,144,FALSE))+(9*HLOOKUP("FPL As",A1:CV300,144,FALSE))+(0*HLOOKUP("CS",A1:CV300,144,FALSE))+(18*HLOOKUP("Gs",A1:CV300,144,FALSE)))</f>
        <v>4</v>
      </c>
      <c r="K144" s="29263">
        <v>0</v>
      </c>
      <c r="L144" s="29264">
        <v>0</v>
      </c>
      <c r="M144" s="29265">
        <v>0</v>
      </c>
      <c r="N144" s="29266">
        <v>0</v>
      </c>
      <c r="O144" s="29267">
        <v>0</v>
      </c>
      <c r="P144" s="29268">
        <f>IF(HLOOKUP("Shots",A1:CV300,144,FALSE)=0,0,HLOOKUP("SIB",A1:CV300,144,FALSE)/HLOOKUP("Shots",A1:CV300,144,FALSE))</f>
        <v>0</v>
      </c>
      <c r="Q144" s="29269">
        <v>0</v>
      </c>
      <c r="R144" s="29270">
        <f>IF(HLOOKUP("Shots",A1:CV300,144,FALSE)=0,0,HLOOKUP("S6YD",A1:CV300,144,FALSE)/HLOOKUP("Shots",A1:CV300,144,FALSE))</f>
        <v>0</v>
      </c>
      <c r="S144" s="29271">
        <v>0</v>
      </c>
      <c r="T144" s="29272">
        <f>IF(HLOOKUP("Shots",A1:CV300,144,FALSE)=0,0,HLOOKUP("Headers",A1:CV300,144,FALSE)/HLOOKUP("Shots",A1:CV300,144,FALSE))</f>
        <v>0</v>
      </c>
      <c r="U144" s="29273">
        <v>0</v>
      </c>
      <c r="V144" s="29274">
        <f>IF(HLOOKUP("Shots",A1:CV300,144,FALSE)=0,0,HLOOKUP("SOT",A1:CV300,144,FALSE)/HLOOKUP("Shots",A1:CV300,144,FALSE))</f>
        <v>0</v>
      </c>
      <c r="W144" s="29275">
        <f>IF(HLOOKUP("Shots",A1:CV300,144,FALSE)=0,0,HLOOKUP("Gs",A1:CV300,144,FALSE)/HLOOKUP("Shots",A1:CV300,144,FALSE))</f>
        <v>0</v>
      </c>
      <c r="X144" s="29276">
        <v>0</v>
      </c>
      <c r="Y144" s="29277">
        <v>0</v>
      </c>
      <c r="Z144" s="29278">
        <v>0</v>
      </c>
      <c r="AA144" s="29279">
        <f>IF(HLOOKUP("KP",A1:CV300,144,FALSE)=0,0,HLOOKUP("As",A1:CV300,144,FALSE)/HLOOKUP("KP",A1:CV300,144,FALSE))</f>
        <v>0</v>
      </c>
      <c r="AB144" s="29280">
        <v>0</v>
      </c>
      <c r="AC144" s="29281">
        <v>0</v>
      </c>
      <c r="AD144" s="29282">
        <v>0</v>
      </c>
      <c r="AE144" s="29283">
        <v>0</v>
      </c>
      <c r="AF144" s="29284">
        <v>0</v>
      </c>
      <c r="AG144" s="29285">
        <f>IF(HLOOKUP("BC",A1:CV300,144,FALSE)=0,0,HLOOKUP("Gs - BC",A1:CV300,144,FALSE)/HLOOKUP("BC",A1:CV300,144,FALSE))</f>
        <v>0</v>
      </c>
      <c r="AH144" s="29286">
        <f>HLOOKUP("BC",A1:CV300,144,FALSE) - HLOOKUP("BC Miss",A1:CV300,144,FALSE)</f>
        <v>0</v>
      </c>
      <c r="AI144" s="29287">
        <f>IF(HLOOKUP("Gs",A1:CV300,144,FALSE)=0,0,HLOOKUP("Gs - BC",A1:CV300,144,FALSE)/HLOOKUP("Gs",A1:CV300,144,FALSE))</f>
        <v>0</v>
      </c>
      <c r="AJ144" s="29288">
        <v>0</v>
      </c>
      <c r="AK144" s="29289">
        <v>0</v>
      </c>
      <c r="AL144" s="29290">
        <f>HLOOKUP("BC",A1:CV300,144,FALSE) - (HLOOKUP("PK Gs",A1:CV300,144,FALSE) + HLOOKUP("PK Miss",A1:CV300,144,FALSE))</f>
        <v>0</v>
      </c>
      <c r="AM144" s="29291">
        <f>HLOOKUP("BC Miss",A1:CV300,144,FALSE) - HLOOKUP("PK Miss",A1:CV300,144,FALSE)</f>
        <v>0</v>
      </c>
      <c r="AN144" s="29292">
        <f>IF(HLOOKUP("BC - Open",A1:CV300,144,FALSE)=0,0,HLOOKUP("BC - Open Miss",A1:CV300,144,FALSE)/HLOOKUP("BC - Open",A1:CV300,144,FALSE))</f>
        <v>0</v>
      </c>
      <c r="AO144" s="29293">
        <v>0</v>
      </c>
      <c r="AP144" s="29294">
        <f>IF(HLOOKUP("Gs",A1:CV300,144,FALSE)=0,0,HLOOKUP("GIB",A1:CV300,144,FALSE)/HLOOKUP("Gs",A1:CV300,144,FALSE))</f>
        <v>0</v>
      </c>
      <c r="AQ144" s="29295">
        <v>0</v>
      </c>
      <c r="AR144" s="29296">
        <f>IF(HLOOKUP("Gs",A1:CV300,144,FALSE)=0,0,HLOOKUP("Gs - Open",A1:CV300,144,FALSE)/HLOOKUP("Gs",A1:CV300,144,FALSE))</f>
        <v>0</v>
      </c>
      <c r="AS144" s="29297">
        <v>0</v>
      </c>
      <c r="AT144" s="29298">
        <v>0</v>
      </c>
      <c r="AU144" s="29299">
        <f>IF(HLOOKUP("Mins",A1:CV300,144,FALSE)=0,0,HLOOKUP("Pts",A1:CV300,144,FALSE)/HLOOKUP("Mins",A1:CV300,144,FALSE)* 90)</f>
        <v>7.5</v>
      </c>
      <c r="AV144" s="29300">
        <f>IF(HLOOKUP("Apps",A1:CV300,144,FALSE)=0,0,HLOOKUP("Pts",A1:CV300,144,FALSE)/HLOOKUP("Apps",A1:CV300,144,FALSE)* 1)</f>
        <v>1</v>
      </c>
      <c r="AW144" s="29301">
        <f>IF(HLOOKUP("Mins",A1:CV300,144,FALSE)=0,0,HLOOKUP("Gs",A1:CV300,144,FALSE)/HLOOKUP("Mins",A1:CV300,144,FALSE)* 90)</f>
        <v>0</v>
      </c>
      <c r="AX144" s="29302">
        <f>IF(HLOOKUP("Mins",A1:CV300,144,FALSE)=0,0,HLOOKUP("Bonus",A1:CV300,144,FALSE)/HLOOKUP("Mins",A1:CV300,144,FALSE)* 90)</f>
        <v>0</v>
      </c>
      <c r="AY144" s="29303">
        <f>IF(HLOOKUP("Mins",A1:CV300,144,FALSE)=0,0,HLOOKUP("BPS",A1:CV300,144,FALSE)/HLOOKUP("Mins",A1:CV300,144,FALSE)* 90)</f>
        <v>15</v>
      </c>
      <c r="AZ144" s="29304">
        <f>IF(HLOOKUP("Mins",A1:CV300,144,FALSE)=0,0,HLOOKUP("Base BPS",A1:CV300,144,FALSE)/HLOOKUP("Mins",A1:CV300,144,FALSE)* 90)</f>
        <v>15</v>
      </c>
      <c r="BA144" s="29305">
        <f>IF(HLOOKUP("Mins",A1:CV300,144,FALSE)=0,0,HLOOKUP("PenTchs",A1:CV300,144,FALSE)/HLOOKUP("Mins",A1:CV300,144,FALSE)* 90)</f>
        <v>0</v>
      </c>
      <c r="BB144" s="29306">
        <f>IF(HLOOKUP("Mins",A1:CV300,144,FALSE)=0,0,HLOOKUP("Shots",A1:CV300,144,FALSE)/HLOOKUP("Mins",A1:CV300,144,FALSE)* 90)</f>
        <v>0</v>
      </c>
      <c r="BC144" s="29307">
        <f>IF(HLOOKUP("Mins",A1:CV300,144,FALSE)=0,0,HLOOKUP("SIB",A1:CV300,144,FALSE)/HLOOKUP("Mins",A1:CV300,144,FALSE)* 90)</f>
        <v>0</v>
      </c>
      <c r="BD144" s="29308">
        <f>IF(HLOOKUP("Mins",A1:CV300,144,FALSE)=0,0,HLOOKUP("S6YD",A1:CV300,144,FALSE)/HLOOKUP("Mins",A1:CV300,144,FALSE)* 90)</f>
        <v>0</v>
      </c>
      <c r="BE144" s="29309">
        <f>IF(HLOOKUP("Mins",A1:CV300,144,FALSE)=0,0,HLOOKUP("Headers",A1:CV300,144,FALSE)/HLOOKUP("Mins",A1:CV300,144,FALSE)* 90)</f>
        <v>0</v>
      </c>
      <c r="BF144" s="29310">
        <f>IF(HLOOKUP("Mins",A1:CV300,144,FALSE)=0,0,HLOOKUP("SOT",A1:CV300,144,FALSE)/HLOOKUP("Mins",A1:CV300,144,FALSE)* 90)</f>
        <v>0</v>
      </c>
      <c r="BG144" s="29311">
        <f>IF(HLOOKUP("Mins",A1:CV300,144,FALSE)=0,0,HLOOKUP("As",A1:CV300,144,FALSE)/HLOOKUP("Mins",A1:CV300,144,FALSE)* 90)</f>
        <v>0</v>
      </c>
      <c r="BH144" s="29312">
        <f>IF(HLOOKUP("Mins",A1:CV300,144,FALSE)=0,0,HLOOKUP("FPL As",A1:CV300,144,FALSE)/HLOOKUP("Mins",A1:CV300,144,FALSE)* 90)</f>
        <v>0</v>
      </c>
      <c r="BI144" s="29313">
        <f>IF(HLOOKUP("Mins",A1:CV300,144,FALSE)=0,0,HLOOKUP("BC Created",A1:CV300,144,FALSE)/HLOOKUP("Mins",A1:CV300,144,FALSE)* 90)</f>
        <v>0</v>
      </c>
      <c r="BJ144" s="29314">
        <f>IF(HLOOKUP("Mins",A1:CV300,144,FALSE)=0,0,HLOOKUP("KP",A1:CV300,144,FALSE)/HLOOKUP("Mins",A1:CV300,144,FALSE)* 90)</f>
        <v>0</v>
      </c>
      <c r="BK144" s="29315">
        <f>IF(HLOOKUP("Mins",A1:CV300,144,FALSE)=0,0,HLOOKUP("BC",A1:CV300,144,FALSE)/HLOOKUP("Mins",A1:CV300,144,FALSE)* 90)</f>
        <v>0</v>
      </c>
      <c r="BL144" s="29316">
        <f>IF(HLOOKUP("Mins",A1:CV300,144,FALSE)=0,0,HLOOKUP("BC Miss",A1:CV300,144,FALSE)/HLOOKUP("Mins",A1:CV300,144,FALSE)* 90)</f>
        <v>0</v>
      </c>
      <c r="BM144" s="29317">
        <f>IF(HLOOKUP("Mins",A1:CV300,144,FALSE)=0,0,HLOOKUP("Gs - BC",A1:CV300,144,FALSE)/HLOOKUP("Mins",A1:CV300,144,FALSE)* 90)</f>
        <v>0</v>
      </c>
      <c r="BN144" s="29318">
        <f>IF(HLOOKUP("Mins",A1:CV300,144,FALSE)=0,0,HLOOKUP("GIB",A1:CV300,144,FALSE)/HLOOKUP("Mins",A1:CV300,144,FALSE)* 90)</f>
        <v>0</v>
      </c>
      <c r="BO144" s="29319">
        <f>IF(HLOOKUP("Mins",A1:CV300,144,FALSE)=0,0,HLOOKUP("Gs - Open",A1:CV300,144,FALSE)/HLOOKUP("Mins",A1:CV300,144,FALSE)* 90)</f>
        <v>0</v>
      </c>
      <c r="BP144" s="29320">
        <f>IF(HLOOKUP("Mins",A1:CV300,144,FALSE)=0,0,HLOOKUP("ICT Index",A1:CV300,144,FALSE)/HLOOKUP("Mins",A1:CV300,144,FALSE)* 90)</f>
        <v>0</v>
      </c>
      <c r="BQ144" s="29321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  <v>0</v>
      </c>
      <c r="BR144" s="29322">
        <f>0.0885*HLOOKUP("KP/90",A1:CV300,144,FALSE)</f>
        <v>0</v>
      </c>
      <c r="BS144" s="29323">
        <f>5*HLOOKUP("xG/90",A1:CV300,144,FALSE)+3*HLOOKUP("xA/90",A1:CV300,144,FALSE)</f>
        <v>0</v>
      </c>
      <c r="BT144" s="29324">
        <f>HLOOKUP("xPts/90",A1:CV300,144,FALSE)-(5*0.75*(HLOOKUP("PK Gs",A1:CV300,144,FALSE)+HLOOKUP("PK Miss",A1:CV300,144,FALSE))*90/HLOOKUP("Mins",A1:CV300,144,FALSE))</f>
        <v>0</v>
      </c>
      <c r="BU144" s="29325">
        <f>IF(HLOOKUP("Mins",A1:CV300,144,FALSE)=0,0,HLOOKUP("fsXG",A1:CV300,144,FALSE)/HLOOKUP("Mins",A1:CV300,144,FALSE)* 90)</f>
        <v>0</v>
      </c>
      <c r="BV144" s="29326">
        <f>IF(HLOOKUP("Mins",A1:CV300,144,FALSE)=0,0,HLOOKUP("fsXA",A1:CV300,144,FALSE)/HLOOKUP("Mins",A1:CV300,144,FALSE)* 90)</f>
        <v>0</v>
      </c>
      <c r="BW144" s="29327">
        <f>5*HLOOKUP("fsXG/90",A1:CV300,144,FALSE)+3*HLOOKUP("fsXA/90",A1:CV300,144,FALSE)</f>
        <v>0</v>
      </c>
      <c r="BX144" s="29328">
        <v>0</v>
      </c>
      <c r="BY144" s="29329">
        <v>0</v>
      </c>
      <c r="BZ144" s="29330">
        <f>5*HLOOKUP("uXG/90",A1:CV300,144,FALSE)+3*HLOOKUP("uXA/90",A1:CV300,144,FALSE)</f>
        <v>0</v>
      </c>
    </row>
    <row r="145" spans="1:78" x14ac:dyDescent="0.3">
      <c r="A145" s="29331" t="s">
        <v>472</v>
      </c>
      <c r="B145" s="29332" t="s">
        <v>81</v>
      </c>
      <c r="C145" s="29333">
        <v>6.3000001907348633</v>
      </c>
      <c r="D145" s="29334">
        <v>1772</v>
      </c>
      <c r="E145" s="29335">
        <v>21</v>
      </c>
      <c r="F145" s="29336">
        <v>76</v>
      </c>
      <c r="G145" s="29337">
        <v>3</v>
      </c>
      <c r="H145" s="29338">
        <v>4</v>
      </c>
      <c r="I145" s="29339">
        <v>317</v>
      </c>
      <c r="J145" s="29340">
        <f>HLOOKUP("BPS",A1:CV300,145,FALSE)-((-6*HLOOKUP("OG",A1:CV300,145,FALSE))+(-6*HLOOKUP("PK Miss",A1:CV300,145,FALSE))+(9*HLOOKUP("FPL As",A1:CV300,145,FALSE))+(0*HLOOKUP("CS",A1:CV300,145,FALSE))+(18*HLOOKUP("Gs",A1:CV300,145,FALSE)))</f>
        <v>236</v>
      </c>
      <c r="K145" s="29341">
        <v>0</v>
      </c>
      <c r="L145" s="29342">
        <v>8</v>
      </c>
      <c r="M145" s="29343">
        <v>36</v>
      </c>
      <c r="N145" s="29344">
        <v>36</v>
      </c>
      <c r="O145" s="29345">
        <v>12</v>
      </c>
      <c r="P145" s="29346">
        <f>IF(HLOOKUP("Shots",A1:CV300,145,FALSE)=0,0,HLOOKUP("SIB",A1:CV300,145,FALSE)/HLOOKUP("Shots",A1:CV300,145,FALSE))</f>
        <v>0.33333333333333331</v>
      </c>
      <c r="Q145" s="29347">
        <v>1</v>
      </c>
      <c r="R145" s="29348">
        <f>IF(HLOOKUP("Shots",A1:CV300,145,FALSE)=0,0,HLOOKUP("S6YD",A1:CV300,145,FALSE)/HLOOKUP("Shots",A1:CV300,145,FALSE))</f>
        <v>2.7777777777777776E-2</v>
      </c>
      <c r="S145" s="29349">
        <v>0</v>
      </c>
      <c r="T145" s="29350">
        <f>IF(HLOOKUP("Shots",A1:CV300,145,FALSE)=0,0,HLOOKUP("Headers",A1:CV300,145,FALSE)/HLOOKUP("Shots",A1:CV300,145,FALSE))</f>
        <v>0</v>
      </c>
      <c r="U145" s="29351">
        <v>8</v>
      </c>
      <c r="V145" s="29352">
        <f>IF(HLOOKUP("Shots",A1:CV300,145,FALSE)=0,0,HLOOKUP("SOT",A1:CV300,145,FALSE)/HLOOKUP("Shots",A1:CV300,145,FALSE))</f>
        <v>0.22222222222222221</v>
      </c>
      <c r="W145" s="29353">
        <f>IF(HLOOKUP("Shots",A1:CV300,145,FALSE)=0,0,HLOOKUP("Gs",A1:CV300,145,FALSE)/HLOOKUP("Shots",A1:CV300,145,FALSE))</f>
        <v>8.3333333333333329E-2</v>
      </c>
      <c r="X145" s="29354">
        <v>3</v>
      </c>
      <c r="Y145" s="29355">
        <v>3</v>
      </c>
      <c r="Z145" s="29356">
        <v>29</v>
      </c>
      <c r="AA145" s="29357">
        <f>IF(HLOOKUP("KP",A1:CV300,145,FALSE)=0,0,HLOOKUP("As",A1:CV300,145,FALSE)/HLOOKUP("KP",A1:CV300,145,FALSE))</f>
        <v>0.10344827586206896</v>
      </c>
      <c r="AB145" s="29358">
        <v>112.7</v>
      </c>
      <c r="AC145" s="29359">
        <v>14</v>
      </c>
      <c r="AD145" s="29360">
        <v>5</v>
      </c>
      <c r="AE145" s="29361">
        <v>1</v>
      </c>
      <c r="AF145" s="29362">
        <v>0</v>
      </c>
      <c r="AG145" s="29363">
        <f>IF(HLOOKUP("BC",A1:CV300,145,FALSE)=0,0,HLOOKUP("Gs - BC",A1:CV300,145,FALSE)/HLOOKUP("BC",A1:CV300,145,FALSE))</f>
        <v>1</v>
      </c>
      <c r="AH145" s="29364">
        <f>HLOOKUP("BC",A1:CV300,145,FALSE) - HLOOKUP("BC Miss",A1:CV300,145,FALSE)</f>
        <v>1</v>
      </c>
      <c r="AI145" s="29365">
        <f>IF(HLOOKUP("Gs",A1:CV300,145,FALSE)=0,0,HLOOKUP("Gs - BC",A1:CV300,145,FALSE)/HLOOKUP("Gs",A1:CV300,145,FALSE))</f>
        <v>0.33333333333333331</v>
      </c>
      <c r="AJ145" s="29366">
        <v>0</v>
      </c>
      <c r="AK145" s="29367">
        <v>0</v>
      </c>
      <c r="AL145" s="29368">
        <f>HLOOKUP("BC",A1:CV300,145,FALSE) - (HLOOKUP("PK Gs",A1:CV300,145,FALSE) + HLOOKUP("PK Miss",A1:CV300,145,FALSE))</f>
        <v>1</v>
      </c>
      <c r="AM145" s="29369">
        <f>HLOOKUP("BC Miss",A1:CV300,145,FALSE) - HLOOKUP("PK Miss",A1:CV300,145,FALSE)</f>
        <v>0</v>
      </c>
      <c r="AN145" s="29370">
        <f>IF(HLOOKUP("BC - Open",A1:CV300,145,FALSE)=0,0,HLOOKUP("BC - Open Miss",A1:CV300,145,FALSE)/HLOOKUP("BC - Open",A1:CV300,145,FALSE))</f>
        <v>0</v>
      </c>
      <c r="AO145" s="29371">
        <v>3</v>
      </c>
      <c r="AP145" s="29372">
        <f>IF(HLOOKUP("Gs",A1:CV300,145,FALSE)=0,0,HLOOKUP("GIB",A1:CV300,145,FALSE)/HLOOKUP("Gs",A1:CV300,145,FALSE))</f>
        <v>1</v>
      </c>
      <c r="AQ145" s="29373">
        <v>3</v>
      </c>
      <c r="AR145" s="29374">
        <f>IF(HLOOKUP("Gs",A1:CV300,145,FALSE)=0,0,HLOOKUP("Gs - Open",A1:CV300,145,FALSE)/HLOOKUP("Gs",A1:CV300,145,FALSE))</f>
        <v>1</v>
      </c>
      <c r="AS145" s="29375">
        <v>1.78</v>
      </c>
      <c r="AT145" s="29376">
        <v>2.09</v>
      </c>
      <c r="AU145" s="29377">
        <f>IF(HLOOKUP("Mins",A1:CV300,145,FALSE)=0,0,HLOOKUP("Pts",A1:CV300,145,FALSE)/HLOOKUP("Mins",A1:CV300,145,FALSE)* 90)</f>
        <v>3.8600451467268622</v>
      </c>
      <c r="AV145" s="29378">
        <f>IF(HLOOKUP("Apps",A1:CV300,145,FALSE)=0,0,HLOOKUP("Pts",A1:CV300,145,FALSE)/HLOOKUP("Apps",A1:CV300,145,FALSE)* 1)</f>
        <v>3.6190476190476191</v>
      </c>
      <c r="AW145" s="29379">
        <f>IF(HLOOKUP("Mins",A1:CV300,145,FALSE)=0,0,HLOOKUP("Gs",A1:CV300,145,FALSE)/HLOOKUP("Mins",A1:CV300,145,FALSE)* 90)</f>
        <v>0.15237020316027089</v>
      </c>
      <c r="AX145" s="29380">
        <f>IF(HLOOKUP("Mins",A1:CV300,145,FALSE)=0,0,HLOOKUP("Bonus",A1:CV300,145,FALSE)/HLOOKUP("Mins",A1:CV300,145,FALSE)* 90)</f>
        <v>0.20316027088036115</v>
      </c>
      <c r="AY145" s="29381">
        <f>IF(HLOOKUP("Mins",A1:CV300,145,FALSE)=0,0,HLOOKUP("BPS",A1:CV300,145,FALSE)/HLOOKUP("Mins",A1:CV300,145,FALSE)* 90)</f>
        <v>16.100451467268623</v>
      </c>
      <c r="AZ145" s="29382">
        <f>IF(HLOOKUP("Mins",A1:CV300,145,FALSE)=0,0,HLOOKUP("Base BPS",A1:CV300,145,FALSE)/HLOOKUP("Mins",A1:CV300,145,FALSE)* 90)</f>
        <v>11.986455981941308</v>
      </c>
      <c r="BA145" s="29383">
        <f>IF(HLOOKUP("Mins",A1:CV300,145,FALSE)=0,0,HLOOKUP("PenTchs",A1:CV300,145,FALSE)/HLOOKUP("Mins",A1:CV300,145,FALSE)* 90)</f>
        <v>1.8284424379232505</v>
      </c>
      <c r="BB145" s="29384">
        <f>IF(HLOOKUP("Mins",A1:CV300,145,FALSE)=0,0,HLOOKUP("Shots",A1:CV300,145,FALSE)/HLOOKUP("Mins",A1:CV300,145,FALSE)* 90)</f>
        <v>1.8284424379232505</v>
      </c>
      <c r="BC145" s="29385">
        <f>IF(HLOOKUP("Mins",A1:CV300,145,FALSE)=0,0,HLOOKUP("SIB",A1:CV300,145,FALSE)/HLOOKUP("Mins",A1:CV300,145,FALSE)* 90)</f>
        <v>0.60948081264108356</v>
      </c>
      <c r="BD145" s="29386">
        <f>IF(HLOOKUP("Mins",A1:CV300,145,FALSE)=0,0,HLOOKUP("S6YD",A1:CV300,145,FALSE)/HLOOKUP("Mins",A1:CV300,145,FALSE)* 90)</f>
        <v>5.0790067720090287E-2</v>
      </c>
      <c r="BE145" s="29387">
        <f>IF(HLOOKUP("Mins",A1:CV300,145,FALSE)=0,0,HLOOKUP("Headers",A1:CV300,145,FALSE)/HLOOKUP("Mins",A1:CV300,145,FALSE)* 90)</f>
        <v>0</v>
      </c>
      <c r="BF145" s="29388">
        <f>IF(HLOOKUP("Mins",A1:CV300,145,FALSE)=0,0,HLOOKUP("SOT",A1:CV300,145,FALSE)/HLOOKUP("Mins",A1:CV300,145,FALSE)* 90)</f>
        <v>0.4063205417607223</v>
      </c>
      <c r="BG145" s="29389">
        <f>IF(HLOOKUP("Mins",A1:CV300,145,FALSE)=0,0,HLOOKUP("As",A1:CV300,145,FALSE)/HLOOKUP("Mins",A1:CV300,145,FALSE)* 90)</f>
        <v>0.15237020316027089</v>
      </c>
      <c r="BH145" s="29390">
        <f>IF(HLOOKUP("Mins",A1:CV300,145,FALSE)=0,0,HLOOKUP("FPL As",A1:CV300,145,FALSE)/HLOOKUP("Mins",A1:CV300,145,FALSE)* 90)</f>
        <v>0.15237020316027089</v>
      </c>
      <c r="BI145" s="29391">
        <f>IF(HLOOKUP("Mins",A1:CV300,145,FALSE)=0,0,HLOOKUP("BC Created",A1:CV300,145,FALSE)/HLOOKUP("Mins",A1:CV300,145,FALSE)* 90)</f>
        <v>0.25395033860045146</v>
      </c>
      <c r="BJ145" s="29392">
        <f>IF(HLOOKUP("Mins",A1:CV300,145,FALSE)=0,0,HLOOKUP("KP",A1:CV300,145,FALSE)/HLOOKUP("Mins",A1:CV300,145,FALSE)* 90)</f>
        <v>1.4729119638826185</v>
      </c>
      <c r="BK145" s="29393">
        <f>IF(HLOOKUP("Mins",A1:CV300,145,FALSE)=0,0,HLOOKUP("BC",A1:CV300,145,FALSE)/HLOOKUP("Mins",A1:CV300,145,FALSE)* 90)</f>
        <v>5.0790067720090287E-2</v>
      </c>
      <c r="BL145" s="29394">
        <f>IF(HLOOKUP("Mins",A1:CV300,145,FALSE)=0,0,HLOOKUP("BC Miss",A1:CV300,145,FALSE)/HLOOKUP("Mins",A1:CV300,145,FALSE)* 90)</f>
        <v>0</v>
      </c>
      <c r="BM145" s="29395">
        <f>IF(HLOOKUP("Mins",A1:CV300,145,FALSE)=0,0,HLOOKUP("Gs - BC",A1:CV300,145,FALSE)/HLOOKUP("Mins",A1:CV300,145,FALSE)* 90)</f>
        <v>5.0790067720090287E-2</v>
      </c>
      <c r="BN145" s="29396">
        <f>IF(HLOOKUP("Mins",A1:CV300,145,FALSE)=0,0,HLOOKUP("GIB",A1:CV300,145,FALSE)/HLOOKUP("Mins",A1:CV300,145,FALSE)* 90)</f>
        <v>0.15237020316027089</v>
      </c>
      <c r="BO145" s="29397">
        <f>IF(HLOOKUP("Mins",A1:CV300,145,FALSE)=0,0,HLOOKUP("Gs - Open",A1:CV300,145,FALSE)/HLOOKUP("Mins",A1:CV300,145,FALSE)* 90)</f>
        <v>0.15237020316027089</v>
      </c>
      <c r="BP145" s="29398">
        <f>IF(HLOOKUP("Mins",A1:CV300,145,FALSE)=0,0,HLOOKUP("ICT Index",A1:CV300,145,FALSE)/HLOOKUP("Mins",A1:CV300,145,FALSE)* 90)</f>
        <v>5.7240406320541766</v>
      </c>
      <c r="BQ145" s="29399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  <v>0.13042889390519186</v>
      </c>
      <c r="BR145" s="29400">
        <f>0.0885*HLOOKUP("KP/90",A1:CV300,145,FALSE)</f>
        <v>0.13035270880361172</v>
      </c>
      <c r="BS145" s="29401">
        <f>5*HLOOKUP("xG/90",A1:CV300,145,FALSE)+3*HLOOKUP("xA/90",A1:CV300,145,FALSE)</f>
        <v>1.0432025959367945</v>
      </c>
      <c r="BT145" s="29402">
        <f>HLOOKUP("xPts/90",A1:CV300,145,FALSE)-(5*0.75*(HLOOKUP("PK Gs",A1:CV300,145,FALSE)+HLOOKUP("PK Miss",A1:CV300,145,FALSE))*90/HLOOKUP("Mins",A1:CV300,145,FALSE))</f>
        <v>1.0432025959367945</v>
      </c>
      <c r="BU145" s="29403">
        <f>IF(HLOOKUP("Mins",A1:CV300,145,FALSE)=0,0,HLOOKUP("fsXG",A1:CV300,145,FALSE)/HLOOKUP("Mins",A1:CV300,145,FALSE)* 90)</f>
        <v>9.0406320541760718E-2</v>
      </c>
      <c r="BV145" s="29404">
        <f>IF(HLOOKUP("Mins",A1:CV300,145,FALSE)=0,0,HLOOKUP("fsXA",A1:CV300,145,FALSE)/HLOOKUP("Mins",A1:CV300,145,FALSE)* 90)</f>
        <v>0.10615124153498871</v>
      </c>
      <c r="BW145" s="29405">
        <f>5*HLOOKUP("fsXG/90",A1:CV300,145,FALSE)+3*HLOOKUP("fsXA/90",A1:CV300,145,FALSE)</f>
        <v>0.77048532731376973</v>
      </c>
      <c r="BX145" s="29406">
        <v>9.5205314457416534E-2</v>
      </c>
      <c r="BY145" s="29407">
        <v>0.15101812779903412</v>
      </c>
      <c r="BZ145" s="29408">
        <f>5*HLOOKUP("uXG/90",A1:CV300,145,FALSE)+3*HLOOKUP("uXA/90",A1:CV300,145,FALSE)</f>
        <v>0.92908095568418503</v>
      </c>
    </row>
    <row r="146" spans="1:78" x14ac:dyDescent="0.3">
      <c r="A146" s="29409" t="s">
        <v>473</v>
      </c>
      <c r="B146" s="29410" t="s">
        <v>105</v>
      </c>
      <c r="C146" s="29411">
        <v>11.800000190734863</v>
      </c>
      <c r="D146" s="29412">
        <v>1672</v>
      </c>
      <c r="E146" s="29413">
        <v>20</v>
      </c>
      <c r="F146" s="29414">
        <v>110</v>
      </c>
      <c r="G146" s="29415">
        <v>11</v>
      </c>
      <c r="H146" s="29416">
        <v>9</v>
      </c>
      <c r="I146" s="29417">
        <v>366</v>
      </c>
      <c r="J146" s="29418">
        <f>HLOOKUP("BPS",A1:CV300,146,FALSE)-((-6*HLOOKUP("OG",A1:CV300,146,FALSE))+(-6*HLOOKUP("PK Miss",A1:CV300,146,FALSE))+(9*HLOOKUP("FPL As",A1:CV300,146,FALSE))+(0*HLOOKUP("CS",A1:CV300,146,FALSE))+(18*HLOOKUP("Gs",A1:CV300,146,FALSE)))</f>
        <v>156</v>
      </c>
      <c r="K146" s="29419">
        <v>0</v>
      </c>
      <c r="L146" s="29420">
        <v>7</v>
      </c>
      <c r="M146" s="29421">
        <v>208</v>
      </c>
      <c r="N146" s="29422">
        <v>58</v>
      </c>
      <c r="O146" s="29423">
        <v>50</v>
      </c>
      <c r="P146" s="29424">
        <f>IF(HLOOKUP("Shots",A1:CV300,146,FALSE)=0,0,HLOOKUP("SIB",A1:CV300,146,FALSE)/HLOOKUP("Shots",A1:CV300,146,FALSE))</f>
        <v>0.86206896551724133</v>
      </c>
      <c r="Q146" s="29425">
        <v>6</v>
      </c>
      <c r="R146" s="29426">
        <f>IF(HLOOKUP("Shots",A1:CV300,146,FALSE)=0,0,HLOOKUP("S6YD",A1:CV300,146,FALSE)/HLOOKUP("Shots",A1:CV300,146,FALSE))</f>
        <v>0.10344827586206896</v>
      </c>
      <c r="S146" s="29427">
        <v>6</v>
      </c>
      <c r="T146" s="29428">
        <f>IF(HLOOKUP("Shots",A1:CV300,146,FALSE)=0,0,HLOOKUP("Headers",A1:CV300,146,FALSE)/HLOOKUP("Shots",A1:CV300,146,FALSE))</f>
        <v>0.10344827586206896</v>
      </c>
      <c r="U146" s="29429">
        <v>20</v>
      </c>
      <c r="V146" s="29430">
        <f>IF(HLOOKUP("Shots",A1:CV300,146,FALSE)=0,0,HLOOKUP("SOT",A1:CV300,146,FALSE)/HLOOKUP("Shots",A1:CV300,146,FALSE))</f>
        <v>0.34482758620689657</v>
      </c>
      <c r="W146" s="29431">
        <f>IF(HLOOKUP("Shots",A1:CV300,146,FALSE)=0,0,HLOOKUP("Gs",A1:CV300,146,FALSE)/HLOOKUP("Shots",A1:CV300,146,FALSE))</f>
        <v>0.18965517241379309</v>
      </c>
      <c r="X146" s="29432">
        <v>1</v>
      </c>
      <c r="Y146" s="29433">
        <v>2</v>
      </c>
      <c r="Z146" s="29434">
        <v>33</v>
      </c>
      <c r="AA146" s="29435">
        <f>IF(HLOOKUP("KP",A1:CV300,146,FALSE)=0,0,HLOOKUP("As",A1:CV300,146,FALSE)/HLOOKUP("KP",A1:CV300,146,FALSE))</f>
        <v>3.0303030303030304E-2</v>
      </c>
      <c r="AB146" s="29436">
        <v>222.6</v>
      </c>
      <c r="AC146" s="29437">
        <v>29</v>
      </c>
      <c r="AD146" s="29438">
        <v>7</v>
      </c>
      <c r="AE146" s="29439">
        <v>20</v>
      </c>
      <c r="AF146" s="29440">
        <v>10</v>
      </c>
      <c r="AG146" s="29441">
        <f>IF(HLOOKUP("BC",A1:CV300,146,FALSE)=0,0,HLOOKUP("Gs - BC",A1:CV300,146,FALSE)/HLOOKUP("BC",A1:CV300,146,FALSE))</f>
        <v>0.5</v>
      </c>
      <c r="AH146" s="29442">
        <f>HLOOKUP("BC",A1:CV300,146,FALSE) - HLOOKUP("BC Miss",A1:CV300,146,FALSE)</f>
        <v>10</v>
      </c>
      <c r="AI146" s="29443">
        <f>IF(HLOOKUP("Gs",A1:CV300,146,FALSE)=0,0,HLOOKUP("Gs - BC",A1:CV300,146,FALSE)/HLOOKUP("Gs",A1:CV300,146,FALSE))</f>
        <v>0.90909090909090906</v>
      </c>
      <c r="AJ146" s="29444">
        <v>0</v>
      </c>
      <c r="AK146" s="29445">
        <v>1</v>
      </c>
      <c r="AL146" s="29446">
        <f>HLOOKUP("BC",A1:CV300,146,FALSE) - (HLOOKUP("PK Gs",A1:CV300,146,FALSE) + HLOOKUP("PK Miss",A1:CV300,146,FALSE))</f>
        <v>19</v>
      </c>
      <c r="AM146" s="29447">
        <f>HLOOKUP("BC Miss",A1:CV300,146,FALSE) - HLOOKUP("PK Miss",A1:CV300,146,FALSE)</f>
        <v>9</v>
      </c>
      <c r="AN146" s="29448">
        <f>IF(HLOOKUP("BC - Open",A1:CV300,146,FALSE)=0,0,HLOOKUP("BC - Open Miss",A1:CV300,146,FALSE)/HLOOKUP("BC - Open",A1:CV300,146,FALSE))</f>
        <v>0.47368421052631576</v>
      </c>
      <c r="AO146" s="29449">
        <v>11</v>
      </c>
      <c r="AP146" s="29450">
        <f>IF(HLOOKUP("Gs",A1:CV300,146,FALSE)=0,0,HLOOKUP("GIB",A1:CV300,146,FALSE)/HLOOKUP("Gs",A1:CV300,146,FALSE))</f>
        <v>1</v>
      </c>
      <c r="AQ146" s="29451">
        <v>9</v>
      </c>
      <c r="AR146" s="29452">
        <f>IF(HLOOKUP("Gs",A1:CV300,146,FALSE)=0,0,HLOOKUP("Gs - Open",A1:CV300,146,FALSE)/HLOOKUP("Gs",A1:CV300,146,FALSE))</f>
        <v>0.81818181818181823</v>
      </c>
      <c r="AS146" s="29453">
        <v>11.24</v>
      </c>
      <c r="AT146" s="29454">
        <v>4.62</v>
      </c>
      <c r="AU146" s="29455">
        <f>IF(HLOOKUP("Mins",A1:CV300,146,FALSE)=0,0,HLOOKUP("Pts",A1:CV300,146,FALSE)/HLOOKUP("Mins",A1:CV300,146,FALSE)* 90)</f>
        <v>5.9210526315789469</v>
      </c>
      <c r="AV146" s="29456">
        <f>IF(HLOOKUP("Apps",A1:CV300,146,FALSE)=0,0,HLOOKUP("Pts",A1:CV300,146,FALSE)/HLOOKUP("Apps",A1:CV300,146,FALSE)* 1)</f>
        <v>5.5</v>
      </c>
      <c r="AW146" s="29457">
        <f>IF(HLOOKUP("Mins",A1:CV300,146,FALSE)=0,0,HLOOKUP("Gs",A1:CV300,146,FALSE)/HLOOKUP("Mins",A1:CV300,146,FALSE)* 90)</f>
        <v>0.59210526315789469</v>
      </c>
      <c r="AX146" s="29458">
        <f>IF(HLOOKUP("Mins",A1:CV300,146,FALSE)=0,0,HLOOKUP("Bonus",A1:CV300,146,FALSE)/HLOOKUP("Mins",A1:CV300,146,FALSE)* 90)</f>
        <v>0.48444976076555024</v>
      </c>
      <c r="AY146" s="29459">
        <f>IF(HLOOKUP("Mins",A1:CV300,146,FALSE)=0,0,HLOOKUP("BPS",A1:CV300,146,FALSE)/HLOOKUP("Mins",A1:CV300,146,FALSE)* 90)</f>
        <v>19.700956937799042</v>
      </c>
      <c r="AZ146" s="29460">
        <f>IF(HLOOKUP("Mins",A1:CV300,146,FALSE)=0,0,HLOOKUP("Base BPS",A1:CV300,146,FALSE)/HLOOKUP("Mins",A1:CV300,146,FALSE)* 90)</f>
        <v>8.3971291866028714</v>
      </c>
      <c r="BA146" s="29461">
        <f>IF(HLOOKUP("Mins",A1:CV300,146,FALSE)=0,0,HLOOKUP("PenTchs",A1:CV300,146,FALSE)/HLOOKUP("Mins",A1:CV300,146,FALSE)* 90)</f>
        <v>11.196172248803828</v>
      </c>
      <c r="BB146" s="29462">
        <f>IF(HLOOKUP("Mins",A1:CV300,146,FALSE)=0,0,HLOOKUP("Shots",A1:CV300,146,FALSE)/HLOOKUP("Mins",A1:CV300,146,FALSE)* 90)</f>
        <v>3.1220095693779903</v>
      </c>
      <c r="BC146" s="29463">
        <f>IF(HLOOKUP("Mins",A1:CV300,146,FALSE)=0,0,HLOOKUP("SIB",A1:CV300,146,FALSE)/HLOOKUP("Mins",A1:CV300,146,FALSE)* 90)</f>
        <v>2.6913875598086126</v>
      </c>
      <c r="BD146" s="29464">
        <f>IF(HLOOKUP("Mins",A1:CV300,146,FALSE)=0,0,HLOOKUP("S6YD",A1:CV300,146,FALSE)/HLOOKUP("Mins",A1:CV300,146,FALSE)* 90)</f>
        <v>0.32296650717703351</v>
      </c>
      <c r="BE146" s="29465">
        <f>IF(HLOOKUP("Mins",A1:CV300,146,FALSE)=0,0,HLOOKUP("Headers",A1:CV300,146,FALSE)/HLOOKUP("Mins",A1:CV300,146,FALSE)* 90)</f>
        <v>0.32296650717703351</v>
      </c>
      <c r="BF146" s="29466">
        <f>IF(HLOOKUP("Mins",A1:CV300,146,FALSE)=0,0,HLOOKUP("SOT",A1:CV300,146,FALSE)/HLOOKUP("Mins",A1:CV300,146,FALSE)* 90)</f>
        <v>1.0765550239234449</v>
      </c>
      <c r="BG146" s="29467">
        <f>IF(HLOOKUP("Mins",A1:CV300,146,FALSE)=0,0,HLOOKUP("As",A1:CV300,146,FALSE)/HLOOKUP("Mins",A1:CV300,146,FALSE)* 90)</f>
        <v>5.3827751196172245E-2</v>
      </c>
      <c r="BH146" s="29468">
        <f>IF(HLOOKUP("Mins",A1:CV300,146,FALSE)=0,0,HLOOKUP("FPL As",A1:CV300,146,FALSE)/HLOOKUP("Mins",A1:CV300,146,FALSE)* 90)</f>
        <v>0.10765550239234449</v>
      </c>
      <c r="BI146" s="29469">
        <f>IF(HLOOKUP("Mins",A1:CV300,146,FALSE)=0,0,HLOOKUP("BC Created",A1:CV300,146,FALSE)/HLOOKUP("Mins",A1:CV300,146,FALSE)* 90)</f>
        <v>0.37679425837320574</v>
      </c>
      <c r="BJ146" s="29470">
        <f>IF(HLOOKUP("Mins",A1:CV300,146,FALSE)=0,0,HLOOKUP("KP",A1:CV300,146,FALSE)/HLOOKUP("Mins",A1:CV300,146,FALSE)* 90)</f>
        <v>1.7763157894736841</v>
      </c>
      <c r="BK146" s="29471">
        <f>IF(HLOOKUP("Mins",A1:CV300,146,FALSE)=0,0,HLOOKUP("BC",A1:CV300,146,FALSE)/HLOOKUP("Mins",A1:CV300,146,FALSE)* 90)</f>
        <v>1.0765550239234449</v>
      </c>
      <c r="BL146" s="29472">
        <f>IF(HLOOKUP("Mins",A1:CV300,146,FALSE)=0,0,HLOOKUP("BC Miss",A1:CV300,146,FALSE)/HLOOKUP("Mins",A1:CV300,146,FALSE)* 90)</f>
        <v>0.53827751196172247</v>
      </c>
      <c r="BM146" s="29473">
        <f>IF(HLOOKUP("Mins",A1:CV300,146,FALSE)=0,0,HLOOKUP("Gs - BC",A1:CV300,146,FALSE)/HLOOKUP("Mins",A1:CV300,146,FALSE)* 90)</f>
        <v>0.53827751196172247</v>
      </c>
      <c r="BN146" s="29474">
        <f>IF(HLOOKUP("Mins",A1:CV300,146,FALSE)=0,0,HLOOKUP("GIB",A1:CV300,146,FALSE)/HLOOKUP("Mins",A1:CV300,146,FALSE)* 90)</f>
        <v>0.59210526315789469</v>
      </c>
      <c r="BO146" s="29475">
        <f>IF(HLOOKUP("Mins",A1:CV300,146,FALSE)=0,0,HLOOKUP("Gs - Open",A1:CV300,146,FALSE)/HLOOKUP("Mins",A1:CV300,146,FALSE)* 90)</f>
        <v>0.48444976076555024</v>
      </c>
      <c r="BP146" s="29476">
        <f>IF(HLOOKUP("Mins",A1:CV300,146,FALSE)=0,0,HLOOKUP("ICT Index",A1:CV300,146,FALSE)/HLOOKUP("Mins",A1:CV300,146,FALSE)* 90)</f>
        <v>11.982057416267942</v>
      </c>
      <c r="BQ146" s="29477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  <v>0.43040669856459324</v>
      </c>
      <c r="BR146" s="29478">
        <f>0.0885*HLOOKUP("KP/90",A1:CV300,146,FALSE)</f>
        <v>0.15720394736842103</v>
      </c>
      <c r="BS146" s="29479">
        <f>5*HLOOKUP("xG/90",A1:CV300,146,FALSE)+3*HLOOKUP("xA/90",A1:CV300,146,FALSE)</f>
        <v>2.6236453349282294</v>
      </c>
      <c r="BT146" s="29480">
        <f>HLOOKUP("xPts/90",A1:CV300,146,FALSE)-(5*0.75*(HLOOKUP("PK Gs",A1:CV300,146,FALSE)+HLOOKUP("PK Miss",A1:CV300,146,FALSE))*90/HLOOKUP("Mins",A1:CV300,146,FALSE))</f>
        <v>2.4217912679425835</v>
      </c>
      <c r="BU146" s="29481">
        <f>IF(HLOOKUP("Mins",A1:CV300,146,FALSE)=0,0,HLOOKUP("fsXG",A1:CV300,146,FALSE)/HLOOKUP("Mins",A1:CV300,146,FALSE)* 90)</f>
        <v>0.60502392344497602</v>
      </c>
      <c r="BV146" s="29482">
        <f>IF(HLOOKUP("Mins",A1:CV300,146,FALSE)=0,0,HLOOKUP("fsXA",A1:CV300,146,FALSE)/HLOOKUP("Mins",A1:CV300,146,FALSE)* 90)</f>
        <v>0.24868421052631581</v>
      </c>
      <c r="BW146" s="29483">
        <f>5*HLOOKUP("fsXG/90",A1:CV300,146,FALSE)+3*HLOOKUP("fsXA/90",A1:CV300,146,FALSE)</f>
        <v>3.7711722488038277</v>
      </c>
      <c r="BX146" s="29484">
        <v>0.62070572376251221</v>
      </c>
      <c r="BY146" s="29485">
        <v>0.27628234028816223</v>
      </c>
      <c r="BZ146" s="29486">
        <f>5*HLOOKUP("uXG/90",A1:CV300,146,FALSE)+3*HLOOKUP("uXA/90",A1:CV300,146,FALSE)</f>
        <v>3.9323756396770477</v>
      </c>
    </row>
    <row r="147" spans="1:78" x14ac:dyDescent="0.3">
      <c r="A147" s="29487" t="s">
        <v>474</v>
      </c>
      <c r="B147" s="29488" t="s">
        <v>102</v>
      </c>
      <c r="C147" s="29489">
        <v>5</v>
      </c>
      <c r="D147" s="29490">
        <v>966</v>
      </c>
      <c r="E147" s="29491">
        <v>15</v>
      </c>
      <c r="F147" s="29492">
        <v>29</v>
      </c>
      <c r="G147" s="29493">
        <v>0</v>
      </c>
      <c r="H147" s="29494">
        <v>0</v>
      </c>
      <c r="I147" s="29495">
        <v>115</v>
      </c>
      <c r="J147" s="29496">
        <f>HLOOKUP("BPS",A1:CV300,147,FALSE)-((-6*HLOOKUP("OG",A1:CV300,147,FALSE))+(-6*HLOOKUP("PK Miss",A1:CV300,147,FALSE))+(9*HLOOKUP("FPL As",A1:CV300,147,FALSE))+(0*HLOOKUP("CS",A1:CV300,147,FALSE))+(18*HLOOKUP("Gs",A1:CV300,147,FALSE)))</f>
        <v>97</v>
      </c>
      <c r="K147" s="29497">
        <v>0</v>
      </c>
      <c r="L147" s="29498">
        <v>2</v>
      </c>
      <c r="M147" s="29499">
        <v>1</v>
      </c>
      <c r="N147" s="29500">
        <v>14</v>
      </c>
      <c r="O147" s="29501">
        <v>1</v>
      </c>
      <c r="P147" s="29502">
        <f>IF(HLOOKUP("Shots",A1:CV300,147,FALSE)=0,0,HLOOKUP("SIB",A1:CV300,147,FALSE)/HLOOKUP("Shots",A1:CV300,147,FALSE))</f>
        <v>7.1428571428571425E-2</v>
      </c>
      <c r="Q147" s="29503">
        <v>0</v>
      </c>
      <c r="R147" s="29504">
        <f>IF(HLOOKUP("Shots",A1:CV300,147,FALSE)=0,0,HLOOKUP("S6YD",A1:CV300,147,FALSE)/HLOOKUP("Shots",A1:CV300,147,FALSE))</f>
        <v>0</v>
      </c>
      <c r="S147" s="29505">
        <v>0</v>
      </c>
      <c r="T147" s="29506">
        <f>IF(HLOOKUP("Shots",A1:CV300,147,FALSE)=0,0,HLOOKUP("Headers",A1:CV300,147,FALSE)/HLOOKUP("Shots",A1:CV300,147,FALSE))</f>
        <v>0</v>
      </c>
      <c r="U147" s="29507">
        <v>4</v>
      </c>
      <c r="V147" s="29508">
        <f>IF(HLOOKUP("Shots",A1:CV300,147,FALSE)=0,0,HLOOKUP("SOT",A1:CV300,147,FALSE)/HLOOKUP("Shots",A1:CV300,147,FALSE))</f>
        <v>0.2857142857142857</v>
      </c>
      <c r="W147" s="29509">
        <f>IF(HLOOKUP("Shots",A1:CV300,147,FALSE)=0,0,HLOOKUP("Gs",A1:CV300,147,FALSE)/HLOOKUP("Shots",A1:CV300,147,FALSE))</f>
        <v>0</v>
      </c>
      <c r="X147" s="29510">
        <v>1</v>
      </c>
      <c r="Y147" s="29511">
        <v>2</v>
      </c>
      <c r="Z147" s="29512">
        <v>13</v>
      </c>
      <c r="AA147" s="29513">
        <f>IF(HLOOKUP("KP",A1:CV300,147,FALSE)=0,0,HLOOKUP("As",A1:CV300,147,FALSE)/HLOOKUP("KP",A1:CV300,147,FALSE))</f>
        <v>7.6923076923076927E-2</v>
      </c>
      <c r="AB147" s="29514">
        <v>40.4</v>
      </c>
      <c r="AC147" s="29515">
        <v>22</v>
      </c>
      <c r="AD147" s="29516">
        <v>2</v>
      </c>
      <c r="AE147" s="29517">
        <v>0</v>
      </c>
      <c r="AF147" s="29518">
        <v>0</v>
      </c>
      <c r="AG147" s="29519">
        <f>IF(HLOOKUP("BC",A1:CV300,147,FALSE)=0,0,HLOOKUP("Gs - BC",A1:CV300,147,FALSE)/HLOOKUP("BC",A1:CV300,147,FALSE))</f>
        <v>0</v>
      </c>
      <c r="AH147" s="29520">
        <f>HLOOKUP("BC",A1:CV300,147,FALSE) - HLOOKUP("BC Miss",A1:CV300,147,FALSE)</f>
        <v>0</v>
      </c>
      <c r="AI147" s="29521">
        <f>IF(HLOOKUP("Gs",A1:CV300,147,FALSE)=0,0,HLOOKUP("Gs - BC",A1:CV300,147,FALSE)/HLOOKUP("Gs",A1:CV300,147,FALSE))</f>
        <v>0</v>
      </c>
      <c r="AJ147" s="29522">
        <v>0</v>
      </c>
      <c r="AK147" s="29523">
        <v>0</v>
      </c>
      <c r="AL147" s="29524">
        <f>HLOOKUP("BC",A1:CV300,147,FALSE) - (HLOOKUP("PK Gs",A1:CV300,147,FALSE) + HLOOKUP("PK Miss",A1:CV300,147,FALSE))</f>
        <v>0</v>
      </c>
      <c r="AM147" s="29525">
        <f>HLOOKUP("BC Miss",A1:CV300,147,FALSE) - HLOOKUP("PK Miss",A1:CV300,147,FALSE)</f>
        <v>0</v>
      </c>
      <c r="AN147" s="29526">
        <f>IF(HLOOKUP("BC - Open",A1:CV300,147,FALSE)=0,0,HLOOKUP("BC - Open Miss",A1:CV300,147,FALSE)/HLOOKUP("BC - Open",A1:CV300,147,FALSE))</f>
        <v>0</v>
      </c>
      <c r="AO147" s="29527">
        <v>0</v>
      </c>
      <c r="AP147" s="29528">
        <f>IF(HLOOKUP("Gs",A1:CV300,147,FALSE)=0,0,HLOOKUP("GIB",A1:CV300,147,FALSE)/HLOOKUP("Gs",A1:CV300,147,FALSE))</f>
        <v>0</v>
      </c>
      <c r="AQ147" s="29529">
        <v>0</v>
      </c>
      <c r="AR147" s="29530">
        <f>IF(HLOOKUP("Gs",A1:CV300,147,FALSE)=0,0,HLOOKUP("Gs - Open",A1:CV300,147,FALSE)/HLOOKUP("Gs",A1:CV300,147,FALSE))</f>
        <v>0</v>
      </c>
      <c r="AS147" s="29531">
        <v>0.46</v>
      </c>
      <c r="AT147" s="29532">
        <v>0.61</v>
      </c>
      <c r="AU147" s="29533">
        <f>IF(HLOOKUP("Mins",A1:CV300,147,FALSE)=0,0,HLOOKUP("Pts",A1:CV300,147,FALSE)/HLOOKUP("Mins",A1:CV300,147,FALSE)* 90)</f>
        <v>2.701863354037267</v>
      </c>
      <c r="AV147" s="29534">
        <f>IF(HLOOKUP("Apps",A1:CV300,147,FALSE)=0,0,HLOOKUP("Pts",A1:CV300,147,FALSE)/HLOOKUP("Apps",A1:CV300,147,FALSE)* 1)</f>
        <v>1.9333333333333333</v>
      </c>
      <c r="AW147" s="29535">
        <f>IF(HLOOKUP("Mins",A1:CV300,147,FALSE)=0,0,HLOOKUP("Gs",A1:CV300,147,FALSE)/HLOOKUP("Mins",A1:CV300,147,FALSE)* 90)</f>
        <v>0</v>
      </c>
      <c r="AX147" s="29536">
        <f>IF(HLOOKUP("Mins",A1:CV300,147,FALSE)=0,0,HLOOKUP("Bonus",A1:CV300,147,FALSE)/HLOOKUP("Mins",A1:CV300,147,FALSE)* 90)</f>
        <v>0</v>
      </c>
      <c r="AY147" s="29537">
        <f>IF(HLOOKUP("Mins",A1:CV300,147,FALSE)=0,0,HLOOKUP("BPS",A1:CV300,147,FALSE)/HLOOKUP("Mins",A1:CV300,147,FALSE)* 90)</f>
        <v>10.714285714285714</v>
      </c>
      <c r="AZ147" s="29538">
        <f>IF(HLOOKUP("Mins",A1:CV300,147,FALSE)=0,0,HLOOKUP("Base BPS",A1:CV300,147,FALSE)/HLOOKUP("Mins",A1:CV300,147,FALSE)* 90)</f>
        <v>9.037267080745341</v>
      </c>
      <c r="BA147" s="29539">
        <f>IF(HLOOKUP("Mins",A1:CV300,147,FALSE)=0,0,HLOOKUP("PenTchs",A1:CV300,147,FALSE)/HLOOKUP("Mins",A1:CV300,147,FALSE)* 90)</f>
        <v>9.3167701863354047E-2</v>
      </c>
      <c r="BB147" s="29540">
        <f>IF(HLOOKUP("Mins",A1:CV300,147,FALSE)=0,0,HLOOKUP("Shots",A1:CV300,147,FALSE)/HLOOKUP("Mins",A1:CV300,147,FALSE)* 90)</f>
        <v>1.3043478260869565</v>
      </c>
      <c r="BC147" s="29541">
        <f>IF(HLOOKUP("Mins",A1:CV300,147,FALSE)=0,0,HLOOKUP("SIB",A1:CV300,147,FALSE)/HLOOKUP("Mins",A1:CV300,147,FALSE)* 90)</f>
        <v>9.3167701863354047E-2</v>
      </c>
      <c r="BD147" s="29542">
        <f>IF(HLOOKUP("Mins",A1:CV300,147,FALSE)=0,0,HLOOKUP("S6YD",A1:CV300,147,FALSE)/HLOOKUP("Mins",A1:CV300,147,FALSE)* 90)</f>
        <v>0</v>
      </c>
      <c r="BE147" s="29543">
        <f>IF(HLOOKUP("Mins",A1:CV300,147,FALSE)=0,0,HLOOKUP("Headers",A1:CV300,147,FALSE)/HLOOKUP("Mins",A1:CV300,147,FALSE)* 90)</f>
        <v>0</v>
      </c>
      <c r="BF147" s="29544">
        <f>IF(HLOOKUP("Mins",A1:CV300,147,FALSE)=0,0,HLOOKUP("SOT",A1:CV300,147,FALSE)/HLOOKUP("Mins",A1:CV300,147,FALSE)* 90)</f>
        <v>0.37267080745341619</v>
      </c>
      <c r="BG147" s="29545">
        <f>IF(HLOOKUP("Mins",A1:CV300,147,FALSE)=0,0,HLOOKUP("As",A1:CV300,147,FALSE)/HLOOKUP("Mins",A1:CV300,147,FALSE)* 90)</f>
        <v>9.3167701863354047E-2</v>
      </c>
      <c r="BH147" s="29546">
        <f>IF(HLOOKUP("Mins",A1:CV300,147,FALSE)=0,0,HLOOKUP("FPL As",A1:CV300,147,FALSE)/HLOOKUP("Mins",A1:CV300,147,FALSE)* 90)</f>
        <v>0.18633540372670809</v>
      </c>
      <c r="BI147" s="29547">
        <f>IF(HLOOKUP("Mins",A1:CV300,147,FALSE)=0,0,HLOOKUP("BC Created",A1:CV300,147,FALSE)/HLOOKUP("Mins",A1:CV300,147,FALSE)* 90)</f>
        <v>0.18633540372670809</v>
      </c>
      <c r="BJ147" s="29548">
        <f>IF(HLOOKUP("Mins",A1:CV300,147,FALSE)=0,0,HLOOKUP("KP",A1:CV300,147,FALSE)/HLOOKUP("Mins",A1:CV300,147,FALSE)* 90)</f>
        <v>1.2111801242236024</v>
      </c>
      <c r="BK147" s="29549">
        <f>IF(HLOOKUP("Mins",A1:CV300,147,FALSE)=0,0,HLOOKUP("BC",A1:CV300,147,FALSE)/HLOOKUP("Mins",A1:CV300,147,FALSE)* 90)</f>
        <v>0</v>
      </c>
      <c r="BL147" s="29550">
        <f>IF(HLOOKUP("Mins",A1:CV300,147,FALSE)=0,0,HLOOKUP("BC Miss",A1:CV300,147,FALSE)/HLOOKUP("Mins",A1:CV300,147,FALSE)* 90)</f>
        <v>0</v>
      </c>
      <c r="BM147" s="29551">
        <f>IF(HLOOKUP("Mins",A1:CV300,147,FALSE)=0,0,HLOOKUP("Gs - BC",A1:CV300,147,FALSE)/HLOOKUP("Mins",A1:CV300,147,FALSE)* 90)</f>
        <v>0</v>
      </c>
      <c r="BN147" s="29552">
        <f>IF(HLOOKUP("Mins",A1:CV300,147,FALSE)=0,0,HLOOKUP("GIB",A1:CV300,147,FALSE)/HLOOKUP("Mins",A1:CV300,147,FALSE)* 90)</f>
        <v>0</v>
      </c>
      <c r="BO147" s="29553">
        <f>IF(HLOOKUP("Mins",A1:CV300,147,FALSE)=0,0,HLOOKUP("Gs - Open",A1:CV300,147,FALSE)/HLOOKUP("Mins",A1:CV300,147,FALSE)* 90)</f>
        <v>0</v>
      </c>
      <c r="BP147" s="29554">
        <f>IF(HLOOKUP("Mins",A1:CV300,147,FALSE)=0,0,HLOOKUP("ICT Index",A1:CV300,147,FALSE)/HLOOKUP("Mins",A1:CV300,147,FALSE)* 90)</f>
        <v>3.7639751552795033</v>
      </c>
      <c r="BQ147" s="29555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  <v>5.6832298136645969E-2</v>
      </c>
      <c r="BR147" s="29556">
        <f>0.0885*HLOOKUP("KP/90",A1:CV300,147,FALSE)</f>
        <v>0.10718944099378881</v>
      </c>
      <c r="BS147" s="29557">
        <f>5*HLOOKUP("xG/90",A1:CV300,147,FALSE)+3*HLOOKUP("xA/90",A1:CV300,147,FALSE)</f>
        <v>0.60572981366459633</v>
      </c>
      <c r="BT147" s="29558">
        <f>HLOOKUP("xPts/90",A1:CV300,147,FALSE)-(5*0.75*(HLOOKUP("PK Gs",A1:CV300,147,FALSE)+HLOOKUP("PK Miss",A1:CV300,147,FALSE))*90/HLOOKUP("Mins",A1:CV300,147,FALSE))</f>
        <v>0.60572981366459633</v>
      </c>
      <c r="BU147" s="29559">
        <f>IF(HLOOKUP("Mins",A1:CV300,147,FALSE)=0,0,HLOOKUP("fsXG",A1:CV300,147,FALSE)/HLOOKUP("Mins",A1:CV300,147,FALSE)* 90)</f>
        <v>4.2857142857142858E-2</v>
      </c>
      <c r="BV147" s="29560">
        <f>IF(HLOOKUP("Mins",A1:CV300,147,FALSE)=0,0,HLOOKUP("fsXA",A1:CV300,147,FALSE)/HLOOKUP("Mins",A1:CV300,147,FALSE)* 90)</f>
        <v>5.6832298136645969E-2</v>
      </c>
      <c r="BW147" s="29561">
        <f>5*HLOOKUP("fsXG/90",A1:CV300,147,FALSE)+3*HLOOKUP("fsXA/90",A1:CV300,147,FALSE)</f>
        <v>0.38478260869565217</v>
      </c>
      <c r="BX147" s="29562">
        <v>3.4535888582468033E-2</v>
      </c>
      <c r="BY147" s="29563">
        <v>7.7737078070640564E-2</v>
      </c>
      <c r="BZ147" s="29564">
        <f>5*HLOOKUP("uXG/90",A1:CV300,147,FALSE)+3*HLOOKUP("uXA/90",A1:CV300,147,FALSE)</f>
        <v>0.40589067712426186</v>
      </c>
    </row>
    <row r="148" spans="1:78" x14ac:dyDescent="0.3">
      <c r="A148" s="29565" t="s">
        <v>475</v>
      </c>
      <c r="B148" s="29566" t="s">
        <v>107</v>
      </c>
      <c r="C148" s="29567">
        <v>5.1999998092651367</v>
      </c>
      <c r="D148" s="29568">
        <v>486</v>
      </c>
      <c r="E148" s="29569">
        <v>10</v>
      </c>
      <c r="F148" s="29570">
        <v>15</v>
      </c>
      <c r="G148" s="29571">
        <v>0</v>
      </c>
      <c r="H148" s="29572">
        <v>0</v>
      </c>
      <c r="I148" s="29573">
        <v>35</v>
      </c>
      <c r="J148" s="29574">
        <f>HLOOKUP("BPS",A1:CV300,148,FALSE)-((-6*HLOOKUP("OG",A1:CV300,148,FALSE))+(-6*HLOOKUP("PK Miss",A1:CV300,148,FALSE))+(9*HLOOKUP("FPL As",A1:CV300,148,FALSE))+(0*HLOOKUP("CS",A1:CV300,148,FALSE))+(18*HLOOKUP("Gs",A1:CV300,148,FALSE)))</f>
        <v>35</v>
      </c>
      <c r="K148" s="29575">
        <v>0</v>
      </c>
      <c r="L148" s="29576">
        <v>1</v>
      </c>
      <c r="M148" s="29577">
        <v>13</v>
      </c>
      <c r="N148" s="29578">
        <v>8</v>
      </c>
      <c r="O148" s="29579">
        <v>6</v>
      </c>
      <c r="P148" s="29580">
        <f>IF(HLOOKUP("Shots",A1:CV300,148,FALSE)=0,0,HLOOKUP("SIB",A1:CV300,148,FALSE)/HLOOKUP("Shots",A1:CV300,148,FALSE))</f>
        <v>0.75</v>
      </c>
      <c r="Q148" s="29581">
        <v>0</v>
      </c>
      <c r="R148" s="29582">
        <f>IF(HLOOKUP("Shots",A1:CV300,148,FALSE)=0,0,HLOOKUP("S6YD",A1:CV300,148,FALSE)/HLOOKUP("Shots",A1:CV300,148,FALSE))</f>
        <v>0</v>
      </c>
      <c r="S148" s="29583">
        <v>0</v>
      </c>
      <c r="T148" s="29584">
        <f>IF(HLOOKUP("Shots",A1:CV300,148,FALSE)=0,0,HLOOKUP("Headers",A1:CV300,148,FALSE)/HLOOKUP("Shots",A1:CV300,148,FALSE))</f>
        <v>0</v>
      </c>
      <c r="U148" s="29585">
        <v>2</v>
      </c>
      <c r="V148" s="29586">
        <f>IF(HLOOKUP("Shots",A1:CV300,148,FALSE)=0,0,HLOOKUP("SOT",A1:CV300,148,FALSE)/HLOOKUP("Shots",A1:CV300,148,FALSE))</f>
        <v>0.25</v>
      </c>
      <c r="W148" s="29587">
        <f>IF(HLOOKUP("Shots",A1:CV300,148,FALSE)=0,0,HLOOKUP("Gs",A1:CV300,148,FALSE)/HLOOKUP("Shots",A1:CV300,148,FALSE))</f>
        <v>0</v>
      </c>
      <c r="X148" s="29588">
        <v>0</v>
      </c>
      <c r="Y148" s="29589">
        <v>0</v>
      </c>
      <c r="Z148" s="29590">
        <v>1</v>
      </c>
      <c r="AA148" s="29591">
        <f>IF(HLOOKUP("KP",A1:CV300,148,FALSE)=0,0,HLOOKUP("As",A1:CV300,148,FALSE)/HLOOKUP("KP",A1:CV300,148,FALSE))</f>
        <v>0</v>
      </c>
      <c r="AB148" s="29592">
        <v>16</v>
      </c>
      <c r="AC148" s="29593">
        <v>0</v>
      </c>
      <c r="AD148" s="29594">
        <v>0</v>
      </c>
      <c r="AE148" s="29595">
        <v>0</v>
      </c>
      <c r="AF148" s="29596">
        <v>0</v>
      </c>
      <c r="AG148" s="29597">
        <f>IF(HLOOKUP("BC",A1:CV300,148,FALSE)=0,0,HLOOKUP("Gs - BC",A1:CV300,148,FALSE)/HLOOKUP("BC",A1:CV300,148,FALSE))</f>
        <v>0</v>
      </c>
      <c r="AH148" s="29598">
        <f>HLOOKUP("BC",A1:CV300,148,FALSE) - HLOOKUP("BC Miss",A1:CV300,148,FALSE)</f>
        <v>0</v>
      </c>
      <c r="AI148" s="29599">
        <f>IF(HLOOKUP("Gs",A1:CV300,148,FALSE)=0,0,HLOOKUP("Gs - BC",A1:CV300,148,FALSE)/HLOOKUP("Gs",A1:CV300,148,FALSE))</f>
        <v>0</v>
      </c>
      <c r="AJ148" s="29600">
        <v>0</v>
      </c>
      <c r="AK148" s="29601">
        <v>0</v>
      </c>
      <c r="AL148" s="29602">
        <f>HLOOKUP("BC",A1:CV300,148,FALSE) - (HLOOKUP("PK Gs",A1:CV300,148,FALSE) + HLOOKUP("PK Miss",A1:CV300,148,FALSE))</f>
        <v>0</v>
      </c>
      <c r="AM148" s="29603">
        <f>HLOOKUP("BC Miss",A1:CV300,148,FALSE) - HLOOKUP("PK Miss",A1:CV300,148,FALSE)</f>
        <v>0</v>
      </c>
      <c r="AN148" s="29604">
        <f>IF(HLOOKUP("BC - Open",A1:CV300,148,FALSE)=0,0,HLOOKUP("BC - Open Miss",A1:CV300,148,FALSE)/HLOOKUP("BC - Open",A1:CV300,148,FALSE))</f>
        <v>0</v>
      </c>
      <c r="AO148" s="29605">
        <v>0</v>
      </c>
      <c r="AP148" s="29606">
        <f>IF(HLOOKUP("Gs",A1:CV300,148,FALSE)=0,0,HLOOKUP("GIB",A1:CV300,148,FALSE)/HLOOKUP("Gs",A1:CV300,148,FALSE))</f>
        <v>0</v>
      </c>
      <c r="AQ148" s="29607">
        <v>0</v>
      </c>
      <c r="AR148" s="29608">
        <f>IF(HLOOKUP("Gs",A1:CV300,148,FALSE)=0,0,HLOOKUP("Gs - Open",A1:CV300,148,FALSE)/HLOOKUP("Gs",A1:CV300,148,FALSE))</f>
        <v>0</v>
      </c>
      <c r="AS148" s="29609">
        <v>0.97</v>
      </c>
      <c r="AT148" s="29610">
        <v>0.16</v>
      </c>
      <c r="AU148" s="29611">
        <f>IF(HLOOKUP("Mins",A1:CV300,148,FALSE)=0,0,HLOOKUP("Pts",A1:CV300,148,FALSE)/HLOOKUP("Mins",A1:CV300,148,FALSE)* 90)</f>
        <v>2.7777777777777777</v>
      </c>
      <c r="AV148" s="29612">
        <f>IF(HLOOKUP("Apps",A1:CV300,148,FALSE)=0,0,HLOOKUP("Pts",A1:CV300,148,FALSE)/HLOOKUP("Apps",A1:CV300,148,FALSE)* 1)</f>
        <v>1.5</v>
      </c>
      <c r="AW148" s="29613">
        <f>IF(HLOOKUP("Mins",A1:CV300,148,FALSE)=0,0,HLOOKUP("Gs",A1:CV300,148,FALSE)/HLOOKUP("Mins",A1:CV300,148,FALSE)* 90)</f>
        <v>0</v>
      </c>
      <c r="AX148" s="29614">
        <f>IF(HLOOKUP("Mins",A1:CV300,148,FALSE)=0,0,HLOOKUP("Bonus",A1:CV300,148,FALSE)/HLOOKUP("Mins",A1:CV300,148,FALSE)* 90)</f>
        <v>0</v>
      </c>
      <c r="AY148" s="29615">
        <f>IF(HLOOKUP("Mins",A1:CV300,148,FALSE)=0,0,HLOOKUP("BPS",A1:CV300,148,FALSE)/HLOOKUP("Mins",A1:CV300,148,FALSE)* 90)</f>
        <v>6.4814814814814818</v>
      </c>
      <c r="AZ148" s="29616">
        <f>IF(HLOOKUP("Mins",A1:CV300,148,FALSE)=0,0,HLOOKUP("Base BPS",A1:CV300,148,FALSE)/HLOOKUP("Mins",A1:CV300,148,FALSE)* 90)</f>
        <v>6.4814814814814818</v>
      </c>
      <c r="BA148" s="29617">
        <f>IF(HLOOKUP("Mins",A1:CV300,148,FALSE)=0,0,HLOOKUP("PenTchs",A1:CV300,148,FALSE)/HLOOKUP("Mins",A1:CV300,148,FALSE)* 90)</f>
        <v>2.4074074074074074</v>
      </c>
      <c r="BB148" s="29618">
        <f>IF(HLOOKUP("Mins",A1:CV300,148,FALSE)=0,0,HLOOKUP("Shots",A1:CV300,148,FALSE)/HLOOKUP("Mins",A1:CV300,148,FALSE)* 90)</f>
        <v>1.4814814814814816</v>
      </c>
      <c r="BC148" s="29619">
        <f>IF(HLOOKUP("Mins",A1:CV300,148,FALSE)=0,0,HLOOKUP("SIB",A1:CV300,148,FALSE)/HLOOKUP("Mins",A1:CV300,148,FALSE)* 90)</f>
        <v>1.1111111111111112</v>
      </c>
      <c r="BD148" s="29620">
        <f>IF(HLOOKUP("Mins",A1:CV300,148,FALSE)=0,0,HLOOKUP("S6YD",A1:CV300,148,FALSE)/HLOOKUP("Mins",A1:CV300,148,FALSE)* 90)</f>
        <v>0</v>
      </c>
      <c r="BE148" s="29621">
        <f>IF(HLOOKUP("Mins",A1:CV300,148,FALSE)=0,0,HLOOKUP("Headers",A1:CV300,148,FALSE)/HLOOKUP("Mins",A1:CV300,148,FALSE)* 90)</f>
        <v>0</v>
      </c>
      <c r="BF148" s="29622">
        <f>IF(HLOOKUP("Mins",A1:CV300,148,FALSE)=0,0,HLOOKUP("SOT",A1:CV300,148,FALSE)/HLOOKUP("Mins",A1:CV300,148,FALSE)* 90)</f>
        <v>0.37037037037037041</v>
      </c>
      <c r="BG148" s="29623">
        <f>IF(HLOOKUP("Mins",A1:CV300,148,FALSE)=0,0,HLOOKUP("As",A1:CV300,148,FALSE)/HLOOKUP("Mins",A1:CV300,148,FALSE)* 90)</f>
        <v>0</v>
      </c>
      <c r="BH148" s="29624">
        <f>IF(HLOOKUP("Mins",A1:CV300,148,FALSE)=0,0,HLOOKUP("FPL As",A1:CV300,148,FALSE)/HLOOKUP("Mins",A1:CV300,148,FALSE)* 90)</f>
        <v>0</v>
      </c>
      <c r="BI148" s="29625">
        <f>IF(HLOOKUP("Mins",A1:CV300,148,FALSE)=0,0,HLOOKUP("BC Created",A1:CV300,148,FALSE)/HLOOKUP("Mins",A1:CV300,148,FALSE)* 90)</f>
        <v>0</v>
      </c>
      <c r="BJ148" s="29626">
        <f>IF(HLOOKUP("Mins",A1:CV300,148,FALSE)=0,0,HLOOKUP("KP",A1:CV300,148,FALSE)/HLOOKUP("Mins",A1:CV300,148,FALSE)* 90)</f>
        <v>0.1851851851851852</v>
      </c>
      <c r="BK148" s="29627">
        <f>IF(HLOOKUP("Mins",A1:CV300,148,FALSE)=0,0,HLOOKUP("BC",A1:CV300,148,FALSE)/HLOOKUP("Mins",A1:CV300,148,FALSE)* 90)</f>
        <v>0</v>
      </c>
      <c r="BL148" s="29628">
        <f>IF(HLOOKUP("Mins",A1:CV300,148,FALSE)=0,0,HLOOKUP("BC Miss",A1:CV300,148,FALSE)/HLOOKUP("Mins",A1:CV300,148,FALSE)* 90)</f>
        <v>0</v>
      </c>
      <c r="BM148" s="29629">
        <f>IF(HLOOKUP("Mins",A1:CV300,148,FALSE)=0,0,HLOOKUP("Gs - BC",A1:CV300,148,FALSE)/HLOOKUP("Mins",A1:CV300,148,FALSE)* 90)</f>
        <v>0</v>
      </c>
      <c r="BN148" s="29630">
        <f>IF(HLOOKUP("Mins",A1:CV300,148,FALSE)=0,0,HLOOKUP("GIB",A1:CV300,148,FALSE)/HLOOKUP("Mins",A1:CV300,148,FALSE)* 90)</f>
        <v>0</v>
      </c>
      <c r="BO148" s="29631">
        <f>IF(HLOOKUP("Mins",A1:CV300,148,FALSE)=0,0,HLOOKUP("Gs - Open",A1:CV300,148,FALSE)/HLOOKUP("Mins",A1:CV300,148,FALSE)* 90)</f>
        <v>0</v>
      </c>
      <c r="BP148" s="29632">
        <f>IF(HLOOKUP("Mins",A1:CV300,148,FALSE)=0,0,HLOOKUP("ICT Index",A1:CV300,148,FALSE)/HLOOKUP("Mins",A1:CV300,148,FALSE)* 90)</f>
        <v>2.9629629629629632</v>
      </c>
      <c r="BQ148" s="29633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  <v>0.17111111111111107</v>
      </c>
      <c r="BR148" s="29634">
        <f>0.0885*HLOOKUP("KP/90",A1:CV300,148,FALSE)</f>
        <v>1.638888888888889E-2</v>
      </c>
      <c r="BS148" s="29635">
        <f>5*HLOOKUP("xG/90",A1:CV300,148,FALSE)+3*HLOOKUP("xA/90",A1:CV300,148,FALSE)</f>
        <v>0.90472222222222209</v>
      </c>
      <c r="BT148" s="29636">
        <f>HLOOKUP("xPts/90",A1:CV300,148,FALSE)-(5*0.75*(HLOOKUP("PK Gs",A1:CV300,148,FALSE)+HLOOKUP("PK Miss",A1:CV300,148,FALSE))*90/HLOOKUP("Mins",A1:CV300,148,FALSE))</f>
        <v>0.90472222222222209</v>
      </c>
      <c r="BU148" s="29637">
        <f>IF(HLOOKUP("Mins",A1:CV300,148,FALSE)=0,0,HLOOKUP("fsXG",A1:CV300,148,FALSE)/HLOOKUP("Mins",A1:CV300,148,FALSE)* 90)</f>
        <v>0.17962962962962964</v>
      </c>
      <c r="BV148" s="29638">
        <f>IF(HLOOKUP("Mins",A1:CV300,148,FALSE)=0,0,HLOOKUP("fsXA",A1:CV300,148,FALSE)/HLOOKUP("Mins",A1:CV300,148,FALSE)* 90)</f>
        <v>2.9629629629629631E-2</v>
      </c>
      <c r="BW148" s="29639">
        <f>5*HLOOKUP("fsXG/90",A1:CV300,148,FALSE)+3*HLOOKUP("fsXA/90",A1:CV300,148,FALSE)</f>
        <v>0.98703703703703705</v>
      </c>
      <c r="BX148" s="29640">
        <v>7.888195663690567E-2</v>
      </c>
      <c r="BY148" s="29641">
        <v>1.5509678050875664E-2</v>
      </c>
      <c r="BZ148" s="29642">
        <f>5*HLOOKUP("uXG/90",A1:CV300,148,FALSE)+3*HLOOKUP("uXA/90",A1:CV300,148,FALSE)</f>
        <v>0.44093881733715534</v>
      </c>
    </row>
    <row r="149" spans="1:78" x14ac:dyDescent="0.3">
      <c r="A149" s="29643" t="s">
        <v>476</v>
      </c>
      <c r="B149" s="29644" t="s">
        <v>118</v>
      </c>
      <c r="C149" s="29645">
        <v>4.8000001907348633</v>
      </c>
      <c r="D149" s="29646">
        <v>134</v>
      </c>
      <c r="E149" s="29647">
        <v>2</v>
      </c>
      <c r="F149" s="29648">
        <v>4</v>
      </c>
      <c r="G149" s="29649">
        <v>0</v>
      </c>
      <c r="H149" s="29650">
        <v>0</v>
      </c>
      <c r="I149" s="29651">
        <v>14</v>
      </c>
      <c r="J149" s="29652">
        <f>HLOOKUP("BPS",A1:CV300,149,FALSE)-((-6*HLOOKUP("OG",A1:CV300,149,FALSE))+(-6*HLOOKUP("PK Miss",A1:CV300,149,FALSE))+(9*HLOOKUP("FPL As",A1:CV300,149,FALSE))+(0*HLOOKUP("CS",A1:CV300,149,FALSE))+(18*HLOOKUP("Gs",A1:CV300,149,FALSE)))</f>
        <v>14</v>
      </c>
      <c r="K149" s="29653">
        <v>0</v>
      </c>
      <c r="L149" s="29654">
        <v>1</v>
      </c>
      <c r="M149" s="29655">
        <v>0</v>
      </c>
      <c r="N149" s="29656">
        <v>0</v>
      </c>
      <c r="O149" s="29657">
        <v>0</v>
      </c>
      <c r="P149" s="29658">
        <f>IF(HLOOKUP("Shots",A1:CV300,149,FALSE)=0,0,HLOOKUP("SIB",A1:CV300,149,FALSE)/HLOOKUP("Shots",A1:CV300,149,FALSE))</f>
        <v>0</v>
      </c>
      <c r="Q149" s="29659">
        <v>0</v>
      </c>
      <c r="R149" s="29660">
        <f>IF(HLOOKUP("Shots",A1:CV300,149,FALSE)=0,0,HLOOKUP("S6YD",A1:CV300,149,FALSE)/HLOOKUP("Shots",A1:CV300,149,FALSE))</f>
        <v>0</v>
      </c>
      <c r="S149" s="29661">
        <v>0</v>
      </c>
      <c r="T149" s="29662">
        <f>IF(HLOOKUP("Shots",A1:CV300,149,FALSE)=0,0,HLOOKUP("Headers",A1:CV300,149,FALSE)/HLOOKUP("Shots",A1:CV300,149,FALSE))</f>
        <v>0</v>
      </c>
      <c r="U149" s="29663">
        <v>0</v>
      </c>
      <c r="V149" s="29664">
        <f>IF(HLOOKUP("Shots",A1:CV300,149,FALSE)=0,0,HLOOKUP("SOT",A1:CV300,149,FALSE)/HLOOKUP("Shots",A1:CV300,149,FALSE))</f>
        <v>0</v>
      </c>
      <c r="W149" s="29665">
        <f>IF(HLOOKUP("Shots",A1:CV300,149,FALSE)=0,0,HLOOKUP("Gs",A1:CV300,149,FALSE)/HLOOKUP("Shots",A1:CV300,149,FALSE))</f>
        <v>0</v>
      </c>
      <c r="X149" s="29666">
        <v>0</v>
      </c>
      <c r="Y149" s="29667">
        <v>0</v>
      </c>
      <c r="Z149" s="29668">
        <v>0</v>
      </c>
      <c r="AA149" s="29669">
        <f>IF(HLOOKUP("KP",A1:CV300,149,FALSE)=0,0,HLOOKUP("As",A1:CV300,149,FALSE)/HLOOKUP("KP",A1:CV300,149,FALSE))</f>
        <v>0</v>
      </c>
      <c r="AB149" s="29670">
        <v>2.6</v>
      </c>
      <c r="AC149" s="29671">
        <v>0</v>
      </c>
      <c r="AD149" s="29672">
        <v>0</v>
      </c>
      <c r="AE149" s="29673">
        <v>0</v>
      </c>
      <c r="AF149" s="29674">
        <v>0</v>
      </c>
      <c r="AG149" s="29675">
        <f>IF(HLOOKUP("BC",A1:CV300,149,FALSE)=0,0,HLOOKUP("Gs - BC",A1:CV300,149,FALSE)/HLOOKUP("BC",A1:CV300,149,FALSE))</f>
        <v>0</v>
      </c>
      <c r="AH149" s="29676">
        <f>HLOOKUP("BC",A1:CV300,149,FALSE) - HLOOKUP("BC Miss",A1:CV300,149,FALSE)</f>
        <v>0</v>
      </c>
      <c r="AI149" s="29677">
        <f>IF(HLOOKUP("Gs",A1:CV300,149,FALSE)=0,0,HLOOKUP("Gs - BC",A1:CV300,149,FALSE)/HLOOKUP("Gs",A1:CV300,149,FALSE))</f>
        <v>0</v>
      </c>
      <c r="AJ149" s="29678">
        <v>0</v>
      </c>
      <c r="AK149" s="29679">
        <v>0</v>
      </c>
      <c r="AL149" s="29680">
        <f>HLOOKUP("BC",A1:CV300,149,FALSE) - (HLOOKUP("PK Gs",A1:CV300,149,FALSE) + HLOOKUP("PK Miss",A1:CV300,149,FALSE))</f>
        <v>0</v>
      </c>
      <c r="AM149" s="29681">
        <f>HLOOKUP("BC Miss",A1:CV300,149,FALSE) - HLOOKUP("PK Miss",A1:CV300,149,FALSE)</f>
        <v>0</v>
      </c>
      <c r="AN149" s="29682">
        <f>IF(HLOOKUP("BC - Open",A1:CV300,149,FALSE)=0,0,HLOOKUP("BC - Open Miss",A1:CV300,149,FALSE)/HLOOKUP("BC - Open",A1:CV300,149,FALSE))</f>
        <v>0</v>
      </c>
      <c r="AO149" s="29683">
        <v>0</v>
      </c>
      <c r="AP149" s="29684">
        <f>IF(HLOOKUP("Gs",A1:CV300,149,FALSE)=0,0,HLOOKUP("GIB",A1:CV300,149,FALSE)/HLOOKUP("Gs",A1:CV300,149,FALSE))</f>
        <v>0</v>
      </c>
      <c r="AQ149" s="29685">
        <v>0</v>
      </c>
      <c r="AR149" s="29686">
        <f>IF(HLOOKUP("Gs",A1:CV300,149,FALSE)=0,0,HLOOKUP("Gs - Open",A1:CV300,149,FALSE)/HLOOKUP("Gs",A1:CV300,149,FALSE))</f>
        <v>0</v>
      </c>
      <c r="AS149" s="29687">
        <v>0</v>
      </c>
      <c r="AT149" s="29688">
        <v>0.02</v>
      </c>
      <c r="AU149" s="29689">
        <f>IF(HLOOKUP("Mins",A1:CV300,149,FALSE)=0,0,HLOOKUP("Pts",A1:CV300,149,FALSE)/HLOOKUP("Mins",A1:CV300,149,FALSE)* 90)</f>
        <v>2.6865671641791042</v>
      </c>
      <c r="AV149" s="29690">
        <f>IF(HLOOKUP("Apps",A1:CV300,149,FALSE)=0,0,HLOOKUP("Pts",A1:CV300,149,FALSE)/HLOOKUP("Apps",A1:CV300,149,FALSE)* 1)</f>
        <v>2</v>
      </c>
      <c r="AW149" s="29691">
        <f>IF(HLOOKUP("Mins",A1:CV300,149,FALSE)=0,0,HLOOKUP("Gs",A1:CV300,149,FALSE)/HLOOKUP("Mins",A1:CV300,149,FALSE)* 90)</f>
        <v>0</v>
      </c>
      <c r="AX149" s="29692">
        <f>IF(HLOOKUP("Mins",A1:CV300,149,FALSE)=0,0,HLOOKUP("Bonus",A1:CV300,149,FALSE)/HLOOKUP("Mins",A1:CV300,149,FALSE)* 90)</f>
        <v>0</v>
      </c>
      <c r="AY149" s="29693">
        <f>IF(HLOOKUP("Mins",A1:CV300,149,FALSE)=0,0,HLOOKUP("BPS",A1:CV300,149,FALSE)/HLOOKUP("Mins",A1:CV300,149,FALSE)* 90)</f>
        <v>9.4029850746268657</v>
      </c>
      <c r="AZ149" s="29694">
        <f>IF(HLOOKUP("Mins",A1:CV300,149,FALSE)=0,0,HLOOKUP("Base BPS",A1:CV300,149,FALSE)/HLOOKUP("Mins",A1:CV300,149,FALSE)* 90)</f>
        <v>9.4029850746268657</v>
      </c>
      <c r="BA149" s="29695">
        <f>IF(HLOOKUP("Mins",A1:CV300,149,FALSE)=0,0,HLOOKUP("PenTchs",A1:CV300,149,FALSE)/HLOOKUP("Mins",A1:CV300,149,FALSE)* 90)</f>
        <v>0</v>
      </c>
      <c r="BB149" s="29696">
        <f>IF(HLOOKUP("Mins",A1:CV300,149,FALSE)=0,0,HLOOKUP("Shots",A1:CV300,149,FALSE)/HLOOKUP("Mins",A1:CV300,149,FALSE)* 90)</f>
        <v>0</v>
      </c>
      <c r="BC149" s="29697">
        <f>IF(HLOOKUP("Mins",A1:CV300,149,FALSE)=0,0,HLOOKUP("SIB",A1:CV300,149,FALSE)/HLOOKUP("Mins",A1:CV300,149,FALSE)* 90)</f>
        <v>0</v>
      </c>
      <c r="BD149" s="29698">
        <f>IF(HLOOKUP("Mins",A1:CV300,149,FALSE)=0,0,HLOOKUP("S6YD",A1:CV300,149,FALSE)/HLOOKUP("Mins",A1:CV300,149,FALSE)* 90)</f>
        <v>0</v>
      </c>
      <c r="BE149" s="29699">
        <f>IF(HLOOKUP("Mins",A1:CV300,149,FALSE)=0,0,HLOOKUP("Headers",A1:CV300,149,FALSE)/HLOOKUP("Mins",A1:CV300,149,FALSE)* 90)</f>
        <v>0</v>
      </c>
      <c r="BF149" s="29700">
        <f>IF(HLOOKUP("Mins",A1:CV300,149,FALSE)=0,0,HLOOKUP("SOT",A1:CV300,149,FALSE)/HLOOKUP("Mins",A1:CV300,149,FALSE)* 90)</f>
        <v>0</v>
      </c>
      <c r="BG149" s="29701">
        <f>IF(HLOOKUP("Mins",A1:CV300,149,FALSE)=0,0,HLOOKUP("As",A1:CV300,149,FALSE)/HLOOKUP("Mins",A1:CV300,149,FALSE)* 90)</f>
        <v>0</v>
      </c>
      <c r="BH149" s="29702">
        <f>IF(HLOOKUP("Mins",A1:CV300,149,FALSE)=0,0,HLOOKUP("FPL As",A1:CV300,149,FALSE)/HLOOKUP("Mins",A1:CV300,149,FALSE)* 90)</f>
        <v>0</v>
      </c>
      <c r="BI149" s="29703">
        <f>IF(HLOOKUP("Mins",A1:CV300,149,FALSE)=0,0,HLOOKUP("BC Created",A1:CV300,149,FALSE)/HLOOKUP("Mins",A1:CV300,149,FALSE)* 90)</f>
        <v>0</v>
      </c>
      <c r="BJ149" s="29704">
        <f>IF(HLOOKUP("Mins",A1:CV300,149,FALSE)=0,0,HLOOKUP("KP",A1:CV300,149,FALSE)/HLOOKUP("Mins",A1:CV300,149,FALSE)* 90)</f>
        <v>0</v>
      </c>
      <c r="BK149" s="29705">
        <f>IF(HLOOKUP("Mins",A1:CV300,149,FALSE)=0,0,HLOOKUP("BC",A1:CV300,149,FALSE)/HLOOKUP("Mins",A1:CV300,149,FALSE)* 90)</f>
        <v>0</v>
      </c>
      <c r="BL149" s="29706">
        <f>IF(HLOOKUP("Mins",A1:CV300,149,FALSE)=0,0,HLOOKUP("BC Miss",A1:CV300,149,FALSE)/HLOOKUP("Mins",A1:CV300,149,FALSE)* 90)</f>
        <v>0</v>
      </c>
      <c r="BM149" s="29707">
        <f>IF(HLOOKUP("Mins",A1:CV300,149,FALSE)=0,0,HLOOKUP("Gs - BC",A1:CV300,149,FALSE)/HLOOKUP("Mins",A1:CV300,149,FALSE)* 90)</f>
        <v>0</v>
      </c>
      <c r="BN149" s="29708">
        <f>IF(HLOOKUP("Mins",A1:CV300,149,FALSE)=0,0,HLOOKUP("GIB",A1:CV300,149,FALSE)/HLOOKUP("Mins",A1:CV300,149,FALSE)* 90)</f>
        <v>0</v>
      </c>
      <c r="BO149" s="29709">
        <f>IF(HLOOKUP("Mins",A1:CV300,149,FALSE)=0,0,HLOOKUP("Gs - Open",A1:CV300,149,FALSE)/HLOOKUP("Mins",A1:CV300,149,FALSE)* 90)</f>
        <v>0</v>
      </c>
      <c r="BP149" s="29710">
        <f>IF(HLOOKUP("Mins",A1:CV300,149,FALSE)=0,0,HLOOKUP("ICT Index",A1:CV300,149,FALSE)/HLOOKUP("Mins",A1:CV300,149,FALSE)* 90)</f>
        <v>1.7462686567164178</v>
      </c>
      <c r="BQ149" s="29711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  <v>0</v>
      </c>
      <c r="BR149" s="29712">
        <f>0.0885*HLOOKUP("KP/90",A1:CV300,149,FALSE)</f>
        <v>0</v>
      </c>
      <c r="BS149" s="29713">
        <f>5*HLOOKUP("xG/90",A1:CV300,149,FALSE)+3*HLOOKUP("xA/90",A1:CV300,149,FALSE)</f>
        <v>0</v>
      </c>
      <c r="BT149" s="29714">
        <f>HLOOKUP("xPts/90",A1:CV300,149,FALSE)-(5*0.75*(HLOOKUP("PK Gs",A1:CV300,149,FALSE)+HLOOKUP("PK Miss",A1:CV300,149,FALSE))*90/HLOOKUP("Mins",A1:CV300,149,FALSE))</f>
        <v>0</v>
      </c>
      <c r="BU149" s="29715">
        <f>IF(HLOOKUP("Mins",A1:CV300,149,FALSE)=0,0,HLOOKUP("fsXG",A1:CV300,149,FALSE)/HLOOKUP("Mins",A1:CV300,149,FALSE)* 90)</f>
        <v>0</v>
      </c>
      <c r="BV149" s="29716">
        <f>IF(HLOOKUP("Mins",A1:CV300,149,FALSE)=0,0,HLOOKUP("fsXA",A1:CV300,149,FALSE)/HLOOKUP("Mins",A1:CV300,149,FALSE)* 90)</f>
        <v>1.3432835820895522E-2</v>
      </c>
      <c r="BW149" s="29717">
        <f>5*HLOOKUP("fsXG/90",A1:CV300,149,FALSE)+3*HLOOKUP("fsXA/90",A1:CV300,149,FALSE)</f>
        <v>4.0298507462686567E-2</v>
      </c>
      <c r="BX149" s="29718">
        <v>0</v>
      </c>
      <c r="BY149" s="29719">
        <v>0</v>
      </c>
      <c r="BZ149" s="29720">
        <f>5*HLOOKUP("uXG/90",A1:CV300,149,FALSE)+3*HLOOKUP("uXA/90",A1:CV300,149,FALSE)</f>
        <v>0</v>
      </c>
    </row>
    <row r="150" spans="1:78" x14ac:dyDescent="0.3">
      <c r="A150" s="29721" t="s">
        <v>477</v>
      </c>
      <c r="B150" s="29722" t="s">
        <v>132</v>
      </c>
      <c r="C150" s="29723">
        <v>5.4000000953674316</v>
      </c>
      <c r="D150" s="29724">
        <v>1006</v>
      </c>
      <c r="E150" s="29725">
        <v>12</v>
      </c>
      <c r="F150" s="29726">
        <v>32</v>
      </c>
      <c r="G150" s="29727">
        <v>1</v>
      </c>
      <c r="H150" s="29728">
        <v>4</v>
      </c>
      <c r="I150" s="29729">
        <v>199</v>
      </c>
      <c r="J150" s="29730">
        <f>HLOOKUP("BPS",A1:CV300,150,FALSE)-((-6*HLOOKUP("OG",A1:CV300,150,FALSE))+(-6*HLOOKUP("PK Miss",A1:CV300,150,FALSE))+(9*HLOOKUP("FPL As",A1:CV300,150,FALSE))+(0*HLOOKUP("CS",A1:CV300,150,FALSE))+(18*HLOOKUP("Gs",A1:CV300,150,FALSE)))</f>
        <v>172</v>
      </c>
      <c r="K150" s="29731">
        <v>0</v>
      </c>
      <c r="L150" s="29732">
        <v>2</v>
      </c>
      <c r="M150" s="29733">
        <v>1</v>
      </c>
      <c r="N150" s="29734">
        <v>6</v>
      </c>
      <c r="O150" s="29735">
        <v>0</v>
      </c>
      <c r="P150" s="29736">
        <f>IF(HLOOKUP("Shots",A1:CV300,150,FALSE)=0,0,HLOOKUP("SIB",A1:CV300,150,FALSE)/HLOOKUP("Shots",A1:CV300,150,FALSE))</f>
        <v>0</v>
      </c>
      <c r="Q150" s="29737">
        <v>0</v>
      </c>
      <c r="R150" s="29738">
        <f>IF(HLOOKUP("Shots",A1:CV300,150,FALSE)=0,0,HLOOKUP("S6YD",A1:CV300,150,FALSE)/HLOOKUP("Shots",A1:CV300,150,FALSE))</f>
        <v>0</v>
      </c>
      <c r="S150" s="29739">
        <v>0</v>
      </c>
      <c r="T150" s="29740">
        <f>IF(HLOOKUP("Shots",A1:CV300,150,FALSE)=0,0,HLOOKUP("Headers",A1:CV300,150,FALSE)/HLOOKUP("Shots",A1:CV300,150,FALSE))</f>
        <v>0</v>
      </c>
      <c r="U150" s="29741">
        <v>2</v>
      </c>
      <c r="V150" s="29742">
        <f>IF(HLOOKUP("Shots",A1:CV300,150,FALSE)=0,0,HLOOKUP("SOT",A1:CV300,150,FALSE)/HLOOKUP("Shots",A1:CV300,150,FALSE))</f>
        <v>0.33333333333333331</v>
      </c>
      <c r="W150" s="29743">
        <f>IF(HLOOKUP("Shots",A1:CV300,150,FALSE)=0,0,HLOOKUP("Gs",A1:CV300,150,FALSE)/HLOOKUP("Shots",A1:CV300,150,FALSE))</f>
        <v>0.16666666666666666</v>
      </c>
      <c r="X150" s="29744">
        <v>1</v>
      </c>
      <c r="Y150" s="29745">
        <v>1</v>
      </c>
      <c r="Z150" s="29746">
        <v>13</v>
      </c>
      <c r="AA150" s="29747">
        <f>IF(HLOOKUP("KP",A1:CV300,150,FALSE)=0,0,HLOOKUP("As",A1:CV300,150,FALSE)/HLOOKUP("KP",A1:CV300,150,FALSE))</f>
        <v>7.6923076923076927E-2</v>
      </c>
      <c r="AB150" s="29748">
        <v>45.7</v>
      </c>
      <c r="AC150" s="29749">
        <v>8</v>
      </c>
      <c r="AD150" s="29750">
        <v>1</v>
      </c>
      <c r="AE150" s="29751">
        <v>0</v>
      </c>
      <c r="AF150" s="29752">
        <v>0</v>
      </c>
      <c r="AG150" s="29753">
        <f>IF(HLOOKUP("BC",A1:CV300,150,FALSE)=0,0,HLOOKUP("Gs - BC",A1:CV300,150,FALSE)/HLOOKUP("BC",A1:CV300,150,FALSE))</f>
        <v>0</v>
      </c>
      <c r="AH150" s="29754">
        <f>HLOOKUP("BC",A1:CV300,150,FALSE) - HLOOKUP("BC Miss",A1:CV300,150,FALSE)</f>
        <v>0</v>
      </c>
      <c r="AI150" s="29755">
        <f>IF(HLOOKUP("Gs",A1:CV300,150,FALSE)=0,0,HLOOKUP("Gs - BC",A1:CV300,150,FALSE)/HLOOKUP("Gs",A1:CV300,150,FALSE))</f>
        <v>0</v>
      </c>
      <c r="AJ150" s="29756">
        <v>0</v>
      </c>
      <c r="AK150" s="29757">
        <v>0</v>
      </c>
      <c r="AL150" s="29758">
        <f>HLOOKUP("BC",A1:CV300,150,FALSE) - (HLOOKUP("PK Gs",A1:CV300,150,FALSE) + HLOOKUP("PK Miss",A1:CV300,150,FALSE))</f>
        <v>0</v>
      </c>
      <c r="AM150" s="29759">
        <f>HLOOKUP("BC Miss",A1:CV300,150,FALSE) - HLOOKUP("PK Miss",A1:CV300,150,FALSE)</f>
        <v>0</v>
      </c>
      <c r="AN150" s="29760">
        <f>IF(HLOOKUP("BC - Open",A1:CV300,150,FALSE)=0,0,HLOOKUP("BC - Open Miss",A1:CV300,150,FALSE)/HLOOKUP("BC - Open",A1:CV300,150,FALSE))</f>
        <v>0</v>
      </c>
      <c r="AO150" s="29761">
        <v>0</v>
      </c>
      <c r="AP150" s="29762">
        <f>IF(HLOOKUP("Gs",A1:CV300,150,FALSE)=0,0,HLOOKUP("GIB",A1:CV300,150,FALSE)/HLOOKUP("Gs",A1:CV300,150,FALSE))</f>
        <v>0</v>
      </c>
      <c r="AQ150" s="29763">
        <v>1</v>
      </c>
      <c r="AR150" s="29764">
        <f>IF(HLOOKUP("Gs",A1:CV300,150,FALSE)=0,0,HLOOKUP("Gs - Open",A1:CV300,150,FALSE)/HLOOKUP("Gs",A1:CV300,150,FALSE))</f>
        <v>1</v>
      </c>
      <c r="AS150" s="29765">
        <v>0.16</v>
      </c>
      <c r="AT150" s="29766">
        <v>0.83</v>
      </c>
      <c r="AU150" s="29767">
        <f>IF(HLOOKUP("Mins",A1:CV300,150,FALSE)=0,0,HLOOKUP("Pts",A1:CV300,150,FALSE)/HLOOKUP("Mins",A1:CV300,150,FALSE)* 90)</f>
        <v>2.8628230616302184</v>
      </c>
      <c r="AV150" s="29768">
        <f>IF(HLOOKUP("Apps",A1:CV300,150,FALSE)=0,0,HLOOKUP("Pts",A1:CV300,150,FALSE)/HLOOKUP("Apps",A1:CV300,150,FALSE)* 1)</f>
        <v>2.6666666666666665</v>
      </c>
      <c r="AW150" s="29769">
        <f>IF(HLOOKUP("Mins",A1:CV300,150,FALSE)=0,0,HLOOKUP("Gs",A1:CV300,150,FALSE)/HLOOKUP("Mins",A1:CV300,150,FALSE)* 90)</f>
        <v>8.9463220675944324E-2</v>
      </c>
      <c r="AX150" s="29770">
        <f>IF(HLOOKUP("Mins",A1:CV300,150,FALSE)=0,0,HLOOKUP("Bonus",A1:CV300,150,FALSE)/HLOOKUP("Mins",A1:CV300,150,FALSE)* 90)</f>
        <v>0.3578528827037773</v>
      </c>
      <c r="AY150" s="29771">
        <f>IF(HLOOKUP("Mins",A1:CV300,150,FALSE)=0,0,HLOOKUP("BPS",A1:CV300,150,FALSE)/HLOOKUP("Mins",A1:CV300,150,FALSE)* 90)</f>
        <v>17.803180914512922</v>
      </c>
      <c r="AZ150" s="29772">
        <f>IF(HLOOKUP("Mins",A1:CV300,150,FALSE)=0,0,HLOOKUP("Base BPS",A1:CV300,150,FALSE)/HLOOKUP("Mins",A1:CV300,150,FALSE)* 90)</f>
        <v>15.387673956262425</v>
      </c>
      <c r="BA150" s="29773">
        <f>IF(HLOOKUP("Mins",A1:CV300,150,FALSE)=0,0,HLOOKUP("PenTchs",A1:CV300,150,FALSE)/HLOOKUP("Mins",A1:CV300,150,FALSE)* 90)</f>
        <v>8.9463220675944324E-2</v>
      </c>
      <c r="BB150" s="29774">
        <f>IF(HLOOKUP("Mins",A1:CV300,150,FALSE)=0,0,HLOOKUP("Shots",A1:CV300,150,FALSE)/HLOOKUP("Mins",A1:CV300,150,FALSE)* 90)</f>
        <v>0.53677932405566597</v>
      </c>
      <c r="BC150" s="29775">
        <f>IF(HLOOKUP("Mins",A1:CV300,150,FALSE)=0,0,HLOOKUP("SIB",A1:CV300,150,FALSE)/HLOOKUP("Mins",A1:CV300,150,FALSE)* 90)</f>
        <v>0</v>
      </c>
      <c r="BD150" s="29776">
        <f>IF(HLOOKUP("Mins",A1:CV300,150,FALSE)=0,0,HLOOKUP("S6YD",A1:CV300,150,FALSE)/HLOOKUP("Mins",A1:CV300,150,FALSE)* 90)</f>
        <v>0</v>
      </c>
      <c r="BE150" s="29777">
        <f>IF(HLOOKUP("Mins",A1:CV300,150,FALSE)=0,0,HLOOKUP("Headers",A1:CV300,150,FALSE)/HLOOKUP("Mins",A1:CV300,150,FALSE)* 90)</f>
        <v>0</v>
      </c>
      <c r="BF150" s="29778">
        <f>IF(HLOOKUP("Mins",A1:CV300,150,FALSE)=0,0,HLOOKUP("SOT",A1:CV300,150,FALSE)/HLOOKUP("Mins",A1:CV300,150,FALSE)* 90)</f>
        <v>0.17892644135188865</v>
      </c>
      <c r="BG150" s="29779">
        <f>IF(HLOOKUP("Mins",A1:CV300,150,FALSE)=0,0,HLOOKUP("As",A1:CV300,150,FALSE)/HLOOKUP("Mins",A1:CV300,150,FALSE)* 90)</f>
        <v>8.9463220675944324E-2</v>
      </c>
      <c r="BH150" s="29780">
        <f>IF(HLOOKUP("Mins",A1:CV300,150,FALSE)=0,0,HLOOKUP("FPL As",A1:CV300,150,FALSE)/HLOOKUP("Mins",A1:CV300,150,FALSE)* 90)</f>
        <v>8.9463220675944324E-2</v>
      </c>
      <c r="BI150" s="29781">
        <f>IF(HLOOKUP("Mins",A1:CV300,150,FALSE)=0,0,HLOOKUP("BC Created",A1:CV300,150,FALSE)/HLOOKUP("Mins",A1:CV300,150,FALSE)* 90)</f>
        <v>8.9463220675944324E-2</v>
      </c>
      <c r="BJ150" s="29782">
        <f>IF(HLOOKUP("Mins",A1:CV300,150,FALSE)=0,0,HLOOKUP("KP",A1:CV300,150,FALSE)/HLOOKUP("Mins",A1:CV300,150,FALSE)* 90)</f>
        <v>1.1630218687872764</v>
      </c>
      <c r="BK150" s="29783">
        <f>IF(HLOOKUP("Mins",A1:CV300,150,FALSE)=0,0,HLOOKUP("BC",A1:CV300,150,FALSE)/HLOOKUP("Mins",A1:CV300,150,FALSE)* 90)</f>
        <v>0</v>
      </c>
      <c r="BL150" s="29784">
        <f>IF(HLOOKUP("Mins",A1:CV300,150,FALSE)=0,0,HLOOKUP("BC Miss",A1:CV300,150,FALSE)/HLOOKUP("Mins",A1:CV300,150,FALSE)* 90)</f>
        <v>0</v>
      </c>
      <c r="BM150" s="29785">
        <f>IF(HLOOKUP("Mins",A1:CV300,150,FALSE)=0,0,HLOOKUP("Gs - BC",A1:CV300,150,FALSE)/HLOOKUP("Mins",A1:CV300,150,FALSE)* 90)</f>
        <v>0</v>
      </c>
      <c r="BN150" s="29786">
        <f>IF(HLOOKUP("Mins",A1:CV300,150,FALSE)=0,0,HLOOKUP("GIB",A1:CV300,150,FALSE)/HLOOKUP("Mins",A1:CV300,150,FALSE)* 90)</f>
        <v>0</v>
      </c>
      <c r="BO150" s="29787">
        <f>IF(HLOOKUP("Mins",A1:CV300,150,FALSE)=0,0,HLOOKUP("Gs - Open",A1:CV300,150,FALSE)/HLOOKUP("Mins",A1:CV300,150,FALSE)* 90)</f>
        <v>8.9463220675944324E-2</v>
      </c>
      <c r="BP150" s="29788">
        <f>IF(HLOOKUP("Mins",A1:CV300,150,FALSE)=0,0,HLOOKUP("ICT Index",A1:CV300,150,FALSE)/HLOOKUP("Mins",A1:CV300,150,FALSE)* 90)</f>
        <v>4.0884691848906565</v>
      </c>
      <c r="BQ150" s="29789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  <v>1.9324055666003974E-2</v>
      </c>
      <c r="BR150" s="29790">
        <f>0.0885*HLOOKUP("KP/90",A1:CV300,150,FALSE)</f>
        <v>0.10292743538767396</v>
      </c>
      <c r="BS150" s="29791">
        <f>5*HLOOKUP("xG/90",A1:CV300,150,FALSE)+3*HLOOKUP("xA/90",A1:CV300,150,FALSE)</f>
        <v>0.40540258449304178</v>
      </c>
      <c r="BT150" s="29792">
        <f>HLOOKUP("xPts/90",A1:CV300,150,FALSE)-(5*0.75*(HLOOKUP("PK Gs",A1:CV300,150,FALSE)+HLOOKUP("PK Miss",A1:CV300,150,FALSE))*90/HLOOKUP("Mins",A1:CV300,150,FALSE))</f>
        <v>0.40540258449304178</v>
      </c>
      <c r="BU150" s="29793">
        <f>IF(HLOOKUP("Mins",A1:CV300,150,FALSE)=0,0,HLOOKUP("fsXG",A1:CV300,150,FALSE)/HLOOKUP("Mins",A1:CV300,150,FALSE)* 90)</f>
        <v>1.4314115308151094E-2</v>
      </c>
      <c r="BV150" s="29794">
        <f>IF(HLOOKUP("Mins",A1:CV300,150,FALSE)=0,0,HLOOKUP("fsXA",A1:CV300,150,FALSE)/HLOOKUP("Mins",A1:CV300,150,FALSE)* 90)</f>
        <v>7.4254473161033799E-2</v>
      </c>
      <c r="BW150" s="29795">
        <f>5*HLOOKUP("fsXG/90",A1:CV300,150,FALSE)+3*HLOOKUP("fsXA/90",A1:CV300,150,FALSE)</f>
        <v>0.2943339960238569</v>
      </c>
      <c r="BX150" s="29796">
        <v>1.0079643689095974E-2</v>
      </c>
      <c r="BY150" s="29797">
        <v>8.4164455533027649E-2</v>
      </c>
      <c r="BZ150" s="29798">
        <f>5*HLOOKUP("uXG/90",A1:CV300,150,FALSE)+3*HLOOKUP("uXA/90",A1:CV300,150,FALSE)</f>
        <v>0.30289158504456282</v>
      </c>
    </row>
    <row r="151" spans="1:78" x14ac:dyDescent="0.3">
      <c r="A151" s="29799" t="s">
        <v>478</v>
      </c>
      <c r="B151" s="29800" t="s">
        <v>151</v>
      </c>
      <c r="C151" s="29801">
        <v>8.3999996185302734</v>
      </c>
      <c r="D151" s="29802">
        <v>521</v>
      </c>
      <c r="E151" s="29803">
        <v>7</v>
      </c>
      <c r="F151" s="29804">
        <v>17</v>
      </c>
      <c r="G151" s="29805">
        <v>0</v>
      </c>
      <c r="H151" s="29806">
        <v>0</v>
      </c>
      <c r="I151" s="29807">
        <v>80</v>
      </c>
      <c r="J151" s="29808">
        <f>HLOOKUP("BPS",A1:CV300,151,FALSE)-((-6*HLOOKUP("OG",A1:CV300,151,FALSE))+(-6*HLOOKUP("PK Miss",A1:CV300,151,FALSE))+(9*HLOOKUP("FPL As",A1:CV300,151,FALSE))+(0*HLOOKUP("CS",A1:CV300,151,FALSE))+(18*HLOOKUP("Gs",A1:CV300,151,FALSE)))</f>
        <v>68</v>
      </c>
      <c r="K151" s="29809">
        <v>0</v>
      </c>
      <c r="L151" s="29810">
        <v>1</v>
      </c>
      <c r="M151" s="29811">
        <v>16</v>
      </c>
      <c r="N151" s="29812">
        <v>14</v>
      </c>
      <c r="O151" s="29813">
        <v>7</v>
      </c>
      <c r="P151" s="29814">
        <f>IF(HLOOKUP("Shots",A1:CV300,151,FALSE)=0,0,HLOOKUP("SIB",A1:CV300,151,FALSE)/HLOOKUP("Shots",A1:CV300,151,FALSE))</f>
        <v>0.5</v>
      </c>
      <c r="Q151" s="29815">
        <v>0</v>
      </c>
      <c r="R151" s="29816">
        <f>IF(HLOOKUP("Shots",A1:CV300,151,FALSE)=0,0,HLOOKUP("S6YD",A1:CV300,151,FALSE)/HLOOKUP("Shots",A1:CV300,151,FALSE))</f>
        <v>0</v>
      </c>
      <c r="S151" s="29817">
        <v>4</v>
      </c>
      <c r="T151" s="29818">
        <f>IF(HLOOKUP("Shots",A1:CV300,151,FALSE)=0,0,HLOOKUP("Headers",A1:CV300,151,FALSE)/HLOOKUP("Shots",A1:CV300,151,FALSE))</f>
        <v>0.2857142857142857</v>
      </c>
      <c r="U151" s="29819">
        <v>5</v>
      </c>
      <c r="V151" s="29820">
        <f>IF(HLOOKUP("Shots",A1:CV300,151,FALSE)=0,0,HLOOKUP("SOT",A1:CV300,151,FALSE)/HLOOKUP("Shots",A1:CV300,151,FALSE))</f>
        <v>0.35714285714285715</v>
      </c>
      <c r="W151" s="29821">
        <f>IF(HLOOKUP("Shots",A1:CV300,151,FALSE)=0,0,HLOOKUP("Gs",A1:CV300,151,FALSE)/HLOOKUP("Shots",A1:CV300,151,FALSE))</f>
        <v>0</v>
      </c>
      <c r="X151" s="29822">
        <v>2</v>
      </c>
      <c r="Y151" s="29823">
        <v>2</v>
      </c>
      <c r="Z151" s="29824">
        <v>16</v>
      </c>
      <c r="AA151" s="29825">
        <f>IF(HLOOKUP("KP",A1:CV300,151,FALSE)=0,0,HLOOKUP("As",A1:CV300,151,FALSE)/HLOOKUP("KP",A1:CV300,151,FALSE))</f>
        <v>0.125</v>
      </c>
      <c r="AB151" s="29826">
        <v>47.2</v>
      </c>
      <c r="AC151" s="29827">
        <v>22</v>
      </c>
      <c r="AD151" s="29828">
        <v>1</v>
      </c>
      <c r="AE151" s="29829">
        <v>3</v>
      </c>
      <c r="AF151" s="29830">
        <v>3</v>
      </c>
      <c r="AG151" s="29831">
        <f>IF(HLOOKUP("BC",A1:CV300,151,FALSE)=0,0,HLOOKUP("Gs - BC",A1:CV300,151,FALSE)/HLOOKUP("BC",A1:CV300,151,FALSE))</f>
        <v>0</v>
      </c>
      <c r="AH151" s="29832">
        <f>HLOOKUP("BC",A1:CV300,151,FALSE) - HLOOKUP("BC Miss",A1:CV300,151,FALSE)</f>
        <v>0</v>
      </c>
      <c r="AI151" s="29833">
        <f>IF(HLOOKUP("Gs",A1:CV300,151,FALSE)=0,0,HLOOKUP("Gs - BC",A1:CV300,151,FALSE)/HLOOKUP("Gs",A1:CV300,151,FALSE))</f>
        <v>0</v>
      </c>
      <c r="AJ151" s="29834">
        <v>0</v>
      </c>
      <c r="AK151" s="29835">
        <v>1</v>
      </c>
      <c r="AL151" s="29836">
        <f>HLOOKUP("BC",A1:CV300,151,FALSE) - (HLOOKUP("PK Gs",A1:CV300,151,FALSE) + HLOOKUP("PK Miss",A1:CV300,151,FALSE))</f>
        <v>2</v>
      </c>
      <c r="AM151" s="29837">
        <f>HLOOKUP("BC Miss",A1:CV300,151,FALSE) - HLOOKUP("PK Miss",A1:CV300,151,FALSE)</f>
        <v>2</v>
      </c>
      <c r="AN151" s="29838">
        <f>IF(HLOOKUP("BC - Open",A1:CV300,151,FALSE)=0,0,HLOOKUP("BC - Open Miss",A1:CV300,151,FALSE)/HLOOKUP("BC - Open",A1:CV300,151,FALSE))</f>
        <v>1</v>
      </c>
      <c r="AO151" s="29839">
        <v>0</v>
      </c>
      <c r="AP151" s="29840">
        <f>IF(HLOOKUP("Gs",A1:CV300,151,FALSE)=0,0,HLOOKUP("GIB",A1:CV300,151,FALSE)/HLOOKUP("Gs",A1:CV300,151,FALSE))</f>
        <v>0</v>
      </c>
      <c r="AQ151" s="29841">
        <v>0</v>
      </c>
      <c r="AR151" s="29842">
        <f>IF(HLOOKUP("Gs",A1:CV300,151,FALSE)=0,0,HLOOKUP("Gs - Open",A1:CV300,151,FALSE)/HLOOKUP("Gs",A1:CV300,151,FALSE))</f>
        <v>0</v>
      </c>
      <c r="AS151" s="29843">
        <v>2.1</v>
      </c>
      <c r="AT151" s="29844">
        <v>1.42</v>
      </c>
      <c r="AU151" s="29845">
        <f>IF(HLOOKUP("Mins",A1:CV300,151,FALSE)=0,0,HLOOKUP("Pts",A1:CV300,151,FALSE)/HLOOKUP("Mins",A1:CV300,151,FALSE)* 90)</f>
        <v>2.9366602687140113</v>
      </c>
      <c r="AV151" s="29846">
        <f>IF(HLOOKUP("Apps",A1:CV300,151,FALSE)=0,0,HLOOKUP("Pts",A1:CV300,151,FALSE)/HLOOKUP("Apps",A1:CV300,151,FALSE)* 1)</f>
        <v>2.4285714285714284</v>
      </c>
      <c r="AW151" s="29847">
        <f>IF(HLOOKUP("Mins",A1:CV300,151,FALSE)=0,0,HLOOKUP("Gs",A1:CV300,151,FALSE)/HLOOKUP("Mins",A1:CV300,151,FALSE)* 90)</f>
        <v>0</v>
      </c>
      <c r="AX151" s="29848">
        <f>IF(HLOOKUP("Mins",A1:CV300,151,FALSE)=0,0,HLOOKUP("Bonus",A1:CV300,151,FALSE)/HLOOKUP("Mins",A1:CV300,151,FALSE)* 90)</f>
        <v>0</v>
      </c>
      <c r="AY151" s="29849">
        <f>IF(HLOOKUP("Mins",A1:CV300,151,FALSE)=0,0,HLOOKUP("BPS",A1:CV300,151,FALSE)/HLOOKUP("Mins",A1:CV300,151,FALSE)* 90)</f>
        <v>13.819577735124758</v>
      </c>
      <c r="AZ151" s="29850">
        <f>IF(HLOOKUP("Mins",A1:CV300,151,FALSE)=0,0,HLOOKUP("Base BPS",A1:CV300,151,FALSE)/HLOOKUP("Mins",A1:CV300,151,FALSE)* 90)</f>
        <v>11.746641074856045</v>
      </c>
      <c r="BA151" s="29851">
        <f>IF(HLOOKUP("Mins",A1:CV300,151,FALSE)=0,0,HLOOKUP("PenTchs",A1:CV300,151,FALSE)/HLOOKUP("Mins",A1:CV300,151,FALSE)* 90)</f>
        <v>2.7639155470249519</v>
      </c>
      <c r="BB151" s="29852">
        <f>IF(HLOOKUP("Mins",A1:CV300,151,FALSE)=0,0,HLOOKUP("Shots",A1:CV300,151,FALSE)/HLOOKUP("Mins",A1:CV300,151,FALSE)* 90)</f>
        <v>2.4184261036468331</v>
      </c>
      <c r="BC151" s="29853">
        <f>IF(HLOOKUP("Mins",A1:CV300,151,FALSE)=0,0,HLOOKUP("SIB",A1:CV300,151,FALSE)/HLOOKUP("Mins",A1:CV300,151,FALSE)* 90)</f>
        <v>1.2092130518234165</v>
      </c>
      <c r="BD151" s="29854">
        <f>IF(HLOOKUP("Mins",A1:CV300,151,FALSE)=0,0,HLOOKUP("S6YD",A1:CV300,151,FALSE)/HLOOKUP("Mins",A1:CV300,151,FALSE)* 90)</f>
        <v>0</v>
      </c>
      <c r="BE151" s="29855">
        <f>IF(HLOOKUP("Mins",A1:CV300,151,FALSE)=0,0,HLOOKUP("Headers",A1:CV300,151,FALSE)/HLOOKUP("Mins",A1:CV300,151,FALSE)* 90)</f>
        <v>0.69097888675623798</v>
      </c>
      <c r="BF151" s="29856">
        <f>IF(HLOOKUP("Mins",A1:CV300,151,FALSE)=0,0,HLOOKUP("SOT",A1:CV300,151,FALSE)/HLOOKUP("Mins",A1:CV300,151,FALSE)* 90)</f>
        <v>0.86372360844529739</v>
      </c>
      <c r="BG151" s="29857">
        <f>IF(HLOOKUP("Mins",A1:CV300,151,FALSE)=0,0,HLOOKUP("As",A1:CV300,151,FALSE)/HLOOKUP("Mins",A1:CV300,151,FALSE)* 90)</f>
        <v>0.34548944337811899</v>
      </c>
      <c r="BH151" s="29858">
        <f>IF(HLOOKUP("Mins",A1:CV300,151,FALSE)=0,0,HLOOKUP("FPL As",A1:CV300,151,FALSE)/HLOOKUP("Mins",A1:CV300,151,FALSE)* 90)</f>
        <v>0.34548944337811899</v>
      </c>
      <c r="BI151" s="29859">
        <f>IF(HLOOKUP("Mins",A1:CV300,151,FALSE)=0,0,HLOOKUP("BC Created",A1:CV300,151,FALSE)/HLOOKUP("Mins",A1:CV300,151,FALSE)* 90)</f>
        <v>0.17274472168905949</v>
      </c>
      <c r="BJ151" s="29860">
        <f>IF(HLOOKUP("Mins",A1:CV300,151,FALSE)=0,0,HLOOKUP("KP",A1:CV300,151,FALSE)/HLOOKUP("Mins",A1:CV300,151,FALSE)* 90)</f>
        <v>2.7639155470249519</v>
      </c>
      <c r="BK151" s="29861">
        <f>IF(HLOOKUP("Mins",A1:CV300,151,FALSE)=0,0,HLOOKUP("BC",A1:CV300,151,FALSE)/HLOOKUP("Mins",A1:CV300,151,FALSE)* 90)</f>
        <v>0.51823416506717856</v>
      </c>
      <c r="BL151" s="29862">
        <f>IF(HLOOKUP("Mins",A1:CV300,151,FALSE)=0,0,HLOOKUP("BC Miss",A1:CV300,151,FALSE)/HLOOKUP("Mins",A1:CV300,151,FALSE)* 90)</f>
        <v>0.51823416506717856</v>
      </c>
      <c r="BM151" s="29863">
        <f>IF(HLOOKUP("Mins",A1:CV300,151,FALSE)=0,0,HLOOKUP("Gs - BC",A1:CV300,151,FALSE)/HLOOKUP("Mins",A1:CV300,151,FALSE)* 90)</f>
        <v>0</v>
      </c>
      <c r="BN151" s="29864">
        <f>IF(HLOOKUP("Mins",A1:CV300,151,FALSE)=0,0,HLOOKUP("GIB",A1:CV300,151,FALSE)/HLOOKUP("Mins",A1:CV300,151,FALSE)* 90)</f>
        <v>0</v>
      </c>
      <c r="BO151" s="29865">
        <f>IF(HLOOKUP("Mins",A1:CV300,151,FALSE)=0,0,HLOOKUP("Gs - Open",A1:CV300,151,FALSE)/HLOOKUP("Mins",A1:CV300,151,FALSE)* 90)</f>
        <v>0</v>
      </c>
      <c r="BP151" s="29866">
        <f>IF(HLOOKUP("Mins",A1:CV300,151,FALSE)=0,0,HLOOKUP("ICT Index",A1:CV300,151,FALSE)/HLOOKUP("Mins",A1:CV300,151,FALSE)* 90)</f>
        <v>8.1535508637236092</v>
      </c>
      <c r="BQ151" s="29867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  <v>0.3202687140115163</v>
      </c>
      <c r="BR151" s="29868">
        <f>0.0885*HLOOKUP("KP/90",A1:CV300,151,FALSE)</f>
        <v>0.24460652591170823</v>
      </c>
      <c r="BS151" s="29869">
        <f>5*HLOOKUP("xG/90",A1:CV300,151,FALSE)+3*HLOOKUP("xA/90",A1:CV300,151,FALSE)</f>
        <v>2.3351631477927062</v>
      </c>
      <c r="BT151" s="29870">
        <f>HLOOKUP("xPts/90",A1:CV300,151,FALSE)-(5*0.75*(HLOOKUP("PK Gs",A1:CV300,151,FALSE)+HLOOKUP("PK Miss",A1:CV300,151,FALSE))*90/HLOOKUP("Mins",A1:CV300,151,FALSE))</f>
        <v>1.6873704414587332</v>
      </c>
      <c r="BU151" s="29871">
        <f>IF(HLOOKUP("Mins",A1:CV300,151,FALSE)=0,0,HLOOKUP("fsXG",A1:CV300,151,FALSE)/HLOOKUP("Mins",A1:CV300,151,FALSE)* 90)</f>
        <v>0.36276391554702497</v>
      </c>
      <c r="BV151" s="29872">
        <f>IF(HLOOKUP("Mins",A1:CV300,151,FALSE)=0,0,HLOOKUP("fsXA",A1:CV300,151,FALSE)/HLOOKUP("Mins",A1:CV300,151,FALSE)* 90)</f>
        <v>0.24529750479846446</v>
      </c>
      <c r="BW151" s="29873">
        <f>5*HLOOKUP("fsXG/90",A1:CV300,151,FALSE)+3*HLOOKUP("fsXA/90",A1:CV300,151,FALSE)</f>
        <v>2.5497120921305183</v>
      </c>
      <c r="BX151" s="29874">
        <v>0.33089485764503479</v>
      </c>
      <c r="BY151" s="29875">
        <v>0.24382753670215607</v>
      </c>
      <c r="BZ151" s="29876">
        <f>5*HLOOKUP("uXG/90",A1:CV300,151,FALSE)+3*HLOOKUP("uXA/90",A1:CV300,151,FALSE)</f>
        <v>2.3859568983316422</v>
      </c>
    </row>
    <row r="152" spans="1:78" x14ac:dyDescent="0.3">
      <c r="A152" s="29877" t="s">
        <v>479</v>
      </c>
      <c r="B152" s="29878" t="s">
        <v>147</v>
      </c>
      <c r="C152" s="29879">
        <v>5</v>
      </c>
      <c r="D152" s="29880">
        <v>1124</v>
      </c>
      <c r="E152" s="29881">
        <v>14</v>
      </c>
      <c r="F152" s="29882">
        <v>42</v>
      </c>
      <c r="G152" s="29883">
        <v>3</v>
      </c>
      <c r="H152" s="29884">
        <v>2</v>
      </c>
      <c r="I152" s="29885">
        <v>211</v>
      </c>
      <c r="J152" s="29886">
        <f>HLOOKUP("BPS",A1:CV300,152,FALSE)-((-6*HLOOKUP("OG",A1:CV300,152,FALSE))+(-6*HLOOKUP("PK Miss",A1:CV300,152,FALSE))+(9*HLOOKUP("FPL As",A1:CV300,152,FALSE))+(0*HLOOKUP("CS",A1:CV300,152,FALSE))+(18*HLOOKUP("Gs",A1:CV300,152,FALSE)))</f>
        <v>157</v>
      </c>
      <c r="K152" s="29887">
        <v>0</v>
      </c>
      <c r="L152" s="29888">
        <v>2</v>
      </c>
      <c r="M152" s="29889">
        <v>20</v>
      </c>
      <c r="N152" s="29890">
        <v>12</v>
      </c>
      <c r="O152" s="29891">
        <v>3</v>
      </c>
      <c r="P152" s="29892">
        <f>IF(HLOOKUP("Shots",A1:CV300,152,FALSE)=0,0,HLOOKUP("SIB",A1:CV300,152,FALSE)/HLOOKUP("Shots",A1:CV300,152,FALSE))</f>
        <v>0.25</v>
      </c>
      <c r="Q152" s="29893">
        <v>0</v>
      </c>
      <c r="R152" s="29894">
        <f>IF(HLOOKUP("Shots",A1:CV300,152,FALSE)=0,0,HLOOKUP("S6YD",A1:CV300,152,FALSE)/HLOOKUP("Shots",A1:CV300,152,FALSE))</f>
        <v>0</v>
      </c>
      <c r="S152" s="29895">
        <v>0</v>
      </c>
      <c r="T152" s="29896">
        <f>IF(HLOOKUP("Shots",A1:CV300,152,FALSE)=0,0,HLOOKUP("Headers",A1:CV300,152,FALSE)/HLOOKUP("Shots",A1:CV300,152,FALSE))</f>
        <v>0</v>
      </c>
      <c r="U152" s="29897">
        <v>4</v>
      </c>
      <c r="V152" s="29898">
        <f>IF(HLOOKUP("Shots",A1:CV300,152,FALSE)=0,0,HLOOKUP("SOT",A1:CV300,152,FALSE)/HLOOKUP("Shots",A1:CV300,152,FALSE))</f>
        <v>0.33333333333333331</v>
      </c>
      <c r="W152" s="29899">
        <f>IF(HLOOKUP("Shots",A1:CV300,152,FALSE)=0,0,HLOOKUP("Gs",A1:CV300,152,FALSE)/HLOOKUP("Shots",A1:CV300,152,FALSE))</f>
        <v>0.25</v>
      </c>
      <c r="X152" s="29900">
        <v>0</v>
      </c>
      <c r="Y152" s="29901">
        <v>0</v>
      </c>
      <c r="Z152" s="29902">
        <v>21</v>
      </c>
      <c r="AA152" s="29903">
        <f>IF(HLOOKUP("KP",A1:CV300,152,FALSE)=0,0,HLOOKUP("As",A1:CV300,152,FALSE)/HLOOKUP("KP",A1:CV300,152,FALSE))</f>
        <v>0</v>
      </c>
      <c r="AB152" s="29904">
        <v>76.8</v>
      </c>
      <c r="AC152" s="29905">
        <v>18</v>
      </c>
      <c r="AD152" s="29906">
        <v>1</v>
      </c>
      <c r="AE152" s="29907">
        <v>2</v>
      </c>
      <c r="AF152" s="29908">
        <v>1</v>
      </c>
      <c r="AG152" s="29909">
        <f>IF(HLOOKUP("BC",A1:CV300,152,FALSE)=0,0,HLOOKUP("Gs - BC",A1:CV300,152,FALSE)/HLOOKUP("BC",A1:CV300,152,FALSE))</f>
        <v>0.5</v>
      </c>
      <c r="AH152" s="29910">
        <f>HLOOKUP("BC",A1:CV300,152,FALSE) - HLOOKUP("BC Miss",A1:CV300,152,FALSE)</f>
        <v>1</v>
      </c>
      <c r="AI152" s="29911">
        <f>IF(HLOOKUP("Gs",A1:CV300,152,FALSE)=0,0,HLOOKUP("Gs - BC",A1:CV300,152,FALSE)/HLOOKUP("Gs",A1:CV300,152,FALSE))</f>
        <v>0.33333333333333331</v>
      </c>
      <c r="AJ152" s="29912">
        <v>0</v>
      </c>
      <c r="AK152" s="29913">
        <v>0</v>
      </c>
      <c r="AL152" s="29914">
        <f>HLOOKUP("BC",A1:CV300,152,FALSE) - (HLOOKUP("PK Gs",A1:CV300,152,FALSE) + HLOOKUP("PK Miss",A1:CV300,152,FALSE))</f>
        <v>2</v>
      </c>
      <c r="AM152" s="29915">
        <f>HLOOKUP("BC Miss",A1:CV300,152,FALSE) - HLOOKUP("PK Miss",A1:CV300,152,FALSE)</f>
        <v>1</v>
      </c>
      <c r="AN152" s="29916">
        <f>IF(HLOOKUP("BC - Open",A1:CV300,152,FALSE)=0,0,HLOOKUP("BC - Open Miss",A1:CV300,152,FALSE)/HLOOKUP("BC - Open",A1:CV300,152,FALSE))</f>
        <v>0.5</v>
      </c>
      <c r="AO152" s="29917">
        <v>1</v>
      </c>
      <c r="AP152" s="29918">
        <f>IF(HLOOKUP("Gs",A1:CV300,152,FALSE)=0,0,HLOOKUP("GIB",A1:CV300,152,FALSE)/HLOOKUP("Gs",A1:CV300,152,FALSE))</f>
        <v>0.33333333333333331</v>
      </c>
      <c r="AQ152" s="29919">
        <v>3</v>
      </c>
      <c r="AR152" s="29920">
        <f>IF(HLOOKUP("Gs",A1:CV300,152,FALSE)=0,0,HLOOKUP("Gs - Open",A1:CV300,152,FALSE)/HLOOKUP("Gs",A1:CV300,152,FALSE))</f>
        <v>1</v>
      </c>
      <c r="AS152" s="29921">
        <v>1.1399999999999999</v>
      </c>
      <c r="AT152" s="29922">
        <v>1.28</v>
      </c>
      <c r="AU152" s="29923">
        <f>IF(HLOOKUP("Mins",A1:CV300,152,FALSE)=0,0,HLOOKUP("Pts",A1:CV300,152,FALSE)/HLOOKUP("Mins",A1:CV300,152,FALSE)* 90)</f>
        <v>3.3629893238434163</v>
      </c>
      <c r="AV152" s="29924">
        <f>IF(HLOOKUP("Apps",A1:CV300,152,FALSE)=0,0,HLOOKUP("Pts",A1:CV300,152,FALSE)/HLOOKUP("Apps",A1:CV300,152,FALSE)* 1)</f>
        <v>3</v>
      </c>
      <c r="AW152" s="29925">
        <f>IF(HLOOKUP("Mins",A1:CV300,152,FALSE)=0,0,HLOOKUP("Gs",A1:CV300,152,FALSE)/HLOOKUP("Mins",A1:CV300,152,FALSE)* 90)</f>
        <v>0.2402135231316726</v>
      </c>
      <c r="AX152" s="29926">
        <f>IF(HLOOKUP("Mins",A1:CV300,152,FALSE)=0,0,HLOOKUP("Bonus",A1:CV300,152,FALSE)/HLOOKUP("Mins",A1:CV300,152,FALSE)* 90)</f>
        <v>0.16014234875444838</v>
      </c>
      <c r="AY152" s="29927">
        <f>IF(HLOOKUP("Mins",A1:CV300,152,FALSE)=0,0,HLOOKUP("BPS",A1:CV300,152,FALSE)/HLOOKUP("Mins",A1:CV300,152,FALSE)* 90)</f>
        <v>16.895017793594306</v>
      </c>
      <c r="AZ152" s="29928">
        <f>IF(HLOOKUP("Mins",A1:CV300,152,FALSE)=0,0,HLOOKUP("Base BPS",A1:CV300,152,FALSE)/HLOOKUP("Mins",A1:CV300,152,FALSE)* 90)</f>
        <v>12.5711743772242</v>
      </c>
      <c r="BA152" s="29929">
        <f>IF(HLOOKUP("Mins",A1:CV300,152,FALSE)=0,0,HLOOKUP("PenTchs",A1:CV300,152,FALSE)/HLOOKUP("Mins",A1:CV300,152,FALSE)* 90)</f>
        <v>1.6014234875444842</v>
      </c>
      <c r="BB152" s="29930">
        <f>IF(HLOOKUP("Mins",A1:CV300,152,FALSE)=0,0,HLOOKUP("Shots",A1:CV300,152,FALSE)/HLOOKUP("Mins",A1:CV300,152,FALSE)* 90)</f>
        <v>0.96085409252669041</v>
      </c>
      <c r="BC152" s="29931">
        <f>IF(HLOOKUP("Mins",A1:CV300,152,FALSE)=0,0,HLOOKUP("SIB",A1:CV300,152,FALSE)/HLOOKUP("Mins",A1:CV300,152,FALSE)* 90)</f>
        <v>0.2402135231316726</v>
      </c>
      <c r="BD152" s="29932">
        <f>IF(HLOOKUP("Mins",A1:CV300,152,FALSE)=0,0,HLOOKUP("S6YD",A1:CV300,152,FALSE)/HLOOKUP("Mins",A1:CV300,152,FALSE)* 90)</f>
        <v>0</v>
      </c>
      <c r="BE152" s="29933">
        <f>IF(HLOOKUP("Mins",A1:CV300,152,FALSE)=0,0,HLOOKUP("Headers",A1:CV300,152,FALSE)/HLOOKUP("Mins",A1:CV300,152,FALSE)* 90)</f>
        <v>0</v>
      </c>
      <c r="BF152" s="29934">
        <f>IF(HLOOKUP("Mins",A1:CV300,152,FALSE)=0,0,HLOOKUP("SOT",A1:CV300,152,FALSE)/HLOOKUP("Mins",A1:CV300,152,FALSE)* 90)</f>
        <v>0.32028469750889677</v>
      </c>
      <c r="BG152" s="29935">
        <f>IF(HLOOKUP("Mins",A1:CV300,152,FALSE)=0,0,HLOOKUP("As",A1:CV300,152,FALSE)/HLOOKUP("Mins",A1:CV300,152,FALSE)* 90)</f>
        <v>0</v>
      </c>
      <c r="BH152" s="29936">
        <f>IF(HLOOKUP("Mins",A1:CV300,152,FALSE)=0,0,HLOOKUP("FPL As",A1:CV300,152,FALSE)/HLOOKUP("Mins",A1:CV300,152,FALSE)* 90)</f>
        <v>0</v>
      </c>
      <c r="BI152" s="29937">
        <f>IF(HLOOKUP("Mins",A1:CV300,152,FALSE)=0,0,HLOOKUP("BC Created",A1:CV300,152,FALSE)/HLOOKUP("Mins",A1:CV300,152,FALSE)* 90)</f>
        <v>8.0071174377224191E-2</v>
      </c>
      <c r="BJ152" s="29938">
        <f>IF(HLOOKUP("Mins",A1:CV300,152,FALSE)=0,0,HLOOKUP("KP",A1:CV300,152,FALSE)/HLOOKUP("Mins",A1:CV300,152,FALSE)* 90)</f>
        <v>1.6814946619217082</v>
      </c>
      <c r="BK152" s="29939">
        <f>IF(HLOOKUP("Mins",A1:CV300,152,FALSE)=0,0,HLOOKUP("BC",A1:CV300,152,FALSE)/HLOOKUP("Mins",A1:CV300,152,FALSE)* 90)</f>
        <v>0.16014234875444838</v>
      </c>
      <c r="BL152" s="29940">
        <f>IF(HLOOKUP("Mins",A1:CV300,152,FALSE)=0,0,HLOOKUP("BC Miss",A1:CV300,152,FALSE)/HLOOKUP("Mins",A1:CV300,152,FALSE)* 90)</f>
        <v>8.0071174377224191E-2</v>
      </c>
      <c r="BM152" s="29941">
        <f>IF(HLOOKUP("Mins",A1:CV300,152,FALSE)=0,0,HLOOKUP("Gs - BC",A1:CV300,152,FALSE)/HLOOKUP("Mins",A1:CV300,152,FALSE)* 90)</f>
        <v>8.0071174377224191E-2</v>
      </c>
      <c r="BN152" s="29942">
        <f>IF(HLOOKUP("Mins",A1:CV300,152,FALSE)=0,0,HLOOKUP("GIB",A1:CV300,152,FALSE)/HLOOKUP("Mins",A1:CV300,152,FALSE)* 90)</f>
        <v>8.0071174377224191E-2</v>
      </c>
      <c r="BO152" s="29943">
        <f>IF(HLOOKUP("Mins",A1:CV300,152,FALSE)=0,0,HLOOKUP("Gs - Open",A1:CV300,152,FALSE)/HLOOKUP("Mins",A1:CV300,152,FALSE)* 90)</f>
        <v>0.2402135231316726</v>
      </c>
      <c r="BP152" s="29944">
        <f>IF(HLOOKUP("Mins",A1:CV300,152,FALSE)=0,0,HLOOKUP("ICT Index",A1:CV300,152,FALSE)/HLOOKUP("Mins",A1:CV300,152,FALSE)* 90)</f>
        <v>6.1494661921708174</v>
      </c>
      <c r="BQ152" s="29945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  <v>6.0053380782918143E-2</v>
      </c>
      <c r="BR152" s="29946">
        <f>0.0885*HLOOKUP("KP/90",A1:CV300,152,FALSE)</f>
        <v>0.14881227758007115</v>
      </c>
      <c r="BS152" s="29947">
        <f>5*HLOOKUP("xG/90",A1:CV300,152,FALSE)+3*HLOOKUP("xA/90",A1:CV300,152,FALSE)</f>
        <v>0.74670373665480416</v>
      </c>
      <c r="BT152" s="29948">
        <f>HLOOKUP("xPts/90",A1:CV300,152,FALSE)-(5*0.75*(HLOOKUP("PK Gs",A1:CV300,152,FALSE)+HLOOKUP("PK Miss",A1:CV300,152,FALSE))*90/HLOOKUP("Mins",A1:CV300,152,FALSE))</f>
        <v>0.74670373665480416</v>
      </c>
      <c r="BU152" s="29949">
        <f>IF(HLOOKUP("Mins",A1:CV300,152,FALSE)=0,0,HLOOKUP("fsXG",A1:CV300,152,FALSE)/HLOOKUP("Mins",A1:CV300,152,FALSE)* 90)</f>
        <v>9.1281138790035576E-2</v>
      </c>
      <c r="BV152" s="29950">
        <f>IF(HLOOKUP("Mins",A1:CV300,152,FALSE)=0,0,HLOOKUP("fsXA",A1:CV300,152,FALSE)/HLOOKUP("Mins",A1:CV300,152,FALSE)* 90)</f>
        <v>0.10249110320284698</v>
      </c>
      <c r="BW152" s="29951">
        <f>5*HLOOKUP("fsXG/90",A1:CV300,152,FALSE)+3*HLOOKUP("fsXA/90",A1:CV300,152,FALSE)</f>
        <v>0.76387900355871885</v>
      </c>
      <c r="BX152" s="29952">
        <v>0.10176094621419907</v>
      </c>
      <c r="BY152" s="29953">
        <v>0.10585752874612808</v>
      </c>
      <c r="BZ152" s="29954">
        <f>5*HLOOKUP("uXG/90",A1:CV300,152,FALSE)+3*HLOOKUP("uXA/90",A1:CV300,152,FALSE)</f>
        <v>0.82637731730937958</v>
      </c>
    </row>
    <row r="153" spans="1:78" x14ac:dyDescent="0.3">
      <c r="A153" s="29955" t="s">
        <v>480</v>
      </c>
      <c r="B153" s="29956" t="s">
        <v>96</v>
      </c>
      <c r="C153" s="29957">
        <v>5.4000000953674316</v>
      </c>
      <c r="D153" s="29958">
        <v>1710</v>
      </c>
      <c r="E153" s="29959">
        <v>19</v>
      </c>
      <c r="F153" s="29960">
        <v>61</v>
      </c>
      <c r="G153" s="29961">
        <v>0</v>
      </c>
      <c r="H153" s="29962">
        <v>5</v>
      </c>
      <c r="I153" s="29963">
        <v>280</v>
      </c>
      <c r="J153" s="29964">
        <f>HLOOKUP("BPS",A1:CV300,153,FALSE)-((-6*HLOOKUP("OG",A1:CV300,153,FALSE))+(-6*HLOOKUP("PK Miss",A1:CV300,153,FALSE))+(9*HLOOKUP("FPL As",A1:CV300,153,FALSE))+(0*HLOOKUP("CS",A1:CV300,153,FALSE))+(18*HLOOKUP("Gs",A1:CV300,153,FALSE)))</f>
        <v>226</v>
      </c>
      <c r="K153" s="29965">
        <v>0</v>
      </c>
      <c r="L153" s="29966">
        <v>7</v>
      </c>
      <c r="M153" s="29967">
        <v>12</v>
      </c>
      <c r="N153" s="29968">
        <v>8</v>
      </c>
      <c r="O153" s="29969">
        <v>4</v>
      </c>
      <c r="P153" s="29970">
        <f>IF(HLOOKUP("Shots",A1:CV300,153,FALSE)=0,0,HLOOKUP("SIB",A1:CV300,153,FALSE)/HLOOKUP("Shots",A1:CV300,153,FALSE))</f>
        <v>0.5</v>
      </c>
      <c r="Q153" s="29971">
        <v>0</v>
      </c>
      <c r="R153" s="29972">
        <f>IF(HLOOKUP("Shots",A1:CV300,153,FALSE)=0,0,HLOOKUP("S6YD",A1:CV300,153,FALSE)/HLOOKUP("Shots",A1:CV300,153,FALSE))</f>
        <v>0</v>
      </c>
      <c r="S153" s="29973">
        <v>1</v>
      </c>
      <c r="T153" s="29974">
        <f>IF(HLOOKUP("Shots",A1:CV300,153,FALSE)=0,0,HLOOKUP("Headers",A1:CV300,153,FALSE)/HLOOKUP("Shots",A1:CV300,153,FALSE))</f>
        <v>0.125</v>
      </c>
      <c r="U153" s="29975">
        <v>0</v>
      </c>
      <c r="V153" s="29976">
        <f>IF(HLOOKUP("Shots",A1:CV300,153,FALSE)=0,0,HLOOKUP("SOT",A1:CV300,153,FALSE)/HLOOKUP("Shots",A1:CV300,153,FALSE))</f>
        <v>0</v>
      </c>
      <c r="W153" s="29977">
        <f>IF(HLOOKUP("Shots",A1:CV300,153,FALSE)=0,0,HLOOKUP("Gs",A1:CV300,153,FALSE)/HLOOKUP("Shots",A1:CV300,153,FALSE))</f>
        <v>0</v>
      </c>
      <c r="X153" s="29978">
        <v>5</v>
      </c>
      <c r="Y153" s="29979">
        <v>6</v>
      </c>
      <c r="Z153" s="29980">
        <v>29</v>
      </c>
      <c r="AA153" s="29981">
        <f>IF(HLOOKUP("KP",A1:CV300,153,FALSE)=0,0,HLOOKUP("As",A1:CV300,153,FALSE)/HLOOKUP("KP",A1:CV300,153,FALSE))</f>
        <v>0.17241379310344829</v>
      </c>
      <c r="AB153" s="29982">
        <v>84</v>
      </c>
      <c r="AC153" s="29983">
        <v>26</v>
      </c>
      <c r="AD153" s="29984">
        <v>6</v>
      </c>
      <c r="AE153" s="29985">
        <v>0</v>
      </c>
      <c r="AF153" s="29986">
        <v>0</v>
      </c>
      <c r="AG153" s="29987">
        <f>IF(HLOOKUP("BC",A1:CV300,153,FALSE)=0,0,HLOOKUP("Gs - BC",A1:CV300,153,FALSE)/HLOOKUP("BC",A1:CV300,153,FALSE))</f>
        <v>0</v>
      </c>
      <c r="AH153" s="29988">
        <f>HLOOKUP("BC",A1:CV300,153,FALSE) - HLOOKUP("BC Miss",A1:CV300,153,FALSE)</f>
        <v>0</v>
      </c>
      <c r="AI153" s="29989">
        <f>IF(HLOOKUP("Gs",A1:CV300,153,FALSE)=0,0,HLOOKUP("Gs - BC",A1:CV300,153,FALSE)/HLOOKUP("Gs",A1:CV300,153,FALSE))</f>
        <v>0</v>
      </c>
      <c r="AJ153" s="29990">
        <v>0</v>
      </c>
      <c r="AK153" s="29991">
        <v>0</v>
      </c>
      <c r="AL153" s="29992">
        <f>HLOOKUP("BC",A1:CV300,153,FALSE) - (HLOOKUP("PK Gs",A1:CV300,153,FALSE) + HLOOKUP("PK Miss",A1:CV300,153,FALSE))</f>
        <v>0</v>
      </c>
      <c r="AM153" s="29993">
        <f>HLOOKUP("BC Miss",A1:CV300,153,FALSE) - HLOOKUP("PK Miss",A1:CV300,153,FALSE)</f>
        <v>0</v>
      </c>
      <c r="AN153" s="29994">
        <f>IF(HLOOKUP("BC - Open",A1:CV300,153,FALSE)=0,0,HLOOKUP("BC - Open Miss",A1:CV300,153,FALSE)/HLOOKUP("BC - Open",A1:CV300,153,FALSE))</f>
        <v>0</v>
      </c>
      <c r="AO153" s="29995">
        <v>0</v>
      </c>
      <c r="AP153" s="29996">
        <f>IF(HLOOKUP("Gs",A1:CV300,153,FALSE)=0,0,HLOOKUP("GIB",A1:CV300,153,FALSE)/HLOOKUP("Gs",A1:CV300,153,FALSE))</f>
        <v>0</v>
      </c>
      <c r="AQ153" s="29997">
        <v>0</v>
      </c>
      <c r="AR153" s="29998">
        <f>IF(HLOOKUP("Gs",A1:CV300,153,FALSE)=0,0,HLOOKUP("Gs - Open",A1:CV300,153,FALSE)/HLOOKUP("Gs",A1:CV300,153,FALSE))</f>
        <v>0</v>
      </c>
      <c r="AS153" s="29999">
        <v>0.6</v>
      </c>
      <c r="AT153" s="30000">
        <v>3.78</v>
      </c>
      <c r="AU153" s="30001">
        <f>IF(HLOOKUP("Mins",A1:CV300,153,FALSE)=0,0,HLOOKUP("Pts",A1:CV300,153,FALSE)/HLOOKUP("Mins",A1:CV300,153,FALSE)* 90)</f>
        <v>3.2105263157894739</v>
      </c>
      <c r="AV153" s="30002">
        <f>IF(HLOOKUP("Apps",A1:CV300,153,FALSE)=0,0,HLOOKUP("Pts",A1:CV300,153,FALSE)/HLOOKUP("Apps",A1:CV300,153,FALSE)* 1)</f>
        <v>3.2105263157894739</v>
      </c>
      <c r="AW153" s="30003">
        <f>IF(HLOOKUP("Mins",A1:CV300,153,FALSE)=0,0,HLOOKUP("Gs",A1:CV300,153,FALSE)/HLOOKUP("Mins",A1:CV300,153,FALSE)* 90)</f>
        <v>0</v>
      </c>
      <c r="AX153" s="30004">
        <f>IF(HLOOKUP("Mins",A1:CV300,153,FALSE)=0,0,HLOOKUP("Bonus",A1:CV300,153,FALSE)/HLOOKUP("Mins",A1:CV300,153,FALSE)* 90)</f>
        <v>0.26315789473684209</v>
      </c>
      <c r="AY153" s="30005">
        <f>IF(HLOOKUP("Mins",A1:CV300,153,FALSE)=0,0,HLOOKUP("BPS",A1:CV300,153,FALSE)/HLOOKUP("Mins",A1:CV300,153,FALSE)* 90)</f>
        <v>14.736842105263158</v>
      </c>
      <c r="AZ153" s="30006">
        <f>IF(HLOOKUP("Mins",A1:CV300,153,FALSE)=0,0,HLOOKUP("Base BPS",A1:CV300,153,FALSE)/HLOOKUP("Mins",A1:CV300,153,FALSE)* 90)</f>
        <v>11.894736842105264</v>
      </c>
      <c r="BA153" s="30007">
        <f>IF(HLOOKUP("Mins",A1:CV300,153,FALSE)=0,0,HLOOKUP("PenTchs",A1:CV300,153,FALSE)/HLOOKUP("Mins",A1:CV300,153,FALSE)* 90)</f>
        <v>0.63157894736842102</v>
      </c>
      <c r="BB153" s="30008">
        <f>IF(HLOOKUP("Mins",A1:CV300,153,FALSE)=0,0,HLOOKUP("Shots",A1:CV300,153,FALSE)/HLOOKUP("Mins",A1:CV300,153,FALSE)* 90)</f>
        <v>0.4210526315789474</v>
      </c>
      <c r="BC153" s="30009">
        <f>IF(HLOOKUP("Mins",A1:CV300,153,FALSE)=0,0,HLOOKUP("SIB",A1:CV300,153,FALSE)/HLOOKUP("Mins",A1:CV300,153,FALSE)* 90)</f>
        <v>0.2105263157894737</v>
      </c>
      <c r="BD153" s="30010">
        <f>IF(HLOOKUP("Mins",A1:CV300,153,FALSE)=0,0,HLOOKUP("S6YD",A1:CV300,153,FALSE)/HLOOKUP("Mins",A1:CV300,153,FALSE)* 90)</f>
        <v>0</v>
      </c>
      <c r="BE153" s="30011">
        <f>IF(HLOOKUP("Mins",A1:CV300,153,FALSE)=0,0,HLOOKUP("Headers",A1:CV300,153,FALSE)/HLOOKUP("Mins",A1:CV300,153,FALSE)* 90)</f>
        <v>5.2631578947368425E-2</v>
      </c>
      <c r="BF153" s="30012">
        <f>IF(HLOOKUP("Mins",A1:CV300,153,FALSE)=0,0,HLOOKUP("SOT",A1:CV300,153,FALSE)/HLOOKUP("Mins",A1:CV300,153,FALSE)* 90)</f>
        <v>0</v>
      </c>
      <c r="BG153" s="30013">
        <f>IF(HLOOKUP("Mins",A1:CV300,153,FALSE)=0,0,HLOOKUP("As",A1:CV300,153,FALSE)/HLOOKUP("Mins",A1:CV300,153,FALSE)* 90)</f>
        <v>0.26315789473684209</v>
      </c>
      <c r="BH153" s="30014">
        <f>IF(HLOOKUP("Mins",A1:CV300,153,FALSE)=0,0,HLOOKUP("FPL As",A1:CV300,153,FALSE)/HLOOKUP("Mins",A1:CV300,153,FALSE)* 90)</f>
        <v>0.31578947368421051</v>
      </c>
      <c r="BI153" s="30015">
        <f>IF(HLOOKUP("Mins",A1:CV300,153,FALSE)=0,0,HLOOKUP("BC Created",A1:CV300,153,FALSE)/HLOOKUP("Mins",A1:CV300,153,FALSE)* 90)</f>
        <v>0.31578947368421051</v>
      </c>
      <c r="BJ153" s="30016">
        <f>IF(HLOOKUP("Mins",A1:CV300,153,FALSE)=0,0,HLOOKUP("KP",A1:CV300,153,FALSE)/HLOOKUP("Mins",A1:CV300,153,FALSE)* 90)</f>
        <v>1.5263157894736841</v>
      </c>
      <c r="BK153" s="30017">
        <f>IF(HLOOKUP("Mins",A1:CV300,153,FALSE)=0,0,HLOOKUP("BC",A1:CV300,153,FALSE)/HLOOKUP("Mins",A1:CV300,153,FALSE)* 90)</f>
        <v>0</v>
      </c>
      <c r="BL153" s="30018">
        <f>IF(HLOOKUP("Mins",A1:CV300,153,FALSE)=0,0,HLOOKUP("BC Miss",A1:CV300,153,FALSE)/HLOOKUP("Mins",A1:CV300,153,FALSE)* 90)</f>
        <v>0</v>
      </c>
      <c r="BM153" s="30019">
        <f>IF(HLOOKUP("Mins",A1:CV300,153,FALSE)=0,0,HLOOKUP("Gs - BC",A1:CV300,153,FALSE)/HLOOKUP("Mins",A1:CV300,153,FALSE)* 90)</f>
        <v>0</v>
      </c>
      <c r="BN153" s="30020">
        <f>IF(HLOOKUP("Mins",A1:CV300,153,FALSE)=0,0,HLOOKUP("GIB",A1:CV300,153,FALSE)/HLOOKUP("Mins",A1:CV300,153,FALSE)* 90)</f>
        <v>0</v>
      </c>
      <c r="BO153" s="30021">
        <f>IF(HLOOKUP("Mins",A1:CV300,153,FALSE)=0,0,HLOOKUP("Gs - Open",A1:CV300,153,FALSE)/HLOOKUP("Mins",A1:CV300,153,FALSE)* 90)</f>
        <v>0</v>
      </c>
      <c r="BP153" s="30022">
        <f>IF(HLOOKUP("Mins",A1:CV300,153,FALSE)=0,0,HLOOKUP("ICT Index",A1:CV300,153,FALSE)/HLOOKUP("Mins",A1:CV300,153,FALSE)* 90)</f>
        <v>4.4210526315789478</v>
      </c>
      <c r="BQ153" s="30023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  <v>3.7473684210526312E-2</v>
      </c>
      <c r="BR153" s="30024">
        <f>0.0885*HLOOKUP("KP/90",A1:CV300,153,FALSE)</f>
        <v>0.13507894736842102</v>
      </c>
      <c r="BS153" s="30025">
        <f>5*HLOOKUP("xG/90",A1:CV300,153,FALSE)+3*HLOOKUP("xA/90",A1:CV300,153,FALSE)</f>
        <v>0.59260526315789464</v>
      </c>
      <c r="BT153" s="30026">
        <f>HLOOKUP("xPts/90",A1:CV300,153,FALSE)-(5*0.75*(HLOOKUP("PK Gs",A1:CV300,153,FALSE)+HLOOKUP("PK Miss",A1:CV300,153,FALSE))*90/HLOOKUP("Mins",A1:CV300,153,FALSE))</f>
        <v>0.59260526315789464</v>
      </c>
      <c r="BU153" s="30027">
        <f>IF(HLOOKUP("Mins",A1:CV300,153,FALSE)=0,0,HLOOKUP("fsXG",A1:CV300,153,FALSE)/HLOOKUP("Mins",A1:CV300,153,FALSE)* 90)</f>
        <v>3.1578947368421054E-2</v>
      </c>
      <c r="BV153" s="30028">
        <f>IF(HLOOKUP("Mins",A1:CV300,153,FALSE)=0,0,HLOOKUP("fsXA",A1:CV300,153,FALSE)/HLOOKUP("Mins",A1:CV300,153,FALSE)* 90)</f>
        <v>0.19894736842105262</v>
      </c>
      <c r="BW153" s="30029">
        <f>5*HLOOKUP("fsXG/90",A1:CV300,153,FALSE)+3*HLOOKUP("fsXA/90",A1:CV300,153,FALSE)</f>
        <v>0.75473684210526315</v>
      </c>
      <c r="BX153" s="30030">
        <v>3.5584863275289536E-2</v>
      </c>
      <c r="BY153" s="30031">
        <v>0.22057095170021057</v>
      </c>
      <c r="BZ153" s="30032">
        <f>5*HLOOKUP("uXG/90",A1:CV300,153,FALSE)+3*HLOOKUP("uXA/90",A1:CV300,153,FALSE)</f>
        <v>0.83963717147707939</v>
      </c>
    </row>
    <row r="154" spans="1:78" x14ac:dyDescent="0.3">
      <c r="A154" s="30033" t="s">
        <v>481</v>
      </c>
      <c r="B154" s="30034" t="s">
        <v>102</v>
      </c>
      <c r="C154" s="30035">
        <v>4.6999998092651367</v>
      </c>
      <c r="D154" s="30036">
        <v>135</v>
      </c>
      <c r="E154" s="30037">
        <v>3</v>
      </c>
      <c r="F154" s="30038">
        <v>4</v>
      </c>
      <c r="G154" s="30039">
        <v>0</v>
      </c>
      <c r="H154" s="30040">
        <v>0</v>
      </c>
      <c r="I154" s="30041">
        <v>18</v>
      </c>
      <c r="J154" s="30042">
        <f>HLOOKUP("BPS",A1:CV300,154,FALSE)-((-6*HLOOKUP("OG",A1:CV300,154,FALSE))+(-6*HLOOKUP("PK Miss",A1:CV300,154,FALSE))+(9*HLOOKUP("FPL As",A1:CV300,154,FALSE))+(0*HLOOKUP("CS",A1:CV300,154,FALSE))+(18*HLOOKUP("Gs",A1:CV300,154,FALSE)))</f>
        <v>18</v>
      </c>
      <c r="K154" s="30043">
        <v>0</v>
      </c>
      <c r="L154" s="30044">
        <v>0</v>
      </c>
      <c r="M154" s="30045">
        <v>0</v>
      </c>
      <c r="N154" s="30046">
        <v>0</v>
      </c>
      <c r="O154" s="30047">
        <v>0</v>
      </c>
      <c r="P154" s="30048">
        <f>IF(HLOOKUP("Shots",A1:CV300,154,FALSE)=0,0,HLOOKUP("SIB",A1:CV300,154,FALSE)/HLOOKUP("Shots",A1:CV300,154,FALSE))</f>
        <v>0</v>
      </c>
      <c r="Q154" s="30049">
        <v>0</v>
      </c>
      <c r="R154" s="30050">
        <f>IF(HLOOKUP("Shots",A1:CV300,154,FALSE)=0,0,HLOOKUP("S6YD",A1:CV300,154,FALSE)/HLOOKUP("Shots",A1:CV300,154,FALSE))</f>
        <v>0</v>
      </c>
      <c r="S154" s="30051">
        <v>0</v>
      </c>
      <c r="T154" s="30052">
        <f>IF(HLOOKUP("Shots",A1:CV300,154,FALSE)=0,0,HLOOKUP("Headers",A1:CV300,154,FALSE)/HLOOKUP("Shots",A1:CV300,154,FALSE))</f>
        <v>0</v>
      </c>
      <c r="U154" s="30053">
        <v>0</v>
      </c>
      <c r="V154" s="30054">
        <f>IF(HLOOKUP("Shots",A1:CV300,154,FALSE)=0,0,HLOOKUP("SOT",A1:CV300,154,FALSE)/HLOOKUP("Shots",A1:CV300,154,FALSE))</f>
        <v>0</v>
      </c>
      <c r="W154" s="30055">
        <f>IF(HLOOKUP("Shots",A1:CV300,154,FALSE)=0,0,HLOOKUP("Gs",A1:CV300,154,FALSE)/HLOOKUP("Shots",A1:CV300,154,FALSE))</f>
        <v>0</v>
      </c>
      <c r="X154" s="30056">
        <v>0</v>
      </c>
      <c r="Y154" s="30057">
        <v>0</v>
      </c>
      <c r="Z154" s="30058">
        <v>2</v>
      </c>
      <c r="AA154" s="30059">
        <f>IF(HLOOKUP("KP",A1:CV300,154,FALSE)=0,0,HLOOKUP("As",A1:CV300,154,FALSE)/HLOOKUP("KP",A1:CV300,154,FALSE))</f>
        <v>0</v>
      </c>
      <c r="AB154" s="30060">
        <v>5.8</v>
      </c>
      <c r="AC154" s="30061">
        <v>0</v>
      </c>
      <c r="AD154" s="30062">
        <v>0</v>
      </c>
      <c r="AE154" s="30063">
        <v>0</v>
      </c>
      <c r="AF154" s="30064">
        <v>0</v>
      </c>
      <c r="AG154" s="30065">
        <f>IF(HLOOKUP("BC",A1:CV300,154,FALSE)=0,0,HLOOKUP("Gs - BC",A1:CV300,154,FALSE)/HLOOKUP("BC",A1:CV300,154,FALSE))</f>
        <v>0</v>
      </c>
      <c r="AH154" s="30066">
        <f>HLOOKUP("BC",A1:CV300,154,FALSE) - HLOOKUP("BC Miss",A1:CV300,154,FALSE)</f>
        <v>0</v>
      </c>
      <c r="AI154" s="30067">
        <f>IF(HLOOKUP("Gs",A1:CV300,154,FALSE)=0,0,HLOOKUP("Gs - BC",A1:CV300,154,FALSE)/HLOOKUP("Gs",A1:CV300,154,FALSE))</f>
        <v>0</v>
      </c>
      <c r="AJ154" s="30068">
        <v>0</v>
      </c>
      <c r="AK154" s="30069">
        <v>0</v>
      </c>
      <c r="AL154" s="30070">
        <f>HLOOKUP("BC",A1:CV300,154,FALSE) - (HLOOKUP("PK Gs",A1:CV300,154,FALSE) + HLOOKUP("PK Miss",A1:CV300,154,FALSE))</f>
        <v>0</v>
      </c>
      <c r="AM154" s="30071">
        <f>HLOOKUP("BC Miss",A1:CV300,154,FALSE) - HLOOKUP("PK Miss",A1:CV300,154,FALSE)</f>
        <v>0</v>
      </c>
      <c r="AN154" s="30072">
        <f>IF(HLOOKUP("BC - Open",A1:CV300,154,FALSE)=0,0,HLOOKUP("BC - Open Miss",A1:CV300,154,FALSE)/HLOOKUP("BC - Open",A1:CV300,154,FALSE))</f>
        <v>0</v>
      </c>
      <c r="AO154" s="30073">
        <v>0</v>
      </c>
      <c r="AP154" s="30074">
        <f>IF(HLOOKUP("Gs",A1:CV300,154,FALSE)=0,0,HLOOKUP("GIB",A1:CV300,154,FALSE)/HLOOKUP("Gs",A1:CV300,154,FALSE))</f>
        <v>0</v>
      </c>
      <c r="AQ154" s="30075">
        <v>0</v>
      </c>
      <c r="AR154" s="30076">
        <f>IF(HLOOKUP("Gs",A1:CV300,154,FALSE)=0,0,HLOOKUP("Gs - Open",A1:CV300,154,FALSE)/HLOOKUP("Gs",A1:CV300,154,FALSE))</f>
        <v>0</v>
      </c>
      <c r="AS154" s="30077">
        <v>0</v>
      </c>
      <c r="AT154" s="30078">
        <v>0.12</v>
      </c>
      <c r="AU154" s="30079">
        <f>IF(HLOOKUP("Mins",A1:CV300,154,FALSE)=0,0,HLOOKUP("Pts",A1:CV300,154,FALSE)/HLOOKUP("Mins",A1:CV300,154,FALSE)* 90)</f>
        <v>2.666666666666667</v>
      </c>
      <c r="AV154" s="30080">
        <f>IF(HLOOKUP("Apps",A1:CV300,154,FALSE)=0,0,HLOOKUP("Pts",A1:CV300,154,FALSE)/HLOOKUP("Apps",A1:CV300,154,FALSE)* 1)</f>
        <v>1.3333333333333333</v>
      </c>
      <c r="AW154" s="30081">
        <f>IF(HLOOKUP("Mins",A1:CV300,154,FALSE)=0,0,HLOOKUP("Gs",A1:CV300,154,FALSE)/HLOOKUP("Mins",A1:CV300,154,FALSE)* 90)</f>
        <v>0</v>
      </c>
      <c r="AX154" s="30082">
        <f>IF(HLOOKUP("Mins",A1:CV300,154,FALSE)=0,0,HLOOKUP("Bonus",A1:CV300,154,FALSE)/HLOOKUP("Mins",A1:CV300,154,FALSE)* 90)</f>
        <v>0</v>
      </c>
      <c r="AY154" s="30083">
        <f>IF(HLOOKUP("Mins",A1:CV300,154,FALSE)=0,0,HLOOKUP("BPS",A1:CV300,154,FALSE)/HLOOKUP("Mins",A1:CV300,154,FALSE)* 90)</f>
        <v>12</v>
      </c>
      <c r="AZ154" s="30084">
        <f>IF(HLOOKUP("Mins",A1:CV300,154,FALSE)=0,0,HLOOKUP("Base BPS",A1:CV300,154,FALSE)/HLOOKUP("Mins",A1:CV300,154,FALSE)* 90)</f>
        <v>12</v>
      </c>
      <c r="BA154" s="30085">
        <f>IF(HLOOKUP("Mins",A1:CV300,154,FALSE)=0,0,HLOOKUP("PenTchs",A1:CV300,154,FALSE)/HLOOKUP("Mins",A1:CV300,154,FALSE)* 90)</f>
        <v>0</v>
      </c>
      <c r="BB154" s="30086">
        <f>IF(HLOOKUP("Mins",A1:CV300,154,FALSE)=0,0,HLOOKUP("Shots",A1:CV300,154,FALSE)/HLOOKUP("Mins",A1:CV300,154,FALSE)* 90)</f>
        <v>0</v>
      </c>
      <c r="BC154" s="30087">
        <f>IF(HLOOKUP("Mins",A1:CV300,154,FALSE)=0,0,HLOOKUP("SIB",A1:CV300,154,FALSE)/HLOOKUP("Mins",A1:CV300,154,FALSE)* 90)</f>
        <v>0</v>
      </c>
      <c r="BD154" s="30088">
        <f>IF(HLOOKUP("Mins",A1:CV300,154,FALSE)=0,0,HLOOKUP("S6YD",A1:CV300,154,FALSE)/HLOOKUP("Mins",A1:CV300,154,FALSE)* 90)</f>
        <v>0</v>
      </c>
      <c r="BE154" s="30089">
        <f>IF(HLOOKUP("Mins",A1:CV300,154,FALSE)=0,0,HLOOKUP("Headers",A1:CV300,154,FALSE)/HLOOKUP("Mins",A1:CV300,154,FALSE)* 90)</f>
        <v>0</v>
      </c>
      <c r="BF154" s="30090">
        <f>IF(HLOOKUP("Mins",A1:CV300,154,FALSE)=0,0,HLOOKUP("SOT",A1:CV300,154,FALSE)/HLOOKUP("Mins",A1:CV300,154,FALSE)* 90)</f>
        <v>0</v>
      </c>
      <c r="BG154" s="30091">
        <f>IF(HLOOKUP("Mins",A1:CV300,154,FALSE)=0,0,HLOOKUP("As",A1:CV300,154,FALSE)/HLOOKUP("Mins",A1:CV300,154,FALSE)* 90)</f>
        <v>0</v>
      </c>
      <c r="BH154" s="30092">
        <f>IF(HLOOKUP("Mins",A1:CV300,154,FALSE)=0,0,HLOOKUP("FPL As",A1:CV300,154,FALSE)/HLOOKUP("Mins",A1:CV300,154,FALSE)* 90)</f>
        <v>0</v>
      </c>
      <c r="BI154" s="30093">
        <f>IF(HLOOKUP("Mins",A1:CV300,154,FALSE)=0,0,HLOOKUP("BC Created",A1:CV300,154,FALSE)/HLOOKUP("Mins",A1:CV300,154,FALSE)* 90)</f>
        <v>0</v>
      </c>
      <c r="BJ154" s="30094">
        <f>IF(HLOOKUP("Mins",A1:CV300,154,FALSE)=0,0,HLOOKUP("KP",A1:CV300,154,FALSE)/HLOOKUP("Mins",A1:CV300,154,FALSE)* 90)</f>
        <v>1.3333333333333335</v>
      </c>
      <c r="BK154" s="30095">
        <f>IF(HLOOKUP("Mins",A1:CV300,154,FALSE)=0,0,HLOOKUP("BC",A1:CV300,154,FALSE)/HLOOKUP("Mins",A1:CV300,154,FALSE)* 90)</f>
        <v>0</v>
      </c>
      <c r="BL154" s="30096">
        <f>IF(HLOOKUP("Mins",A1:CV300,154,FALSE)=0,0,HLOOKUP("BC Miss",A1:CV300,154,FALSE)/HLOOKUP("Mins",A1:CV300,154,FALSE)* 90)</f>
        <v>0</v>
      </c>
      <c r="BM154" s="30097">
        <f>IF(HLOOKUP("Mins",A1:CV300,154,FALSE)=0,0,HLOOKUP("Gs - BC",A1:CV300,154,FALSE)/HLOOKUP("Mins",A1:CV300,154,FALSE)* 90)</f>
        <v>0</v>
      </c>
      <c r="BN154" s="30098">
        <f>IF(HLOOKUP("Mins",A1:CV300,154,FALSE)=0,0,HLOOKUP("GIB",A1:CV300,154,FALSE)/HLOOKUP("Mins",A1:CV300,154,FALSE)* 90)</f>
        <v>0</v>
      </c>
      <c r="BO154" s="30099">
        <f>IF(HLOOKUP("Mins",A1:CV300,154,FALSE)=0,0,HLOOKUP("Gs - Open",A1:CV300,154,FALSE)/HLOOKUP("Mins",A1:CV300,154,FALSE)* 90)</f>
        <v>0</v>
      </c>
      <c r="BP154" s="30100">
        <f>IF(HLOOKUP("Mins",A1:CV300,154,FALSE)=0,0,HLOOKUP("ICT Index",A1:CV300,154,FALSE)/HLOOKUP("Mins",A1:CV300,154,FALSE)* 90)</f>
        <v>3.8666666666666663</v>
      </c>
      <c r="BQ154" s="30101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  <v>0</v>
      </c>
      <c r="BR154" s="30102">
        <f>0.0885*HLOOKUP("KP/90",A1:CV300,154,FALSE)</f>
        <v>0.11800000000000001</v>
      </c>
      <c r="BS154" s="30103">
        <f>5*HLOOKUP("xG/90",A1:CV300,154,FALSE)+3*HLOOKUP("xA/90",A1:CV300,154,FALSE)</f>
        <v>0.35400000000000004</v>
      </c>
      <c r="BT154" s="30104">
        <f>HLOOKUP("xPts/90",A1:CV300,154,FALSE)-(5*0.75*(HLOOKUP("PK Gs",A1:CV300,154,FALSE)+HLOOKUP("PK Miss",A1:CV300,154,FALSE))*90/HLOOKUP("Mins",A1:CV300,154,FALSE))</f>
        <v>0.35400000000000004</v>
      </c>
      <c r="BU154" s="30105">
        <f>IF(HLOOKUP("Mins",A1:CV300,154,FALSE)=0,0,HLOOKUP("fsXG",A1:CV300,154,FALSE)/HLOOKUP("Mins",A1:CV300,154,FALSE)* 90)</f>
        <v>0</v>
      </c>
      <c r="BV154" s="30106">
        <f>IF(HLOOKUP("Mins",A1:CV300,154,FALSE)=0,0,HLOOKUP("fsXA",A1:CV300,154,FALSE)/HLOOKUP("Mins",A1:CV300,154,FALSE)* 90)</f>
        <v>7.9999999999999988E-2</v>
      </c>
      <c r="BW154" s="30107">
        <f>5*HLOOKUP("fsXG/90",A1:CV300,154,FALSE)+3*HLOOKUP("fsXA/90",A1:CV300,154,FALSE)</f>
        <v>0.23999999999999996</v>
      </c>
      <c r="BX154" s="30108">
        <v>0</v>
      </c>
      <c r="BY154" s="30109">
        <v>3.6207973957061768E-2</v>
      </c>
      <c r="BZ154" s="30110">
        <f>5*HLOOKUP("uXG/90",A1:CV300,154,FALSE)+3*HLOOKUP("uXA/90",A1:CV300,154,FALSE)</f>
        <v>0.1086239218711853</v>
      </c>
    </row>
    <row r="155" spans="1:78" x14ac:dyDescent="0.3">
      <c r="A155" s="30111" t="s">
        <v>482</v>
      </c>
      <c r="B155" s="30112" t="s">
        <v>89</v>
      </c>
      <c r="C155" s="30113">
        <v>7.3000001907348633</v>
      </c>
      <c r="D155" s="30114">
        <v>354</v>
      </c>
      <c r="E155" s="30115">
        <v>12</v>
      </c>
      <c r="F155" s="30116">
        <v>15</v>
      </c>
      <c r="G155" s="30117">
        <v>0</v>
      </c>
      <c r="H155" s="30118">
        <v>0</v>
      </c>
      <c r="I155" s="30119">
        <v>49</v>
      </c>
      <c r="J155" s="30120">
        <f>HLOOKUP("BPS",A1:CV300,155,FALSE)-((-6*HLOOKUP("OG",A1:CV300,155,FALSE))+(-6*HLOOKUP("PK Miss",A1:CV300,155,FALSE))+(9*HLOOKUP("FPL As",A1:CV300,155,FALSE))+(0*HLOOKUP("CS",A1:CV300,155,FALSE))+(18*HLOOKUP("Gs",A1:CV300,155,FALSE)))</f>
        <v>49</v>
      </c>
      <c r="K155" s="30121">
        <v>0</v>
      </c>
      <c r="L155" s="30122">
        <v>1</v>
      </c>
      <c r="M155" s="30123">
        <v>13</v>
      </c>
      <c r="N155" s="30124">
        <v>7</v>
      </c>
      <c r="O155" s="30125">
        <v>2</v>
      </c>
      <c r="P155" s="30126">
        <f>IF(HLOOKUP("Shots",A1:CV300,155,FALSE)=0,0,HLOOKUP("SIB",A1:CV300,155,FALSE)/HLOOKUP("Shots",A1:CV300,155,FALSE))</f>
        <v>0.2857142857142857</v>
      </c>
      <c r="Q155" s="30127">
        <v>1</v>
      </c>
      <c r="R155" s="30128">
        <f>IF(HLOOKUP("Shots",A1:CV300,155,FALSE)=0,0,HLOOKUP("S6YD",A1:CV300,155,FALSE)/HLOOKUP("Shots",A1:CV300,155,FALSE))</f>
        <v>0.14285714285714285</v>
      </c>
      <c r="S155" s="30129">
        <v>0</v>
      </c>
      <c r="T155" s="30130">
        <f>IF(HLOOKUP("Shots",A1:CV300,155,FALSE)=0,0,HLOOKUP("Headers",A1:CV300,155,FALSE)/HLOOKUP("Shots",A1:CV300,155,FALSE))</f>
        <v>0</v>
      </c>
      <c r="U155" s="30131">
        <v>1</v>
      </c>
      <c r="V155" s="30132">
        <f>IF(HLOOKUP("Shots",A1:CV300,155,FALSE)=0,0,HLOOKUP("SOT",A1:CV300,155,FALSE)/HLOOKUP("Shots",A1:CV300,155,FALSE))</f>
        <v>0.14285714285714285</v>
      </c>
      <c r="W155" s="30133">
        <f>IF(HLOOKUP("Shots",A1:CV300,155,FALSE)=0,0,HLOOKUP("Gs",A1:CV300,155,FALSE)/HLOOKUP("Shots",A1:CV300,155,FALSE))</f>
        <v>0</v>
      </c>
      <c r="X155" s="30134">
        <v>0</v>
      </c>
      <c r="Y155" s="30135">
        <v>0</v>
      </c>
      <c r="Z155" s="30136">
        <v>6</v>
      </c>
      <c r="AA155" s="30137">
        <f>IF(HLOOKUP("KP",A1:CV300,155,FALSE)=0,0,HLOOKUP("As",A1:CV300,155,FALSE)/HLOOKUP("KP",A1:CV300,155,FALSE))</f>
        <v>0</v>
      </c>
      <c r="AB155" s="30138">
        <v>21.5</v>
      </c>
      <c r="AC155" s="30139">
        <v>0</v>
      </c>
      <c r="AD155" s="30140">
        <v>0</v>
      </c>
      <c r="AE155" s="30141">
        <v>1</v>
      </c>
      <c r="AF155" s="30142">
        <v>1</v>
      </c>
      <c r="AG155" s="30143">
        <f>IF(HLOOKUP("BC",A1:CV300,155,FALSE)=0,0,HLOOKUP("Gs - BC",A1:CV300,155,FALSE)/HLOOKUP("BC",A1:CV300,155,FALSE))</f>
        <v>0</v>
      </c>
      <c r="AH155" s="30144">
        <f>HLOOKUP("BC",A1:CV300,155,FALSE) - HLOOKUP("BC Miss",A1:CV300,155,FALSE)</f>
        <v>0</v>
      </c>
      <c r="AI155" s="30145">
        <f>IF(HLOOKUP("Gs",A1:CV300,155,FALSE)=0,0,HLOOKUP("Gs - BC",A1:CV300,155,FALSE)/HLOOKUP("Gs",A1:CV300,155,FALSE))</f>
        <v>0</v>
      </c>
      <c r="AJ155" s="30146">
        <v>0</v>
      </c>
      <c r="AK155" s="30147">
        <v>0</v>
      </c>
      <c r="AL155" s="30148">
        <f>HLOOKUP("BC",A1:CV300,155,FALSE) - (HLOOKUP("PK Gs",A1:CV300,155,FALSE) + HLOOKUP("PK Miss",A1:CV300,155,FALSE))</f>
        <v>1</v>
      </c>
      <c r="AM155" s="30149">
        <f>HLOOKUP("BC Miss",A1:CV300,155,FALSE) - HLOOKUP("PK Miss",A1:CV300,155,FALSE)</f>
        <v>1</v>
      </c>
      <c r="AN155" s="30150">
        <f>IF(HLOOKUP("BC - Open",A1:CV300,155,FALSE)=0,0,HLOOKUP("BC - Open Miss",A1:CV300,155,FALSE)/HLOOKUP("BC - Open",A1:CV300,155,FALSE))</f>
        <v>1</v>
      </c>
      <c r="AO155" s="30151">
        <v>0</v>
      </c>
      <c r="AP155" s="30152">
        <f>IF(HLOOKUP("Gs",A1:CV300,155,FALSE)=0,0,HLOOKUP("GIB",A1:CV300,155,FALSE)/HLOOKUP("Gs",A1:CV300,155,FALSE))</f>
        <v>0</v>
      </c>
      <c r="AQ155" s="30153">
        <v>0</v>
      </c>
      <c r="AR155" s="30154">
        <f>IF(HLOOKUP("Gs",A1:CV300,155,FALSE)=0,0,HLOOKUP("Gs - Open",A1:CV300,155,FALSE)/HLOOKUP("Gs",A1:CV300,155,FALSE))</f>
        <v>0</v>
      </c>
      <c r="AS155" s="30155">
        <v>0.81</v>
      </c>
      <c r="AT155" s="30156">
        <v>0.33</v>
      </c>
      <c r="AU155" s="30157">
        <f>IF(HLOOKUP("Mins",A1:CV300,155,FALSE)=0,0,HLOOKUP("Pts",A1:CV300,155,FALSE)/HLOOKUP("Mins",A1:CV300,155,FALSE)* 90)</f>
        <v>3.8135593220338979</v>
      </c>
      <c r="AV155" s="30158">
        <f>IF(HLOOKUP("Apps",A1:CV300,155,FALSE)=0,0,HLOOKUP("Pts",A1:CV300,155,FALSE)/HLOOKUP("Apps",A1:CV300,155,FALSE)* 1)</f>
        <v>1.25</v>
      </c>
      <c r="AW155" s="30159">
        <f>IF(HLOOKUP("Mins",A1:CV300,155,FALSE)=0,0,HLOOKUP("Gs",A1:CV300,155,FALSE)/HLOOKUP("Mins",A1:CV300,155,FALSE)* 90)</f>
        <v>0</v>
      </c>
      <c r="AX155" s="30160">
        <f>IF(HLOOKUP("Mins",A1:CV300,155,FALSE)=0,0,HLOOKUP("Bonus",A1:CV300,155,FALSE)/HLOOKUP("Mins",A1:CV300,155,FALSE)* 90)</f>
        <v>0</v>
      </c>
      <c r="AY155" s="30161">
        <f>IF(HLOOKUP("Mins",A1:CV300,155,FALSE)=0,0,HLOOKUP("BPS",A1:CV300,155,FALSE)/HLOOKUP("Mins",A1:CV300,155,FALSE)* 90)</f>
        <v>12.457627118644067</v>
      </c>
      <c r="AZ155" s="30162">
        <f>IF(HLOOKUP("Mins",A1:CV300,155,FALSE)=0,0,HLOOKUP("Base BPS",A1:CV300,155,FALSE)/HLOOKUP("Mins",A1:CV300,155,FALSE)* 90)</f>
        <v>12.457627118644067</v>
      </c>
      <c r="BA155" s="30163">
        <f>IF(HLOOKUP("Mins",A1:CV300,155,FALSE)=0,0,HLOOKUP("PenTchs",A1:CV300,155,FALSE)/HLOOKUP("Mins",A1:CV300,155,FALSE)* 90)</f>
        <v>3.3050847457627119</v>
      </c>
      <c r="BB155" s="30164">
        <f>IF(HLOOKUP("Mins",A1:CV300,155,FALSE)=0,0,HLOOKUP("Shots",A1:CV300,155,FALSE)/HLOOKUP("Mins",A1:CV300,155,FALSE)* 90)</f>
        <v>1.7796610169491527</v>
      </c>
      <c r="BC155" s="30165">
        <f>IF(HLOOKUP("Mins",A1:CV300,155,FALSE)=0,0,HLOOKUP("SIB",A1:CV300,155,FALSE)/HLOOKUP("Mins",A1:CV300,155,FALSE)* 90)</f>
        <v>0.50847457627118642</v>
      </c>
      <c r="BD155" s="30166">
        <f>IF(HLOOKUP("Mins",A1:CV300,155,FALSE)=0,0,HLOOKUP("S6YD",A1:CV300,155,FALSE)/HLOOKUP("Mins",A1:CV300,155,FALSE)* 90)</f>
        <v>0.25423728813559321</v>
      </c>
      <c r="BE155" s="30167">
        <f>IF(HLOOKUP("Mins",A1:CV300,155,FALSE)=0,0,HLOOKUP("Headers",A1:CV300,155,FALSE)/HLOOKUP("Mins",A1:CV300,155,FALSE)* 90)</f>
        <v>0</v>
      </c>
      <c r="BF155" s="30168">
        <f>IF(HLOOKUP("Mins",A1:CV300,155,FALSE)=0,0,HLOOKUP("SOT",A1:CV300,155,FALSE)/HLOOKUP("Mins",A1:CV300,155,FALSE)* 90)</f>
        <v>0.25423728813559321</v>
      </c>
      <c r="BG155" s="30169">
        <f>IF(HLOOKUP("Mins",A1:CV300,155,FALSE)=0,0,HLOOKUP("As",A1:CV300,155,FALSE)/HLOOKUP("Mins",A1:CV300,155,FALSE)* 90)</f>
        <v>0</v>
      </c>
      <c r="BH155" s="30170">
        <f>IF(HLOOKUP("Mins",A1:CV300,155,FALSE)=0,0,HLOOKUP("FPL As",A1:CV300,155,FALSE)/HLOOKUP("Mins",A1:CV300,155,FALSE)* 90)</f>
        <v>0</v>
      </c>
      <c r="BI155" s="30171">
        <f>IF(HLOOKUP("Mins",A1:CV300,155,FALSE)=0,0,HLOOKUP("BC Created",A1:CV300,155,FALSE)/HLOOKUP("Mins",A1:CV300,155,FALSE)* 90)</f>
        <v>0</v>
      </c>
      <c r="BJ155" s="30172">
        <f>IF(HLOOKUP("Mins",A1:CV300,155,FALSE)=0,0,HLOOKUP("KP",A1:CV300,155,FALSE)/HLOOKUP("Mins",A1:CV300,155,FALSE)* 90)</f>
        <v>1.5254237288135593</v>
      </c>
      <c r="BK155" s="30173">
        <f>IF(HLOOKUP("Mins",A1:CV300,155,FALSE)=0,0,HLOOKUP("BC",A1:CV300,155,FALSE)/HLOOKUP("Mins",A1:CV300,155,FALSE)* 90)</f>
        <v>0.25423728813559321</v>
      </c>
      <c r="BL155" s="30174">
        <f>IF(HLOOKUP("Mins",A1:CV300,155,FALSE)=0,0,HLOOKUP("BC Miss",A1:CV300,155,FALSE)/HLOOKUP("Mins",A1:CV300,155,FALSE)* 90)</f>
        <v>0.25423728813559321</v>
      </c>
      <c r="BM155" s="30175">
        <f>IF(HLOOKUP("Mins",A1:CV300,155,FALSE)=0,0,HLOOKUP("Gs - BC",A1:CV300,155,FALSE)/HLOOKUP("Mins",A1:CV300,155,FALSE)* 90)</f>
        <v>0</v>
      </c>
      <c r="BN155" s="30176">
        <f>IF(HLOOKUP("Mins",A1:CV300,155,FALSE)=0,0,HLOOKUP("GIB",A1:CV300,155,FALSE)/HLOOKUP("Mins",A1:CV300,155,FALSE)* 90)</f>
        <v>0</v>
      </c>
      <c r="BO155" s="30177">
        <f>IF(HLOOKUP("Mins",A1:CV300,155,FALSE)=0,0,HLOOKUP("Gs - Open",A1:CV300,155,FALSE)/HLOOKUP("Mins",A1:CV300,155,FALSE)* 90)</f>
        <v>0</v>
      </c>
      <c r="BP155" s="30178">
        <f>IF(HLOOKUP("Mins",A1:CV300,155,FALSE)=0,0,HLOOKUP("ICT Index",A1:CV300,155,FALSE)/HLOOKUP("Mins",A1:CV300,155,FALSE)* 90)</f>
        <v>5.4661016949152543</v>
      </c>
      <c r="BQ155" s="30179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  <v>0.11796610169491524</v>
      </c>
      <c r="BR155" s="30180">
        <f>0.0885*HLOOKUP("KP/90",A1:CV300,155,FALSE)</f>
        <v>0.13499999999999998</v>
      </c>
      <c r="BS155" s="30181">
        <f>5*HLOOKUP("xG/90",A1:CV300,155,FALSE)+3*HLOOKUP("xA/90",A1:CV300,155,FALSE)</f>
        <v>0.9948305084745761</v>
      </c>
      <c r="BT155" s="30182">
        <f>HLOOKUP("xPts/90",A1:CV300,155,FALSE)-(5*0.75*(HLOOKUP("PK Gs",A1:CV300,155,FALSE)+HLOOKUP("PK Miss",A1:CV300,155,FALSE))*90/HLOOKUP("Mins",A1:CV300,155,FALSE))</f>
        <v>0.9948305084745761</v>
      </c>
      <c r="BU155" s="30183">
        <f>IF(HLOOKUP("Mins",A1:CV300,155,FALSE)=0,0,HLOOKUP("fsXG",A1:CV300,155,FALSE)/HLOOKUP("Mins",A1:CV300,155,FALSE)* 90)</f>
        <v>0.20593220338983054</v>
      </c>
      <c r="BV155" s="30184">
        <f>IF(HLOOKUP("Mins",A1:CV300,155,FALSE)=0,0,HLOOKUP("fsXA",A1:CV300,155,FALSE)/HLOOKUP("Mins",A1:CV300,155,FALSE)* 90)</f>
        <v>8.3898305084745772E-2</v>
      </c>
      <c r="BW155" s="30185">
        <f>5*HLOOKUP("fsXG/90",A1:CV300,155,FALSE)+3*HLOOKUP("fsXA/90",A1:CV300,155,FALSE)</f>
        <v>1.2813559322033901</v>
      </c>
      <c r="BX155" s="30186">
        <v>0.21378180384635925</v>
      </c>
      <c r="BY155" s="30187">
        <v>4.5715067535638809E-2</v>
      </c>
      <c r="BZ155" s="30188">
        <f>5*HLOOKUP("uXG/90",A1:CV300,155,FALSE)+3*HLOOKUP("uXA/90",A1:CV300,155,FALSE)</f>
        <v>1.2060542218387127</v>
      </c>
    </row>
    <row r="156" spans="1:78" x14ac:dyDescent="0.3">
      <c r="A156" s="30189" t="s">
        <v>483</v>
      </c>
      <c r="B156" s="30190" t="s">
        <v>91</v>
      </c>
      <c r="C156" s="30191">
        <v>4.9000000953674316</v>
      </c>
      <c r="D156" s="30192">
        <v>1659</v>
      </c>
      <c r="E156" s="30193">
        <v>21</v>
      </c>
      <c r="F156" s="30194">
        <v>45</v>
      </c>
      <c r="G156" s="30195">
        <v>1</v>
      </c>
      <c r="H156" s="30196">
        <v>0</v>
      </c>
      <c r="I156" s="30197">
        <v>247</v>
      </c>
      <c r="J156" s="30198">
        <f>HLOOKUP("BPS",A1:CV300,156,FALSE)-((-6*HLOOKUP("OG",A1:CV300,156,FALSE))+(-6*HLOOKUP("PK Miss",A1:CV300,156,FALSE))+(9*HLOOKUP("FPL As",A1:CV300,156,FALSE))+(0*HLOOKUP("CS",A1:CV300,156,FALSE))+(18*HLOOKUP("Gs",A1:CV300,156,FALSE)))</f>
        <v>220</v>
      </c>
      <c r="K156" s="30199">
        <v>0</v>
      </c>
      <c r="L156" s="30200">
        <v>2</v>
      </c>
      <c r="M156" s="30201">
        <v>23</v>
      </c>
      <c r="N156" s="30202">
        <v>20</v>
      </c>
      <c r="O156" s="30203">
        <v>10</v>
      </c>
      <c r="P156" s="30204">
        <f>IF(HLOOKUP("Shots",A1:CV300,156,FALSE)=0,0,HLOOKUP("SIB",A1:CV300,156,FALSE)/HLOOKUP("Shots",A1:CV300,156,FALSE))</f>
        <v>0.5</v>
      </c>
      <c r="Q156" s="30205">
        <v>0</v>
      </c>
      <c r="R156" s="30206">
        <f>IF(HLOOKUP("Shots",A1:CV300,156,FALSE)=0,0,HLOOKUP("S6YD",A1:CV300,156,FALSE)/HLOOKUP("Shots",A1:CV300,156,FALSE))</f>
        <v>0</v>
      </c>
      <c r="S156" s="30207">
        <v>5</v>
      </c>
      <c r="T156" s="30208">
        <f>IF(HLOOKUP("Shots",A1:CV300,156,FALSE)=0,0,HLOOKUP("Headers",A1:CV300,156,FALSE)/HLOOKUP("Shots",A1:CV300,156,FALSE))</f>
        <v>0.25</v>
      </c>
      <c r="U156" s="30209">
        <v>7</v>
      </c>
      <c r="V156" s="30210">
        <f>IF(HLOOKUP("Shots",A1:CV300,156,FALSE)=0,0,HLOOKUP("SOT",A1:CV300,156,FALSE)/HLOOKUP("Shots",A1:CV300,156,FALSE))</f>
        <v>0.35</v>
      </c>
      <c r="W156" s="30211">
        <f>IF(HLOOKUP("Shots",A1:CV300,156,FALSE)=0,0,HLOOKUP("Gs",A1:CV300,156,FALSE)/HLOOKUP("Shots",A1:CV300,156,FALSE))</f>
        <v>0.05</v>
      </c>
      <c r="X156" s="30212">
        <v>1</v>
      </c>
      <c r="Y156" s="30213">
        <v>1</v>
      </c>
      <c r="Z156" s="30214">
        <v>15</v>
      </c>
      <c r="AA156" s="30215">
        <f>IF(HLOOKUP("KP",A1:CV300,156,FALSE)=0,0,HLOOKUP("As",A1:CV300,156,FALSE)/HLOOKUP("KP",A1:CV300,156,FALSE))</f>
        <v>6.6666666666666666E-2</v>
      </c>
      <c r="AB156" s="30216">
        <v>76.599999999999994</v>
      </c>
      <c r="AC156" s="30217">
        <v>14</v>
      </c>
      <c r="AD156" s="30218">
        <v>4</v>
      </c>
      <c r="AE156" s="30219">
        <v>0</v>
      </c>
      <c r="AF156" s="30220">
        <v>0</v>
      </c>
      <c r="AG156" s="30221">
        <f>IF(HLOOKUP("BC",A1:CV300,156,FALSE)=0,0,HLOOKUP("Gs - BC",A1:CV300,156,FALSE)/HLOOKUP("BC",A1:CV300,156,FALSE))</f>
        <v>0</v>
      </c>
      <c r="AH156" s="30222">
        <f>HLOOKUP("BC",A1:CV300,156,FALSE) - HLOOKUP("BC Miss",A1:CV300,156,FALSE)</f>
        <v>0</v>
      </c>
      <c r="AI156" s="30223">
        <f>IF(HLOOKUP("Gs",A1:CV300,156,FALSE)=0,0,HLOOKUP("Gs - BC",A1:CV300,156,FALSE)/HLOOKUP("Gs",A1:CV300,156,FALSE))</f>
        <v>0</v>
      </c>
      <c r="AJ156" s="30224">
        <v>0</v>
      </c>
      <c r="AK156" s="30225">
        <v>0</v>
      </c>
      <c r="AL156" s="30226">
        <f>HLOOKUP("BC",A1:CV300,156,FALSE) - (HLOOKUP("PK Gs",A1:CV300,156,FALSE) + HLOOKUP("PK Miss",A1:CV300,156,FALSE))</f>
        <v>0</v>
      </c>
      <c r="AM156" s="30227">
        <f>HLOOKUP("BC Miss",A1:CV300,156,FALSE) - HLOOKUP("PK Miss",A1:CV300,156,FALSE)</f>
        <v>0</v>
      </c>
      <c r="AN156" s="30228">
        <f>IF(HLOOKUP("BC - Open",A1:CV300,156,FALSE)=0,0,HLOOKUP("BC - Open Miss",A1:CV300,156,FALSE)/HLOOKUP("BC - Open",A1:CV300,156,FALSE))</f>
        <v>0</v>
      </c>
      <c r="AO156" s="30229">
        <v>1</v>
      </c>
      <c r="AP156" s="30230">
        <f>IF(HLOOKUP("Gs",A1:CV300,156,FALSE)=0,0,HLOOKUP("GIB",A1:CV300,156,FALSE)/HLOOKUP("Gs",A1:CV300,156,FALSE))</f>
        <v>1</v>
      </c>
      <c r="AQ156" s="30231">
        <v>0</v>
      </c>
      <c r="AR156" s="30232">
        <f>IF(HLOOKUP("Gs",A1:CV300,156,FALSE)=0,0,HLOOKUP("Gs - Open",A1:CV300,156,FALSE)/HLOOKUP("Gs",A1:CV300,156,FALSE))</f>
        <v>0</v>
      </c>
      <c r="AS156" s="30233">
        <v>0.87</v>
      </c>
      <c r="AT156" s="30234">
        <v>1.19</v>
      </c>
      <c r="AU156" s="30235">
        <f>IF(HLOOKUP("Mins",A1:CV300,156,FALSE)=0,0,HLOOKUP("Pts",A1:CV300,156,FALSE)/HLOOKUP("Mins",A1:CV300,156,FALSE)* 90)</f>
        <v>2.4412296564195297</v>
      </c>
      <c r="AV156" s="30236">
        <f>IF(HLOOKUP("Apps",A1:CV300,156,FALSE)=0,0,HLOOKUP("Pts",A1:CV300,156,FALSE)/HLOOKUP("Apps",A1:CV300,156,FALSE)* 1)</f>
        <v>2.1428571428571428</v>
      </c>
      <c r="AW156" s="30237">
        <f>IF(HLOOKUP("Mins",A1:CV300,156,FALSE)=0,0,HLOOKUP("Gs",A1:CV300,156,FALSE)/HLOOKUP("Mins",A1:CV300,156,FALSE)* 90)</f>
        <v>5.4249547920433995E-2</v>
      </c>
      <c r="AX156" s="30238">
        <f>IF(HLOOKUP("Mins",A1:CV300,156,FALSE)=0,0,HLOOKUP("Bonus",A1:CV300,156,FALSE)/HLOOKUP("Mins",A1:CV300,156,FALSE)* 90)</f>
        <v>0</v>
      </c>
      <c r="AY156" s="30239">
        <f>IF(HLOOKUP("Mins",A1:CV300,156,FALSE)=0,0,HLOOKUP("BPS",A1:CV300,156,FALSE)/HLOOKUP("Mins",A1:CV300,156,FALSE)* 90)</f>
        <v>13.399638336347198</v>
      </c>
      <c r="AZ156" s="30240">
        <f>IF(HLOOKUP("Mins",A1:CV300,156,FALSE)=0,0,HLOOKUP("Base BPS",A1:CV300,156,FALSE)/HLOOKUP("Mins",A1:CV300,156,FALSE)* 90)</f>
        <v>11.934900542495479</v>
      </c>
      <c r="BA156" s="30241">
        <f>IF(HLOOKUP("Mins",A1:CV300,156,FALSE)=0,0,HLOOKUP("PenTchs",A1:CV300,156,FALSE)/HLOOKUP("Mins",A1:CV300,156,FALSE)* 90)</f>
        <v>1.247739602169982</v>
      </c>
      <c r="BB156" s="30242">
        <f>IF(HLOOKUP("Mins",A1:CV300,156,FALSE)=0,0,HLOOKUP("Shots",A1:CV300,156,FALSE)/HLOOKUP("Mins",A1:CV300,156,FALSE)* 90)</f>
        <v>1.0849909584086799</v>
      </c>
      <c r="BC156" s="30243">
        <f>IF(HLOOKUP("Mins",A1:CV300,156,FALSE)=0,0,HLOOKUP("SIB",A1:CV300,156,FALSE)/HLOOKUP("Mins",A1:CV300,156,FALSE)* 90)</f>
        <v>0.54249547920433994</v>
      </c>
      <c r="BD156" s="30244">
        <f>IF(HLOOKUP("Mins",A1:CV300,156,FALSE)=0,0,HLOOKUP("S6YD",A1:CV300,156,FALSE)/HLOOKUP("Mins",A1:CV300,156,FALSE)* 90)</f>
        <v>0</v>
      </c>
      <c r="BE156" s="30245">
        <f>IF(HLOOKUP("Mins",A1:CV300,156,FALSE)=0,0,HLOOKUP("Headers",A1:CV300,156,FALSE)/HLOOKUP("Mins",A1:CV300,156,FALSE)* 90)</f>
        <v>0.27124773960216997</v>
      </c>
      <c r="BF156" s="30246">
        <f>IF(HLOOKUP("Mins",A1:CV300,156,FALSE)=0,0,HLOOKUP("SOT",A1:CV300,156,FALSE)/HLOOKUP("Mins",A1:CV300,156,FALSE)* 90)</f>
        <v>0.37974683544303794</v>
      </c>
      <c r="BG156" s="30247">
        <f>IF(HLOOKUP("Mins",A1:CV300,156,FALSE)=0,0,HLOOKUP("As",A1:CV300,156,FALSE)/HLOOKUP("Mins",A1:CV300,156,FALSE)* 90)</f>
        <v>5.4249547920433995E-2</v>
      </c>
      <c r="BH156" s="30248">
        <f>IF(HLOOKUP("Mins",A1:CV300,156,FALSE)=0,0,HLOOKUP("FPL As",A1:CV300,156,FALSE)/HLOOKUP("Mins",A1:CV300,156,FALSE)* 90)</f>
        <v>5.4249547920433995E-2</v>
      </c>
      <c r="BI156" s="30249">
        <f>IF(HLOOKUP("Mins",A1:CV300,156,FALSE)=0,0,HLOOKUP("BC Created",A1:CV300,156,FALSE)/HLOOKUP("Mins",A1:CV300,156,FALSE)* 90)</f>
        <v>0.21699819168173598</v>
      </c>
      <c r="BJ156" s="30250">
        <f>IF(HLOOKUP("Mins",A1:CV300,156,FALSE)=0,0,HLOOKUP("KP",A1:CV300,156,FALSE)/HLOOKUP("Mins",A1:CV300,156,FALSE)* 90)</f>
        <v>0.81374321880651002</v>
      </c>
      <c r="BK156" s="30251">
        <f>IF(HLOOKUP("Mins",A1:CV300,156,FALSE)=0,0,HLOOKUP("BC",A1:CV300,156,FALSE)/HLOOKUP("Mins",A1:CV300,156,FALSE)* 90)</f>
        <v>0</v>
      </c>
      <c r="BL156" s="30252">
        <f>IF(HLOOKUP("Mins",A1:CV300,156,FALSE)=0,0,HLOOKUP("BC Miss",A1:CV300,156,FALSE)/HLOOKUP("Mins",A1:CV300,156,FALSE)* 90)</f>
        <v>0</v>
      </c>
      <c r="BM156" s="30253">
        <f>IF(HLOOKUP("Mins",A1:CV300,156,FALSE)=0,0,HLOOKUP("Gs - BC",A1:CV300,156,FALSE)/HLOOKUP("Mins",A1:CV300,156,FALSE)* 90)</f>
        <v>0</v>
      </c>
      <c r="BN156" s="30254">
        <f>IF(HLOOKUP("Mins",A1:CV300,156,FALSE)=0,0,HLOOKUP("GIB",A1:CV300,156,FALSE)/HLOOKUP("Mins",A1:CV300,156,FALSE)* 90)</f>
        <v>5.4249547920433995E-2</v>
      </c>
      <c r="BO156" s="30255">
        <f>IF(HLOOKUP("Mins",A1:CV300,156,FALSE)=0,0,HLOOKUP("Gs - Open",A1:CV300,156,FALSE)/HLOOKUP("Mins",A1:CV300,156,FALSE)* 90)</f>
        <v>0</v>
      </c>
      <c r="BP156" s="30256">
        <f>IF(HLOOKUP("Mins",A1:CV300,156,FALSE)=0,0,HLOOKUP("ICT Index",A1:CV300,156,FALSE)/HLOOKUP("Mins",A1:CV300,156,FALSE)* 90)</f>
        <v>4.1555153707052437</v>
      </c>
      <c r="BQ156" s="30257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  <v>9.6564195298372499E-2</v>
      </c>
      <c r="BR156" s="30258">
        <f>0.0885*HLOOKUP("KP/90",A1:CV300,156,FALSE)</f>
        <v>7.2016274864376131E-2</v>
      </c>
      <c r="BS156" s="30259">
        <f>5*HLOOKUP("xG/90",A1:CV300,156,FALSE)+3*HLOOKUP("xA/90",A1:CV300,156,FALSE)</f>
        <v>0.69886980108499097</v>
      </c>
      <c r="BT156" s="30260">
        <f>HLOOKUP("xPts/90",A1:CV300,156,FALSE)-(5*0.75*(HLOOKUP("PK Gs",A1:CV300,156,FALSE)+HLOOKUP("PK Miss",A1:CV300,156,FALSE))*90/HLOOKUP("Mins",A1:CV300,156,FALSE))</f>
        <v>0.69886980108499097</v>
      </c>
      <c r="BU156" s="30261">
        <f>IF(HLOOKUP("Mins",A1:CV300,156,FALSE)=0,0,HLOOKUP("fsXG",A1:CV300,156,FALSE)/HLOOKUP("Mins",A1:CV300,156,FALSE)* 90)</f>
        <v>4.7197106690777577E-2</v>
      </c>
      <c r="BV156" s="30262">
        <f>IF(HLOOKUP("Mins",A1:CV300,156,FALSE)=0,0,HLOOKUP("fsXA",A1:CV300,156,FALSE)/HLOOKUP("Mins",A1:CV300,156,FALSE)* 90)</f>
        <v>6.4556962025316453E-2</v>
      </c>
      <c r="BW156" s="30263">
        <f>5*HLOOKUP("fsXG/90",A1:CV300,156,FALSE)+3*HLOOKUP("fsXA/90",A1:CV300,156,FALSE)</f>
        <v>0.42965641952983724</v>
      </c>
      <c r="BX156" s="30264">
        <v>4.8899725079536438E-2</v>
      </c>
      <c r="BY156" s="30265">
        <v>0.10100118815898895</v>
      </c>
      <c r="BZ156" s="30266">
        <f>5*HLOOKUP("uXG/90",A1:CV300,156,FALSE)+3*HLOOKUP("uXA/90",A1:CV300,156,FALSE)</f>
        <v>0.54750218987464905</v>
      </c>
    </row>
    <row r="157" spans="1:78" x14ac:dyDescent="0.3">
      <c r="A157" s="30267" t="s">
        <v>484</v>
      </c>
      <c r="B157" s="30268" t="s">
        <v>109</v>
      </c>
      <c r="C157" s="30269">
        <v>6.4000000953674316</v>
      </c>
      <c r="D157" s="30270">
        <v>1272</v>
      </c>
      <c r="E157" s="30271">
        <v>19</v>
      </c>
      <c r="F157" s="30272">
        <v>58</v>
      </c>
      <c r="G157" s="30273">
        <v>1</v>
      </c>
      <c r="H157" s="30274">
        <v>5</v>
      </c>
      <c r="I157" s="30275">
        <v>252</v>
      </c>
      <c r="J157" s="30276">
        <f>HLOOKUP("BPS",A1:CV300,157,FALSE)-((-6*HLOOKUP("OG",A1:CV300,157,FALSE))+(-6*HLOOKUP("PK Miss",A1:CV300,157,FALSE))+(9*HLOOKUP("FPL As",A1:CV300,157,FALSE))+(0*HLOOKUP("CS",A1:CV300,157,FALSE))+(18*HLOOKUP("Gs",A1:CV300,157,FALSE)))</f>
        <v>189</v>
      </c>
      <c r="K157" s="30277">
        <v>0</v>
      </c>
      <c r="L157" s="30278">
        <v>3</v>
      </c>
      <c r="M157" s="30279">
        <v>45</v>
      </c>
      <c r="N157" s="30280">
        <v>23</v>
      </c>
      <c r="O157" s="30281">
        <v>9</v>
      </c>
      <c r="P157" s="30282">
        <f>IF(HLOOKUP("Shots",A1:CV300,157,FALSE)=0,0,HLOOKUP("SIB",A1:CV300,157,FALSE)/HLOOKUP("Shots",A1:CV300,157,FALSE))</f>
        <v>0.39130434782608697</v>
      </c>
      <c r="Q157" s="30283">
        <v>1</v>
      </c>
      <c r="R157" s="30284">
        <f>IF(HLOOKUP("Shots",A1:CV300,157,FALSE)=0,0,HLOOKUP("S6YD",A1:CV300,157,FALSE)/HLOOKUP("Shots",A1:CV300,157,FALSE))</f>
        <v>4.3478260869565216E-2</v>
      </c>
      <c r="S157" s="30285">
        <v>2</v>
      </c>
      <c r="T157" s="30286">
        <f>IF(HLOOKUP("Shots",A1:CV300,157,FALSE)=0,0,HLOOKUP("Headers",A1:CV300,157,FALSE)/HLOOKUP("Shots",A1:CV300,157,FALSE))</f>
        <v>8.6956521739130432E-2</v>
      </c>
      <c r="U157" s="30287">
        <v>8</v>
      </c>
      <c r="V157" s="30288">
        <f>IF(HLOOKUP("Shots",A1:CV300,157,FALSE)=0,0,HLOOKUP("SOT",A1:CV300,157,FALSE)/HLOOKUP("Shots",A1:CV300,157,FALSE))</f>
        <v>0.34782608695652173</v>
      </c>
      <c r="W157" s="30289">
        <f>IF(HLOOKUP("Shots",A1:CV300,157,FALSE)=0,0,HLOOKUP("Gs",A1:CV300,157,FALSE)/HLOOKUP("Shots",A1:CV300,157,FALSE))</f>
        <v>4.3478260869565216E-2</v>
      </c>
      <c r="X157" s="30290">
        <v>4</v>
      </c>
      <c r="Y157" s="30291">
        <v>5</v>
      </c>
      <c r="Z157" s="30292">
        <v>46</v>
      </c>
      <c r="AA157" s="30293">
        <f>IF(HLOOKUP("KP",A1:CV300,157,FALSE)=0,0,HLOOKUP("As",A1:CV300,157,FALSE)/HLOOKUP("KP",A1:CV300,157,FALSE))</f>
        <v>8.6956521739130432E-2</v>
      </c>
      <c r="AB157" s="30294">
        <v>125</v>
      </c>
      <c r="AC157" s="30295">
        <v>35</v>
      </c>
      <c r="AD157" s="30296">
        <v>9</v>
      </c>
      <c r="AE157" s="30297">
        <v>0</v>
      </c>
      <c r="AF157" s="30298">
        <v>0</v>
      </c>
      <c r="AG157" s="30299">
        <f>IF(HLOOKUP("BC",A1:CV300,157,FALSE)=0,0,HLOOKUP("Gs - BC",A1:CV300,157,FALSE)/HLOOKUP("BC",A1:CV300,157,FALSE))</f>
        <v>0</v>
      </c>
      <c r="AH157" s="30300">
        <f>HLOOKUP("BC",A1:CV300,157,FALSE) - HLOOKUP("BC Miss",A1:CV300,157,FALSE)</f>
        <v>0</v>
      </c>
      <c r="AI157" s="30301">
        <f>IF(HLOOKUP("Gs",A1:CV300,157,FALSE)=0,0,HLOOKUP("Gs - BC",A1:CV300,157,FALSE)/HLOOKUP("Gs",A1:CV300,157,FALSE))</f>
        <v>0</v>
      </c>
      <c r="AJ157" s="30302">
        <v>0</v>
      </c>
      <c r="AK157" s="30303">
        <v>0</v>
      </c>
      <c r="AL157" s="30304">
        <f>HLOOKUP("BC",A1:CV300,157,FALSE) - (HLOOKUP("PK Gs",A1:CV300,157,FALSE) + HLOOKUP("PK Miss",A1:CV300,157,FALSE))</f>
        <v>0</v>
      </c>
      <c r="AM157" s="30305">
        <f>HLOOKUP("BC Miss",A1:CV300,157,FALSE) - HLOOKUP("PK Miss",A1:CV300,157,FALSE)</f>
        <v>0</v>
      </c>
      <c r="AN157" s="30306">
        <f>IF(HLOOKUP("BC - Open",A1:CV300,157,FALSE)=0,0,HLOOKUP("BC - Open Miss",A1:CV300,157,FALSE)/HLOOKUP("BC - Open",A1:CV300,157,FALSE))</f>
        <v>0</v>
      </c>
      <c r="AO157" s="30307">
        <v>0</v>
      </c>
      <c r="AP157" s="30308">
        <f>IF(HLOOKUP("Gs",A1:CV300,157,FALSE)=0,0,HLOOKUP("GIB",A1:CV300,157,FALSE)/HLOOKUP("Gs",A1:CV300,157,FALSE))</f>
        <v>0</v>
      </c>
      <c r="AQ157" s="30309">
        <v>0</v>
      </c>
      <c r="AR157" s="30310">
        <f>IF(HLOOKUP("Gs",A1:CV300,157,FALSE)=0,0,HLOOKUP("Gs - Open",A1:CV300,157,FALSE)/HLOOKUP("Gs",A1:CV300,157,FALSE))</f>
        <v>0</v>
      </c>
      <c r="AS157" s="30311">
        <v>1.36</v>
      </c>
      <c r="AT157" s="30312">
        <v>3.75</v>
      </c>
      <c r="AU157" s="30313">
        <f>IF(HLOOKUP("Mins",A1:CV300,157,FALSE)=0,0,HLOOKUP("Pts",A1:CV300,157,FALSE)/HLOOKUP("Mins",A1:CV300,157,FALSE)* 90)</f>
        <v>4.1037735849056602</v>
      </c>
      <c r="AV157" s="30314">
        <f>IF(HLOOKUP("Apps",A1:CV300,157,FALSE)=0,0,HLOOKUP("Pts",A1:CV300,157,FALSE)/HLOOKUP("Apps",A1:CV300,157,FALSE)* 1)</f>
        <v>3.0526315789473686</v>
      </c>
      <c r="AW157" s="30315">
        <f>IF(HLOOKUP("Mins",A1:CV300,157,FALSE)=0,0,HLOOKUP("Gs",A1:CV300,157,FALSE)/HLOOKUP("Mins",A1:CV300,157,FALSE)* 90)</f>
        <v>7.0754716981132074E-2</v>
      </c>
      <c r="AX157" s="30316">
        <f>IF(HLOOKUP("Mins",A1:CV300,157,FALSE)=0,0,HLOOKUP("Bonus",A1:CV300,157,FALSE)/HLOOKUP("Mins",A1:CV300,157,FALSE)* 90)</f>
        <v>0.35377358490566035</v>
      </c>
      <c r="AY157" s="30317">
        <f>IF(HLOOKUP("Mins",A1:CV300,157,FALSE)=0,0,HLOOKUP("BPS",A1:CV300,157,FALSE)/HLOOKUP("Mins",A1:CV300,157,FALSE)* 90)</f>
        <v>17.830188679245285</v>
      </c>
      <c r="AZ157" s="30318">
        <f>IF(HLOOKUP("Mins",A1:CV300,157,FALSE)=0,0,HLOOKUP("Base BPS",A1:CV300,157,FALSE)/HLOOKUP("Mins",A1:CV300,157,FALSE)* 90)</f>
        <v>13.372641509433961</v>
      </c>
      <c r="BA157" s="30319">
        <f>IF(HLOOKUP("Mins",A1:CV300,157,FALSE)=0,0,HLOOKUP("PenTchs",A1:CV300,157,FALSE)/HLOOKUP("Mins",A1:CV300,157,FALSE)* 90)</f>
        <v>3.1839622641509435</v>
      </c>
      <c r="BB157" s="30320">
        <f>IF(HLOOKUP("Mins",A1:CV300,157,FALSE)=0,0,HLOOKUP("Shots",A1:CV300,157,FALSE)/HLOOKUP("Mins",A1:CV300,157,FALSE)* 90)</f>
        <v>1.6273584905660377</v>
      </c>
      <c r="BC157" s="30321">
        <f>IF(HLOOKUP("Mins",A1:CV300,157,FALSE)=0,0,HLOOKUP("SIB",A1:CV300,157,FALSE)/HLOOKUP("Mins",A1:CV300,157,FALSE)* 90)</f>
        <v>0.6367924528301887</v>
      </c>
      <c r="BD157" s="30322">
        <f>IF(HLOOKUP("Mins",A1:CV300,157,FALSE)=0,0,HLOOKUP("S6YD",A1:CV300,157,FALSE)/HLOOKUP("Mins",A1:CV300,157,FALSE)* 90)</f>
        <v>7.0754716981132074E-2</v>
      </c>
      <c r="BE157" s="30323">
        <f>IF(HLOOKUP("Mins",A1:CV300,157,FALSE)=0,0,HLOOKUP("Headers",A1:CV300,157,FALSE)/HLOOKUP("Mins",A1:CV300,157,FALSE)* 90)</f>
        <v>0.14150943396226415</v>
      </c>
      <c r="BF157" s="30324">
        <f>IF(HLOOKUP("Mins",A1:CV300,157,FALSE)=0,0,HLOOKUP("SOT",A1:CV300,157,FALSE)/HLOOKUP("Mins",A1:CV300,157,FALSE)* 90)</f>
        <v>0.56603773584905659</v>
      </c>
      <c r="BG157" s="30325">
        <f>IF(HLOOKUP("Mins",A1:CV300,157,FALSE)=0,0,HLOOKUP("As",A1:CV300,157,FALSE)/HLOOKUP("Mins",A1:CV300,157,FALSE)* 90)</f>
        <v>0.28301886792452829</v>
      </c>
      <c r="BH157" s="30326">
        <f>IF(HLOOKUP("Mins",A1:CV300,157,FALSE)=0,0,HLOOKUP("FPL As",A1:CV300,157,FALSE)/HLOOKUP("Mins",A1:CV300,157,FALSE)* 90)</f>
        <v>0.35377358490566035</v>
      </c>
      <c r="BI157" s="30327">
        <f>IF(HLOOKUP("Mins",A1:CV300,157,FALSE)=0,0,HLOOKUP("BC Created",A1:CV300,157,FALSE)/HLOOKUP("Mins",A1:CV300,157,FALSE)* 90)</f>
        <v>0.6367924528301887</v>
      </c>
      <c r="BJ157" s="30328">
        <f>IF(HLOOKUP("Mins",A1:CV300,157,FALSE)=0,0,HLOOKUP("KP",A1:CV300,157,FALSE)/HLOOKUP("Mins",A1:CV300,157,FALSE)* 90)</f>
        <v>3.2547169811320753</v>
      </c>
      <c r="BK157" s="30329">
        <f>IF(HLOOKUP("Mins",A1:CV300,157,FALSE)=0,0,HLOOKUP("BC",A1:CV300,157,FALSE)/HLOOKUP("Mins",A1:CV300,157,FALSE)* 90)</f>
        <v>0</v>
      </c>
      <c r="BL157" s="30330">
        <f>IF(HLOOKUP("Mins",A1:CV300,157,FALSE)=0,0,HLOOKUP("BC Miss",A1:CV300,157,FALSE)/HLOOKUP("Mins",A1:CV300,157,FALSE)* 90)</f>
        <v>0</v>
      </c>
      <c r="BM157" s="30331">
        <f>IF(HLOOKUP("Mins",A1:CV300,157,FALSE)=0,0,HLOOKUP("Gs - BC",A1:CV300,157,FALSE)/HLOOKUP("Mins",A1:CV300,157,FALSE)* 90)</f>
        <v>0</v>
      </c>
      <c r="BN157" s="30332">
        <f>IF(HLOOKUP("Mins",A1:CV300,157,FALSE)=0,0,HLOOKUP("GIB",A1:CV300,157,FALSE)/HLOOKUP("Mins",A1:CV300,157,FALSE)* 90)</f>
        <v>0</v>
      </c>
      <c r="BO157" s="30333">
        <f>IF(HLOOKUP("Mins",A1:CV300,157,FALSE)=0,0,HLOOKUP("Gs - Open",A1:CV300,157,FALSE)/HLOOKUP("Mins",A1:CV300,157,FALSE)* 90)</f>
        <v>0</v>
      </c>
      <c r="BP157" s="30334">
        <f>IF(HLOOKUP("Mins",A1:CV300,157,FALSE)=0,0,HLOOKUP("ICT Index",A1:CV300,157,FALSE)/HLOOKUP("Mins",A1:CV300,157,FALSE)* 90)</f>
        <v>8.8443396226415096</v>
      </c>
      <c r="BQ157" s="30335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  <v>0.12608490566037733</v>
      </c>
      <c r="BR157" s="30336">
        <f>0.0885*HLOOKUP("KP/90",A1:CV300,157,FALSE)</f>
        <v>0.28804245283018864</v>
      </c>
      <c r="BS157" s="30337">
        <f>5*HLOOKUP("xG/90",A1:CV300,157,FALSE)+3*HLOOKUP("xA/90",A1:CV300,157,FALSE)</f>
        <v>1.4945518867924528</v>
      </c>
      <c r="BT157" s="30338">
        <f>HLOOKUP("xPts/90",A1:CV300,157,FALSE)-(5*0.75*(HLOOKUP("PK Gs",A1:CV300,157,FALSE)+HLOOKUP("PK Miss",A1:CV300,157,FALSE))*90/HLOOKUP("Mins",A1:CV300,157,FALSE))</f>
        <v>1.4945518867924528</v>
      </c>
      <c r="BU157" s="30339">
        <f>IF(HLOOKUP("Mins",A1:CV300,157,FALSE)=0,0,HLOOKUP("fsXG",A1:CV300,157,FALSE)/HLOOKUP("Mins",A1:CV300,157,FALSE)* 90)</f>
        <v>9.6226415094339629E-2</v>
      </c>
      <c r="BV157" s="30340">
        <f>IF(HLOOKUP("Mins",A1:CV300,157,FALSE)=0,0,HLOOKUP("fsXA",A1:CV300,157,FALSE)/HLOOKUP("Mins",A1:CV300,157,FALSE)* 90)</f>
        <v>0.26533018867924529</v>
      </c>
      <c r="BW157" s="30341">
        <f>5*HLOOKUP("fsXG/90",A1:CV300,157,FALSE)+3*HLOOKUP("fsXA/90",A1:CV300,157,FALSE)</f>
        <v>1.2771226415094339</v>
      </c>
      <c r="BX157" s="30342">
        <v>8.5479557514190674E-2</v>
      </c>
      <c r="BY157" s="30343">
        <v>0.36183270812034607</v>
      </c>
      <c r="BZ157" s="30344">
        <f>5*HLOOKUP("uXG/90",A1:CV300,157,FALSE)+3*HLOOKUP("uXA/90",A1:CV300,157,FALSE)</f>
        <v>1.5128959119319916</v>
      </c>
    </row>
    <row r="158" spans="1:78" x14ac:dyDescent="0.3">
      <c r="A158" s="30345" t="s">
        <v>485</v>
      </c>
      <c r="B158" s="30346" t="s">
        <v>91</v>
      </c>
      <c r="C158" s="30347">
        <v>4.5</v>
      </c>
      <c r="D158" s="30348">
        <v>1202</v>
      </c>
      <c r="E158" s="30349">
        <v>16</v>
      </c>
      <c r="F158" s="30350">
        <v>38</v>
      </c>
      <c r="G158" s="30351">
        <v>1</v>
      </c>
      <c r="H158" s="30352">
        <v>3</v>
      </c>
      <c r="I158" s="30353">
        <v>213</v>
      </c>
      <c r="J158" s="30354">
        <f>HLOOKUP("BPS",A1:CV300,158,FALSE)-((-6*HLOOKUP("OG",A1:CV300,158,FALSE))+(-6*HLOOKUP("PK Miss",A1:CV300,158,FALSE))+(9*HLOOKUP("FPL As",A1:CV300,158,FALSE))+(0*HLOOKUP("CS",A1:CV300,158,FALSE))+(18*HLOOKUP("Gs",A1:CV300,158,FALSE)))</f>
        <v>186</v>
      </c>
      <c r="K158" s="30355">
        <v>0</v>
      </c>
      <c r="L158" s="30356">
        <v>2</v>
      </c>
      <c r="M158" s="30357">
        <v>6</v>
      </c>
      <c r="N158" s="30358">
        <v>11</v>
      </c>
      <c r="O158" s="30359">
        <v>4</v>
      </c>
      <c r="P158" s="30360">
        <f>IF(HLOOKUP("Shots",A1:CV300,158,FALSE)=0,0,HLOOKUP("SIB",A1:CV300,158,FALSE)/HLOOKUP("Shots",A1:CV300,158,FALSE))</f>
        <v>0.36363636363636365</v>
      </c>
      <c r="Q158" s="30361">
        <v>0</v>
      </c>
      <c r="R158" s="30362">
        <f>IF(HLOOKUP("Shots",A1:CV300,158,FALSE)=0,0,HLOOKUP("S6YD",A1:CV300,158,FALSE)/HLOOKUP("Shots",A1:CV300,158,FALSE))</f>
        <v>0</v>
      </c>
      <c r="S158" s="30363">
        <v>0</v>
      </c>
      <c r="T158" s="30364">
        <f>IF(HLOOKUP("Shots",A1:CV300,158,FALSE)=0,0,HLOOKUP("Headers",A1:CV300,158,FALSE)/HLOOKUP("Shots",A1:CV300,158,FALSE))</f>
        <v>0</v>
      </c>
      <c r="U158" s="30365">
        <v>2</v>
      </c>
      <c r="V158" s="30366">
        <f>IF(HLOOKUP("Shots",A1:CV300,158,FALSE)=0,0,HLOOKUP("SOT",A1:CV300,158,FALSE)/HLOOKUP("Shots",A1:CV300,158,FALSE))</f>
        <v>0.18181818181818182</v>
      </c>
      <c r="W158" s="30367">
        <f>IF(HLOOKUP("Shots",A1:CV300,158,FALSE)=0,0,HLOOKUP("Gs",A1:CV300,158,FALSE)/HLOOKUP("Shots",A1:CV300,158,FALSE))</f>
        <v>9.0909090909090912E-2</v>
      </c>
      <c r="X158" s="30368">
        <v>1</v>
      </c>
      <c r="Y158" s="30369">
        <v>1</v>
      </c>
      <c r="Z158" s="30370">
        <v>3</v>
      </c>
      <c r="AA158" s="30371">
        <f>IF(HLOOKUP("KP",A1:CV300,158,FALSE)=0,0,HLOOKUP("As",A1:CV300,158,FALSE)/HLOOKUP("KP",A1:CV300,158,FALSE))</f>
        <v>0.33333333333333331</v>
      </c>
      <c r="AB158" s="30372">
        <v>37.9</v>
      </c>
      <c r="AC158" s="30373">
        <v>15</v>
      </c>
      <c r="AD158" s="30374">
        <v>1</v>
      </c>
      <c r="AE158" s="30375">
        <v>0</v>
      </c>
      <c r="AF158" s="30376">
        <v>0</v>
      </c>
      <c r="AG158" s="30377">
        <f>IF(HLOOKUP("BC",A1:CV300,158,FALSE)=0,0,HLOOKUP("Gs - BC",A1:CV300,158,FALSE)/HLOOKUP("BC",A1:CV300,158,FALSE))</f>
        <v>0</v>
      </c>
      <c r="AH158" s="30378">
        <f>HLOOKUP("BC",A1:CV300,158,FALSE) - HLOOKUP("BC Miss",A1:CV300,158,FALSE)</f>
        <v>0</v>
      </c>
      <c r="AI158" s="30379">
        <f>IF(HLOOKUP("Gs",A1:CV300,158,FALSE)=0,0,HLOOKUP("Gs - BC",A1:CV300,158,FALSE)/HLOOKUP("Gs",A1:CV300,158,FALSE))</f>
        <v>0</v>
      </c>
      <c r="AJ158" s="30380">
        <v>0</v>
      </c>
      <c r="AK158" s="30381">
        <v>0</v>
      </c>
      <c r="AL158" s="30382">
        <f>HLOOKUP("BC",A1:CV300,158,FALSE) - (HLOOKUP("PK Gs",A1:CV300,158,FALSE) + HLOOKUP("PK Miss",A1:CV300,158,FALSE))</f>
        <v>0</v>
      </c>
      <c r="AM158" s="30383">
        <f>HLOOKUP("BC Miss",A1:CV300,158,FALSE) - HLOOKUP("PK Miss",A1:CV300,158,FALSE)</f>
        <v>0</v>
      </c>
      <c r="AN158" s="30384">
        <f>IF(HLOOKUP("BC - Open",A1:CV300,158,FALSE)=0,0,HLOOKUP("BC - Open Miss",A1:CV300,158,FALSE)/HLOOKUP("BC - Open",A1:CV300,158,FALSE))</f>
        <v>0</v>
      </c>
      <c r="AO158" s="30385">
        <v>1</v>
      </c>
      <c r="AP158" s="30386">
        <f>IF(HLOOKUP("Gs",A1:CV300,158,FALSE)=0,0,HLOOKUP("GIB",A1:CV300,158,FALSE)/HLOOKUP("Gs",A1:CV300,158,FALSE))</f>
        <v>1</v>
      </c>
      <c r="AQ158" s="30387">
        <v>0</v>
      </c>
      <c r="AR158" s="30388">
        <f>IF(HLOOKUP("Gs",A1:CV300,158,FALSE)=0,0,HLOOKUP("Gs - Open",A1:CV300,158,FALSE)/HLOOKUP("Gs",A1:CV300,158,FALSE))</f>
        <v>0</v>
      </c>
      <c r="AS158" s="30389">
        <v>0.47</v>
      </c>
      <c r="AT158" s="30390">
        <v>0.42</v>
      </c>
      <c r="AU158" s="30391">
        <f>IF(HLOOKUP("Mins",A1:CV300,158,FALSE)=0,0,HLOOKUP("Pts",A1:CV300,158,FALSE)/HLOOKUP("Mins",A1:CV300,158,FALSE)* 90)</f>
        <v>2.8452579034941765</v>
      </c>
      <c r="AV158" s="30392">
        <f>IF(HLOOKUP("Apps",A1:CV300,158,FALSE)=0,0,HLOOKUP("Pts",A1:CV300,158,FALSE)/HLOOKUP("Apps",A1:CV300,158,FALSE)* 1)</f>
        <v>2.375</v>
      </c>
      <c r="AW158" s="30393">
        <f>IF(HLOOKUP("Mins",A1:CV300,158,FALSE)=0,0,HLOOKUP("Gs",A1:CV300,158,FALSE)/HLOOKUP("Mins",A1:CV300,158,FALSE)* 90)</f>
        <v>7.4875207986688855E-2</v>
      </c>
      <c r="AX158" s="30394">
        <f>IF(HLOOKUP("Mins",A1:CV300,158,FALSE)=0,0,HLOOKUP("Bonus",A1:CV300,158,FALSE)/HLOOKUP("Mins",A1:CV300,158,FALSE)* 90)</f>
        <v>0.22462562396006655</v>
      </c>
      <c r="AY158" s="30395">
        <f>IF(HLOOKUP("Mins",A1:CV300,158,FALSE)=0,0,HLOOKUP("BPS",A1:CV300,158,FALSE)/HLOOKUP("Mins",A1:CV300,158,FALSE)* 90)</f>
        <v>15.948419301164726</v>
      </c>
      <c r="AZ158" s="30396">
        <f>IF(HLOOKUP("Mins",A1:CV300,158,FALSE)=0,0,HLOOKUP("Base BPS",A1:CV300,158,FALSE)/HLOOKUP("Mins",A1:CV300,158,FALSE)* 90)</f>
        <v>13.926788685524127</v>
      </c>
      <c r="BA158" s="30397">
        <f>IF(HLOOKUP("Mins",A1:CV300,158,FALSE)=0,0,HLOOKUP("PenTchs",A1:CV300,158,FALSE)/HLOOKUP("Mins",A1:CV300,158,FALSE)* 90)</f>
        <v>0.4492512479201331</v>
      </c>
      <c r="BB158" s="30398">
        <f>IF(HLOOKUP("Mins",A1:CV300,158,FALSE)=0,0,HLOOKUP("Shots",A1:CV300,158,FALSE)/HLOOKUP("Mins",A1:CV300,158,FALSE)* 90)</f>
        <v>0.82362728785357742</v>
      </c>
      <c r="BC158" s="30399">
        <f>IF(HLOOKUP("Mins",A1:CV300,158,FALSE)=0,0,HLOOKUP("SIB",A1:CV300,158,FALSE)/HLOOKUP("Mins",A1:CV300,158,FALSE)* 90)</f>
        <v>0.29950083194675542</v>
      </c>
      <c r="BD158" s="30400">
        <f>IF(HLOOKUP("Mins",A1:CV300,158,FALSE)=0,0,HLOOKUP("S6YD",A1:CV300,158,FALSE)/HLOOKUP("Mins",A1:CV300,158,FALSE)* 90)</f>
        <v>0</v>
      </c>
      <c r="BE158" s="30401">
        <f>IF(HLOOKUP("Mins",A1:CV300,158,FALSE)=0,0,HLOOKUP("Headers",A1:CV300,158,FALSE)/HLOOKUP("Mins",A1:CV300,158,FALSE)* 90)</f>
        <v>0</v>
      </c>
      <c r="BF158" s="30402">
        <f>IF(HLOOKUP("Mins",A1:CV300,158,FALSE)=0,0,HLOOKUP("SOT",A1:CV300,158,FALSE)/HLOOKUP("Mins",A1:CV300,158,FALSE)* 90)</f>
        <v>0.14975041597337771</v>
      </c>
      <c r="BG158" s="30403">
        <f>IF(HLOOKUP("Mins",A1:CV300,158,FALSE)=0,0,HLOOKUP("As",A1:CV300,158,FALSE)/HLOOKUP("Mins",A1:CV300,158,FALSE)* 90)</f>
        <v>7.4875207986688855E-2</v>
      </c>
      <c r="BH158" s="30404">
        <f>IF(HLOOKUP("Mins",A1:CV300,158,FALSE)=0,0,HLOOKUP("FPL As",A1:CV300,158,FALSE)/HLOOKUP("Mins",A1:CV300,158,FALSE)* 90)</f>
        <v>7.4875207986688855E-2</v>
      </c>
      <c r="BI158" s="30405">
        <f>IF(HLOOKUP("Mins",A1:CV300,158,FALSE)=0,0,HLOOKUP("BC Created",A1:CV300,158,FALSE)/HLOOKUP("Mins",A1:CV300,158,FALSE)* 90)</f>
        <v>7.4875207986688855E-2</v>
      </c>
      <c r="BJ158" s="30406">
        <f>IF(HLOOKUP("Mins",A1:CV300,158,FALSE)=0,0,HLOOKUP("KP",A1:CV300,158,FALSE)/HLOOKUP("Mins",A1:CV300,158,FALSE)* 90)</f>
        <v>0.22462562396006655</v>
      </c>
      <c r="BK158" s="30407">
        <f>IF(HLOOKUP("Mins",A1:CV300,158,FALSE)=0,0,HLOOKUP("BC",A1:CV300,158,FALSE)/HLOOKUP("Mins",A1:CV300,158,FALSE)* 90)</f>
        <v>0</v>
      </c>
      <c r="BL158" s="30408">
        <f>IF(HLOOKUP("Mins",A1:CV300,158,FALSE)=0,0,HLOOKUP("BC Miss",A1:CV300,158,FALSE)/HLOOKUP("Mins",A1:CV300,158,FALSE)* 90)</f>
        <v>0</v>
      </c>
      <c r="BM158" s="30409">
        <f>IF(HLOOKUP("Mins",A1:CV300,158,FALSE)=0,0,HLOOKUP("Gs - BC",A1:CV300,158,FALSE)/HLOOKUP("Mins",A1:CV300,158,FALSE)* 90)</f>
        <v>0</v>
      </c>
      <c r="BN158" s="30410">
        <f>IF(HLOOKUP("Mins",A1:CV300,158,FALSE)=0,0,HLOOKUP("GIB",A1:CV300,158,FALSE)/HLOOKUP("Mins",A1:CV300,158,FALSE)* 90)</f>
        <v>7.4875207986688855E-2</v>
      </c>
      <c r="BO158" s="30411">
        <f>IF(HLOOKUP("Mins",A1:CV300,158,FALSE)=0,0,HLOOKUP("Gs - Open",A1:CV300,158,FALSE)/HLOOKUP("Mins",A1:CV300,158,FALSE)* 90)</f>
        <v>0</v>
      </c>
      <c r="BP158" s="30412">
        <f>IF(HLOOKUP("Mins",A1:CV300,158,FALSE)=0,0,HLOOKUP("ICT Index",A1:CV300,158,FALSE)/HLOOKUP("Mins",A1:CV300,158,FALSE)* 90)</f>
        <v>2.8377703826955076</v>
      </c>
      <c r="BQ158" s="30413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  <v>6.1397670549084855E-2</v>
      </c>
      <c r="BR158" s="30414">
        <f>0.0885*HLOOKUP("KP/90",A1:CV300,158,FALSE)</f>
        <v>1.987936772046589E-2</v>
      </c>
      <c r="BS158" s="30415">
        <f>5*HLOOKUP("xG/90",A1:CV300,158,FALSE)+3*HLOOKUP("xA/90",A1:CV300,158,FALSE)</f>
        <v>0.36662645590682197</v>
      </c>
      <c r="BT158" s="30416">
        <f>HLOOKUP("xPts/90",A1:CV300,158,FALSE)-(5*0.75*(HLOOKUP("PK Gs",A1:CV300,158,FALSE)+HLOOKUP("PK Miss",A1:CV300,158,FALSE))*90/HLOOKUP("Mins",A1:CV300,158,FALSE))</f>
        <v>0.36662645590682197</v>
      </c>
      <c r="BU158" s="30417">
        <f>IF(HLOOKUP("Mins",A1:CV300,158,FALSE)=0,0,HLOOKUP("fsXG",A1:CV300,158,FALSE)/HLOOKUP("Mins",A1:CV300,158,FALSE)* 90)</f>
        <v>3.519134775374376E-2</v>
      </c>
      <c r="BV158" s="30418">
        <f>IF(HLOOKUP("Mins",A1:CV300,158,FALSE)=0,0,HLOOKUP("fsXA",A1:CV300,158,FALSE)/HLOOKUP("Mins",A1:CV300,158,FALSE)* 90)</f>
        <v>3.1447587354409313E-2</v>
      </c>
      <c r="BW158" s="30419">
        <f>5*HLOOKUP("fsXG/90",A1:CV300,158,FALSE)+3*HLOOKUP("fsXA/90",A1:CV300,158,FALSE)</f>
        <v>0.27029950083194676</v>
      </c>
      <c r="BX158" s="30420">
        <v>3.1214306131005287E-2</v>
      </c>
      <c r="BY158" s="30421">
        <v>2.5687064975500107E-2</v>
      </c>
      <c r="BZ158" s="30422">
        <f>5*HLOOKUP("uXG/90",A1:CV300,158,FALSE)+3*HLOOKUP("uXA/90",A1:CV300,158,FALSE)</f>
        <v>0.23313272558152676</v>
      </c>
    </row>
    <row r="159" spans="1:78" x14ac:dyDescent="0.3">
      <c r="A159" s="30423" t="s">
        <v>486</v>
      </c>
      <c r="B159" s="30424" t="s">
        <v>109</v>
      </c>
      <c r="C159" s="30425">
        <v>4.8000001907348633</v>
      </c>
      <c r="D159" s="30426">
        <v>1710</v>
      </c>
      <c r="E159" s="30427">
        <v>19</v>
      </c>
      <c r="F159" s="30428">
        <v>45</v>
      </c>
      <c r="G159" s="30429">
        <v>1</v>
      </c>
      <c r="H159" s="30430">
        <v>0</v>
      </c>
      <c r="I159" s="30431">
        <v>258</v>
      </c>
      <c r="J159" s="30432">
        <f>HLOOKUP("BPS",A1:CV300,159,FALSE)-((-6*HLOOKUP("OG",A1:CV300,159,FALSE))+(-6*HLOOKUP("PK Miss",A1:CV300,159,FALSE))+(9*HLOOKUP("FPL As",A1:CV300,159,FALSE))+(0*HLOOKUP("CS",A1:CV300,159,FALSE))+(18*HLOOKUP("Gs",A1:CV300,159,FALSE)))</f>
        <v>237</v>
      </c>
      <c r="K159" s="30433">
        <v>1</v>
      </c>
      <c r="L159" s="30434">
        <v>4</v>
      </c>
      <c r="M159" s="30435">
        <v>20</v>
      </c>
      <c r="N159" s="30436">
        <v>23</v>
      </c>
      <c r="O159" s="30437">
        <v>7</v>
      </c>
      <c r="P159" s="30438">
        <f>IF(HLOOKUP("Shots",A1:CV300,159,FALSE)=0,0,HLOOKUP("SIB",A1:CV300,159,FALSE)/HLOOKUP("Shots",A1:CV300,159,FALSE))</f>
        <v>0.30434782608695654</v>
      </c>
      <c r="Q159" s="30439">
        <v>1</v>
      </c>
      <c r="R159" s="30440">
        <f>IF(HLOOKUP("Shots",A1:CV300,159,FALSE)=0,0,HLOOKUP("S6YD",A1:CV300,159,FALSE)/HLOOKUP("Shots",A1:CV300,159,FALSE))</f>
        <v>4.3478260869565216E-2</v>
      </c>
      <c r="S159" s="30441">
        <v>3</v>
      </c>
      <c r="T159" s="30442">
        <f>IF(HLOOKUP("Shots",A1:CV300,159,FALSE)=0,0,HLOOKUP("Headers",A1:CV300,159,FALSE)/HLOOKUP("Shots",A1:CV300,159,FALSE))</f>
        <v>0.13043478260869565</v>
      </c>
      <c r="U159" s="30443">
        <v>7</v>
      </c>
      <c r="V159" s="30444">
        <f>IF(HLOOKUP("Shots",A1:CV300,159,FALSE)=0,0,HLOOKUP("SOT",A1:CV300,159,FALSE)/HLOOKUP("Shots",A1:CV300,159,FALSE))</f>
        <v>0.30434782608695654</v>
      </c>
      <c r="W159" s="30445">
        <f>IF(HLOOKUP("Shots",A1:CV300,159,FALSE)=0,0,HLOOKUP("Gs",A1:CV300,159,FALSE)/HLOOKUP("Shots",A1:CV300,159,FALSE))</f>
        <v>4.3478260869565216E-2</v>
      </c>
      <c r="X159" s="30446">
        <v>1</v>
      </c>
      <c r="Y159" s="30447">
        <v>1</v>
      </c>
      <c r="Z159" s="30448">
        <v>15</v>
      </c>
      <c r="AA159" s="30449">
        <f>IF(HLOOKUP("KP",A1:CV300,159,FALSE)=0,0,HLOOKUP("As",A1:CV300,159,FALSE)/HLOOKUP("KP",A1:CV300,159,FALSE))</f>
        <v>6.6666666666666666E-2</v>
      </c>
      <c r="AB159" s="30450">
        <v>75.7</v>
      </c>
      <c r="AC159" s="30451">
        <v>10</v>
      </c>
      <c r="AD159" s="30452">
        <v>2</v>
      </c>
      <c r="AE159" s="30453">
        <v>2</v>
      </c>
      <c r="AF159" s="30454">
        <v>2</v>
      </c>
      <c r="AG159" s="30455">
        <f>IF(HLOOKUP("BC",A1:CV300,159,FALSE)=0,0,HLOOKUP("Gs - BC",A1:CV300,159,FALSE)/HLOOKUP("BC",A1:CV300,159,FALSE))</f>
        <v>0</v>
      </c>
      <c r="AH159" s="30456">
        <f>HLOOKUP("BC",A1:CV300,159,FALSE) - HLOOKUP("BC Miss",A1:CV300,159,FALSE)</f>
        <v>0</v>
      </c>
      <c r="AI159" s="30457">
        <f>IF(HLOOKUP("Gs",A1:CV300,159,FALSE)=0,0,HLOOKUP("Gs - BC",A1:CV300,159,FALSE)/HLOOKUP("Gs",A1:CV300,159,FALSE))</f>
        <v>0</v>
      </c>
      <c r="AJ159" s="30458">
        <v>0</v>
      </c>
      <c r="AK159" s="30459">
        <v>0</v>
      </c>
      <c r="AL159" s="30460">
        <f>HLOOKUP("BC",A1:CV300,159,FALSE) - (HLOOKUP("PK Gs",A1:CV300,159,FALSE) + HLOOKUP("PK Miss",A1:CV300,159,FALSE))</f>
        <v>2</v>
      </c>
      <c r="AM159" s="30461">
        <f>HLOOKUP("BC Miss",A1:CV300,159,FALSE) - HLOOKUP("PK Miss",A1:CV300,159,FALSE)</f>
        <v>2</v>
      </c>
      <c r="AN159" s="30462">
        <f>IF(HLOOKUP("BC - Open",A1:CV300,159,FALSE)=0,0,HLOOKUP("BC - Open Miss",A1:CV300,159,FALSE)/HLOOKUP("BC - Open",A1:CV300,159,FALSE))</f>
        <v>1</v>
      </c>
      <c r="AO159" s="30463">
        <v>1</v>
      </c>
      <c r="AP159" s="30464">
        <f>IF(HLOOKUP("Gs",A1:CV300,159,FALSE)=0,0,HLOOKUP("GIB",A1:CV300,159,FALSE)/HLOOKUP("Gs",A1:CV300,159,FALSE))</f>
        <v>1</v>
      </c>
      <c r="AQ159" s="30465">
        <v>1</v>
      </c>
      <c r="AR159" s="30466">
        <f>IF(HLOOKUP("Gs",A1:CV300,159,FALSE)=0,0,HLOOKUP("Gs - Open",A1:CV300,159,FALSE)/HLOOKUP("Gs",A1:CV300,159,FALSE))</f>
        <v>1</v>
      </c>
      <c r="AS159" s="30467">
        <v>1.37</v>
      </c>
      <c r="AT159" s="30468">
        <v>1.41</v>
      </c>
      <c r="AU159" s="30469">
        <f>IF(HLOOKUP("Mins",A1:CV300,159,FALSE)=0,0,HLOOKUP("Pts",A1:CV300,159,FALSE)/HLOOKUP("Mins",A1:CV300,159,FALSE)* 90)</f>
        <v>2.3684210526315788</v>
      </c>
      <c r="AV159" s="30470">
        <f>IF(HLOOKUP("Apps",A1:CV300,159,FALSE)=0,0,HLOOKUP("Pts",A1:CV300,159,FALSE)/HLOOKUP("Apps",A1:CV300,159,FALSE)* 1)</f>
        <v>2.3684210526315788</v>
      </c>
      <c r="AW159" s="30471">
        <f>IF(HLOOKUP("Mins",A1:CV300,159,FALSE)=0,0,HLOOKUP("Gs",A1:CV300,159,FALSE)/HLOOKUP("Mins",A1:CV300,159,FALSE)* 90)</f>
        <v>5.2631578947368425E-2</v>
      </c>
      <c r="AX159" s="30472">
        <f>IF(HLOOKUP("Mins",A1:CV300,159,FALSE)=0,0,HLOOKUP("Bonus",A1:CV300,159,FALSE)/HLOOKUP("Mins",A1:CV300,159,FALSE)* 90)</f>
        <v>0</v>
      </c>
      <c r="AY159" s="30473">
        <f>IF(HLOOKUP("Mins",A1:CV300,159,FALSE)=0,0,HLOOKUP("BPS",A1:CV300,159,FALSE)/HLOOKUP("Mins",A1:CV300,159,FALSE)* 90)</f>
        <v>13.578947368421053</v>
      </c>
      <c r="AZ159" s="30474">
        <f>IF(HLOOKUP("Mins",A1:CV300,159,FALSE)=0,0,HLOOKUP("Base BPS",A1:CV300,159,FALSE)/HLOOKUP("Mins",A1:CV300,159,FALSE)* 90)</f>
        <v>12.473684210526315</v>
      </c>
      <c r="BA159" s="30475">
        <f>IF(HLOOKUP("Mins",A1:CV300,159,FALSE)=0,0,HLOOKUP("PenTchs",A1:CV300,159,FALSE)/HLOOKUP("Mins",A1:CV300,159,FALSE)* 90)</f>
        <v>1.0526315789473684</v>
      </c>
      <c r="BB159" s="30476">
        <f>IF(HLOOKUP("Mins",A1:CV300,159,FALSE)=0,0,HLOOKUP("Shots",A1:CV300,159,FALSE)/HLOOKUP("Mins",A1:CV300,159,FALSE)* 90)</f>
        <v>1.2105263157894737</v>
      </c>
      <c r="BC159" s="30477">
        <f>IF(HLOOKUP("Mins",A1:CV300,159,FALSE)=0,0,HLOOKUP("SIB",A1:CV300,159,FALSE)/HLOOKUP("Mins",A1:CV300,159,FALSE)* 90)</f>
        <v>0.36842105263157898</v>
      </c>
      <c r="BD159" s="30478">
        <f>IF(HLOOKUP("Mins",A1:CV300,159,FALSE)=0,0,HLOOKUP("S6YD",A1:CV300,159,FALSE)/HLOOKUP("Mins",A1:CV300,159,FALSE)* 90)</f>
        <v>5.2631578947368425E-2</v>
      </c>
      <c r="BE159" s="30479">
        <f>IF(HLOOKUP("Mins",A1:CV300,159,FALSE)=0,0,HLOOKUP("Headers",A1:CV300,159,FALSE)/HLOOKUP("Mins",A1:CV300,159,FALSE)* 90)</f>
        <v>0.15789473684210525</v>
      </c>
      <c r="BF159" s="30480">
        <f>IF(HLOOKUP("Mins",A1:CV300,159,FALSE)=0,0,HLOOKUP("SOT",A1:CV300,159,FALSE)/HLOOKUP("Mins",A1:CV300,159,FALSE)* 90)</f>
        <v>0.36842105263157898</v>
      </c>
      <c r="BG159" s="30481">
        <f>IF(HLOOKUP("Mins",A1:CV300,159,FALSE)=0,0,HLOOKUP("As",A1:CV300,159,FALSE)/HLOOKUP("Mins",A1:CV300,159,FALSE)* 90)</f>
        <v>5.2631578947368425E-2</v>
      </c>
      <c r="BH159" s="30482">
        <f>IF(HLOOKUP("Mins",A1:CV300,159,FALSE)=0,0,HLOOKUP("FPL As",A1:CV300,159,FALSE)/HLOOKUP("Mins",A1:CV300,159,FALSE)* 90)</f>
        <v>5.2631578947368425E-2</v>
      </c>
      <c r="BI159" s="30483">
        <f>IF(HLOOKUP("Mins",A1:CV300,159,FALSE)=0,0,HLOOKUP("BC Created",A1:CV300,159,FALSE)/HLOOKUP("Mins",A1:CV300,159,FALSE)* 90)</f>
        <v>0.10526315789473685</v>
      </c>
      <c r="BJ159" s="30484">
        <f>IF(HLOOKUP("Mins",A1:CV300,159,FALSE)=0,0,HLOOKUP("KP",A1:CV300,159,FALSE)/HLOOKUP("Mins",A1:CV300,159,FALSE)* 90)</f>
        <v>0.78947368421052633</v>
      </c>
      <c r="BK159" s="30485">
        <f>IF(HLOOKUP("Mins",A1:CV300,159,FALSE)=0,0,HLOOKUP("BC",A1:CV300,159,FALSE)/HLOOKUP("Mins",A1:CV300,159,FALSE)* 90)</f>
        <v>0.10526315789473685</v>
      </c>
      <c r="BL159" s="30486">
        <f>IF(HLOOKUP("Mins",A1:CV300,159,FALSE)=0,0,HLOOKUP("BC Miss",A1:CV300,159,FALSE)/HLOOKUP("Mins",A1:CV300,159,FALSE)* 90)</f>
        <v>0.10526315789473685</v>
      </c>
      <c r="BM159" s="30487">
        <f>IF(HLOOKUP("Mins",A1:CV300,159,FALSE)=0,0,HLOOKUP("Gs - BC",A1:CV300,159,FALSE)/HLOOKUP("Mins",A1:CV300,159,FALSE)* 90)</f>
        <v>0</v>
      </c>
      <c r="BN159" s="30488">
        <f>IF(HLOOKUP("Mins",A1:CV300,159,FALSE)=0,0,HLOOKUP("GIB",A1:CV300,159,FALSE)/HLOOKUP("Mins",A1:CV300,159,FALSE)* 90)</f>
        <v>5.2631578947368425E-2</v>
      </c>
      <c r="BO159" s="30489">
        <f>IF(HLOOKUP("Mins",A1:CV300,159,FALSE)=0,0,HLOOKUP("Gs - Open",A1:CV300,159,FALSE)/HLOOKUP("Mins",A1:CV300,159,FALSE)* 90)</f>
        <v>5.2631578947368425E-2</v>
      </c>
      <c r="BP159" s="30490">
        <f>IF(HLOOKUP("Mins",A1:CV300,159,FALSE)=0,0,HLOOKUP("ICT Index",A1:CV300,159,FALSE)/HLOOKUP("Mins",A1:CV300,159,FALSE)* 90)</f>
        <v>3.9842105263157892</v>
      </c>
      <c r="BQ159" s="30491">
        <f>IF(HLOOKUP("Mins",A1:CV300,159,FALSE)=0,0,(0.036*(HLOOKUP("Shots",A1:CV300,159,FALSE)-HLOOKUP("SIB",A1:CV300,159,FALSE))+0.142*(HLOOKUP("SIB",A1:CV300,159,FALSE)-(HLOOKUP("PK Gs",A1:CV300,159,FALSE)+HLOOKUP("PK Miss",A1:CV300,159,FALSE)))+0.75*(HLOOKUP("PK Gs",A1:CV300,159,FALSE)+HLOOKUP("PK Miss",A1:CV300,159,FALSE)))/HLOOKUP("Mins",A1:CV300,159,FALSE)*90)</f>
        <v>8.2631578947368417E-2</v>
      </c>
      <c r="BR159" s="30492">
        <f>0.0885*HLOOKUP("KP/90",A1:CV300,159,FALSE)</f>
        <v>6.986842105263158E-2</v>
      </c>
      <c r="BS159" s="30493">
        <f>5*HLOOKUP("xG/90",A1:CV300,159,FALSE)+3*HLOOKUP("xA/90",A1:CV300,159,FALSE)</f>
        <v>0.6227631578947368</v>
      </c>
      <c r="BT159" s="30494">
        <f>HLOOKUP("xPts/90",A1:CV300,159,FALSE)-(5*0.75*(HLOOKUP("PK Gs",A1:CV300,159,FALSE)+HLOOKUP("PK Miss",A1:CV300,159,FALSE))*90/HLOOKUP("Mins",A1:CV300,159,FALSE))</f>
        <v>0.6227631578947368</v>
      </c>
      <c r="BU159" s="30495">
        <f>IF(HLOOKUP("Mins",A1:CV300,159,FALSE)=0,0,HLOOKUP("fsXG",A1:CV300,159,FALSE)/HLOOKUP("Mins",A1:CV300,159,FALSE)* 90)</f>
        <v>7.2105263157894742E-2</v>
      </c>
      <c r="BV159" s="30496">
        <f>IF(HLOOKUP("Mins",A1:CV300,159,FALSE)=0,0,HLOOKUP("fsXA",A1:CV300,159,FALSE)/HLOOKUP("Mins",A1:CV300,159,FALSE)* 90)</f>
        <v>7.4210526315789463E-2</v>
      </c>
      <c r="BW159" s="30497">
        <f>5*HLOOKUP("fsXG/90",A1:CV300,159,FALSE)+3*HLOOKUP("fsXA/90",A1:CV300,159,FALSE)</f>
        <v>0.5831578947368421</v>
      </c>
      <c r="BX159" s="30498">
        <v>8.6196109652519226E-2</v>
      </c>
      <c r="BY159" s="30499">
        <v>8.9419953525066376E-2</v>
      </c>
      <c r="BZ159" s="30500">
        <f>5*HLOOKUP("uXG/90",A1:CV300,159,FALSE)+3*HLOOKUP("uXA/90",A1:CV300,159,FALSE)</f>
        <v>0.69924040883779526</v>
      </c>
    </row>
    <row r="160" spans="1:78" x14ac:dyDescent="0.3">
      <c r="A160" s="30501" t="s">
        <v>487</v>
      </c>
      <c r="B160" s="30502" t="s">
        <v>89</v>
      </c>
      <c r="C160" s="30503">
        <v>4.8000001907348633</v>
      </c>
      <c r="D160" s="30504">
        <v>24</v>
      </c>
      <c r="E160" s="30505">
        <v>2</v>
      </c>
      <c r="F160" s="30506">
        <v>1</v>
      </c>
      <c r="G160" s="30507">
        <v>0</v>
      </c>
      <c r="H160" s="30508">
        <v>0</v>
      </c>
      <c r="I160" s="30509">
        <v>5</v>
      </c>
      <c r="J160" s="30510">
        <f>HLOOKUP("BPS",A1:CV300,160,FALSE)-((-6*HLOOKUP("OG",A1:CV300,160,FALSE))+(-6*HLOOKUP("PK Miss",A1:CV300,160,FALSE))+(9*HLOOKUP("FPL As",A1:CV300,160,FALSE))+(0*HLOOKUP("CS",A1:CV300,160,FALSE))+(18*HLOOKUP("Gs",A1:CV300,160,FALSE)))</f>
        <v>5</v>
      </c>
      <c r="K160" s="30511">
        <v>0</v>
      </c>
      <c r="L160" s="30512">
        <v>0</v>
      </c>
      <c r="M160" s="30513">
        <v>0</v>
      </c>
      <c r="N160" s="30514">
        <v>0</v>
      </c>
      <c r="O160" s="30515">
        <v>0</v>
      </c>
      <c r="P160" s="30516">
        <f>IF(HLOOKUP("Shots",A1:CV300,160,FALSE)=0,0,HLOOKUP("SIB",A1:CV300,160,FALSE)/HLOOKUP("Shots",A1:CV300,160,FALSE))</f>
        <v>0</v>
      </c>
      <c r="Q160" s="30517">
        <v>0</v>
      </c>
      <c r="R160" s="30518">
        <f>IF(HLOOKUP("Shots",A1:CV300,160,FALSE)=0,0,HLOOKUP("S6YD",A1:CV300,160,FALSE)/HLOOKUP("Shots",A1:CV300,160,FALSE))</f>
        <v>0</v>
      </c>
      <c r="S160" s="30519">
        <v>0</v>
      </c>
      <c r="T160" s="30520">
        <f>IF(HLOOKUP("Shots",A1:CV300,160,FALSE)=0,0,HLOOKUP("Headers",A1:CV300,160,FALSE)/HLOOKUP("Shots",A1:CV300,160,FALSE))</f>
        <v>0</v>
      </c>
      <c r="U160" s="30521">
        <v>0</v>
      </c>
      <c r="V160" s="30522">
        <f>IF(HLOOKUP("Shots",A1:CV300,160,FALSE)=0,0,HLOOKUP("SOT",A1:CV300,160,FALSE)/HLOOKUP("Shots",A1:CV300,160,FALSE))</f>
        <v>0</v>
      </c>
      <c r="W160" s="30523">
        <f>IF(HLOOKUP("Shots",A1:CV300,160,FALSE)=0,0,HLOOKUP("Gs",A1:CV300,160,FALSE)/HLOOKUP("Shots",A1:CV300,160,FALSE))</f>
        <v>0</v>
      </c>
      <c r="X160" s="30524">
        <v>0</v>
      </c>
      <c r="Y160" s="30525">
        <v>0</v>
      </c>
      <c r="Z160" s="30526">
        <v>0</v>
      </c>
      <c r="AA160" s="30527">
        <f>IF(HLOOKUP("KP",A1:CV300,160,FALSE)=0,0,HLOOKUP("As",A1:CV300,160,FALSE)/HLOOKUP("KP",A1:CV300,160,FALSE))</f>
        <v>0</v>
      </c>
      <c r="AB160" s="30528">
        <v>0.2</v>
      </c>
      <c r="AC160" s="30529">
        <v>0</v>
      </c>
      <c r="AD160" s="30530">
        <v>0</v>
      </c>
      <c r="AE160" s="30531">
        <v>0</v>
      </c>
      <c r="AF160" s="30532">
        <v>0</v>
      </c>
      <c r="AG160" s="30533">
        <f>IF(HLOOKUP("BC",A1:CV300,160,FALSE)=0,0,HLOOKUP("Gs - BC",A1:CV300,160,FALSE)/HLOOKUP("BC",A1:CV300,160,FALSE))</f>
        <v>0</v>
      </c>
      <c r="AH160" s="30534">
        <f>HLOOKUP("BC",A1:CV300,160,FALSE) - HLOOKUP("BC Miss",A1:CV300,160,FALSE)</f>
        <v>0</v>
      </c>
      <c r="AI160" s="30535">
        <f>IF(HLOOKUP("Gs",A1:CV300,160,FALSE)=0,0,HLOOKUP("Gs - BC",A1:CV300,160,FALSE)/HLOOKUP("Gs",A1:CV300,160,FALSE))</f>
        <v>0</v>
      </c>
      <c r="AJ160" s="30536">
        <v>0</v>
      </c>
      <c r="AK160" s="30537">
        <v>0</v>
      </c>
      <c r="AL160" s="30538">
        <f>HLOOKUP("BC",A1:CV300,160,FALSE) - (HLOOKUP("PK Gs",A1:CV300,160,FALSE) + HLOOKUP("PK Miss",A1:CV300,160,FALSE))</f>
        <v>0</v>
      </c>
      <c r="AM160" s="30539">
        <f>HLOOKUP("BC Miss",A1:CV300,160,FALSE) - HLOOKUP("PK Miss",A1:CV300,160,FALSE)</f>
        <v>0</v>
      </c>
      <c r="AN160" s="30540">
        <f>IF(HLOOKUP("BC - Open",A1:CV300,160,FALSE)=0,0,HLOOKUP("BC - Open Miss",A1:CV300,160,FALSE)/HLOOKUP("BC - Open",A1:CV300,160,FALSE))</f>
        <v>0</v>
      </c>
      <c r="AO160" s="30541">
        <v>0</v>
      </c>
      <c r="AP160" s="30542">
        <f>IF(HLOOKUP("Gs",A1:CV300,160,FALSE)=0,0,HLOOKUP("GIB",A1:CV300,160,FALSE)/HLOOKUP("Gs",A1:CV300,160,FALSE))</f>
        <v>0</v>
      </c>
      <c r="AQ160" s="30543">
        <v>0</v>
      </c>
      <c r="AR160" s="30544">
        <f>IF(HLOOKUP("Gs",A1:CV300,160,FALSE)=0,0,HLOOKUP("Gs - Open",A1:CV300,160,FALSE)/HLOOKUP("Gs",A1:CV300,160,FALSE))</f>
        <v>0</v>
      </c>
      <c r="AS160" s="30545">
        <v>0</v>
      </c>
      <c r="AT160" s="30546">
        <v>0.01</v>
      </c>
      <c r="AU160" s="30547">
        <f>IF(HLOOKUP("Mins",A1:CV300,160,FALSE)=0,0,HLOOKUP("Pts",A1:CV300,160,FALSE)/HLOOKUP("Mins",A1:CV300,160,FALSE)* 90)</f>
        <v>3.75</v>
      </c>
      <c r="AV160" s="30548">
        <f>IF(HLOOKUP("Apps",A1:CV300,160,FALSE)=0,0,HLOOKUP("Pts",A1:CV300,160,FALSE)/HLOOKUP("Apps",A1:CV300,160,FALSE)* 1)</f>
        <v>0.5</v>
      </c>
      <c r="AW160" s="30549">
        <f>IF(HLOOKUP("Mins",A1:CV300,160,FALSE)=0,0,HLOOKUP("Gs",A1:CV300,160,FALSE)/HLOOKUP("Mins",A1:CV300,160,FALSE)* 90)</f>
        <v>0</v>
      </c>
      <c r="AX160" s="30550">
        <f>IF(HLOOKUP("Mins",A1:CV300,160,FALSE)=0,0,HLOOKUP("Bonus",A1:CV300,160,FALSE)/HLOOKUP("Mins",A1:CV300,160,FALSE)* 90)</f>
        <v>0</v>
      </c>
      <c r="AY160" s="30551">
        <f>IF(HLOOKUP("Mins",A1:CV300,160,FALSE)=0,0,HLOOKUP("BPS",A1:CV300,160,FALSE)/HLOOKUP("Mins",A1:CV300,160,FALSE)* 90)</f>
        <v>18.75</v>
      </c>
      <c r="AZ160" s="30552">
        <f>IF(HLOOKUP("Mins",A1:CV300,160,FALSE)=0,0,HLOOKUP("Base BPS",A1:CV300,160,FALSE)/HLOOKUP("Mins",A1:CV300,160,FALSE)* 90)</f>
        <v>18.75</v>
      </c>
      <c r="BA160" s="30553">
        <f>IF(HLOOKUP("Mins",A1:CV300,160,FALSE)=0,0,HLOOKUP("PenTchs",A1:CV300,160,FALSE)/HLOOKUP("Mins",A1:CV300,160,FALSE)* 90)</f>
        <v>0</v>
      </c>
      <c r="BB160" s="30554">
        <f>IF(HLOOKUP("Mins",A1:CV300,160,FALSE)=0,0,HLOOKUP("Shots",A1:CV300,160,FALSE)/HLOOKUP("Mins",A1:CV300,160,FALSE)* 90)</f>
        <v>0</v>
      </c>
      <c r="BC160" s="30555">
        <f>IF(HLOOKUP("Mins",A1:CV300,160,FALSE)=0,0,HLOOKUP("SIB",A1:CV300,160,FALSE)/HLOOKUP("Mins",A1:CV300,160,FALSE)* 90)</f>
        <v>0</v>
      </c>
      <c r="BD160" s="30556">
        <f>IF(HLOOKUP("Mins",A1:CV300,160,FALSE)=0,0,HLOOKUP("S6YD",A1:CV300,160,FALSE)/HLOOKUP("Mins",A1:CV300,160,FALSE)* 90)</f>
        <v>0</v>
      </c>
      <c r="BE160" s="30557">
        <f>IF(HLOOKUP("Mins",A1:CV300,160,FALSE)=0,0,HLOOKUP("Headers",A1:CV300,160,FALSE)/HLOOKUP("Mins",A1:CV300,160,FALSE)* 90)</f>
        <v>0</v>
      </c>
      <c r="BF160" s="30558">
        <f>IF(HLOOKUP("Mins",A1:CV300,160,FALSE)=0,0,HLOOKUP("SOT",A1:CV300,160,FALSE)/HLOOKUP("Mins",A1:CV300,160,FALSE)* 90)</f>
        <v>0</v>
      </c>
      <c r="BG160" s="30559">
        <f>IF(HLOOKUP("Mins",A1:CV300,160,FALSE)=0,0,HLOOKUP("As",A1:CV300,160,FALSE)/HLOOKUP("Mins",A1:CV300,160,FALSE)* 90)</f>
        <v>0</v>
      </c>
      <c r="BH160" s="30560">
        <f>IF(HLOOKUP("Mins",A1:CV300,160,FALSE)=0,0,HLOOKUP("FPL As",A1:CV300,160,FALSE)/HLOOKUP("Mins",A1:CV300,160,FALSE)* 90)</f>
        <v>0</v>
      </c>
      <c r="BI160" s="30561">
        <f>IF(HLOOKUP("Mins",A1:CV300,160,FALSE)=0,0,HLOOKUP("BC Created",A1:CV300,160,FALSE)/HLOOKUP("Mins",A1:CV300,160,FALSE)* 90)</f>
        <v>0</v>
      </c>
      <c r="BJ160" s="30562">
        <f>IF(HLOOKUP("Mins",A1:CV300,160,FALSE)=0,0,HLOOKUP("KP",A1:CV300,160,FALSE)/HLOOKUP("Mins",A1:CV300,160,FALSE)* 90)</f>
        <v>0</v>
      </c>
      <c r="BK160" s="30563">
        <f>IF(HLOOKUP("Mins",A1:CV300,160,FALSE)=0,0,HLOOKUP("BC",A1:CV300,160,FALSE)/HLOOKUP("Mins",A1:CV300,160,FALSE)* 90)</f>
        <v>0</v>
      </c>
      <c r="BL160" s="30564">
        <f>IF(HLOOKUP("Mins",A1:CV300,160,FALSE)=0,0,HLOOKUP("BC Miss",A1:CV300,160,FALSE)/HLOOKUP("Mins",A1:CV300,160,FALSE)* 90)</f>
        <v>0</v>
      </c>
      <c r="BM160" s="30565">
        <f>IF(HLOOKUP("Mins",A1:CV300,160,FALSE)=0,0,HLOOKUP("Gs - BC",A1:CV300,160,FALSE)/HLOOKUP("Mins",A1:CV300,160,FALSE)* 90)</f>
        <v>0</v>
      </c>
      <c r="BN160" s="30566">
        <f>IF(HLOOKUP("Mins",A1:CV300,160,FALSE)=0,0,HLOOKUP("GIB",A1:CV300,160,FALSE)/HLOOKUP("Mins",A1:CV300,160,FALSE)* 90)</f>
        <v>0</v>
      </c>
      <c r="BO160" s="30567">
        <f>IF(HLOOKUP("Mins",A1:CV300,160,FALSE)=0,0,HLOOKUP("Gs - Open",A1:CV300,160,FALSE)/HLOOKUP("Mins",A1:CV300,160,FALSE)* 90)</f>
        <v>0</v>
      </c>
      <c r="BP160" s="30568">
        <f>IF(HLOOKUP("Mins",A1:CV300,160,FALSE)=0,0,HLOOKUP("ICT Index",A1:CV300,160,FALSE)/HLOOKUP("Mins",A1:CV300,160,FALSE)* 90)</f>
        <v>0.75</v>
      </c>
      <c r="BQ160" s="30569">
        <f>IF(HLOOKUP("Mins",A1:CV300,160,FALSE)=0,0,(0.036*(HLOOKUP("Shots",A1:CV300,160,FALSE)-HLOOKUP("SIB",A1:CV300,160,FALSE))+0.142*(HLOOKUP("SIB",A1:CV300,160,FALSE)-(HLOOKUP("PK Gs",A1:CV300,160,FALSE)+HLOOKUP("PK Miss",A1:CV300,160,FALSE)))+0.75*(HLOOKUP("PK Gs",A1:CV300,160,FALSE)+HLOOKUP("PK Miss",A1:CV300,160,FALSE)))/HLOOKUP("Mins",A1:CV300,160,FALSE)*90)</f>
        <v>0</v>
      </c>
      <c r="BR160" s="30570">
        <f>0.0885*HLOOKUP("KP/90",A1:CV300,160,FALSE)</f>
        <v>0</v>
      </c>
      <c r="BS160" s="30571">
        <f>5*HLOOKUP("xG/90",A1:CV300,160,FALSE)+3*HLOOKUP("xA/90",A1:CV300,160,FALSE)</f>
        <v>0</v>
      </c>
      <c r="BT160" s="30572">
        <f>HLOOKUP("xPts/90",A1:CV300,160,FALSE)-(5*0.75*(HLOOKUP("PK Gs",A1:CV300,160,FALSE)+HLOOKUP("PK Miss",A1:CV300,160,FALSE))*90/HLOOKUP("Mins",A1:CV300,160,FALSE))</f>
        <v>0</v>
      </c>
      <c r="BU160" s="30573">
        <f>IF(HLOOKUP("Mins",A1:CV300,160,FALSE)=0,0,HLOOKUP("fsXG",A1:CV300,160,FALSE)/HLOOKUP("Mins",A1:CV300,160,FALSE)* 90)</f>
        <v>0</v>
      </c>
      <c r="BV160" s="30574">
        <f>IF(HLOOKUP("Mins",A1:CV300,160,FALSE)=0,0,HLOOKUP("fsXA",A1:CV300,160,FALSE)/HLOOKUP("Mins",A1:CV300,160,FALSE)* 90)</f>
        <v>3.7500000000000006E-2</v>
      </c>
      <c r="BW160" s="30575">
        <f>5*HLOOKUP("fsXG/90",A1:CV300,160,FALSE)+3*HLOOKUP("fsXA/90",A1:CV300,160,FALSE)</f>
        <v>0.11250000000000002</v>
      </c>
      <c r="BX160" s="30576">
        <v>0</v>
      </c>
      <c r="BY160" s="30577">
        <v>0</v>
      </c>
      <c r="BZ160" s="30578">
        <f>5*HLOOKUP("uXG/90",A1:CV300,160,FALSE)+3*HLOOKUP("uXA/90",A1:CV300,160,FALSE)</f>
        <v>0</v>
      </c>
    </row>
    <row r="161" spans="1:78" x14ac:dyDescent="0.3">
      <c r="A161" s="30579" t="s">
        <v>488</v>
      </c>
      <c r="B161" s="30580" t="s">
        <v>86</v>
      </c>
      <c r="C161" s="30581">
        <v>5.6999998092651367</v>
      </c>
      <c r="D161" s="30582">
        <v>845</v>
      </c>
      <c r="E161" s="30583">
        <v>15</v>
      </c>
      <c r="F161" s="30584">
        <v>50</v>
      </c>
      <c r="G161" s="30585">
        <v>3</v>
      </c>
      <c r="H161" s="30586">
        <v>6</v>
      </c>
      <c r="I161" s="30587">
        <v>198</v>
      </c>
      <c r="J161" s="30588">
        <f>HLOOKUP("BPS",A1:CV300,161,FALSE)-((-6*HLOOKUP("OG",A1:CV300,161,FALSE))+(-6*HLOOKUP("PK Miss",A1:CV300,161,FALSE))+(9*HLOOKUP("FPL As",A1:CV300,161,FALSE))+(0*HLOOKUP("CS",A1:CV300,161,FALSE))+(18*HLOOKUP("Gs",A1:CV300,161,FALSE)))</f>
        <v>126</v>
      </c>
      <c r="K161" s="30589">
        <v>0</v>
      </c>
      <c r="L161" s="30590">
        <v>2</v>
      </c>
      <c r="M161" s="30591">
        <v>19</v>
      </c>
      <c r="N161" s="30592">
        <v>15</v>
      </c>
      <c r="O161" s="30593">
        <v>6</v>
      </c>
      <c r="P161" s="30594">
        <f>IF(HLOOKUP("Shots",A1:CV300,161,FALSE)=0,0,HLOOKUP("SIB",A1:CV300,161,FALSE)/HLOOKUP("Shots",A1:CV300,161,FALSE))</f>
        <v>0.4</v>
      </c>
      <c r="Q161" s="30595">
        <v>0</v>
      </c>
      <c r="R161" s="30596">
        <f>IF(HLOOKUP("Shots",A1:CV300,161,FALSE)=0,0,HLOOKUP("S6YD",A1:CV300,161,FALSE)/HLOOKUP("Shots",A1:CV300,161,FALSE))</f>
        <v>0</v>
      </c>
      <c r="S161" s="30597">
        <v>0</v>
      </c>
      <c r="T161" s="30598">
        <f>IF(HLOOKUP("Shots",A1:CV300,161,FALSE)=0,0,HLOOKUP("Headers",A1:CV300,161,FALSE)/HLOOKUP("Shots",A1:CV300,161,FALSE))</f>
        <v>0</v>
      </c>
      <c r="U161" s="30599">
        <v>7</v>
      </c>
      <c r="V161" s="30600">
        <f>IF(HLOOKUP("Shots",A1:CV300,161,FALSE)=0,0,HLOOKUP("SOT",A1:CV300,161,FALSE)/HLOOKUP("Shots",A1:CV300,161,FALSE))</f>
        <v>0.46666666666666667</v>
      </c>
      <c r="W161" s="30601">
        <f>IF(HLOOKUP("Shots",A1:CV300,161,FALSE)=0,0,HLOOKUP("Gs",A1:CV300,161,FALSE)/HLOOKUP("Shots",A1:CV300,161,FALSE))</f>
        <v>0.2</v>
      </c>
      <c r="X161" s="30602">
        <v>2</v>
      </c>
      <c r="Y161" s="30603">
        <v>2</v>
      </c>
      <c r="Z161" s="30604">
        <v>17</v>
      </c>
      <c r="AA161" s="30605">
        <f>IF(HLOOKUP("KP",A1:CV300,161,FALSE)=0,0,HLOOKUP("As",A1:CV300,161,FALSE)/HLOOKUP("KP",A1:CV300,161,FALSE))</f>
        <v>0.11764705882352941</v>
      </c>
      <c r="AB161" s="30606">
        <v>65.5</v>
      </c>
      <c r="AC161" s="30607">
        <v>36</v>
      </c>
      <c r="AD161" s="30608">
        <v>4</v>
      </c>
      <c r="AE161" s="30609">
        <v>1</v>
      </c>
      <c r="AF161" s="30610">
        <v>1</v>
      </c>
      <c r="AG161" s="30611">
        <f>IF(HLOOKUP("BC",A1:CV300,161,FALSE)=0,0,HLOOKUP("Gs - BC",A1:CV300,161,FALSE)/HLOOKUP("BC",A1:CV300,161,FALSE))</f>
        <v>0</v>
      </c>
      <c r="AH161" s="30612">
        <f>HLOOKUP("BC",A1:CV300,161,FALSE) - HLOOKUP("BC Miss",A1:CV300,161,FALSE)</f>
        <v>0</v>
      </c>
      <c r="AI161" s="30613">
        <f>IF(HLOOKUP("Gs",A1:CV300,161,FALSE)=0,0,HLOOKUP("Gs - BC",A1:CV300,161,FALSE)/HLOOKUP("Gs",A1:CV300,161,FALSE))</f>
        <v>0</v>
      </c>
      <c r="AJ161" s="30614">
        <v>0</v>
      </c>
      <c r="AK161" s="30615">
        <v>0</v>
      </c>
      <c r="AL161" s="30616">
        <f>HLOOKUP("BC",A1:CV300,161,FALSE) - (HLOOKUP("PK Gs",A1:CV300,161,FALSE) + HLOOKUP("PK Miss",A1:CV300,161,FALSE))</f>
        <v>1</v>
      </c>
      <c r="AM161" s="30617">
        <f>HLOOKUP("BC Miss",A1:CV300,161,FALSE) - HLOOKUP("PK Miss",A1:CV300,161,FALSE)</f>
        <v>1</v>
      </c>
      <c r="AN161" s="30618">
        <f>IF(HLOOKUP("BC - Open",A1:CV300,161,FALSE)=0,0,HLOOKUP("BC - Open Miss",A1:CV300,161,FALSE)/HLOOKUP("BC - Open",A1:CV300,161,FALSE))</f>
        <v>1</v>
      </c>
      <c r="AO161" s="30619">
        <v>2</v>
      </c>
      <c r="AP161" s="30620">
        <f>IF(HLOOKUP("Gs",A1:CV300,161,FALSE)=0,0,HLOOKUP("GIB",A1:CV300,161,FALSE)/HLOOKUP("Gs",A1:CV300,161,FALSE))</f>
        <v>0.66666666666666663</v>
      </c>
      <c r="AQ161" s="30621">
        <v>2</v>
      </c>
      <c r="AR161" s="30622">
        <f>IF(HLOOKUP("Gs",A1:CV300,161,FALSE)=0,0,HLOOKUP("Gs - Open",A1:CV300,161,FALSE)/HLOOKUP("Gs",A1:CV300,161,FALSE))</f>
        <v>0.66666666666666663</v>
      </c>
      <c r="AS161" s="30623">
        <v>0.96</v>
      </c>
      <c r="AT161" s="30624">
        <v>2.0299999999999998</v>
      </c>
      <c r="AU161" s="30625">
        <f>IF(HLOOKUP("Mins",A1:CV300,161,FALSE)=0,0,HLOOKUP("Pts",A1:CV300,161,FALSE)/HLOOKUP("Mins",A1:CV300,161,FALSE)* 90)</f>
        <v>5.3254437869822482</v>
      </c>
      <c r="AV161" s="30626">
        <f>IF(HLOOKUP("Apps",A1:CV300,161,FALSE)=0,0,HLOOKUP("Pts",A1:CV300,161,FALSE)/HLOOKUP("Apps",A1:CV300,161,FALSE)* 1)</f>
        <v>3.3333333333333335</v>
      </c>
      <c r="AW161" s="30627">
        <f>IF(HLOOKUP("Mins",A1:CV300,161,FALSE)=0,0,HLOOKUP("Gs",A1:CV300,161,FALSE)/HLOOKUP("Mins",A1:CV300,161,FALSE)* 90)</f>
        <v>0.31952662721893488</v>
      </c>
      <c r="AX161" s="30628">
        <f>IF(HLOOKUP("Mins",A1:CV300,161,FALSE)=0,0,HLOOKUP("Bonus",A1:CV300,161,FALSE)/HLOOKUP("Mins",A1:CV300,161,FALSE)* 90)</f>
        <v>0.63905325443786976</v>
      </c>
      <c r="AY161" s="30629">
        <f>IF(HLOOKUP("Mins",A1:CV300,161,FALSE)=0,0,HLOOKUP("BPS",A1:CV300,161,FALSE)/HLOOKUP("Mins",A1:CV300,161,FALSE)* 90)</f>
        <v>21.088757396449704</v>
      </c>
      <c r="AZ161" s="30630">
        <f>IF(HLOOKUP("Mins",A1:CV300,161,FALSE)=0,0,HLOOKUP("Base BPS",A1:CV300,161,FALSE)/HLOOKUP("Mins",A1:CV300,161,FALSE)* 90)</f>
        <v>13.420118343195266</v>
      </c>
      <c r="BA161" s="30631">
        <f>IF(HLOOKUP("Mins",A1:CV300,161,FALSE)=0,0,HLOOKUP("PenTchs",A1:CV300,161,FALSE)/HLOOKUP("Mins",A1:CV300,161,FALSE)* 90)</f>
        <v>2.0236686390532546</v>
      </c>
      <c r="BB161" s="30632">
        <f>IF(HLOOKUP("Mins",A1:CV300,161,FALSE)=0,0,HLOOKUP("Shots",A1:CV300,161,FALSE)/HLOOKUP("Mins",A1:CV300,161,FALSE)* 90)</f>
        <v>1.5976331360946745</v>
      </c>
      <c r="BC161" s="30633">
        <f>IF(HLOOKUP("Mins",A1:CV300,161,FALSE)=0,0,HLOOKUP("SIB",A1:CV300,161,FALSE)/HLOOKUP("Mins",A1:CV300,161,FALSE)* 90)</f>
        <v>0.63905325443786976</v>
      </c>
      <c r="BD161" s="30634">
        <f>IF(HLOOKUP("Mins",A1:CV300,161,FALSE)=0,0,HLOOKUP("S6YD",A1:CV300,161,FALSE)/HLOOKUP("Mins",A1:CV300,161,FALSE)* 90)</f>
        <v>0</v>
      </c>
      <c r="BE161" s="30635">
        <f>IF(HLOOKUP("Mins",A1:CV300,161,FALSE)=0,0,HLOOKUP("Headers",A1:CV300,161,FALSE)/HLOOKUP("Mins",A1:CV300,161,FALSE)* 90)</f>
        <v>0</v>
      </c>
      <c r="BF161" s="30636">
        <f>IF(HLOOKUP("Mins",A1:CV300,161,FALSE)=0,0,HLOOKUP("SOT",A1:CV300,161,FALSE)/HLOOKUP("Mins",A1:CV300,161,FALSE)* 90)</f>
        <v>0.74556213017751483</v>
      </c>
      <c r="BG161" s="30637">
        <f>IF(HLOOKUP("Mins",A1:CV300,161,FALSE)=0,0,HLOOKUP("As",A1:CV300,161,FALSE)/HLOOKUP("Mins",A1:CV300,161,FALSE)* 90)</f>
        <v>0.21301775147928995</v>
      </c>
      <c r="BH161" s="30638">
        <f>IF(HLOOKUP("Mins",A1:CV300,161,FALSE)=0,0,HLOOKUP("FPL As",A1:CV300,161,FALSE)/HLOOKUP("Mins",A1:CV300,161,FALSE)* 90)</f>
        <v>0.21301775147928995</v>
      </c>
      <c r="BI161" s="30639">
        <f>IF(HLOOKUP("Mins",A1:CV300,161,FALSE)=0,0,HLOOKUP("BC Created",A1:CV300,161,FALSE)/HLOOKUP("Mins",A1:CV300,161,FALSE)* 90)</f>
        <v>0.42603550295857989</v>
      </c>
      <c r="BJ161" s="30640">
        <f>IF(HLOOKUP("Mins",A1:CV300,161,FALSE)=0,0,HLOOKUP("KP",A1:CV300,161,FALSE)/HLOOKUP("Mins",A1:CV300,161,FALSE)* 90)</f>
        <v>1.8106508875739644</v>
      </c>
      <c r="BK161" s="30641">
        <f>IF(HLOOKUP("Mins",A1:CV300,161,FALSE)=0,0,HLOOKUP("BC",A1:CV300,161,FALSE)/HLOOKUP("Mins",A1:CV300,161,FALSE)* 90)</f>
        <v>0.10650887573964497</v>
      </c>
      <c r="BL161" s="30642">
        <f>IF(HLOOKUP("Mins",A1:CV300,161,FALSE)=0,0,HLOOKUP("BC Miss",A1:CV300,161,FALSE)/HLOOKUP("Mins",A1:CV300,161,FALSE)* 90)</f>
        <v>0.10650887573964497</v>
      </c>
      <c r="BM161" s="30643">
        <f>IF(HLOOKUP("Mins",A1:CV300,161,FALSE)=0,0,HLOOKUP("Gs - BC",A1:CV300,161,FALSE)/HLOOKUP("Mins",A1:CV300,161,FALSE)* 90)</f>
        <v>0</v>
      </c>
      <c r="BN161" s="30644">
        <f>IF(HLOOKUP("Mins",A1:CV300,161,FALSE)=0,0,HLOOKUP("GIB",A1:CV300,161,FALSE)/HLOOKUP("Mins",A1:CV300,161,FALSE)* 90)</f>
        <v>0.21301775147928995</v>
      </c>
      <c r="BO161" s="30645">
        <f>IF(HLOOKUP("Mins",A1:CV300,161,FALSE)=0,0,HLOOKUP("Gs - Open",A1:CV300,161,FALSE)/HLOOKUP("Mins",A1:CV300,161,FALSE)* 90)</f>
        <v>0.21301775147928995</v>
      </c>
      <c r="BP161" s="30646">
        <f>IF(HLOOKUP("Mins",A1:CV300,161,FALSE)=0,0,HLOOKUP("ICT Index",A1:CV300,161,FALSE)/HLOOKUP("Mins",A1:CV300,161,FALSE)* 90)</f>
        <v>6.9763313609467454</v>
      </c>
      <c r="BQ161" s="30647">
        <f>IF(HLOOKUP("Mins",A1:CV300,161,FALSE)=0,0,(0.036*(HLOOKUP("Shots",A1:CV300,161,FALSE)-HLOOKUP("SIB",A1:CV300,161,FALSE))+0.142*(HLOOKUP("SIB",A1:CV300,161,FALSE)-(HLOOKUP("PK Gs",A1:CV300,161,FALSE)+HLOOKUP("PK Miss",A1:CV300,161,FALSE)))+0.75*(HLOOKUP("PK Gs",A1:CV300,161,FALSE)+HLOOKUP("PK Miss",A1:CV300,161,FALSE)))/HLOOKUP("Mins",A1:CV300,161,FALSE)*90)</f>
        <v>0.12525443786982246</v>
      </c>
      <c r="BR161" s="30648">
        <f>0.0885*HLOOKUP("KP/90",A1:CV300,161,FALSE)</f>
        <v>0.16024260355029585</v>
      </c>
      <c r="BS161" s="30649">
        <f>5*HLOOKUP("xG/90",A1:CV300,161,FALSE)+3*HLOOKUP("xA/90",A1:CV300,161,FALSE)</f>
        <v>1.1069999999999998</v>
      </c>
      <c r="BT161" s="30650">
        <f>HLOOKUP("xPts/90",A1:CV300,161,FALSE)-(5*0.75*(HLOOKUP("PK Gs",A1:CV300,161,FALSE)+HLOOKUP("PK Miss",A1:CV300,161,FALSE))*90/HLOOKUP("Mins",A1:CV300,161,FALSE))</f>
        <v>1.1069999999999998</v>
      </c>
      <c r="BU161" s="30651">
        <f>IF(HLOOKUP("Mins",A1:CV300,161,FALSE)=0,0,HLOOKUP("fsXG",A1:CV300,161,FALSE)/HLOOKUP("Mins",A1:CV300,161,FALSE)* 90)</f>
        <v>0.10224852071005917</v>
      </c>
      <c r="BV161" s="30652">
        <f>IF(HLOOKUP("Mins",A1:CV300,161,FALSE)=0,0,HLOOKUP("fsXA",A1:CV300,161,FALSE)/HLOOKUP("Mins",A1:CV300,161,FALSE)* 90)</f>
        <v>0.21621301775147928</v>
      </c>
      <c r="BW161" s="30653">
        <f>5*HLOOKUP("fsXG/90",A1:CV300,161,FALSE)+3*HLOOKUP("fsXA/90",A1:CV300,161,FALSE)</f>
        <v>1.1598816568047337</v>
      </c>
      <c r="BX161" s="30654">
        <v>0.1050063893198967</v>
      </c>
      <c r="BY161" s="30655">
        <v>0.29465627670288086</v>
      </c>
      <c r="BZ161" s="30656">
        <f>5*HLOOKUP("uXG/90",A1:CV300,161,FALSE)+3*HLOOKUP("uXA/90",A1:CV300,161,FALSE)</f>
        <v>1.4090007767081261</v>
      </c>
    </row>
    <row r="162" spans="1:78" x14ac:dyDescent="0.3">
      <c r="A162" s="30657" t="s">
        <v>489</v>
      </c>
      <c r="B162" s="30658" t="s">
        <v>151</v>
      </c>
      <c r="C162" s="30659">
        <v>4.3000001907348633</v>
      </c>
      <c r="D162" s="30660">
        <v>8</v>
      </c>
      <c r="E162" s="30661">
        <v>1</v>
      </c>
      <c r="F162" s="30662">
        <v>1</v>
      </c>
      <c r="G162" s="30663">
        <v>0</v>
      </c>
      <c r="H162" s="30664">
        <v>0</v>
      </c>
      <c r="I162" s="30665">
        <v>3</v>
      </c>
      <c r="J162" s="30666">
        <f>HLOOKUP("BPS",A1:CV300,162,FALSE)-((-6*HLOOKUP("OG",A1:CV300,162,FALSE))+(-6*HLOOKUP("PK Miss",A1:CV300,162,FALSE))+(9*HLOOKUP("FPL As",A1:CV300,162,FALSE))+(0*HLOOKUP("CS",A1:CV300,162,FALSE))+(18*HLOOKUP("Gs",A1:CV300,162,FALSE)))</f>
        <v>3</v>
      </c>
      <c r="K162" s="30667">
        <v>0</v>
      </c>
      <c r="L162" s="30668">
        <v>0</v>
      </c>
      <c r="M162" s="30669">
        <v>0</v>
      </c>
      <c r="N162" s="30670">
        <v>0</v>
      </c>
      <c r="O162" s="30671">
        <v>0</v>
      </c>
      <c r="P162" s="30672">
        <f>IF(HLOOKUP("Shots",A1:CV300,162,FALSE)=0,0,HLOOKUP("SIB",A1:CV300,162,FALSE)/HLOOKUP("Shots",A1:CV300,162,FALSE))</f>
        <v>0</v>
      </c>
      <c r="Q162" s="30673">
        <v>0</v>
      </c>
      <c r="R162" s="30674">
        <f>IF(HLOOKUP("Shots",A1:CV300,162,FALSE)=0,0,HLOOKUP("S6YD",A1:CV300,162,FALSE)/HLOOKUP("Shots",A1:CV300,162,FALSE))</f>
        <v>0</v>
      </c>
      <c r="S162" s="30675">
        <v>0</v>
      </c>
      <c r="T162" s="30676">
        <f>IF(HLOOKUP("Shots",A1:CV300,162,FALSE)=0,0,HLOOKUP("Headers",A1:CV300,162,FALSE)/HLOOKUP("Shots",A1:CV300,162,FALSE))</f>
        <v>0</v>
      </c>
      <c r="U162" s="30677">
        <v>0</v>
      </c>
      <c r="V162" s="30678">
        <f>IF(HLOOKUP("Shots",A1:CV300,162,FALSE)=0,0,HLOOKUP("SOT",A1:CV300,162,FALSE)/HLOOKUP("Shots",A1:CV300,162,FALSE))</f>
        <v>0</v>
      </c>
      <c r="W162" s="30679">
        <f>IF(HLOOKUP("Shots",A1:CV300,162,FALSE)=0,0,HLOOKUP("Gs",A1:CV300,162,FALSE)/HLOOKUP("Shots",A1:CV300,162,FALSE))</f>
        <v>0</v>
      </c>
      <c r="X162" s="30680">
        <v>0</v>
      </c>
      <c r="Y162" s="30681">
        <v>0</v>
      </c>
      <c r="Z162" s="30682">
        <v>0</v>
      </c>
      <c r="AA162" s="30683">
        <f>IF(HLOOKUP("KP",A1:CV300,162,FALSE)=0,0,HLOOKUP("As",A1:CV300,162,FALSE)/HLOOKUP("KP",A1:CV300,162,FALSE))</f>
        <v>0</v>
      </c>
      <c r="AB162" s="30684">
        <v>0.4</v>
      </c>
      <c r="AC162" s="30685">
        <v>0</v>
      </c>
      <c r="AD162" s="30686">
        <v>0</v>
      </c>
      <c r="AE162" s="30687">
        <v>0</v>
      </c>
      <c r="AF162" s="30688">
        <v>0</v>
      </c>
      <c r="AG162" s="30689">
        <f>IF(HLOOKUP("BC",A1:CV300,162,FALSE)=0,0,HLOOKUP("Gs - BC",A1:CV300,162,FALSE)/HLOOKUP("BC",A1:CV300,162,FALSE))</f>
        <v>0</v>
      </c>
      <c r="AH162" s="30690">
        <f>HLOOKUP("BC",A1:CV300,162,FALSE) - HLOOKUP("BC Miss",A1:CV300,162,FALSE)</f>
        <v>0</v>
      </c>
      <c r="AI162" s="30691">
        <f>IF(HLOOKUP("Gs",A1:CV300,162,FALSE)=0,0,HLOOKUP("Gs - BC",A1:CV300,162,FALSE)/HLOOKUP("Gs",A1:CV300,162,FALSE))</f>
        <v>0</v>
      </c>
      <c r="AJ162" s="30692">
        <v>0</v>
      </c>
      <c r="AK162" s="30693">
        <v>0</v>
      </c>
      <c r="AL162" s="30694">
        <f>HLOOKUP("BC",A1:CV300,162,FALSE) - (HLOOKUP("PK Gs",A1:CV300,162,FALSE) + HLOOKUP("PK Miss",A1:CV300,162,FALSE))</f>
        <v>0</v>
      </c>
      <c r="AM162" s="30695">
        <f>HLOOKUP("BC Miss",A1:CV300,162,FALSE) - HLOOKUP("PK Miss",A1:CV300,162,FALSE)</f>
        <v>0</v>
      </c>
      <c r="AN162" s="30696">
        <f>IF(HLOOKUP("BC - Open",A1:CV300,162,FALSE)=0,0,HLOOKUP("BC - Open Miss",A1:CV300,162,FALSE)/HLOOKUP("BC - Open",A1:CV300,162,FALSE))</f>
        <v>0</v>
      </c>
      <c r="AO162" s="30697">
        <v>0</v>
      </c>
      <c r="AP162" s="30698">
        <f>IF(HLOOKUP("Gs",A1:CV300,162,FALSE)=0,0,HLOOKUP("GIB",A1:CV300,162,FALSE)/HLOOKUP("Gs",A1:CV300,162,FALSE))</f>
        <v>0</v>
      </c>
      <c r="AQ162" s="30699">
        <v>0</v>
      </c>
      <c r="AR162" s="30700">
        <f>IF(HLOOKUP("Gs",A1:CV300,162,FALSE)=0,0,HLOOKUP("Gs - Open",A1:CV300,162,FALSE)/HLOOKUP("Gs",A1:CV300,162,FALSE))</f>
        <v>0</v>
      </c>
      <c r="AS162" s="30701">
        <v>0</v>
      </c>
      <c r="AT162" s="30702">
        <v>0.01</v>
      </c>
      <c r="AU162" s="30703">
        <f>IF(HLOOKUP("Mins",A1:CV300,162,FALSE)=0,0,HLOOKUP("Pts",A1:CV300,162,FALSE)/HLOOKUP("Mins",A1:CV300,162,FALSE)* 90)</f>
        <v>11.25</v>
      </c>
      <c r="AV162" s="30704">
        <f>IF(HLOOKUP("Apps",A1:CV300,162,FALSE)=0,0,HLOOKUP("Pts",A1:CV300,162,FALSE)/HLOOKUP("Apps",A1:CV300,162,FALSE)* 1)</f>
        <v>1</v>
      </c>
      <c r="AW162" s="30705">
        <f>IF(HLOOKUP("Mins",A1:CV300,162,FALSE)=0,0,HLOOKUP("Gs",A1:CV300,162,FALSE)/HLOOKUP("Mins",A1:CV300,162,FALSE)* 90)</f>
        <v>0</v>
      </c>
      <c r="AX162" s="30706">
        <f>IF(HLOOKUP("Mins",A1:CV300,162,FALSE)=0,0,HLOOKUP("Bonus",A1:CV300,162,FALSE)/HLOOKUP("Mins",A1:CV300,162,FALSE)* 90)</f>
        <v>0</v>
      </c>
      <c r="AY162" s="30707">
        <f>IF(HLOOKUP("Mins",A1:CV300,162,FALSE)=0,0,HLOOKUP("BPS",A1:CV300,162,FALSE)/HLOOKUP("Mins",A1:CV300,162,FALSE)* 90)</f>
        <v>33.75</v>
      </c>
      <c r="AZ162" s="30708">
        <f>IF(HLOOKUP("Mins",A1:CV300,162,FALSE)=0,0,HLOOKUP("Base BPS",A1:CV300,162,FALSE)/HLOOKUP("Mins",A1:CV300,162,FALSE)* 90)</f>
        <v>33.75</v>
      </c>
      <c r="BA162" s="30709">
        <f>IF(HLOOKUP("Mins",A1:CV300,162,FALSE)=0,0,HLOOKUP("PenTchs",A1:CV300,162,FALSE)/HLOOKUP("Mins",A1:CV300,162,FALSE)* 90)</f>
        <v>0</v>
      </c>
      <c r="BB162" s="30710">
        <f>IF(HLOOKUP("Mins",A1:CV300,162,FALSE)=0,0,HLOOKUP("Shots",A1:CV300,162,FALSE)/HLOOKUP("Mins",A1:CV300,162,FALSE)* 90)</f>
        <v>0</v>
      </c>
      <c r="BC162" s="30711">
        <f>IF(HLOOKUP("Mins",A1:CV300,162,FALSE)=0,0,HLOOKUP("SIB",A1:CV300,162,FALSE)/HLOOKUP("Mins",A1:CV300,162,FALSE)* 90)</f>
        <v>0</v>
      </c>
      <c r="BD162" s="30712">
        <f>IF(HLOOKUP("Mins",A1:CV300,162,FALSE)=0,0,HLOOKUP("S6YD",A1:CV300,162,FALSE)/HLOOKUP("Mins",A1:CV300,162,FALSE)* 90)</f>
        <v>0</v>
      </c>
      <c r="BE162" s="30713">
        <f>IF(HLOOKUP("Mins",A1:CV300,162,FALSE)=0,0,HLOOKUP("Headers",A1:CV300,162,FALSE)/HLOOKUP("Mins",A1:CV300,162,FALSE)* 90)</f>
        <v>0</v>
      </c>
      <c r="BF162" s="30714">
        <f>IF(HLOOKUP("Mins",A1:CV300,162,FALSE)=0,0,HLOOKUP("SOT",A1:CV300,162,FALSE)/HLOOKUP("Mins",A1:CV300,162,FALSE)* 90)</f>
        <v>0</v>
      </c>
      <c r="BG162" s="30715">
        <f>IF(HLOOKUP("Mins",A1:CV300,162,FALSE)=0,0,HLOOKUP("As",A1:CV300,162,FALSE)/HLOOKUP("Mins",A1:CV300,162,FALSE)* 90)</f>
        <v>0</v>
      </c>
      <c r="BH162" s="30716">
        <f>IF(HLOOKUP("Mins",A1:CV300,162,FALSE)=0,0,HLOOKUP("FPL As",A1:CV300,162,FALSE)/HLOOKUP("Mins",A1:CV300,162,FALSE)* 90)</f>
        <v>0</v>
      </c>
      <c r="BI162" s="30717">
        <f>IF(HLOOKUP("Mins",A1:CV300,162,FALSE)=0,0,HLOOKUP("BC Created",A1:CV300,162,FALSE)/HLOOKUP("Mins",A1:CV300,162,FALSE)* 90)</f>
        <v>0</v>
      </c>
      <c r="BJ162" s="30718">
        <f>IF(HLOOKUP("Mins",A1:CV300,162,FALSE)=0,0,HLOOKUP("KP",A1:CV300,162,FALSE)/HLOOKUP("Mins",A1:CV300,162,FALSE)* 90)</f>
        <v>0</v>
      </c>
      <c r="BK162" s="30719">
        <f>IF(HLOOKUP("Mins",A1:CV300,162,FALSE)=0,0,HLOOKUP("BC",A1:CV300,162,FALSE)/HLOOKUP("Mins",A1:CV300,162,FALSE)* 90)</f>
        <v>0</v>
      </c>
      <c r="BL162" s="30720">
        <f>IF(HLOOKUP("Mins",A1:CV300,162,FALSE)=0,0,HLOOKUP("BC Miss",A1:CV300,162,FALSE)/HLOOKUP("Mins",A1:CV300,162,FALSE)* 90)</f>
        <v>0</v>
      </c>
      <c r="BM162" s="30721">
        <f>IF(HLOOKUP("Mins",A1:CV300,162,FALSE)=0,0,HLOOKUP("Gs - BC",A1:CV300,162,FALSE)/HLOOKUP("Mins",A1:CV300,162,FALSE)* 90)</f>
        <v>0</v>
      </c>
      <c r="BN162" s="30722">
        <f>IF(HLOOKUP("Mins",A1:CV300,162,FALSE)=0,0,HLOOKUP("GIB",A1:CV300,162,FALSE)/HLOOKUP("Mins",A1:CV300,162,FALSE)* 90)</f>
        <v>0</v>
      </c>
      <c r="BO162" s="30723">
        <f>IF(HLOOKUP("Mins",A1:CV300,162,FALSE)=0,0,HLOOKUP("Gs - Open",A1:CV300,162,FALSE)/HLOOKUP("Mins",A1:CV300,162,FALSE)* 90)</f>
        <v>0</v>
      </c>
      <c r="BP162" s="30724">
        <f>IF(HLOOKUP("Mins",A1:CV300,162,FALSE)=0,0,HLOOKUP("ICT Index",A1:CV300,162,FALSE)/HLOOKUP("Mins",A1:CV300,162,FALSE)* 90)</f>
        <v>4.5</v>
      </c>
      <c r="BQ162" s="30725">
        <f>IF(HLOOKUP("Mins",A1:CV300,162,FALSE)=0,0,(0.036*(HLOOKUP("Shots",A1:CV300,162,FALSE)-HLOOKUP("SIB",A1:CV300,162,FALSE))+0.142*(HLOOKUP("SIB",A1:CV300,162,FALSE)-(HLOOKUP("PK Gs",A1:CV300,162,FALSE)+HLOOKUP("PK Miss",A1:CV300,162,FALSE)))+0.75*(HLOOKUP("PK Gs",A1:CV300,162,FALSE)+HLOOKUP("PK Miss",A1:CV300,162,FALSE)))/HLOOKUP("Mins",A1:CV300,162,FALSE)*90)</f>
        <v>0</v>
      </c>
      <c r="BR162" s="30726">
        <f>0.0885*HLOOKUP("KP/90",A1:CV300,162,FALSE)</f>
        <v>0</v>
      </c>
      <c r="BS162" s="30727">
        <f>5*HLOOKUP("xG/90",A1:CV300,162,FALSE)+3*HLOOKUP("xA/90",A1:CV300,162,FALSE)</f>
        <v>0</v>
      </c>
      <c r="BT162" s="30728">
        <f>HLOOKUP("xPts/90",A1:CV300,162,FALSE)-(5*0.75*(HLOOKUP("PK Gs",A1:CV300,162,FALSE)+HLOOKUP("PK Miss",A1:CV300,162,FALSE))*90/HLOOKUP("Mins",A1:CV300,162,FALSE))</f>
        <v>0</v>
      </c>
      <c r="BU162" s="30729">
        <f>IF(HLOOKUP("Mins",A1:CV300,162,FALSE)=0,0,HLOOKUP("fsXG",A1:CV300,162,FALSE)/HLOOKUP("Mins",A1:CV300,162,FALSE)* 90)</f>
        <v>0</v>
      </c>
      <c r="BV162" s="30730">
        <f>IF(HLOOKUP("Mins",A1:CV300,162,FALSE)=0,0,HLOOKUP("fsXA",A1:CV300,162,FALSE)/HLOOKUP("Mins",A1:CV300,162,FALSE)* 90)</f>
        <v>0.1125</v>
      </c>
      <c r="BW162" s="30731">
        <f>5*HLOOKUP("fsXG/90",A1:CV300,162,FALSE)+3*HLOOKUP("fsXA/90",A1:CV300,162,FALSE)</f>
        <v>0.33750000000000002</v>
      </c>
      <c r="BX162" s="30732">
        <v>0</v>
      </c>
      <c r="BY162" s="30733">
        <v>0</v>
      </c>
      <c r="BZ162" s="30734">
        <f>5*HLOOKUP("uXG/90",A1:CV300,162,FALSE)+3*HLOOKUP("uXA/90",A1:CV300,162,FALSE)</f>
        <v>0</v>
      </c>
    </row>
    <row r="163" spans="1:78" x14ac:dyDescent="0.3">
      <c r="A163" s="30735" t="s">
        <v>490</v>
      </c>
      <c r="B163" s="30736" t="s">
        <v>107</v>
      </c>
      <c r="C163" s="30737">
        <v>4.9000000953674316</v>
      </c>
      <c r="D163" s="30738">
        <v>1555</v>
      </c>
      <c r="E163" s="30739">
        <v>20</v>
      </c>
      <c r="F163" s="30740">
        <v>58</v>
      </c>
      <c r="G163" s="30741">
        <v>1</v>
      </c>
      <c r="H163" s="30742">
        <v>4</v>
      </c>
      <c r="I163" s="30743">
        <v>194</v>
      </c>
      <c r="J163" s="30744">
        <f>HLOOKUP("BPS",A1:CV300,163,FALSE)-((-6*HLOOKUP("OG",A1:CV300,163,FALSE))+(-6*HLOOKUP("PK Miss",A1:CV300,163,FALSE))+(9*HLOOKUP("FPL As",A1:CV300,163,FALSE))+(0*HLOOKUP("CS",A1:CV300,163,FALSE))+(18*HLOOKUP("Gs",A1:CV300,163,FALSE)))</f>
        <v>158</v>
      </c>
      <c r="K163" s="30745">
        <v>0</v>
      </c>
      <c r="L163" s="30746">
        <v>6</v>
      </c>
      <c r="M163" s="30747">
        <v>45</v>
      </c>
      <c r="N163" s="30748">
        <v>20</v>
      </c>
      <c r="O163" s="30749">
        <v>17</v>
      </c>
      <c r="P163" s="30750">
        <f>IF(HLOOKUP("Shots",A1:CV300,163,FALSE)=0,0,HLOOKUP("SIB",A1:CV300,163,FALSE)/HLOOKUP("Shots",A1:CV300,163,FALSE))</f>
        <v>0.85</v>
      </c>
      <c r="Q163" s="30751">
        <v>2</v>
      </c>
      <c r="R163" s="30752">
        <f>IF(HLOOKUP("Shots",A1:CV300,163,FALSE)=0,0,HLOOKUP("S6YD",A1:CV300,163,FALSE)/HLOOKUP("Shots",A1:CV300,163,FALSE))</f>
        <v>0.1</v>
      </c>
      <c r="S163" s="30753">
        <v>9</v>
      </c>
      <c r="T163" s="30754">
        <f>IF(HLOOKUP("Shots",A1:CV300,163,FALSE)=0,0,HLOOKUP("Headers",A1:CV300,163,FALSE)/HLOOKUP("Shots",A1:CV300,163,FALSE))</f>
        <v>0.45</v>
      </c>
      <c r="U163" s="30755">
        <v>3</v>
      </c>
      <c r="V163" s="30756">
        <f>IF(HLOOKUP("Shots",A1:CV300,163,FALSE)=0,0,HLOOKUP("SOT",A1:CV300,163,FALSE)/HLOOKUP("Shots",A1:CV300,163,FALSE))</f>
        <v>0.15</v>
      </c>
      <c r="W163" s="30757">
        <f>IF(HLOOKUP("Shots",A1:CV300,163,FALSE)=0,0,HLOOKUP("Gs",A1:CV300,163,FALSE)/HLOOKUP("Shots",A1:CV300,163,FALSE))</f>
        <v>0.05</v>
      </c>
      <c r="X163" s="30758">
        <v>1</v>
      </c>
      <c r="Y163" s="30759">
        <v>2</v>
      </c>
      <c r="Z163" s="30760">
        <v>7</v>
      </c>
      <c r="AA163" s="30761">
        <f>IF(HLOOKUP("KP",A1:CV300,163,FALSE)=0,0,HLOOKUP("As",A1:CV300,163,FALSE)/HLOOKUP("KP",A1:CV300,163,FALSE))</f>
        <v>0.14285714285714285</v>
      </c>
      <c r="AB163" s="30762">
        <v>57.1</v>
      </c>
      <c r="AC163" s="30763">
        <v>21</v>
      </c>
      <c r="AD163" s="30764">
        <v>1</v>
      </c>
      <c r="AE163" s="30765">
        <v>2</v>
      </c>
      <c r="AF163" s="30766">
        <v>1</v>
      </c>
      <c r="AG163" s="30767">
        <f>IF(HLOOKUP("BC",A1:CV300,163,FALSE)=0,0,HLOOKUP("Gs - BC",A1:CV300,163,FALSE)/HLOOKUP("BC",A1:CV300,163,FALSE))</f>
        <v>0.5</v>
      </c>
      <c r="AH163" s="30768">
        <f>HLOOKUP("BC",A1:CV300,163,FALSE) - HLOOKUP("BC Miss",A1:CV300,163,FALSE)</f>
        <v>1</v>
      </c>
      <c r="AI163" s="30769">
        <f>IF(HLOOKUP("Gs",A1:CV300,163,FALSE)=0,0,HLOOKUP("Gs - BC",A1:CV300,163,FALSE)/HLOOKUP("Gs",A1:CV300,163,FALSE))</f>
        <v>1</v>
      </c>
      <c r="AJ163" s="30770">
        <v>0</v>
      </c>
      <c r="AK163" s="30771">
        <v>0</v>
      </c>
      <c r="AL163" s="30772">
        <f>HLOOKUP("BC",A1:CV300,163,FALSE) - (HLOOKUP("PK Gs",A1:CV300,163,FALSE) + HLOOKUP("PK Miss",A1:CV300,163,FALSE))</f>
        <v>2</v>
      </c>
      <c r="AM163" s="30773">
        <f>HLOOKUP("BC Miss",A1:CV300,163,FALSE) - HLOOKUP("PK Miss",A1:CV300,163,FALSE)</f>
        <v>1</v>
      </c>
      <c r="AN163" s="30774">
        <f>IF(HLOOKUP("BC - Open",A1:CV300,163,FALSE)=0,0,HLOOKUP("BC - Open Miss",A1:CV300,163,FALSE)/HLOOKUP("BC - Open",A1:CV300,163,FALSE))</f>
        <v>0.5</v>
      </c>
      <c r="AO163" s="30775">
        <v>1</v>
      </c>
      <c r="AP163" s="30776">
        <f>IF(HLOOKUP("Gs",A1:CV300,163,FALSE)=0,0,HLOOKUP("GIB",A1:CV300,163,FALSE)/HLOOKUP("Gs",A1:CV300,163,FALSE))</f>
        <v>1</v>
      </c>
      <c r="AQ163" s="30777">
        <v>1</v>
      </c>
      <c r="AR163" s="30778">
        <f>IF(HLOOKUP("Gs",A1:CV300,163,FALSE)=0,0,HLOOKUP("Gs - Open",A1:CV300,163,FALSE)/HLOOKUP("Gs",A1:CV300,163,FALSE))</f>
        <v>1</v>
      </c>
      <c r="AS163" s="30779">
        <v>2.19</v>
      </c>
      <c r="AT163" s="30780">
        <v>0.85</v>
      </c>
      <c r="AU163" s="30781">
        <f>IF(HLOOKUP("Mins",A1:CV300,163,FALSE)=0,0,HLOOKUP("Pts",A1:CV300,163,FALSE)/HLOOKUP("Mins",A1:CV300,163,FALSE)* 90)</f>
        <v>3.356913183279743</v>
      </c>
      <c r="AV163" s="30782">
        <f>IF(HLOOKUP("Apps",A1:CV300,163,FALSE)=0,0,HLOOKUP("Pts",A1:CV300,163,FALSE)/HLOOKUP("Apps",A1:CV300,163,FALSE)* 1)</f>
        <v>2.9</v>
      </c>
      <c r="AW163" s="30783">
        <f>IF(HLOOKUP("Mins",A1:CV300,163,FALSE)=0,0,HLOOKUP("Gs",A1:CV300,163,FALSE)/HLOOKUP("Mins",A1:CV300,163,FALSE)* 90)</f>
        <v>5.7877813504823156E-2</v>
      </c>
      <c r="AX163" s="30784">
        <f>IF(HLOOKUP("Mins",A1:CV300,163,FALSE)=0,0,HLOOKUP("Bonus",A1:CV300,163,FALSE)/HLOOKUP("Mins",A1:CV300,163,FALSE)* 90)</f>
        <v>0.23151125401929262</v>
      </c>
      <c r="AY163" s="30785">
        <f>IF(HLOOKUP("Mins",A1:CV300,163,FALSE)=0,0,HLOOKUP("BPS",A1:CV300,163,FALSE)/HLOOKUP("Mins",A1:CV300,163,FALSE)* 90)</f>
        <v>11.228295819935692</v>
      </c>
      <c r="AZ163" s="30786">
        <f>IF(HLOOKUP("Mins",A1:CV300,163,FALSE)=0,0,HLOOKUP("Base BPS",A1:CV300,163,FALSE)/HLOOKUP("Mins",A1:CV300,163,FALSE)* 90)</f>
        <v>9.144694533762058</v>
      </c>
      <c r="BA163" s="30787">
        <f>IF(HLOOKUP("Mins",A1:CV300,163,FALSE)=0,0,HLOOKUP("PenTchs",A1:CV300,163,FALSE)/HLOOKUP("Mins",A1:CV300,163,FALSE)* 90)</f>
        <v>2.6045016077170415</v>
      </c>
      <c r="BB163" s="30788">
        <f>IF(HLOOKUP("Mins",A1:CV300,163,FALSE)=0,0,HLOOKUP("Shots",A1:CV300,163,FALSE)/HLOOKUP("Mins",A1:CV300,163,FALSE)* 90)</f>
        <v>1.157556270096463</v>
      </c>
      <c r="BC163" s="30789">
        <f>IF(HLOOKUP("Mins",A1:CV300,163,FALSE)=0,0,HLOOKUP("SIB",A1:CV300,163,FALSE)/HLOOKUP("Mins",A1:CV300,163,FALSE)* 90)</f>
        <v>0.98392282958199351</v>
      </c>
      <c r="BD163" s="30790">
        <f>IF(HLOOKUP("Mins",A1:CV300,163,FALSE)=0,0,HLOOKUP("S6YD",A1:CV300,163,FALSE)/HLOOKUP("Mins",A1:CV300,163,FALSE)* 90)</f>
        <v>0.11575562700964631</v>
      </c>
      <c r="BE163" s="30791">
        <f>IF(HLOOKUP("Mins",A1:CV300,163,FALSE)=0,0,HLOOKUP("Headers",A1:CV300,163,FALSE)/HLOOKUP("Mins",A1:CV300,163,FALSE)* 90)</f>
        <v>0.52090032154340837</v>
      </c>
      <c r="BF163" s="30792">
        <f>IF(HLOOKUP("Mins",A1:CV300,163,FALSE)=0,0,HLOOKUP("SOT",A1:CV300,163,FALSE)/HLOOKUP("Mins",A1:CV300,163,FALSE)* 90)</f>
        <v>0.17363344051446944</v>
      </c>
      <c r="BG163" s="30793">
        <f>IF(HLOOKUP("Mins",A1:CV300,163,FALSE)=0,0,HLOOKUP("As",A1:CV300,163,FALSE)/HLOOKUP("Mins",A1:CV300,163,FALSE)* 90)</f>
        <v>5.7877813504823156E-2</v>
      </c>
      <c r="BH163" s="30794">
        <f>IF(HLOOKUP("Mins",A1:CV300,163,FALSE)=0,0,HLOOKUP("FPL As",A1:CV300,163,FALSE)/HLOOKUP("Mins",A1:CV300,163,FALSE)* 90)</f>
        <v>0.11575562700964631</v>
      </c>
      <c r="BI163" s="30795">
        <f>IF(HLOOKUP("Mins",A1:CV300,163,FALSE)=0,0,HLOOKUP("BC Created",A1:CV300,163,FALSE)/HLOOKUP("Mins",A1:CV300,163,FALSE)* 90)</f>
        <v>5.7877813504823156E-2</v>
      </c>
      <c r="BJ163" s="30796">
        <f>IF(HLOOKUP("Mins",A1:CV300,163,FALSE)=0,0,HLOOKUP("KP",A1:CV300,163,FALSE)/HLOOKUP("Mins",A1:CV300,163,FALSE)* 90)</f>
        <v>0.40514469453376206</v>
      </c>
      <c r="BK163" s="30797">
        <f>IF(HLOOKUP("Mins",A1:CV300,163,FALSE)=0,0,HLOOKUP("BC",A1:CV300,163,FALSE)/HLOOKUP("Mins",A1:CV300,163,FALSE)* 90)</f>
        <v>0.11575562700964631</v>
      </c>
      <c r="BL163" s="30798">
        <f>IF(HLOOKUP("Mins",A1:CV300,163,FALSE)=0,0,HLOOKUP("BC Miss",A1:CV300,163,FALSE)/HLOOKUP("Mins",A1:CV300,163,FALSE)* 90)</f>
        <v>5.7877813504823156E-2</v>
      </c>
      <c r="BM163" s="30799">
        <f>IF(HLOOKUP("Mins",A1:CV300,163,FALSE)=0,0,HLOOKUP("Gs - BC",A1:CV300,163,FALSE)/HLOOKUP("Mins",A1:CV300,163,FALSE)* 90)</f>
        <v>5.7877813504823156E-2</v>
      </c>
      <c r="BN163" s="30800">
        <f>IF(HLOOKUP("Mins",A1:CV300,163,FALSE)=0,0,HLOOKUP("GIB",A1:CV300,163,FALSE)/HLOOKUP("Mins",A1:CV300,163,FALSE)* 90)</f>
        <v>5.7877813504823156E-2</v>
      </c>
      <c r="BO163" s="30801">
        <f>IF(HLOOKUP("Mins",A1:CV300,163,FALSE)=0,0,HLOOKUP("Gs - Open",A1:CV300,163,FALSE)/HLOOKUP("Mins",A1:CV300,163,FALSE)* 90)</f>
        <v>5.7877813504823156E-2</v>
      </c>
      <c r="BP163" s="30802">
        <f>IF(HLOOKUP("Mins",A1:CV300,163,FALSE)=0,0,HLOOKUP("ICT Index",A1:CV300,163,FALSE)/HLOOKUP("Mins",A1:CV300,163,FALSE)* 90)</f>
        <v>3.3048231511254018</v>
      </c>
      <c r="BQ163" s="30803">
        <f>IF(HLOOKUP("Mins",A1:CV300,163,FALSE)=0,0,(0.036*(HLOOKUP("Shots",A1:CV300,163,FALSE)-HLOOKUP("SIB",A1:CV300,163,FALSE))+0.142*(HLOOKUP("SIB",A1:CV300,163,FALSE)-(HLOOKUP("PK Gs",A1:CV300,163,FALSE)+HLOOKUP("PK Miss",A1:CV300,163,FALSE)))+0.75*(HLOOKUP("PK Gs",A1:CV300,163,FALSE)+HLOOKUP("PK Miss",A1:CV300,163,FALSE)))/HLOOKUP("Mins",A1:CV300,163,FALSE)*90)</f>
        <v>0.14596784565916399</v>
      </c>
      <c r="BR163" s="30804">
        <f>0.0885*HLOOKUP("KP/90",A1:CV300,163,FALSE)</f>
        <v>3.5855305466237941E-2</v>
      </c>
      <c r="BS163" s="30805">
        <f>5*HLOOKUP("xG/90",A1:CV300,163,FALSE)+3*HLOOKUP("xA/90",A1:CV300,163,FALSE)</f>
        <v>0.83740514469453375</v>
      </c>
      <c r="BT163" s="30806">
        <f>HLOOKUP("xPts/90",A1:CV300,163,FALSE)-(5*0.75*(HLOOKUP("PK Gs",A1:CV300,163,FALSE)+HLOOKUP("PK Miss",A1:CV300,163,FALSE))*90/HLOOKUP("Mins",A1:CV300,163,FALSE))</f>
        <v>0.83740514469453375</v>
      </c>
      <c r="BU163" s="30807">
        <f>IF(HLOOKUP("Mins",A1:CV300,163,FALSE)=0,0,HLOOKUP("fsXG",A1:CV300,163,FALSE)/HLOOKUP("Mins",A1:CV300,163,FALSE)* 90)</f>
        <v>0.12675241157556269</v>
      </c>
      <c r="BV163" s="30808">
        <f>IF(HLOOKUP("Mins",A1:CV300,163,FALSE)=0,0,HLOOKUP("fsXA",A1:CV300,163,FALSE)/HLOOKUP("Mins",A1:CV300,163,FALSE)* 90)</f>
        <v>4.9196141479099682E-2</v>
      </c>
      <c r="BW163" s="30809">
        <f>5*HLOOKUP("fsXG/90",A1:CV300,163,FALSE)+3*HLOOKUP("fsXA/90",A1:CV300,163,FALSE)</f>
        <v>0.7813504823151125</v>
      </c>
      <c r="BX163" s="30810">
        <v>0.1029939204454422</v>
      </c>
      <c r="BY163" s="30811">
        <v>3.481634333729744E-2</v>
      </c>
      <c r="BZ163" s="30812">
        <f>5*HLOOKUP("uXG/90",A1:CV300,163,FALSE)+3*HLOOKUP("uXA/90",A1:CV300,163,FALSE)</f>
        <v>0.61941863223910332</v>
      </c>
    </row>
    <row r="164" spans="1:78" x14ac:dyDescent="0.3">
      <c r="A164" s="30813" t="s">
        <v>491</v>
      </c>
      <c r="B164" s="30814" t="s">
        <v>102</v>
      </c>
      <c r="C164" s="30815">
        <v>4.3000001907348633</v>
      </c>
      <c r="D164" s="30816">
        <v>1547</v>
      </c>
      <c r="E164" s="30817">
        <v>18</v>
      </c>
      <c r="F164" s="30818">
        <v>41</v>
      </c>
      <c r="G164" s="30819">
        <v>0</v>
      </c>
      <c r="H164" s="30820">
        <v>2</v>
      </c>
      <c r="I164" s="30821">
        <v>183</v>
      </c>
      <c r="J164" s="30822">
        <f>HLOOKUP("BPS",A1:CV300,164,FALSE)-((-6*HLOOKUP("OG",A1:CV300,164,FALSE))+(-6*HLOOKUP("PK Miss",A1:CV300,164,FALSE))+(9*HLOOKUP("FPL As",A1:CV300,164,FALSE))+(0*HLOOKUP("CS",A1:CV300,164,FALSE))+(18*HLOOKUP("Gs",A1:CV300,164,FALSE)))</f>
        <v>165</v>
      </c>
      <c r="K164" s="30823">
        <v>0</v>
      </c>
      <c r="L164" s="30824">
        <v>4</v>
      </c>
      <c r="M164" s="30825">
        <v>18</v>
      </c>
      <c r="N164" s="30826">
        <v>11</v>
      </c>
      <c r="O164" s="30827">
        <v>3</v>
      </c>
      <c r="P164" s="30828">
        <f>IF(HLOOKUP("Shots",A1:CV300,164,FALSE)=0,0,HLOOKUP("SIB",A1:CV300,164,FALSE)/HLOOKUP("Shots",A1:CV300,164,FALSE))</f>
        <v>0.27272727272727271</v>
      </c>
      <c r="Q164" s="30829">
        <v>0</v>
      </c>
      <c r="R164" s="30830">
        <f>IF(HLOOKUP("Shots",A1:CV300,164,FALSE)=0,0,HLOOKUP("S6YD",A1:CV300,164,FALSE)/HLOOKUP("Shots",A1:CV300,164,FALSE))</f>
        <v>0</v>
      </c>
      <c r="S164" s="30831">
        <v>1</v>
      </c>
      <c r="T164" s="30832">
        <f>IF(HLOOKUP("Shots",A1:CV300,164,FALSE)=0,0,HLOOKUP("Headers",A1:CV300,164,FALSE)/HLOOKUP("Shots",A1:CV300,164,FALSE))</f>
        <v>9.0909090909090912E-2</v>
      </c>
      <c r="U164" s="30833">
        <v>2</v>
      </c>
      <c r="V164" s="30834">
        <f>IF(HLOOKUP("Shots",A1:CV300,164,FALSE)=0,0,HLOOKUP("SOT",A1:CV300,164,FALSE)/HLOOKUP("Shots",A1:CV300,164,FALSE))</f>
        <v>0.18181818181818182</v>
      </c>
      <c r="W164" s="30835">
        <f>IF(HLOOKUP("Shots",A1:CV300,164,FALSE)=0,0,HLOOKUP("Gs",A1:CV300,164,FALSE)/HLOOKUP("Shots",A1:CV300,164,FALSE))</f>
        <v>0</v>
      </c>
      <c r="X164" s="30836">
        <v>1</v>
      </c>
      <c r="Y164" s="30837">
        <v>2</v>
      </c>
      <c r="Z164" s="30838">
        <v>8</v>
      </c>
      <c r="AA164" s="30839">
        <f>IF(HLOOKUP("KP",A1:CV300,164,FALSE)=0,0,HLOOKUP("As",A1:CV300,164,FALSE)/HLOOKUP("KP",A1:CV300,164,FALSE))</f>
        <v>0.125</v>
      </c>
      <c r="AB164" s="30840">
        <v>48.7</v>
      </c>
      <c r="AC164" s="30841">
        <v>12</v>
      </c>
      <c r="AD164" s="30842">
        <v>5</v>
      </c>
      <c r="AE164" s="30843">
        <v>0</v>
      </c>
      <c r="AF164" s="30844">
        <v>0</v>
      </c>
      <c r="AG164" s="30845">
        <f>IF(HLOOKUP("BC",A1:CV300,164,FALSE)=0,0,HLOOKUP("Gs - BC",A1:CV300,164,FALSE)/HLOOKUP("BC",A1:CV300,164,FALSE))</f>
        <v>0</v>
      </c>
      <c r="AH164" s="30846">
        <f>HLOOKUP("BC",A1:CV300,164,FALSE) - HLOOKUP("BC Miss",A1:CV300,164,FALSE)</f>
        <v>0</v>
      </c>
      <c r="AI164" s="30847">
        <f>IF(HLOOKUP("Gs",A1:CV300,164,FALSE)=0,0,HLOOKUP("Gs - BC",A1:CV300,164,FALSE)/HLOOKUP("Gs",A1:CV300,164,FALSE))</f>
        <v>0</v>
      </c>
      <c r="AJ164" s="30848">
        <v>0</v>
      </c>
      <c r="AK164" s="30849">
        <v>0</v>
      </c>
      <c r="AL164" s="30850">
        <f>HLOOKUP("BC",A1:CV300,164,FALSE) - (HLOOKUP("PK Gs",A1:CV300,164,FALSE) + HLOOKUP("PK Miss",A1:CV300,164,FALSE))</f>
        <v>0</v>
      </c>
      <c r="AM164" s="30851">
        <f>HLOOKUP("BC Miss",A1:CV300,164,FALSE) - HLOOKUP("PK Miss",A1:CV300,164,FALSE)</f>
        <v>0</v>
      </c>
      <c r="AN164" s="30852">
        <f>IF(HLOOKUP("BC - Open",A1:CV300,164,FALSE)=0,0,HLOOKUP("BC - Open Miss",A1:CV300,164,FALSE)/HLOOKUP("BC - Open",A1:CV300,164,FALSE))</f>
        <v>0</v>
      </c>
      <c r="AO164" s="30853">
        <v>0</v>
      </c>
      <c r="AP164" s="30854">
        <f>IF(HLOOKUP("Gs",A1:CV300,164,FALSE)=0,0,HLOOKUP("GIB",A1:CV300,164,FALSE)/HLOOKUP("Gs",A1:CV300,164,FALSE))</f>
        <v>0</v>
      </c>
      <c r="AQ164" s="30855">
        <v>0</v>
      </c>
      <c r="AR164" s="30856">
        <f>IF(HLOOKUP("Gs",A1:CV300,164,FALSE)=0,0,HLOOKUP("Gs - Open",A1:CV300,164,FALSE)/HLOOKUP("Gs",A1:CV300,164,FALSE))</f>
        <v>0</v>
      </c>
      <c r="AS164" s="30857">
        <v>0.34</v>
      </c>
      <c r="AT164" s="30858">
        <v>0.9</v>
      </c>
      <c r="AU164" s="30859">
        <f>IF(HLOOKUP("Mins",A1:CV300,164,FALSE)=0,0,HLOOKUP("Pts",A1:CV300,164,FALSE)/HLOOKUP("Mins",A1:CV300,164,FALSE)* 90)</f>
        <v>2.3852617970265029</v>
      </c>
      <c r="AV164" s="30860">
        <f>IF(HLOOKUP("Apps",A1:CV300,164,FALSE)=0,0,HLOOKUP("Pts",A1:CV300,164,FALSE)/HLOOKUP("Apps",A1:CV300,164,FALSE)* 1)</f>
        <v>2.2777777777777777</v>
      </c>
      <c r="AW164" s="30861">
        <f>IF(HLOOKUP("Mins",A1:CV300,164,FALSE)=0,0,HLOOKUP("Gs",A1:CV300,164,FALSE)/HLOOKUP("Mins",A1:CV300,164,FALSE)* 90)</f>
        <v>0</v>
      </c>
      <c r="AX164" s="30862">
        <f>IF(HLOOKUP("Mins",A1:CV300,164,FALSE)=0,0,HLOOKUP("Bonus",A1:CV300,164,FALSE)/HLOOKUP("Mins",A1:CV300,164,FALSE)* 90)</f>
        <v>0.11635423400129283</v>
      </c>
      <c r="AY164" s="30863">
        <f>IF(HLOOKUP("Mins",A1:CV300,164,FALSE)=0,0,HLOOKUP("BPS",A1:CV300,164,FALSE)/HLOOKUP("Mins",A1:CV300,164,FALSE)* 90)</f>
        <v>10.646412411118293</v>
      </c>
      <c r="AZ164" s="30864">
        <f>IF(HLOOKUP("Mins",A1:CV300,164,FALSE)=0,0,HLOOKUP("Base BPS",A1:CV300,164,FALSE)/HLOOKUP("Mins",A1:CV300,164,FALSE)* 90)</f>
        <v>9.5992243051066577</v>
      </c>
      <c r="BA164" s="30865">
        <f>IF(HLOOKUP("Mins",A1:CV300,164,FALSE)=0,0,HLOOKUP("PenTchs",A1:CV300,164,FALSE)/HLOOKUP("Mins",A1:CV300,164,FALSE)* 90)</f>
        <v>1.0471881060116355</v>
      </c>
      <c r="BB164" s="30866">
        <f>IF(HLOOKUP("Mins",A1:CV300,164,FALSE)=0,0,HLOOKUP("Shots",A1:CV300,164,FALSE)/HLOOKUP("Mins",A1:CV300,164,FALSE)* 90)</f>
        <v>0.63994828700711048</v>
      </c>
      <c r="BC164" s="30867">
        <f>IF(HLOOKUP("Mins",A1:CV300,164,FALSE)=0,0,HLOOKUP("SIB",A1:CV300,164,FALSE)/HLOOKUP("Mins",A1:CV300,164,FALSE)* 90)</f>
        <v>0.17453135100193923</v>
      </c>
      <c r="BD164" s="30868">
        <f>IF(HLOOKUP("Mins",A1:CV300,164,FALSE)=0,0,HLOOKUP("S6YD",A1:CV300,164,FALSE)/HLOOKUP("Mins",A1:CV300,164,FALSE)* 90)</f>
        <v>0</v>
      </c>
      <c r="BE164" s="30869">
        <f>IF(HLOOKUP("Mins",A1:CV300,164,FALSE)=0,0,HLOOKUP("Headers",A1:CV300,164,FALSE)/HLOOKUP("Mins",A1:CV300,164,FALSE)* 90)</f>
        <v>5.8177117000646414E-2</v>
      </c>
      <c r="BF164" s="30870">
        <f>IF(HLOOKUP("Mins",A1:CV300,164,FALSE)=0,0,HLOOKUP("SOT",A1:CV300,164,FALSE)/HLOOKUP("Mins",A1:CV300,164,FALSE)* 90)</f>
        <v>0.11635423400129283</v>
      </c>
      <c r="BG164" s="30871">
        <f>IF(HLOOKUP("Mins",A1:CV300,164,FALSE)=0,0,HLOOKUP("As",A1:CV300,164,FALSE)/HLOOKUP("Mins",A1:CV300,164,FALSE)* 90)</f>
        <v>5.8177117000646414E-2</v>
      </c>
      <c r="BH164" s="30872">
        <f>IF(HLOOKUP("Mins",A1:CV300,164,FALSE)=0,0,HLOOKUP("FPL As",A1:CV300,164,FALSE)/HLOOKUP("Mins",A1:CV300,164,FALSE)* 90)</f>
        <v>0.11635423400129283</v>
      </c>
      <c r="BI164" s="30873">
        <f>IF(HLOOKUP("Mins",A1:CV300,164,FALSE)=0,0,HLOOKUP("BC Created",A1:CV300,164,FALSE)/HLOOKUP("Mins",A1:CV300,164,FALSE)* 90)</f>
        <v>0.29088558500323203</v>
      </c>
      <c r="BJ164" s="30874">
        <f>IF(HLOOKUP("Mins",A1:CV300,164,FALSE)=0,0,HLOOKUP("KP",A1:CV300,164,FALSE)/HLOOKUP("Mins",A1:CV300,164,FALSE)* 90)</f>
        <v>0.46541693600517131</v>
      </c>
      <c r="BK164" s="30875">
        <f>IF(HLOOKUP("Mins",A1:CV300,164,FALSE)=0,0,HLOOKUP("BC",A1:CV300,164,FALSE)/HLOOKUP("Mins",A1:CV300,164,FALSE)* 90)</f>
        <v>0</v>
      </c>
      <c r="BL164" s="30876">
        <f>IF(HLOOKUP("Mins",A1:CV300,164,FALSE)=0,0,HLOOKUP("BC Miss",A1:CV300,164,FALSE)/HLOOKUP("Mins",A1:CV300,164,FALSE)* 90)</f>
        <v>0</v>
      </c>
      <c r="BM164" s="30877">
        <f>IF(HLOOKUP("Mins",A1:CV300,164,FALSE)=0,0,HLOOKUP("Gs - BC",A1:CV300,164,FALSE)/HLOOKUP("Mins",A1:CV300,164,FALSE)* 90)</f>
        <v>0</v>
      </c>
      <c r="BN164" s="30878">
        <f>IF(HLOOKUP("Mins",A1:CV300,164,FALSE)=0,0,HLOOKUP("GIB",A1:CV300,164,FALSE)/HLOOKUP("Mins",A1:CV300,164,FALSE)* 90)</f>
        <v>0</v>
      </c>
      <c r="BO164" s="30879">
        <f>IF(HLOOKUP("Mins",A1:CV300,164,FALSE)=0,0,HLOOKUP("Gs - Open",A1:CV300,164,FALSE)/HLOOKUP("Mins",A1:CV300,164,FALSE)* 90)</f>
        <v>0</v>
      </c>
      <c r="BP164" s="30880">
        <f>IF(HLOOKUP("Mins",A1:CV300,164,FALSE)=0,0,HLOOKUP("ICT Index",A1:CV300,164,FALSE)/HLOOKUP("Mins",A1:CV300,164,FALSE)* 90)</f>
        <v>2.83322559793148</v>
      </c>
      <c r="BQ164" s="30881">
        <f>IF(HLOOKUP("Mins",A1:CV300,164,FALSE)=0,0,(0.036*(HLOOKUP("Shots",A1:CV300,164,FALSE)-HLOOKUP("SIB",A1:CV300,164,FALSE))+0.142*(HLOOKUP("SIB",A1:CV300,164,FALSE)-(HLOOKUP("PK Gs",A1:CV300,164,FALSE)+HLOOKUP("PK Miss",A1:CV300,164,FALSE)))+0.75*(HLOOKUP("PK Gs",A1:CV300,164,FALSE)+HLOOKUP("PK Miss",A1:CV300,164,FALSE)))/HLOOKUP("Mins",A1:CV300,164,FALSE)*90)</f>
        <v>4.1538461538461538E-2</v>
      </c>
      <c r="BR164" s="30882">
        <f>0.0885*HLOOKUP("KP/90",A1:CV300,164,FALSE)</f>
        <v>4.1189398836457662E-2</v>
      </c>
      <c r="BS164" s="30883">
        <f>5*HLOOKUP("xG/90",A1:CV300,164,FALSE)+3*HLOOKUP("xA/90",A1:CV300,164,FALSE)</f>
        <v>0.33126050420168063</v>
      </c>
      <c r="BT164" s="30884">
        <f>HLOOKUP("xPts/90",A1:CV300,164,FALSE)-(5*0.75*(HLOOKUP("PK Gs",A1:CV300,164,FALSE)+HLOOKUP("PK Miss",A1:CV300,164,FALSE))*90/HLOOKUP("Mins",A1:CV300,164,FALSE))</f>
        <v>0.33126050420168063</v>
      </c>
      <c r="BU164" s="30885">
        <f>IF(HLOOKUP("Mins",A1:CV300,164,FALSE)=0,0,HLOOKUP("fsXG",A1:CV300,164,FALSE)/HLOOKUP("Mins",A1:CV300,164,FALSE)* 90)</f>
        <v>1.9780219780219783E-2</v>
      </c>
      <c r="BV164" s="30886">
        <f>IF(HLOOKUP("Mins",A1:CV300,164,FALSE)=0,0,HLOOKUP("fsXA",A1:CV300,164,FALSE)/HLOOKUP("Mins",A1:CV300,164,FALSE)* 90)</f>
        <v>5.2359405300581773E-2</v>
      </c>
      <c r="BW164" s="30887">
        <f>5*HLOOKUP("fsXG/90",A1:CV300,164,FALSE)+3*HLOOKUP("fsXA/90",A1:CV300,164,FALSE)</f>
        <v>0.25597931480284419</v>
      </c>
      <c r="BX164" s="30888">
        <v>1.5060159377753735E-2</v>
      </c>
      <c r="BY164" s="30889">
        <v>0.1320749968290329</v>
      </c>
      <c r="BZ164" s="30890">
        <f>5*HLOOKUP("uXG/90",A1:CV300,164,FALSE)+3*HLOOKUP("uXA/90",A1:CV300,164,FALSE)</f>
        <v>0.47152578737586737</v>
      </c>
    </row>
    <row r="165" spans="1:78" x14ac:dyDescent="0.3">
      <c r="A165" s="30891" t="s">
        <v>492</v>
      </c>
      <c r="B165" s="30892" t="s">
        <v>86</v>
      </c>
      <c r="C165" s="30893">
        <v>5.5</v>
      </c>
      <c r="D165" s="30894">
        <v>1320</v>
      </c>
      <c r="E165" s="30895">
        <v>19</v>
      </c>
      <c r="F165" s="30896">
        <v>67</v>
      </c>
      <c r="G165" s="30897">
        <v>4</v>
      </c>
      <c r="H165" s="30898">
        <v>0</v>
      </c>
      <c r="I165" s="30899">
        <v>209</v>
      </c>
      <c r="J165" s="30900">
        <f>HLOOKUP("BPS",A1:CV300,165,FALSE)-((-6*HLOOKUP("OG",A1:CV300,165,FALSE))+(-6*HLOOKUP("PK Miss",A1:CV300,165,FALSE))+(9*HLOOKUP("FPL As",A1:CV300,165,FALSE))+(0*HLOOKUP("CS",A1:CV300,165,FALSE))+(18*HLOOKUP("Gs",A1:CV300,165,FALSE)))</f>
        <v>101</v>
      </c>
      <c r="K165" s="30901">
        <v>0</v>
      </c>
      <c r="L165" s="30902">
        <v>4</v>
      </c>
      <c r="M165" s="30903">
        <v>47</v>
      </c>
      <c r="N165" s="30904">
        <v>38</v>
      </c>
      <c r="O165" s="30905">
        <v>24</v>
      </c>
      <c r="P165" s="30906">
        <f>IF(HLOOKUP("Shots",A1:CV300,165,FALSE)=0,0,HLOOKUP("SIB",A1:CV300,165,FALSE)/HLOOKUP("Shots",A1:CV300,165,FALSE))</f>
        <v>0.63157894736842102</v>
      </c>
      <c r="Q165" s="30907">
        <v>5</v>
      </c>
      <c r="R165" s="30908">
        <f>IF(HLOOKUP("Shots",A1:CV300,165,FALSE)=0,0,HLOOKUP("S6YD",A1:CV300,165,FALSE)/HLOOKUP("Shots",A1:CV300,165,FALSE))</f>
        <v>0.13157894736842105</v>
      </c>
      <c r="S165" s="30909">
        <v>7</v>
      </c>
      <c r="T165" s="30910">
        <f>IF(HLOOKUP("Shots",A1:CV300,165,FALSE)=0,0,HLOOKUP("Headers",A1:CV300,165,FALSE)/HLOOKUP("Shots",A1:CV300,165,FALSE))</f>
        <v>0.18421052631578946</v>
      </c>
      <c r="U165" s="30911">
        <v>14</v>
      </c>
      <c r="V165" s="30912">
        <f>IF(HLOOKUP("Shots",A1:CV300,165,FALSE)=0,0,HLOOKUP("SOT",A1:CV300,165,FALSE)/HLOOKUP("Shots",A1:CV300,165,FALSE))</f>
        <v>0.36842105263157893</v>
      </c>
      <c r="W165" s="30913">
        <f>IF(HLOOKUP("Shots",A1:CV300,165,FALSE)=0,0,HLOOKUP("Gs",A1:CV300,165,FALSE)/HLOOKUP("Shots",A1:CV300,165,FALSE))</f>
        <v>0.10526315789473684</v>
      </c>
      <c r="X165" s="30914">
        <v>4</v>
      </c>
      <c r="Y165" s="30915">
        <v>4</v>
      </c>
      <c r="Z165" s="30916">
        <v>21</v>
      </c>
      <c r="AA165" s="30917">
        <f>IF(HLOOKUP("KP",A1:CV300,165,FALSE)=0,0,HLOOKUP("As",A1:CV300,165,FALSE)/HLOOKUP("KP",A1:CV300,165,FALSE))</f>
        <v>0.19047619047619047</v>
      </c>
      <c r="AB165" s="30918">
        <v>111.6</v>
      </c>
      <c r="AC165" s="30919">
        <v>42</v>
      </c>
      <c r="AD165" s="30920">
        <v>3</v>
      </c>
      <c r="AE165" s="30921">
        <v>8</v>
      </c>
      <c r="AF165" s="30922">
        <v>5</v>
      </c>
      <c r="AG165" s="30923">
        <f>IF(HLOOKUP("BC",A1:CV300,165,FALSE)=0,0,HLOOKUP("Gs - BC",A1:CV300,165,FALSE)/HLOOKUP("BC",A1:CV300,165,FALSE))</f>
        <v>0.375</v>
      </c>
      <c r="AH165" s="30924">
        <f>HLOOKUP("BC",A1:CV300,165,FALSE) - HLOOKUP("BC Miss",A1:CV300,165,FALSE)</f>
        <v>3</v>
      </c>
      <c r="AI165" s="30925">
        <f>IF(HLOOKUP("Gs",A1:CV300,165,FALSE)=0,0,HLOOKUP("Gs - BC",A1:CV300,165,FALSE)/HLOOKUP("Gs",A1:CV300,165,FALSE))</f>
        <v>0.75</v>
      </c>
      <c r="AJ165" s="30926">
        <v>1</v>
      </c>
      <c r="AK165" s="30927">
        <v>0</v>
      </c>
      <c r="AL165" s="30928">
        <f>HLOOKUP("BC",A1:CV300,165,FALSE) - (HLOOKUP("PK Gs",A1:CV300,165,FALSE) + HLOOKUP("PK Miss",A1:CV300,165,FALSE))</f>
        <v>7</v>
      </c>
      <c r="AM165" s="30929">
        <f>HLOOKUP("BC Miss",A1:CV300,165,FALSE) - HLOOKUP("PK Miss",A1:CV300,165,FALSE)</f>
        <v>5</v>
      </c>
      <c r="AN165" s="30930">
        <f>IF(HLOOKUP("BC - Open",A1:CV300,165,FALSE)=0,0,HLOOKUP("BC - Open Miss",A1:CV300,165,FALSE)/HLOOKUP("BC - Open",A1:CV300,165,FALSE))</f>
        <v>0.7142857142857143</v>
      </c>
      <c r="AO165" s="30931">
        <v>4</v>
      </c>
      <c r="AP165" s="30932">
        <f>IF(HLOOKUP("Gs",A1:CV300,165,FALSE)=0,0,HLOOKUP("GIB",A1:CV300,165,FALSE)/HLOOKUP("Gs",A1:CV300,165,FALSE))</f>
        <v>1</v>
      </c>
      <c r="AQ165" s="30933">
        <v>1</v>
      </c>
      <c r="AR165" s="30934">
        <f>IF(HLOOKUP("Gs",A1:CV300,165,FALSE)=0,0,HLOOKUP("Gs - Open",A1:CV300,165,FALSE)/HLOOKUP("Gs",A1:CV300,165,FALSE))</f>
        <v>0.25</v>
      </c>
      <c r="AS165" s="30935">
        <v>5.12</v>
      </c>
      <c r="AT165" s="30936">
        <v>1.35</v>
      </c>
      <c r="AU165" s="30937">
        <f>IF(HLOOKUP("Mins",A1:CV300,165,FALSE)=0,0,HLOOKUP("Pts",A1:CV300,165,FALSE)/HLOOKUP("Mins",A1:CV300,165,FALSE)* 90)</f>
        <v>4.5681818181818183</v>
      </c>
      <c r="AV165" s="30938">
        <f>IF(HLOOKUP("Apps",A1:CV300,165,FALSE)=0,0,HLOOKUP("Pts",A1:CV300,165,FALSE)/HLOOKUP("Apps",A1:CV300,165,FALSE)* 1)</f>
        <v>3.5263157894736841</v>
      </c>
      <c r="AW165" s="30939">
        <f>IF(HLOOKUP("Mins",A1:CV300,165,FALSE)=0,0,HLOOKUP("Gs",A1:CV300,165,FALSE)/HLOOKUP("Mins",A1:CV300,165,FALSE)* 90)</f>
        <v>0.27272727272727271</v>
      </c>
      <c r="AX165" s="30940">
        <f>IF(HLOOKUP("Mins",A1:CV300,165,FALSE)=0,0,HLOOKUP("Bonus",A1:CV300,165,FALSE)/HLOOKUP("Mins",A1:CV300,165,FALSE)* 90)</f>
        <v>0</v>
      </c>
      <c r="AY165" s="30941">
        <f>IF(HLOOKUP("Mins",A1:CV300,165,FALSE)=0,0,HLOOKUP("BPS",A1:CV300,165,FALSE)/HLOOKUP("Mins",A1:CV300,165,FALSE)* 90)</f>
        <v>14.25</v>
      </c>
      <c r="AZ165" s="30942">
        <f>IF(HLOOKUP("Mins",A1:CV300,165,FALSE)=0,0,HLOOKUP("Base BPS",A1:CV300,165,FALSE)/HLOOKUP("Mins",A1:CV300,165,FALSE)* 90)</f>
        <v>6.8863636363636358</v>
      </c>
      <c r="BA165" s="30943">
        <f>IF(HLOOKUP("Mins",A1:CV300,165,FALSE)=0,0,HLOOKUP("PenTchs",A1:CV300,165,FALSE)/HLOOKUP("Mins",A1:CV300,165,FALSE)* 90)</f>
        <v>3.2045454545454546</v>
      </c>
      <c r="BB165" s="30944">
        <f>IF(HLOOKUP("Mins",A1:CV300,165,FALSE)=0,0,HLOOKUP("Shots",A1:CV300,165,FALSE)/HLOOKUP("Mins",A1:CV300,165,FALSE)* 90)</f>
        <v>2.5909090909090908</v>
      </c>
      <c r="BC165" s="30945">
        <f>IF(HLOOKUP("Mins",A1:CV300,165,FALSE)=0,0,HLOOKUP("SIB",A1:CV300,165,FALSE)/HLOOKUP("Mins",A1:CV300,165,FALSE)* 90)</f>
        <v>1.6363636363636362</v>
      </c>
      <c r="BD165" s="30946">
        <f>IF(HLOOKUP("Mins",A1:CV300,165,FALSE)=0,0,HLOOKUP("S6YD",A1:CV300,165,FALSE)/HLOOKUP("Mins",A1:CV300,165,FALSE)* 90)</f>
        <v>0.34090909090909094</v>
      </c>
      <c r="BE165" s="30947">
        <f>IF(HLOOKUP("Mins",A1:CV300,165,FALSE)=0,0,HLOOKUP("Headers",A1:CV300,165,FALSE)/HLOOKUP("Mins",A1:CV300,165,FALSE)* 90)</f>
        <v>0.47727272727272729</v>
      </c>
      <c r="BF165" s="30948">
        <f>IF(HLOOKUP("Mins",A1:CV300,165,FALSE)=0,0,HLOOKUP("SOT",A1:CV300,165,FALSE)/HLOOKUP("Mins",A1:CV300,165,FALSE)* 90)</f>
        <v>0.95454545454545459</v>
      </c>
      <c r="BG165" s="30949">
        <f>IF(HLOOKUP("Mins",A1:CV300,165,FALSE)=0,0,HLOOKUP("As",A1:CV300,165,FALSE)/HLOOKUP("Mins",A1:CV300,165,FALSE)* 90)</f>
        <v>0.27272727272727271</v>
      </c>
      <c r="BH165" s="30950">
        <f>IF(HLOOKUP("Mins",A1:CV300,165,FALSE)=0,0,HLOOKUP("FPL As",A1:CV300,165,FALSE)/HLOOKUP("Mins",A1:CV300,165,FALSE)* 90)</f>
        <v>0.27272727272727271</v>
      </c>
      <c r="BI165" s="30951">
        <f>IF(HLOOKUP("Mins",A1:CV300,165,FALSE)=0,0,HLOOKUP("BC Created",A1:CV300,165,FALSE)/HLOOKUP("Mins",A1:CV300,165,FALSE)* 90)</f>
        <v>0.20454545454545453</v>
      </c>
      <c r="BJ165" s="30952">
        <f>IF(HLOOKUP("Mins",A1:CV300,165,FALSE)=0,0,HLOOKUP("KP",A1:CV300,165,FALSE)/HLOOKUP("Mins",A1:CV300,165,FALSE)* 90)</f>
        <v>1.4318181818181817</v>
      </c>
      <c r="BK165" s="30953">
        <f>IF(HLOOKUP("Mins",A1:CV300,165,FALSE)=0,0,HLOOKUP("BC",A1:CV300,165,FALSE)/HLOOKUP("Mins",A1:CV300,165,FALSE)* 90)</f>
        <v>0.54545454545454541</v>
      </c>
      <c r="BL165" s="30954">
        <f>IF(HLOOKUP("Mins",A1:CV300,165,FALSE)=0,0,HLOOKUP("BC Miss",A1:CV300,165,FALSE)/HLOOKUP("Mins",A1:CV300,165,FALSE)* 90)</f>
        <v>0.34090909090909094</v>
      </c>
      <c r="BM165" s="30955">
        <f>IF(HLOOKUP("Mins",A1:CV300,165,FALSE)=0,0,HLOOKUP("Gs - BC",A1:CV300,165,FALSE)/HLOOKUP("Mins",A1:CV300,165,FALSE)* 90)</f>
        <v>0.20454545454545453</v>
      </c>
      <c r="BN165" s="30956">
        <f>IF(HLOOKUP("Mins",A1:CV300,165,FALSE)=0,0,HLOOKUP("GIB",A1:CV300,165,FALSE)/HLOOKUP("Mins",A1:CV300,165,FALSE)* 90)</f>
        <v>0.27272727272727271</v>
      </c>
      <c r="BO165" s="30957">
        <f>IF(HLOOKUP("Mins",A1:CV300,165,FALSE)=0,0,HLOOKUP("Gs - Open",A1:CV300,165,FALSE)/HLOOKUP("Mins",A1:CV300,165,FALSE)* 90)</f>
        <v>6.8181818181818177E-2</v>
      </c>
      <c r="BP165" s="30958">
        <f>IF(HLOOKUP("Mins",A1:CV300,165,FALSE)=0,0,HLOOKUP("ICT Index",A1:CV300,165,FALSE)/HLOOKUP("Mins",A1:CV300,165,FALSE)* 90)</f>
        <v>7.6090909090909085</v>
      </c>
      <c r="BQ165" s="30959">
        <f>IF(HLOOKUP("Mins",A1:CV300,165,FALSE)=0,0,(0.036*(HLOOKUP("Shots",A1:CV300,165,FALSE)-HLOOKUP("SIB",A1:CV300,165,FALSE))+0.142*(HLOOKUP("SIB",A1:CV300,165,FALSE)-(HLOOKUP("PK Gs",A1:CV300,165,FALSE)+HLOOKUP("PK Miss",A1:CV300,165,FALSE)))+0.75*(HLOOKUP("PK Gs",A1:CV300,165,FALSE)+HLOOKUP("PK Miss",A1:CV300,165,FALSE)))/HLOOKUP("Mins",A1:CV300,165,FALSE)*90)</f>
        <v>0.30818181818181817</v>
      </c>
      <c r="BR165" s="30960">
        <f>0.0885*HLOOKUP("KP/90",A1:CV300,165,FALSE)</f>
        <v>0.12671590909090907</v>
      </c>
      <c r="BS165" s="30961">
        <f>5*HLOOKUP("xG/90",A1:CV300,165,FALSE)+3*HLOOKUP("xA/90",A1:CV300,165,FALSE)</f>
        <v>1.9210568181818179</v>
      </c>
      <c r="BT165" s="30962">
        <f>HLOOKUP("xPts/90",A1:CV300,165,FALSE)-(5*0.75*(HLOOKUP("PK Gs",A1:CV300,165,FALSE)+HLOOKUP("PK Miss",A1:CV300,165,FALSE))*90/HLOOKUP("Mins",A1:CV300,165,FALSE))</f>
        <v>1.6653749999999998</v>
      </c>
      <c r="BU165" s="30963">
        <f>IF(HLOOKUP("Mins",A1:CV300,165,FALSE)=0,0,HLOOKUP("fsXG",A1:CV300,165,FALSE)/HLOOKUP("Mins",A1:CV300,165,FALSE)* 90)</f>
        <v>0.34909090909090906</v>
      </c>
      <c r="BV165" s="30964">
        <f>IF(HLOOKUP("Mins",A1:CV300,165,FALSE)=0,0,HLOOKUP("fsXA",A1:CV300,165,FALSE)/HLOOKUP("Mins",A1:CV300,165,FALSE)* 90)</f>
        <v>9.2045454545454555E-2</v>
      </c>
      <c r="BW165" s="30965">
        <f>5*HLOOKUP("fsXG/90",A1:CV300,165,FALSE)+3*HLOOKUP("fsXA/90",A1:CV300,165,FALSE)</f>
        <v>2.021590909090909</v>
      </c>
      <c r="BX165" s="30966">
        <v>0.35392147302627563</v>
      </c>
      <c r="BY165" s="30967">
        <v>0.14193235337734222</v>
      </c>
      <c r="BZ165" s="30968">
        <f>5*HLOOKUP("uXG/90",A1:CV300,165,FALSE)+3*HLOOKUP("uXA/90",A1:CV300,165,FALSE)</f>
        <v>2.1954044252634048</v>
      </c>
    </row>
    <row r="166" spans="1:78" x14ac:dyDescent="0.3">
      <c r="A166" s="30969" t="s">
        <v>493</v>
      </c>
      <c r="B166" s="30970" t="s">
        <v>147</v>
      </c>
      <c r="C166" s="30971">
        <v>4.5</v>
      </c>
      <c r="D166" s="30972">
        <v>9</v>
      </c>
      <c r="E166" s="30973">
        <v>2</v>
      </c>
      <c r="F166" s="30974">
        <v>2</v>
      </c>
      <c r="G166" s="30975">
        <v>0</v>
      </c>
      <c r="H166" s="30976">
        <v>0</v>
      </c>
      <c r="I166" s="30977">
        <v>5</v>
      </c>
      <c r="J166" s="30978">
        <f>HLOOKUP("BPS",A1:CV300,166,FALSE)-((-6*HLOOKUP("OG",A1:CV300,166,FALSE))+(-6*HLOOKUP("PK Miss",A1:CV300,166,FALSE))+(9*HLOOKUP("FPL As",A1:CV300,166,FALSE))+(0*HLOOKUP("CS",A1:CV300,166,FALSE))+(18*HLOOKUP("Gs",A1:CV300,166,FALSE)))</f>
        <v>5</v>
      </c>
      <c r="K166" s="30979">
        <v>0</v>
      </c>
      <c r="L166" s="30980">
        <v>0</v>
      </c>
      <c r="M166" s="30981">
        <v>0</v>
      </c>
      <c r="N166" s="30982">
        <v>0</v>
      </c>
      <c r="O166" s="30983">
        <v>0</v>
      </c>
      <c r="P166" s="30984">
        <f>IF(HLOOKUP("Shots",A1:CV300,166,FALSE)=0,0,HLOOKUP("SIB",A1:CV300,166,FALSE)/HLOOKUP("Shots",A1:CV300,166,FALSE))</f>
        <v>0</v>
      </c>
      <c r="Q166" s="30985">
        <v>0</v>
      </c>
      <c r="R166" s="30986">
        <f>IF(HLOOKUP("Shots",A1:CV300,166,FALSE)=0,0,HLOOKUP("S6YD",A1:CV300,166,FALSE)/HLOOKUP("Shots",A1:CV300,166,FALSE))</f>
        <v>0</v>
      </c>
      <c r="S166" s="30987">
        <v>0</v>
      </c>
      <c r="T166" s="30988">
        <f>IF(HLOOKUP("Shots",A1:CV300,166,FALSE)=0,0,HLOOKUP("Headers",A1:CV300,166,FALSE)/HLOOKUP("Shots",A1:CV300,166,FALSE))</f>
        <v>0</v>
      </c>
      <c r="U166" s="30989">
        <v>0</v>
      </c>
      <c r="V166" s="30990">
        <f>IF(HLOOKUP("Shots",A1:CV300,166,FALSE)=0,0,HLOOKUP("SOT",A1:CV300,166,FALSE)/HLOOKUP("Shots",A1:CV300,166,FALSE))</f>
        <v>0</v>
      </c>
      <c r="W166" s="30991">
        <f>IF(HLOOKUP("Shots",A1:CV300,166,FALSE)=0,0,HLOOKUP("Gs",A1:CV300,166,FALSE)/HLOOKUP("Shots",A1:CV300,166,FALSE))</f>
        <v>0</v>
      </c>
      <c r="X166" s="30992">
        <v>0</v>
      </c>
      <c r="Y166" s="30993">
        <v>0</v>
      </c>
      <c r="Z166" s="30994">
        <v>1</v>
      </c>
      <c r="AA166" s="30995">
        <f>IF(HLOOKUP("KP",A1:CV300,166,FALSE)=0,0,HLOOKUP("As",A1:CV300,166,FALSE)/HLOOKUP("KP",A1:CV300,166,FALSE))</f>
        <v>0</v>
      </c>
      <c r="AB166" s="30996">
        <v>1.5</v>
      </c>
      <c r="AC166" s="30997">
        <v>0</v>
      </c>
      <c r="AD166" s="30998">
        <v>0</v>
      </c>
      <c r="AE166" s="30999">
        <v>0</v>
      </c>
      <c r="AF166" s="31000">
        <v>0</v>
      </c>
      <c r="AG166" s="31001">
        <f>IF(HLOOKUP("BC",A1:CV300,166,FALSE)=0,0,HLOOKUP("Gs - BC",A1:CV300,166,FALSE)/HLOOKUP("BC",A1:CV300,166,FALSE))</f>
        <v>0</v>
      </c>
      <c r="AH166" s="31002">
        <f>HLOOKUP("BC",A1:CV300,166,FALSE) - HLOOKUP("BC Miss",A1:CV300,166,FALSE)</f>
        <v>0</v>
      </c>
      <c r="AI166" s="31003">
        <f>IF(HLOOKUP("Gs",A1:CV300,166,FALSE)=0,0,HLOOKUP("Gs - BC",A1:CV300,166,FALSE)/HLOOKUP("Gs",A1:CV300,166,FALSE))</f>
        <v>0</v>
      </c>
      <c r="AJ166" s="31004">
        <v>0</v>
      </c>
      <c r="AK166" s="31005">
        <v>0</v>
      </c>
      <c r="AL166" s="31006">
        <f>HLOOKUP("BC",A1:CV300,166,FALSE) - (HLOOKUP("PK Gs",A1:CV300,166,FALSE) + HLOOKUP("PK Miss",A1:CV300,166,FALSE))</f>
        <v>0</v>
      </c>
      <c r="AM166" s="31007">
        <f>HLOOKUP("BC Miss",A1:CV300,166,FALSE) - HLOOKUP("PK Miss",A1:CV300,166,FALSE)</f>
        <v>0</v>
      </c>
      <c r="AN166" s="31008">
        <f>IF(HLOOKUP("BC - Open",A1:CV300,166,FALSE)=0,0,HLOOKUP("BC - Open Miss",A1:CV300,166,FALSE)/HLOOKUP("BC - Open",A1:CV300,166,FALSE))</f>
        <v>0</v>
      </c>
      <c r="AO166" s="31009">
        <v>0</v>
      </c>
      <c r="AP166" s="31010">
        <f>IF(HLOOKUP("Gs",A1:CV300,166,FALSE)=0,0,HLOOKUP("GIB",A1:CV300,166,FALSE)/HLOOKUP("Gs",A1:CV300,166,FALSE))</f>
        <v>0</v>
      </c>
      <c r="AQ166" s="31011">
        <v>0</v>
      </c>
      <c r="AR166" s="31012">
        <f>IF(HLOOKUP("Gs",A1:CV300,166,FALSE)=0,0,HLOOKUP("Gs - Open",A1:CV300,166,FALSE)/HLOOKUP("Gs",A1:CV300,166,FALSE))</f>
        <v>0</v>
      </c>
      <c r="AS166" s="31013">
        <v>0</v>
      </c>
      <c r="AT166" s="31014">
        <v>0.01</v>
      </c>
      <c r="AU166" s="31015">
        <f>IF(HLOOKUP("Mins",A1:CV300,166,FALSE)=0,0,HLOOKUP("Pts",A1:CV300,166,FALSE)/HLOOKUP("Mins",A1:CV300,166,FALSE)* 90)</f>
        <v>20</v>
      </c>
      <c r="AV166" s="31016">
        <f>IF(HLOOKUP("Apps",A1:CV300,166,FALSE)=0,0,HLOOKUP("Pts",A1:CV300,166,FALSE)/HLOOKUP("Apps",A1:CV300,166,FALSE)* 1)</f>
        <v>1</v>
      </c>
      <c r="AW166" s="31017">
        <f>IF(HLOOKUP("Mins",A1:CV300,166,FALSE)=0,0,HLOOKUP("Gs",A1:CV300,166,FALSE)/HLOOKUP("Mins",A1:CV300,166,FALSE)* 90)</f>
        <v>0</v>
      </c>
      <c r="AX166" s="31018">
        <f>IF(HLOOKUP("Mins",A1:CV300,166,FALSE)=0,0,HLOOKUP("Bonus",A1:CV300,166,FALSE)/HLOOKUP("Mins",A1:CV300,166,FALSE)* 90)</f>
        <v>0</v>
      </c>
      <c r="AY166" s="31019">
        <f>IF(HLOOKUP("Mins",A1:CV300,166,FALSE)=0,0,HLOOKUP("BPS",A1:CV300,166,FALSE)/HLOOKUP("Mins",A1:CV300,166,FALSE)* 90)</f>
        <v>50</v>
      </c>
      <c r="AZ166" s="31020">
        <f>IF(HLOOKUP("Mins",A1:CV300,166,FALSE)=0,0,HLOOKUP("Base BPS",A1:CV300,166,FALSE)/HLOOKUP("Mins",A1:CV300,166,FALSE)* 90)</f>
        <v>50</v>
      </c>
      <c r="BA166" s="31021">
        <f>IF(HLOOKUP("Mins",A1:CV300,166,FALSE)=0,0,HLOOKUP("PenTchs",A1:CV300,166,FALSE)/HLOOKUP("Mins",A1:CV300,166,FALSE)* 90)</f>
        <v>0</v>
      </c>
      <c r="BB166" s="31022">
        <f>IF(HLOOKUP("Mins",A1:CV300,166,FALSE)=0,0,HLOOKUP("Shots",A1:CV300,166,FALSE)/HLOOKUP("Mins",A1:CV300,166,FALSE)* 90)</f>
        <v>0</v>
      </c>
      <c r="BC166" s="31023">
        <f>IF(HLOOKUP("Mins",A1:CV300,166,FALSE)=0,0,HLOOKUP("SIB",A1:CV300,166,FALSE)/HLOOKUP("Mins",A1:CV300,166,FALSE)* 90)</f>
        <v>0</v>
      </c>
      <c r="BD166" s="31024">
        <f>IF(HLOOKUP("Mins",A1:CV300,166,FALSE)=0,0,HLOOKUP("S6YD",A1:CV300,166,FALSE)/HLOOKUP("Mins",A1:CV300,166,FALSE)* 90)</f>
        <v>0</v>
      </c>
      <c r="BE166" s="31025">
        <f>IF(HLOOKUP("Mins",A1:CV300,166,FALSE)=0,0,HLOOKUP("Headers",A1:CV300,166,FALSE)/HLOOKUP("Mins",A1:CV300,166,FALSE)* 90)</f>
        <v>0</v>
      </c>
      <c r="BF166" s="31026">
        <f>IF(HLOOKUP("Mins",A1:CV300,166,FALSE)=0,0,HLOOKUP("SOT",A1:CV300,166,FALSE)/HLOOKUP("Mins",A1:CV300,166,FALSE)* 90)</f>
        <v>0</v>
      </c>
      <c r="BG166" s="31027">
        <f>IF(HLOOKUP("Mins",A1:CV300,166,FALSE)=0,0,HLOOKUP("As",A1:CV300,166,FALSE)/HLOOKUP("Mins",A1:CV300,166,FALSE)* 90)</f>
        <v>0</v>
      </c>
      <c r="BH166" s="31028">
        <f>IF(HLOOKUP("Mins",A1:CV300,166,FALSE)=0,0,HLOOKUP("FPL As",A1:CV300,166,FALSE)/HLOOKUP("Mins",A1:CV300,166,FALSE)* 90)</f>
        <v>0</v>
      </c>
      <c r="BI166" s="31029">
        <f>IF(HLOOKUP("Mins",A1:CV300,166,FALSE)=0,0,HLOOKUP("BC Created",A1:CV300,166,FALSE)/HLOOKUP("Mins",A1:CV300,166,FALSE)* 90)</f>
        <v>0</v>
      </c>
      <c r="BJ166" s="31030">
        <f>IF(HLOOKUP("Mins",A1:CV300,166,FALSE)=0,0,HLOOKUP("KP",A1:CV300,166,FALSE)/HLOOKUP("Mins",A1:CV300,166,FALSE)* 90)</f>
        <v>10</v>
      </c>
      <c r="BK166" s="31031">
        <f>IF(HLOOKUP("Mins",A1:CV300,166,FALSE)=0,0,HLOOKUP("BC",A1:CV300,166,FALSE)/HLOOKUP("Mins",A1:CV300,166,FALSE)* 90)</f>
        <v>0</v>
      </c>
      <c r="BL166" s="31032">
        <f>IF(HLOOKUP("Mins",A1:CV300,166,FALSE)=0,0,HLOOKUP("BC Miss",A1:CV300,166,FALSE)/HLOOKUP("Mins",A1:CV300,166,FALSE)* 90)</f>
        <v>0</v>
      </c>
      <c r="BM166" s="31033">
        <f>IF(HLOOKUP("Mins",A1:CV300,166,FALSE)=0,0,HLOOKUP("Gs - BC",A1:CV300,166,FALSE)/HLOOKUP("Mins",A1:CV300,166,FALSE)* 90)</f>
        <v>0</v>
      </c>
      <c r="BN166" s="31034">
        <f>IF(HLOOKUP("Mins",A1:CV300,166,FALSE)=0,0,HLOOKUP("GIB",A1:CV300,166,FALSE)/HLOOKUP("Mins",A1:CV300,166,FALSE)* 90)</f>
        <v>0</v>
      </c>
      <c r="BO166" s="31035">
        <f>IF(HLOOKUP("Mins",A1:CV300,166,FALSE)=0,0,HLOOKUP("Gs - Open",A1:CV300,166,FALSE)/HLOOKUP("Mins",A1:CV300,166,FALSE)* 90)</f>
        <v>0</v>
      </c>
      <c r="BP166" s="31036">
        <f>IF(HLOOKUP("Mins",A1:CV300,166,FALSE)=0,0,HLOOKUP("ICT Index",A1:CV300,166,FALSE)/HLOOKUP("Mins",A1:CV300,166,FALSE)* 90)</f>
        <v>15</v>
      </c>
      <c r="BQ166" s="31037">
        <f>IF(HLOOKUP("Mins",A1:CV300,166,FALSE)=0,0,(0.036*(HLOOKUP("Shots",A1:CV300,166,FALSE)-HLOOKUP("SIB",A1:CV300,166,FALSE))+0.142*(HLOOKUP("SIB",A1:CV300,166,FALSE)-(HLOOKUP("PK Gs",A1:CV300,166,FALSE)+HLOOKUP("PK Miss",A1:CV300,166,FALSE)))+0.75*(HLOOKUP("PK Gs",A1:CV300,166,FALSE)+HLOOKUP("PK Miss",A1:CV300,166,FALSE)))/HLOOKUP("Mins",A1:CV300,166,FALSE)*90)</f>
        <v>0</v>
      </c>
      <c r="BR166" s="31038">
        <f>0.0885*HLOOKUP("KP/90",A1:CV300,166,FALSE)</f>
        <v>0.88500000000000001</v>
      </c>
      <c r="BS166" s="31039">
        <f>5*HLOOKUP("xG/90",A1:CV300,166,FALSE)+3*HLOOKUP("xA/90",A1:CV300,166,FALSE)</f>
        <v>2.6550000000000002</v>
      </c>
      <c r="BT166" s="31040">
        <f>HLOOKUP("xPts/90",A1:CV300,166,FALSE)-(5*0.75*(HLOOKUP("PK Gs",A1:CV300,166,FALSE)+HLOOKUP("PK Miss",A1:CV300,166,FALSE))*90/HLOOKUP("Mins",A1:CV300,166,FALSE))</f>
        <v>2.6550000000000002</v>
      </c>
      <c r="BU166" s="31041">
        <f>IF(HLOOKUP("Mins",A1:CV300,166,FALSE)=0,0,HLOOKUP("fsXG",A1:CV300,166,FALSE)/HLOOKUP("Mins",A1:CV300,166,FALSE)* 90)</f>
        <v>0</v>
      </c>
      <c r="BV166" s="31042">
        <f>IF(HLOOKUP("Mins",A1:CV300,166,FALSE)=0,0,HLOOKUP("fsXA",A1:CV300,166,FALSE)/HLOOKUP("Mins",A1:CV300,166,FALSE)* 90)</f>
        <v>0.1</v>
      </c>
      <c r="BW166" s="31043">
        <f>5*HLOOKUP("fsXG/90",A1:CV300,166,FALSE)+3*HLOOKUP("fsXA/90",A1:CV300,166,FALSE)</f>
        <v>0.30000000000000004</v>
      </c>
      <c r="BX166" s="31044">
        <v>0</v>
      </c>
      <c r="BY166" s="31045">
        <v>0.61034506559371948</v>
      </c>
      <c r="BZ166" s="31046">
        <f>5*HLOOKUP("uXG/90",A1:CV300,166,FALSE)+3*HLOOKUP("uXA/90",A1:CV300,166,FALSE)</f>
        <v>1.8310351967811584</v>
      </c>
    </row>
    <row r="167" spans="1:78" x14ac:dyDescent="0.3">
      <c r="A167" s="31047" t="s">
        <v>494</v>
      </c>
      <c r="B167" s="31048" t="s">
        <v>107</v>
      </c>
      <c r="C167" s="31049">
        <v>5.1999998092651367</v>
      </c>
      <c r="D167" s="31050">
        <v>1828</v>
      </c>
      <c r="E167" s="31051">
        <v>21</v>
      </c>
      <c r="F167" s="31052">
        <v>57</v>
      </c>
      <c r="G167" s="31053">
        <v>0</v>
      </c>
      <c r="H167" s="31054">
        <v>2</v>
      </c>
      <c r="I167" s="31055">
        <v>252</v>
      </c>
      <c r="J167" s="31056">
        <f>HLOOKUP("BPS",A1:CV300,167,FALSE)-((-6*HLOOKUP("OG",A1:CV300,167,FALSE))+(-6*HLOOKUP("PK Miss",A1:CV300,167,FALSE))+(9*HLOOKUP("FPL As",A1:CV300,167,FALSE))+(0*HLOOKUP("CS",A1:CV300,167,FALSE))+(18*HLOOKUP("Gs",A1:CV300,167,FALSE)))</f>
        <v>225</v>
      </c>
      <c r="K167" s="31057">
        <v>0</v>
      </c>
      <c r="L167" s="31058">
        <v>7</v>
      </c>
      <c r="M167" s="31059">
        <v>53</v>
      </c>
      <c r="N167" s="31060">
        <v>19</v>
      </c>
      <c r="O167" s="31061">
        <v>11</v>
      </c>
      <c r="P167" s="31062">
        <f>IF(HLOOKUP("Shots",A1:CV300,167,FALSE)=0,0,HLOOKUP("SIB",A1:CV300,167,FALSE)/HLOOKUP("Shots",A1:CV300,167,FALSE))</f>
        <v>0.57894736842105265</v>
      </c>
      <c r="Q167" s="31063">
        <v>1</v>
      </c>
      <c r="R167" s="31064">
        <f>IF(HLOOKUP("Shots",A1:CV300,167,FALSE)=0,0,HLOOKUP("S6YD",A1:CV300,167,FALSE)/HLOOKUP("Shots",A1:CV300,167,FALSE))</f>
        <v>5.2631578947368418E-2</v>
      </c>
      <c r="S167" s="31065">
        <v>1</v>
      </c>
      <c r="T167" s="31066">
        <f>IF(HLOOKUP("Shots",A1:CV300,167,FALSE)=0,0,HLOOKUP("Headers",A1:CV300,167,FALSE)/HLOOKUP("Shots",A1:CV300,167,FALSE))</f>
        <v>5.2631578947368418E-2</v>
      </c>
      <c r="U167" s="31067">
        <v>4</v>
      </c>
      <c r="V167" s="31068">
        <f>IF(HLOOKUP("Shots",A1:CV300,167,FALSE)=0,0,HLOOKUP("SOT",A1:CV300,167,FALSE)/HLOOKUP("Shots",A1:CV300,167,FALSE))</f>
        <v>0.21052631578947367</v>
      </c>
      <c r="W167" s="31069">
        <f>IF(HLOOKUP("Shots",A1:CV300,167,FALSE)=0,0,HLOOKUP("Gs",A1:CV300,167,FALSE)/HLOOKUP("Shots",A1:CV300,167,FALSE))</f>
        <v>0</v>
      </c>
      <c r="X167" s="31070">
        <v>2</v>
      </c>
      <c r="Y167" s="31071">
        <v>3</v>
      </c>
      <c r="Z167" s="31072">
        <v>17</v>
      </c>
      <c r="AA167" s="31073">
        <f>IF(HLOOKUP("KP",A1:CV300,167,FALSE)=0,0,HLOOKUP("As",A1:CV300,167,FALSE)/HLOOKUP("KP",A1:CV300,167,FALSE))</f>
        <v>0.11764705882352941</v>
      </c>
      <c r="AB167" s="31074">
        <v>84.8</v>
      </c>
      <c r="AC167" s="31075">
        <v>16</v>
      </c>
      <c r="AD167" s="31076">
        <v>1</v>
      </c>
      <c r="AE167" s="31077">
        <v>3</v>
      </c>
      <c r="AF167" s="31078">
        <v>3</v>
      </c>
      <c r="AG167" s="31079">
        <f>IF(HLOOKUP("BC",A1:CV300,167,FALSE)=0,0,HLOOKUP("Gs - BC",A1:CV300,167,FALSE)/HLOOKUP("BC",A1:CV300,167,FALSE))</f>
        <v>0</v>
      </c>
      <c r="AH167" s="31080">
        <f>HLOOKUP("BC",A1:CV300,167,FALSE) - HLOOKUP("BC Miss",A1:CV300,167,FALSE)</f>
        <v>0</v>
      </c>
      <c r="AI167" s="31081">
        <f>IF(HLOOKUP("Gs",A1:CV300,167,FALSE)=0,0,HLOOKUP("Gs - BC",A1:CV300,167,FALSE)/HLOOKUP("Gs",A1:CV300,167,FALSE))</f>
        <v>0</v>
      </c>
      <c r="AJ167" s="31082">
        <v>0</v>
      </c>
      <c r="AK167" s="31083">
        <v>0</v>
      </c>
      <c r="AL167" s="31084">
        <f>HLOOKUP("BC",A1:CV300,167,FALSE) - (HLOOKUP("PK Gs",A1:CV300,167,FALSE) + HLOOKUP("PK Miss",A1:CV300,167,FALSE))</f>
        <v>3</v>
      </c>
      <c r="AM167" s="31085">
        <f>HLOOKUP("BC Miss",A1:CV300,167,FALSE) - HLOOKUP("PK Miss",A1:CV300,167,FALSE)</f>
        <v>3</v>
      </c>
      <c r="AN167" s="31086">
        <f>IF(HLOOKUP("BC - Open",A1:CV300,167,FALSE)=0,0,HLOOKUP("BC - Open Miss",A1:CV300,167,FALSE)/HLOOKUP("BC - Open",A1:CV300,167,FALSE))</f>
        <v>1</v>
      </c>
      <c r="AO167" s="31087">
        <v>0</v>
      </c>
      <c r="AP167" s="31088">
        <f>IF(HLOOKUP("Gs",A1:CV300,167,FALSE)=0,0,HLOOKUP("GIB",A1:CV300,167,FALSE)/HLOOKUP("Gs",A1:CV300,167,FALSE))</f>
        <v>0</v>
      </c>
      <c r="AQ167" s="31089">
        <v>0</v>
      </c>
      <c r="AR167" s="31090">
        <f>IF(HLOOKUP("Gs",A1:CV300,167,FALSE)=0,0,HLOOKUP("Gs - Open",A1:CV300,167,FALSE)/HLOOKUP("Gs",A1:CV300,167,FALSE))</f>
        <v>0</v>
      </c>
      <c r="AS167" s="31091">
        <v>1.6</v>
      </c>
      <c r="AT167" s="31092">
        <v>1.2</v>
      </c>
      <c r="AU167" s="31093">
        <f>IF(HLOOKUP("Mins",A1:CV300,167,FALSE)=0,0,HLOOKUP("Pts",A1:CV300,167,FALSE)/HLOOKUP("Mins",A1:CV300,167,FALSE)* 90)</f>
        <v>2.8063457330415758</v>
      </c>
      <c r="AV167" s="31094">
        <f>IF(HLOOKUP("Apps",A1:CV300,167,FALSE)=0,0,HLOOKUP("Pts",A1:CV300,167,FALSE)/HLOOKUP("Apps",A1:CV300,167,FALSE)* 1)</f>
        <v>2.7142857142857144</v>
      </c>
      <c r="AW167" s="31095">
        <f>IF(HLOOKUP("Mins",A1:CV300,167,FALSE)=0,0,HLOOKUP("Gs",A1:CV300,167,FALSE)/HLOOKUP("Mins",A1:CV300,167,FALSE)* 90)</f>
        <v>0</v>
      </c>
      <c r="AX167" s="31096">
        <f>IF(HLOOKUP("Mins",A1:CV300,167,FALSE)=0,0,HLOOKUP("Bonus",A1:CV300,167,FALSE)/HLOOKUP("Mins",A1:CV300,167,FALSE)* 90)</f>
        <v>9.8468271334792121E-2</v>
      </c>
      <c r="AY167" s="31097">
        <f>IF(HLOOKUP("Mins",A1:CV300,167,FALSE)=0,0,HLOOKUP("BPS",A1:CV300,167,FALSE)/HLOOKUP("Mins",A1:CV300,167,FALSE)* 90)</f>
        <v>12.407002188183807</v>
      </c>
      <c r="AZ167" s="31098">
        <f>IF(HLOOKUP("Mins",A1:CV300,167,FALSE)=0,0,HLOOKUP("Base BPS",A1:CV300,167,FALSE)/HLOOKUP("Mins",A1:CV300,167,FALSE)* 90)</f>
        <v>11.077680525164114</v>
      </c>
      <c r="BA167" s="31099">
        <f>IF(HLOOKUP("Mins",A1:CV300,167,FALSE)=0,0,HLOOKUP("PenTchs",A1:CV300,167,FALSE)/HLOOKUP("Mins",A1:CV300,167,FALSE)* 90)</f>
        <v>2.6094091903719914</v>
      </c>
      <c r="BB167" s="31100">
        <f>IF(HLOOKUP("Mins",A1:CV300,167,FALSE)=0,0,HLOOKUP("Shots",A1:CV300,167,FALSE)/HLOOKUP("Mins",A1:CV300,167,FALSE)* 90)</f>
        <v>0.93544857768052514</v>
      </c>
      <c r="BC167" s="31101">
        <f>IF(HLOOKUP("Mins",A1:CV300,167,FALSE)=0,0,HLOOKUP("SIB",A1:CV300,167,FALSE)/HLOOKUP("Mins",A1:CV300,167,FALSE)* 90)</f>
        <v>0.54157549234135671</v>
      </c>
      <c r="BD167" s="31102">
        <f>IF(HLOOKUP("Mins",A1:CV300,167,FALSE)=0,0,HLOOKUP("S6YD",A1:CV300,167,FALSE)/HLOOKUP("Mins",A1:CV300,167,FALSE)* 90)</f>
        <v>4.923413566739606E-2</v>
      </c>
      <c r="BE167" s="31103">
        <f>IF(HLOOKUP("Mins",A1:CV300,167,FALSE)=0,0,HLOOKUP("Headers",A1:CV300,167,FALSE)/HLOOKUP("Mins",A1:CV300,167,FALSE)* 90)</f>
        <v>4.923413566739606E-2</v>
      </c>
      <c r="BF167" s="31104">
        <f>IF(HLOOKUP("Mins",A1:CV300,167,FALSE)=0,0,HLOOKUP("SOT",A1:CV300,167,FALSE)/HLOOKUP("Mins",A1:CV300,167,FALSE)* 90)</f>
        <v>0.19693654266958424</v>
      </c>
      <c r="BG167" s="31105">
        <f>IF(HLOOKUP("Mins",A1:CV300,167,FALSE)=0,0,HLOOKUP("As",A1:CV300,167,FALSE)/HLOOKUP("Mins",A1:CV300,167,FALSE)* 90)</f>
        <v>9.8468271334792121E-2</v>
      </c>
      <c r="BH167" s="31106">
        <f>IF(HLOOKUP("Mins",A1:CV300,167,FALSE)=0,0,HLOOKUP("FPL As",A1:CV300,167,FALSE)/HLOOKUP("Mins",A1:CV300,167,FALSE)* 90)</f>
        <v>0.14770240700218817</v>
      </c>
      <c r="BI167" s="31107">
        <f>IF(HLOOKUP("Mins",A1:CV300,167,FALSE)=0,0,HLOOKUP("BC Created",A1:CV300,167,FALSE)/HLOOKUP("Mins",A1:CV300,167,FALSE)* 90)</f>
        <v>4.923413566739606E-2</v>
      </c>
      <c r="BJ167" s="31108">
        <f>IF(HLOOKUP("Mins",A1:CV300,167,FALSE)=0,0,HLOOKUP("KP",A1:CV300,167,FALSE)/HLOOKUP("Mins",A1:CV300,167,FALSE)* 90)</f>
        <v>0.83698030634573306</v>
      </c>
      <c r="BK167" s="31109">
        <f>IF(HLOOKUP("Mins",A1:CV300,167,FALSE)=0,0,HLOOKUP("BC",A1:CV300,167,FALSE)/HLOOKUP("Mins",A1:CV300,167,FALSE)* 90)</f>
        <v>0.14770240700218817</v>
      </c>
      <c r="BL167" s="31110">
        <f>IF(HLOOKUP("Mins",A1:CV300,167,FALSE)=0,0,HLOOKUP("BC Miss",A1:CV300,167,FALSE)/HLOOKUP("Mins",A1:CV300,167,FALSE)* 90)</f>
        <v>0.14770240700218817</v>
      </c>
      <c r="BM167" s="31111">
        <f>IF(HLOOKUP("Mins",A1:CV300,167,FALSE)=0,0,HLOOKUP("Gs - BC",A1:CV300,167,FALSE)/HLOOKUP("Mins",A1:CV300,167,FALSE)* 90)</f>
        <v>0</v>
      </c>
      <c r="BN167" s="31112">
        <f>IF(HLOOKUP("Mins",A1:CV300,167,FALSE)=0,0,HLOOKUP("GIB",A1:CV300,167,FALSE)/HLOOKUP("Mins",A1:CV300,167,FALSE)* 90)</f>
        <v>0</v>
      </c>
      <c r="BO167" s="31113">
        <f>IF(HLOOKUP("Mins",A1:CV300,167,FALSE)=0,0,HLOOKUP("Gs - Open",A1:CV300,167,FALSE)/HLOOKUP("Mins",A1:CV300,167,FALSE)* 90)</f>
        <v>0</v>
      </c>
      <c r="BP167" s="31114">
        <f>IF(HLOOKUP("Mins",A1:CV300,167,FALSE)=0,0,HLOOKUP("ICT Index",A1:CV300,167,FALSE)/HLOOKUP("Mins",A1:CV300,167,FALSE)* 90)</f>
        <v>4.175054704595186</v>
      </c>
      <c r="BQ167" s="31115">
        <f>IF(HLOOKUP("Mins",A1:CV300,167,FALSE)=0,0,(0.036*(HLOOKUP("Shots",A1:CV300,167,FALSE)-HLOOKUP("SIB",A1:CV300,167,FALSE))+0.142*(HLOOKUP("SIB",A1:CV300,167,FALSE)-(HLOOKUP("PK Gs",A1:CV300,167,FALSE)+HLOOKUP("PK Miss",A1:CV300,167,FALSE)))+0.75*(HLOOKUP("PK Gs",A1:CV300,167,FALSE)+HLOOKUP("PK Miss",A1:CV300,167,FALSE)))/HLOOKUP("Mins",A1:CV300,167,FALSE)*90)</f>
        <v>9.1083150984682712E-2</v>
      </c>
      <c r="BR167" s="31116">
        <f>0.0885*HLOOKUP("KP/90",A1:CV300,167,FALSE)</f>
        <v>7.4072757111597373E-2</v>
      </c>
      <c r="BS167" s="31117">
        <f>5*HLOOKUP("xG/90",A1:CV300,167,FALSE)+3*HLOOKUP("xA/90",A1:CV300,167,FALSE)</f>
        <v>0.67763402625820568</v>
      </c>
      <c r="BT167" s="31118">
        <f>HLOOKUP("xPts/90",A1:CV300,167,FALSE)-(5*0.75*(HLOOKUP("PK Gs",A1:CV300,167,FALSE)+HLOOKUP("PK Miss",A1:CV300,167,FALSE))*90/HLOOKUP("Mins",A1:CV300,167,FALSE))</f>
        <v>0.67763402625820568</v>
      </c>
      <c r="BU167" s="31119">
        <f>IF(HLOOKUP("Mins",A1:CV300,167,FALSE)=0,0,HLOOKUP("fsXG",A1:CV300,167,FALSE)/HLOOKUP("Mins",A1:CV300,167,FALSE)* 90)</f>
        <v>7.8774617067833702E-2</v>
      </c>
      <c r="BV167" s="31120">
        <f>IF(HLOOKUP("Mins",A1:CV300,167,FALSE)=0,0,HLOOKUP("fsXA",A1:CV300,167,FALSE)/HLOOKUP("Mins",A1:CV300,167,FALSE)* 90)</f>
        <v>5.9080962800875277E-2</v>
      </c>
      <c r="BW167" s="31121">
        <f>5*HLOOKUP("fsXG/90",A1:CV300,167,FALSE)+3*HLOOKUP("fsXA/90",A1:CV300,167,FALSE)</f>
        <v>0.57111597374179435</v>
      </c>
      <c r="BX167" s="31122">
        <v>8.3235569298267365E-2</v>
      </c>
      <c r="BY167" s="31123">
        <v>7.8750684857368469E-2</v>
      </c>
      <c r="BZ167" s="31124">
        <f>5*HLOOKUP("uXG/90",A1:CV300,167,FALSE)+3*HLOOKUP("uXA/90",A1:CV300,167,FALSE)</f>
        <v>0.65242990106344223</v>
      </c>
    </row>
    <row r="168" spans="1:78" x14ac:dyDescent="0.3">
      <c r="A168" s="31125" t="s">
        <v>495</v>
      </c>
      <c r="B168" s="31126" t="s">
        <v>89</v>
      </c>
      <c r="C168" s="31127">
        <v>9.8000001907348633</v>
      </c>
      <c r="D168" s="31128">
        <v>1389</v>
      </c>
      <c r="E168" s="31129">
        <v>17</v>
      </c>
      <c r="F168" s="31130">
        <v>91</v>
      </c>
      <c r="G168" s="31131">
        <v>5</v>
      </c>
      <c r="H168" s="31132">
        <v>10</v>
      </c>
      <c r="I168" s="31133">
        <v>303</v>
      </c>
      <c r="J168" s="31134">
        <f>HLOOKUP("BPS",A1:CV300,168,FALSE)-((-6*HLOOKUP("OG",A1:CV300,168,FALSE))+(-6*HLOOKUP("PK Miss",A1:CV300,168,FALSE))+(9*HLOOKUP("FPL As",A1:CV300,168,FALSE))+(0*HLOOKUP("CS",A1:CV300,168,FALSE))+(18*HLOOKUP("Gs",A1:CV300,168,FALSE)))</f>
        <v>132</v>
      </c>
      <c r="K168" s="31135">
        <v>0</v>
      </c>
      <c r="L168" s="31136">
        <v>2</v>
      </c>
      <c r="M168" s="31137">
        <v>103</v>
      </c>
      <c r="N168" s="31138">
        <v>46</v>
      </c>
      <c r="O168" s="31139">
        <v>31</v>
      </c>
      <c r="P168" s="31140">
        <f>IF(HLOOKUP("Shots",A1:CV300,168,FALSE)=0,0,HLOOKUP("SIB",A1:CV300,168,FALSE)/HLOOKUP("Shots",A1:CV300,168,FALSE))</f>
        <v>0.67391304347826086</v>
      </c>
      <c r="Q168" s="31141">
        <v>2</v>
      </c>
      <c r="R168" s="31142">
        <f>IF(HLOOKUP("Shots",A1:CV300,168,FALSE)=0,0,HLOOKUP("S6YD",A1:CV300,168,FALSE)/HLOOKUP("Shots",A1:CV300,168,FALSE))</f>
        <v>4.3478260869565216E-2</v>
      </c>
      <c r="S168" s="31143">
        <v>2</v>
      </c>
      <c r="T168" s="31144">
        <f>IF(HLOOKUP("Shots",A1:CV300,168,FALSE)=0,0,HLOOKUP("Headers",A1:CV300,168,FALSE)/HLOOKUP("Shots",A1:CV300,168,FALSE))</f>
        <v>4.3478260869565216E-2</v>
      </c>
      <c r="U168" s="31145">
        <v>18</v>
      </c>
      <c r="V168" s="31146">
        <f>IF(HLOOKUP("Shots",A1:CV300,168,FALSE)=0,0,HLOOKUP("SOT",A1:CV300,168,FALSE)/HLOOKUP("Shots",A1:CV300,168,FALSE))</f>
        <v>0.39130434782608697</v>
      </c>
      <c r="W168" s="31147">
        <f>IF(HLOOKUP("Shots",A1:CV300,168,FALSE)=0,0,HLOOKUP("Gs",A1:CV300,168,FALSE)/HLOOKUP("Shots",A1:CV300,168,FALSE))</f>
        <v>0.10869565217391304</v>
      </c>
      <c r="X168" s="31148">
        <v>7</v>
      </c>
      <c r="Y168" s="31149">
        <v>9</v>
      </c>
      <c r="Z168" s="31150">
        <v>25</v>
      </c>
      <c r="AA168" s="31151">
        <f>IF(HLOOKUP("KP",A1:CV300,168,FALSE)=0,0,HLOOKUP("As",A1:CV300,168,FALSE)/HLOOKUP("KP",A1:CV300,168,FALSE))</f>
        <v>0.28000000000000003</v>
      </c>
      <c r="AB168" s="31152">
        <v>138.30000000000001</v>
      </c>
      <c r="AC168" s="31153">
        <v>52</v>
      </c>
      <c r="AD168" s="31154">
        <v>8</v>
      </c>
      <c r="AE168" s="31155">
        <v>6</v>
      </c>
      <c r="AF168" s="31156">
        <v>3</v>
      </c>
      <c r="AG168" s="31157">
        <f>IF(HLOOKUP("BC",A1:CV300,168,FALSE)=0,0,HLOOKUP("Gs - BC",A1:CV300,168,FALSE)/HLOOKUP("BC",A1:CV300,168,FALSE))</f>
        <v>0.5</v>
      </c>
      <c r="AH168" s="31158">
        <f>HLOOKUP("BC",A1:CV300,168,FALSE) - HLOOKUP("BC Miss",A1:CV300,168,FALSE)</f>
        <v>3</v>
      </c>
      <c r="AI168" s="31159">
        <f>IF(HLOOKUP("Gs",A1:CV300,168,FALSE)=0,0,HLOOKUP("Gs - BC",A1:CV300,168,FALSE)/HLOOKUP("Gs",A1:CV300,168,FALSE))</f>
        <v>0.6</v>
      </c>
      <c r="AJ168" s="31160">
        <v>0</v>
      </c>
      <c r="AK168" s="31161">
        <v>0</v>
      </c>
      <c r="AL168" s="31162">
        <f>HLOOKUP("BC",A1:CV300,168,FALSE) - (HLOOKUP("PK Gs",A1:CV300,168,FALSE) + HLOOKUP("PK Miss",A1:CV300,168,FALSE))</f>
        <v>6</v>
      </c>
      <c r="AM168" s="31163">
        <f>HLOOKUP("BC Miss",A1:CV300,168,FALSE) - HLOOKUP("PK Miss",A1:CV300,168,FALSE)</f>
        <v>3</v>
      </c>
      <c r="AN168" s="31164">
        <f>IF(HLOOKUP("BC - Open",A1:CV300,168,FALSE)=0,0,HLOOKUP("BC - Open Miss",A1:CV300,168,FALSE)/HLOOKUP("BC - Open",A1:CV300,168,FALSE))</f>
        <v>0.5</v>
      </c>
      <c r="AO168" s="31165">
        <v>5</v>
      </c>
      <c r="AP168" s="31166">
        <f>IF(HLOOKUP("Gs",A1:CV300,168,FALSE)=0,0,HLOOKUP("GIB",A1:CV300,168,FALSE)/HLOOKUP("Gs",A1:CV300,168,FALSE))</f>
        <v>1</v>
      </c>
      <c r="AQ168" s="31167">
        <v>4</v>
      </c>
      <c r="AR168" s="31168">
        <f>IF(HLOOKUP("Gs",A1:CV300,168,FALSE)=0,0,HLOOKUP("Gs - Open",A1:CV300,168,FALSE)/HLOOKUP("Gs",A1:CV300,168,FALSE))</f>
        <v>0.8</v>
      </c>
      <c r="AS168" s="31169">
        <v>4.3</v>
      </c>
      <c r="AT168" s="31170">
        <v>2.74</v>
      </c>
      <c r="AU168" s="31171">
        <f>IF(HLOOKUP("Mins",A1:CV300,168,FALSE)=0,0,HLOOKUP("Pts",A1:CV300,168,FALSE)/HLOOKUP("Mins",A1:CV300,168,FALSE)* 90)</f>
        <v>5.8963282937365014</v>
      </c>
      <c r="AV168" s="31172">
        <f>IF(HLOOKUP("Apps",A1:CV300,168,FALSE)=0,0,HLOOKUP("Pts",A1:CV300,168,FALSE)/HLOOKUP("Apps",A1:CV300,168,FALSE)* 1)</f>
        <v>5.3529411764705879</v>
      </c>
      <c r="AW168" s="31173">
        <f>IF(HLOOKUP("Mins",A1:CV300,168,FALSE)=0,0,HLOOKUP("Gs",A1:CV300,168,FALSE)/HLOOKUP("Mins",A1:CV300,168,FALSE)* 90)</f>
        <v>0.32397408207343414</v>
      </c>
      <c r="AX168" s="31174">
        <f>IF(HLOOKUP("Mins",A1:CV300,168,FALSE)=0,0,HLOOKUP("Bonus",A1:CV300,168,FALSE)/HLOOKUP("Mins",A1:CV300,168,FALSE)* 90)</f>
        <v>0.64794816414686829</v>
      </c>
      <c r="AY168" s="31175">
        <f>IF(HLOOKUP("Mins",A1:CV300,168,FALSE)=0,0,HLOOKUP("BPS",A1:CV300,168,FALSE)/HLOOKUP("Mins",A1:CV300,168,FALSE)* 90)</f>
        <v>19.632829373650107</v>
      </c>
      <c r="AZ168" s="31176">
        <f>IF(HLOOKUP("Mins",A1:CV300,168,FALSE)=0,0,HLOOKUP("Base BPS",A1:CV300,168,FALSE)/HLOOKUP("Mins",A1:CV300,168,FALSE)* 90)</f>
        <v>8.5529157667386606</v>
      </c>
      <c r="BA168" s="31177">
        <f>IF(HLOOKUP("Mins",A1:CV300,168,FALSE)=0,0,HLOOKUP("PenTchs",A1:CV300,168,FALSE)/HLOOKUP("Mins",A1:CV300,168,FALSE)* 90)</f>
        <v>6.6738660907127425</v>
      </c>
      <c r="BB168" s="31178">
        <f>IF(HLOOKUP("Mins",A1:CV300,168,FALSE)=0,0,HLOOKUP("Shots",A1:CV300,168,FALSE)/HLOOKUP("Mins",A1:CV300,168,FALSE)* 90)</f>
        <v>2.9805615550755937</v>
      </c>
      <c r="BC168" s="31179">
        <f>IF(HLOOKUP("Mins",A1:CV300,168,FALSE)=0,0,HLOOKUP("SIB",A1:CV300,168,FALSE)/HLOOKUP("Mins",A1:CV300,168,FALSE)* 90)</f>
        <v>2.0086393088552916</v>
      </c>
      <c r="BD168" s="31180">
        <f>IF(HLOOKUP("Mins",A1:CV300,168,FALSE)=0,0,HLOOKUP("S6YD",A1:CV300,168,FALSE)/HLOOKUP("Mins",A1:CV300,168,FALSE)* 90)</f>
        <v>0.12958963282937364</v>
      </c>
      <c r="BE168" s="31181">
        <f>IF(HLOOKUP("Mins",A1:CV300,168,FALSE)=0,0,HLOOKUP("Headers",A1:CV300,168,FALSE)/HLOOKUP("Mins",A1:CV300,168,FALSE)* 90)</f>
        <v>0.12958963282937364</v>
      </c>
      <c r="BF168" s="31182">
        <f>IF(HLOOKUP("Mins",A1:CV300,168,FALSE)=0,0,HLOOKUP("SOT",A1:CV300,168,FALSE)/HLOOKUP("Mins",A1:CV300,168,FALSE)* 90)</f>
        <v>1.1663066954643628</v>
      </c>
      <c r="BG168" s="31183">
        <f>IF(HLOOKUP("Mins",A1:CV300,168,FALSE)=0,0,HLOOKUP("As",A1:CV300,168,FALSE)/HLOOKUP("Mins",A1:CV300,168,FALSE)* 90)</f>
        <v>0.45356371490280772</v>
      </c>
      <c r="BH168" s="31184">
        <f>IF(HLOOKUP("Mins",A1:CV300,168,FALSE)=0,0,HLOOKUP("FPL As",A1:CV300,168,FALSE)/HLOOKUP("Mins",A1:CV300,168,FALSE)* 90)</f>
        <v>0.58315334773218142</v>
      </c>
      <c r="BI168" s="31185">
        <f>IF(HLOOKUP("Mins",A1:CV300,168,FALSE)=0,0,HLOOKUP("BC Created",A1:CV300,168,FALSE)/HLOOKUP("Mins",A1:CV300,168,FALSE)* 90)</f>
        <v>0.51835853131749454</v>
      </c>
      <c r="BJ168" s="31186">
        <f>IF(HLOOKUP("Mins",A1:CV300,168,FALSE)=0,0,HLOOKUP("KP",A1:CV300,168,FALSE)/HLOOKUP("Mins",A1:CV300,168,FALSE)* 90)</f>
        <v>1.6198704103671706</v>
      </c>
      <c r="BK168" s="31187">
        <f>IF(HLOOKUP("Mins",A1:CV300,168,FALSE)=0,0,HLOOKUP("BC",A1:CV300,168,FALSE)/HLOOKUP("Mins",A1:CV300,168,FALSE)* 90)</f>
        <v>0.38876889848812096</v>
      </c>
      <c r="BL168" s="31188">
        <f>IF(HLOOKUP("Mins",A1:CV300,168,FALSE)=0,0,HLOOKUP("BC Miss",A1:CV300,168,FALSE)/HLOOKUP("Mins",A1:CV300,168,FALSE)* 90)</f>
        <v>0.19438444924406048</v>
      </c>
      <c r="BM168" s="31189">
        <f>IF(HLOOKUP("Mins",A1:CV300,168,FALSE)=0,0,HLOOKUP("Gs - BC",A1:CV300,168,FALSE)/HLOOKUP("Mins",A1:CV300,168,FALSE)* 90)</f>
        <v>0.19438444924406048</v>
      </c>
      <c r="BN168" s="31190">
        <f>IF(HLOOKUP("Mins",A1:CV300,168,FALSE)=0,0,HLOOKUP("GIB",A1:CV300,168,FALSE)/HLOOKUP("Mins",A1:CV300,168,FALSE)* 90)</f>
        <v>0.32397408207343414</v>
      </c>
      <c r="BO168" s="31191">
        <f>IF(HLOOKUP("Mins",A1:CV300,168,FALSE)=0,0,HLOOKUP("Gs - Open",A1:CV300,168,FALSE)/HLOOKUP("Mins",A1:CV300,168,FALSE)* 90)</f>
        <v>0.25917926565874727</v>
      </c>
      <c r="BP168" s="31192">
        <f>IF(HLOOKUP("Mins",A1:CV300,168,FALSE)=0,0,HLOOKUP("ICT Index",A1:CV300,168,FALSE)/HLOOKUP("Mins",A1:CV300,168,FALSE)* 90)</f>
        <v>8.9611231101511883</v>
      </c>
      <c r="BQ168" s="31193">
        <f>IF(HLOOKUP("Mins",A1:CV300,168,FALSE)=0,0,(0.036*(HLOOKUP("Shots",A1:CV300,168,FALSE)-HLOOKUP("SIB",A1:CV300,168,FALSE))+0.142*(HLOOKUP("SIB",A1:CV300,168,FALSE)-(HLOOKUP("PK Gs",A1:CV300,168,FALSE)+HLOOKUP("PK Miss",A1:CV300,168,FALSE)))+0.75*(HLOOKUP("PK Gs",A1:CV300,168,FALSE)+HLOOKUP("PK Miss",A1:CV300,168,FALSE)))/HLOOKUP("Mins",A1:CV300,168,FALSE)*90)</f>
        <v>0.32021598272138224</v>
      </c>
      <c r="BR168" s="31194">
        <f>0.0885*HLOOKUP("KP/90",A1:CV300,168,FALSE)</f>
        <v>0.1433585313174946</v>
      </c>
      <c r="BS168" s="31195">
        <f>5*HLOOKUP("xG/90",A1:CV300,168,FALSE)+3*HLOOKUP("xA/90",A1:CV300,168,FALSE)</f>
        <v>2.031155507559395</v>
      </c>
      <c r="BT168" s="31196">
        <f>HLOOKUP("xPts/90",A1:CV300,168,FALSE)-(5*0.75*(HLOOKUP("PK Gs",A1:CV300,168,FALSE)+HLOOKUP("PK Miss",A1:CV300,168,FALSE))*90/HLOOKUP("Mins",A1:CV300,168,FALSE))</f>
        <v>2.031155507559395</v>
      </c>
      <c r="BU168" s="31197">
        <f>IF(HLOOKUP("Mins",A1:CV300,168,FALSE)=0,0,HLOOKUP("fsXG",A1:CV300,168,FALSE)/HLOOKUP("Mins",A1:CV300,168,FALSE)* 90)</f>
        <v>0.27861771058315332</v>
      </c>
      <c r="BV168" s="31198">
        <f>IF(HLOOKUP("Mins",A1:CV300,168,FALSE)=0,0,HLOOKUP("fsXA",A1:CV300,168,FALSE)/HLOOKUP("Mins",A1:CV300,168,FALSE)* 90)</f>
        <v>0.17753779697624192</v>
      </c>
      <c r="BW168" s="31199">
        <f>5*HLOOKUP("fsXG/90",A1:CV300,168,FALSE)+3*HLOOKUP("fsXA/90",A1:CV300,168,FALSE)</f>
        <v>1.9257019438444924</v>
      </c>
      <c r="BX168" s="31200">
        <v>0.26164373755455017</v>
      </c>
      <c r="BY168" s="31201">
        <v>0.27220946550369263</v>
      </c>
      <c r="BZ168" s="31202">
        <f>5*HLOOKUP("uXG/90",A1:CV300,168,FALSE)+3*HLOOKUP("uXA/90",A1:CV300,168,FALSE)</f>
        <v>2.1248470842838287</v>
      </c>
    </row>
    <row r="169" spans="1:78" x14ac:dyDescent="0.3">
      <c r="A169" s="31203" t="s">
        <v>496</v>
      </c>
      <c r="B169" s="31204" t="s">
        <v>89</v>
      </c>
      <c r="C169" s="31205">
        <v>5.1999998092651367</v>
      </c>
      <c r="D169" s="31206">
        <v>1089</v>
      </c>
      <c r="E169" s="31207">
        <v>17</v>
      </c>
      <c r="F169" s="31208">
        <v>25</v>
      </c>
      <c r="G169" s="31209">
        <v>0</v>
      </c>
      <c r="H169" s="31210">
        <v>0</v>
      </c>
      <c r="I169" s="31211">
        <v>194</v>
      </c>
      <c r="J169" s="31212">
        <f>HLOOKUP("BPS",A1:CV300,169,FALSE)-((-6*HLOOKUP("OG",A1:CV300,169,FALSE))+(-6*HLOOKUP("PK Miss",A1:CV300,169,FALSE))+(9*HLOOKUP("FPL As",A1:CV300,169,FALSE))+(0*HLOOKUP("CS",A1:CV300,169,FALSE))+(18*HLOOKUP("Gs",A1:CV300,169,FALSE)))</f>
        <v>194</v>
      </c>
      <c r="K169" s="31213">
        <v>0</v>
      </c>
      <c r="L169" s="31214">
        <v>1</v>
      </c>
      <c r="M169" s="31215">
        <v>2</v>
      </c>
      <c r="N169" s="31216">
        <v>7</v>
      </c>
      <c r="O169" s="31217">
        <v>1</v>
      </c>
      <c r="P169" s="31218">
        <f>IF(HLOOKUP("Shots",A1:CV300,169,FALSE)=0,0,HLOOKUP("SIB",A1:CV300,169,FALSE)/HLOOKUP("Shots",A1:CV300,169,FALSE))</f>
        <v>0.14285714285714285</v>
      </c>
      <c r="Q169" s="31219">
        <v>1</v>
      </c>
      <c r="R169" s="31220">
        <f>IF(HLOOKUP("Shots",A1:CV300,169,FALSE)=0,0,HLOOKUP("S6YD",A1:CV300,169,FALSE)/HLOOKUP("Shots",A1:CV300,169,FALSE))</f>
        <v>0.14285714285714285</v>
      </c>
      <c r="S169" s="31221">
        <v>1</v>
      </c>
      <c r="T169" s="31222">
        <f>IF(HLOOKUP("Shots",A1:CV300,169,FALSE)=0,0,HLOOKUP("Headers",A1:CV300,169,FALSE)/HLOOKUP("Shots",A1:CV300,169,FALSE))</f>
        <v>0.14285714285714285</v>
      </c>
      <c r="U169" s="31223">
        <v>2</v>
      </c>
      <c r="V169" s="31224">
        <f>IF(HLOOKUP("Shots",A1:CV300,169,FALSE)=0,0,HLOOKUP("SOT",A1:CV300,169,FALSE)/HLOOKUP("Shots",A1:CV300,169,FALSE))</f>
        <v>0.2857142857142857</v>
      </c>
      <c r="W169" s="31225">
        <f>IF(HLOOKUP("Shots",A1:CV300,169,FALSE)=0,0,HLOOKUP("Gs",A1:CV300,169,FALSE)/HLOOKUP("Shots",A1:CV300,169,FALSE))</f>
        <v>0</v>
      </c>
      <c r="X169" s="31226">
        <v>0</v>
      </c>
      <c r="Y169" s="31227">
        <v>0</v>
      </c>
      <c r="Z169" s="31228">
        <v>9</v>
      </c>
      <c r="AA169" s="31229">
        <f>IF(HLOOKUP("KP",A1:CV300,169,FALSE)=0,0,HLOOKUP("As",A1:CV300,169,FALSE)/HLOOKUP("KP",A1:CV300,169,FALSE))</f>
        <v>0</v>
      </c>
      <c r="AB169" s="31230">
        <v>40</v>
      </c>
      <c r="AC169" s="31231">
        <v>0</v>
      </c>
      <c r="AD169" s="31232">
        <v>1</v>
      </c>
      <c r="AE169" s="31233">
        <v>0</v>
      </c>
      <c r="AF169" s="31234">
        <v>0</v>
      </c>
      <c r="AG169" s="31235">
        <f>IF(HLOOKUP("BC",A1:CV300,169,FALSE)=0,0,HLOOKUP("Gs - BC",A1:CV300,169,FALSE)/HLOOKUP("BC",A1:CV300,169,FALSE))</f>
        <v>0</v>
      </c>
      <c r="AH169" s="31236">
        <f>HLOOKUP("BC",A1:CV300,169,FALSE) - HLOOKUP("BC Miss",A1:CV300,169,FALSE)</f>
        <v>0</v>
      </c>
      <c r="AI169" s="31237">
        <f>IF(HLOOKUP("Gs",A1:CV300,169,FALSE)=0,0,HLOOKUP("Gs - BC",A1:CV300,169,FALSE)/HLOOKUP("Gs",A1:CV300,169,FALSE))</f>
        <v>0</v>
      </c>
      <c r="AJ169" s="31238">
        <v>0</v>
      </c>
      <c r="AK169" s="31239">
        <v>0</v>
      </c>
      <c r="AL169" s="31240">
        <f>HLOOKUP("BC",A1:CV300,169,FALSE) - (HLOOKUP("PK Gs",A1:CV300,169,FALSE) + HLOOKUP("PK Miss",A1:CV300,169,FALSE))</f>
        <v>0</v>
      </c>
      <c r="AM169" s="31241">
        <f>HLOOKUP("BC Miss",A1:CV300,169,FALSE) - HLOOKUP("PK Miss",A1:CV300,169,FALSE)</f>
        <v>0</v>
      </c>
      <c r="AN169" s="31242">
        <f>IF(HLOOKUP("BC - Open",A1:CV300,169,FALSE)=0,0,HLOOKUP("BC - Open Miss",A1:CV300,169,FALSE)/HLOOKUP("BC - Open",A1:CV300,169,FALSE))</f>
        <v>0</v>
      </c>
      <c r="AO169" s="31243">
        <v>0</v>
      </c>
      <c r="AP169" s="31244">
        <f>IF(HLOOKUP("Gs",A1:CV300,169,FALSE)=0,0,HLOOKUP("GIB",A1:CV300,169,FALSE)/HLOOKUP("Gs",A1:CV300,169,FALSE))</f>
        <v>0</v>
      </c>
      <c r="AQ169" s="31245">
        <v>0</v>
      </c>
      <c r="AR169" s="31246">
        <f>IF(HLOOKUP("Gs",A1:CV300,169,FALSE)=0,0,HLOOKUP("Gs - Open",A1:CV300,169,FALSE)/HLOOKUP("Gs",A1:CV300,169,FALSE))</f>
        <v>0</v>
      </c>
      <c r="AS169" s="31247">
        <v>0.3</v>
      </c>
      <c r="AT169" s="31248">
        <v>0.74</v>
      </c>
      <c r="AU169" s="31249">
        <f>IF(HLOOKUP("Mins",A1:CV300,169,FALSE)=0,0,HLOOKUP("Pts",A1:CV300,169,FALSE)/HLOOKUP("Mins",A1:CV300,169,FALSE)* 90)</f>
        <v>2.0661157024793386</v>
      </c>
      <c r="AV169" s="31250">
        <f>IF(HLOOKUP("Apps",A1:CV300,169,FALSE)=0,0,HLOOKUP("Pts",A1:CV300,169,FALSE)/HLOOKUP("Apps",A1:CV300,169,FALSE)* 1)</f>
        <v>1.4705882352941178</v>
      </c>
      <c r="AW169" s="31251">
        <f>IF(HLOOKUP("Mins",A1:CV300,169,FALSE)=0,0,HLOOKUP("Gs",A1:CV300,169,FALSE)/HLOOKUP("Mins",A1:CV300,169,FALSE)* 90)</f>
        <v>0</v>
      </c>
      <c r="AX169" s="31252">
        <f>IF(HLOOKUP("Mins",A1:CV300,169,FALSE)=0,0,HLOOKUP("Bonus",A1:CV300,169,FALSE)/HLOOKUP("Mins",A1:CV300,169,FALSE)* 90)</f>
        <v>0</v>
      </c>
      <c r="AY169" s="31253">
        <f>IF(HLOOKUP("Mins",A1:CV300,169,FALSE)=0,0,HLOOKUP("BPS",A1:CV300,169,FALSE)/HLOOKUP("Mins",A1:CV300,169,FALSE)* 90)</f>
        <v>16.033057851239668</v>
      </c>
      <c r="AZ169" s="31254">
        <f>IF(HLOOKUP("Mins",A1:CV300,169,FALSE)=0,0,HLOOKUP("Base BPS",A1:CV300,169,FALSE)/HLOOKUP("Mins",A1:CV300,169,FALSE)* 90)</f>
        <v>16.033057851239668</v>
      </c>
      <c r="BA169" s="31255">
        <f>IF(HLOOKUP("Mins",A1:CV300,169,FALSE)=0,0,HLOOKUP("PenTchs",A1:CV300,169,FALSE)/HLOOKUP("Mins",A1:CV300,169,FALSE)* 90)</f>
        <v>0.16528925619834711</v>
      </c>
      <c r="BB169" s="31256">
        <f>IF(HLOOKUP("Mins",A1:CV300,169,FALSE)=0,0,HLOOKUP("Shots",A1:CV300,169,FALSE)/HLOOKUP("Mins",A1:CV300,169,FALSE)* 90)</f>
        <v>0.57851239669421484</v>
      </c>
      <c r="BC169" s="31257">
        <f>IF(HLOOKUP("Mins",A1:CV300,169,FALSE)=0,0,HLOOKUP("SIB",A1:CV300,169,FALSE)/HLOOKUP("Mins",A1:CV300,169,FALSE)* 90)</f>
        <v>8.2644628099173556E-2</v>
      </c>
      <c r="BD169" s="31258">
        <f>IF(HLOOKUP("Mins",A1:CV300,169,FALSE)=0,0,HLOOKUP("S6YD",A1:CV300,169,FALSE)/HLOOKUP("Mins",A1:CV300,169,FALSE)* 90)</f>
        <v>8.2644628099173556E-2</v>
      </c>
      <c r="BE169" s="31259">
        <f>IF(HLOOKUP("Mins",A1:CV300,169,FALSE)=0,0,HLOOKUP("Headers",A1:CV300,169,FALSE)/HLOOKUP("Mins",A1:CV300,169,FALSE)* 90)</f>
        <v>8.2644628099173556E-2</v>
      </c>
      <c r="BF169" s="31260">
        <f>IF(HLOOKUP("Mins",A1:CV300,169,FALSE)=0,0,HLOOKUP("SOT",A1:CV300,169,FALSE)/HLOOKUP("Mins",A1:CV300,169,FALSE)* 90)</f>
        <v>0.16528925619834711</v>
      </c>
      <c r="BG169" s="31261">
        <f>IF(HLOOKUP("Mins",A1:CV300,169,FALSE)=0,0,HLOOKUP("As",A1:CV300,169,FALSE)/HLOOKUP("Mins",A1:CV300,169,FALSE)* 90)</f>
        <v>0</v>
      </c>
      <c r="BH169" s="31262">
        <f>IF(HLOOKUP("Mins",A1:CV300,169,FALSE)=0,0,HLOOKUP("FPL As",A1:CV300,169,FALSE)/HLOOKUP("Mins",A1:CV300,169,FALSE)* 90)</f>
        <v>0</v>
      </c>
      <c r="BI169" s="31263">
        <f>IF(HLOOKUP("Mins",A1:CV300,169,FALSE)=0,0,HLOOKUP("BC Created",A1:CV300,169,FALSE)/HLOOKUP("Mins",A1:CV300,169,FALSE)* 90)</f>
        <v>8.2644628099173556E-2</v>
      </c>
      <c r="BJ169" s="31264">
        <f>IF(HLOOKUP("Mins",A1:CV300,169,FALSE)=0,0,HLOOKUP("KP",A1:CV300,169,FALSE)/HLOOKUP("Mins",A1:CV300,169,FALSE)* 90)</f>
        <v>0.74380165289256195</v>
      </c>
      <c r="BK169" s="31265">
        <f>IF(HLOOKUP("Mins",A1:CV300,169,FALSE)=0,0,HLOOKUP("BC",A1:CV300,169,FALSE)/HLOOKUP("Mins",A1:CV300,169,FALSE)* 90)</f>
        <v>0</v>
      </c>
      <c r="BL169" s="31266">
        <f>IF(HLOOKUP("Mins",A1:CV300,169,FALSE)=0,0,HLOOKUP("BC Miss",A1:CV300,169,FALSE)/HLOOKUP("Mins",A1:CV300,169,FALSE)* 90)</f>
        <v>0</v>
      </c>
      <c r="BM169" s="31267">
        <f>IF(HLOOKUP("Mins",A1:CV300,169,FALSE)=0,0,HLOOKUP("Gs - BC",A1:CV300,169,FALSE)/HLOOKUP("Mins",A1:CV300,169,FALSE)* 90)</f>
        <v>0</v>
      </c>
      <c r="BN169" s="31268">
        <f>IF(HLOOKUP("Mins",A1:CV300,169,FALSE)=0,0,HLOOKUP("GIB",A1:CV300,169,FALSE)/HLOOKUP("Mins",A1:CV300,169,FALSE)* 90)</f>
        <v>0</v>
      </c>
      <c r="BO169" s="31269">
        <f>IF(HLOOKUP("Mins",A1:CV300,169,FALSE)=0,0,HLOOKUP("Gs - Open",A1:CV300,169,FALSE)/HLOOKUP("Mins",A1:CV300,169,FALSE)* 90)</f>
        <v>0</v>
      </c>
      <c r="BP169" s="31270">
        <f>IF(HLOOKUP("Mins",A1:CV300,169,FALSE)=0,0,HLOOKUP("ICT Index",A1:CV300,169,FALSE)/HLOOKUP("Mins",A1:CV300,169,FALSE)* 90)</f>
        <v>3.3057851239669422</v>
      </c>
      <c r="BQ169" s="31271">
        <f>IF(HLOOKUP("Mins",A1:CV300,169,FALSE)=0,0,(0.036*(HLOOKUP("Shots",A1:CV300,169,FALSE)-HLOOKUP("SIB",A1:CV300,169,FALSE))+0.142*(HLOOKUP("SIB",A1:CV300,169,FALSE)-(HLOOKUP("PK Gs",A1:CV300,169,FALSE)+HLOOKUP("PK Miss",A1:CV300,169,FALSE)))+0.75*(HLOOKUP("PK Gs",A1:CV300,169,FALSE)+HLOOKUP("PK Miss",A1:CV300,169,FALSE)))/HLOOKUP("Mins",A1:CV300,169,FALSE)*90)</f>
        <v>2.9586776859504133E-2</v>
      </c>
      <c r="BR169" s="31272">
        <f>0.0885*HLOOKUP("KP/90",A1:CV300,169,FALSE)</f>
        <v>6.5826446280991727E-2</v>
      </c>
      <c r="BS169" s="31273">
        <f>5*HLOOKUP("xG/90",A1:CV300,169,FALSE)+3*HLOOKUP("xA/90",A1:CV300,169,FALSE)</f>
        <v>0.34541322314049583</v>
      </c>
      <c r="BT169" s="31274">
        <f>HLOOKUP("xPts/90",A1:CV300,169,FALSE)-(5*0.75*(HLOOKUP("PK Gs",A1:CV300,169,FALSE)+HLOOKUP("PK Miss",A1:CV300,169,FALSE))*90/HLOOKUP("Mins",A1:CV300,169,FALSE))</f>
        <v>0.34541322314049583</v>
      </c>
      <c r="BU169" s="31275">
        <f>IF(HLOOKUP("Mins",A1:CV300,169,FALSE)=0,0,HLOOKUP("fsXG",A1:CV300,169,FALSE)/HLOOKUP("Mins",A1:CV300,169,FALSE)* 90)</f>
        <v>2.4793388429752063E-2</v>
      </c>
      <c r="BV169" s="31276">
        <f>IF(HLOOKUP("Mins",A1:CV300,169,FALSE)=0,0,HLOOKUP("fsXA",A1:CV300,169,FALSE)/HLOOKUP("Mins",A1:CV300,169,FALSE)* 90)</f>
        <v>6.1157024793388436E-2</v>
      </c>
      <c r="BW169" s="31277">
        <f>5*HLOOKUP("fsXG/90",A1:CV300,169,FALSE)+3*HLOOKUP("fsXA/90",A1:CV300,169,FALSE)</f>
        <v>0.30743801652892561</v>
      </c>
      <c r="BX169" s="31278">
        <v>1.6305305063724518E-2</v>
      </c>
      <c r="BY169" s="31279">
        <v>4.2261060327291489E-2</v>
      </c>
      <c r="BZ169" s="31280">
        <f>5*HLOOKUP("uXG/90",A1:CV300,169,FALSE)+3*HLOOKUP("uXA/90",A1:CV300,169,FALSE)</f>
        <v>0.20830970630049706</v>
      </c>
    </row>
    <row r="170" spans="1:78" x14ac:dyDescent="0.3">
      <c r="A170" s="31281" t="s">
        <v>497</v>
      </c>
      <c r="B170" s="31282" t="s">
        <v>115</v>
      </c>
      <c r="C170" s="31283">
        <v>4.4000000953674316</v>
      </c>
      <c r="D170" s="31284">
        <v>18</v>
      </c>
      <c r="E170" s="31285">
        <v>4</v>
      </c>
      <c r="F170" s="31286">
        <v>4</v>
      </c>
      <c r="G170" s="31287">
        <v>0</v>
      </c>
      <c r="H170" s="31288">
        <v>0</v>
      </c>
      <c r="I170" s="31289">
        <v>10</v>
      </c>
      <c r="J170" s="31290">
        <f>HLOOKUP("BPS",A1:CV300,170,FALSE)-((-6*HLOOKUP("OG",A1:CV300,170,FALSE))+(-6*HLOOKUP("PK Miss",A1:CV300,170,FALSE))+(9*HLOOKUP("FPL As",A1:CV300,170,FALSE))+(0*HLOOKUP("CS",A1:CV300,170,FALSE))+(18*HLOOKUP("Gs",A1:CV300,170,FALSE)))</f>
        <v>10</v>
      </c>
      <c r="K170" s="31291">
        <v>0</v>
      </c>
      <c r="L170" s="31292">
        <v>0</v>
      </c>
      <c r="M170" s="31293">
        <v>0</v>
      </c>
      <c r="N170" s="31294">
        <v>1</v>
      </c>
      <c r="O170" s="31295">
        <v>0</v>
      </c>
      <c r="P170" s="31296">
        <f>IF(HLOOKUP("Shots",A1:CV300,170,FALSE)=0,0,HLOOKUP("SIB",A1:CV300,170,FALSE)/HLOOKUP("Shots",A1:CV300,170,FALSE))</f>
        <v>0</v>
      </c>
      <c r="Q170" s="31297">
        <v>0</v>
      </c>
      <c r="R170" s="31298">
        <f>IF(HLOOKUP("Shots",A1:CV300,170,FALSE)=0,0,HLOOKUP("S6YD",A1:CV300,170,FALSE)/HLOOKUP("Shots",A1:CV300,170,FALSE))</f>
        <v>0</v>
      </c>
      <c r="S170" s="31299">
        <v>0</v>
      </c>
      <c r="T170" s="31300">
        <f>IF(HLOOKUP("Shots",A1:CV300,170,FALSE)=0,0,HLOOKUP("Headers",A1:CV300,170,FALSE)/HLOOKUP("Shots",A1:CV300,170,FALSE))</f>
        <v>0</v>
      </c>
      <c r="U170" s="31301">
        <v>1</v>
      </c>
      <c r="V170" s="31302">
        <f>IF(HLOOKUP("Shots",A1:CV300,170,FALSE)=0,0,HLOOKUP("SOT",A1:CV300,170,FALSE)/HLOOKUP("Shots",A1:CV300,170,FALSE))</f>
        <v>1</v>
      </c>
      <c r="W170" s="31303">
        <f>IF(HLOOKUP("Shots",A1:CV300,170,FALSE)=0,0,HLOOKUP("Gs",A1:CV300,170,FALSE)/HLOOKUP("Shots",A1:CV300,170,FALSE))</f>
        <v>0</v>
      </c>
      <c r="X170" s="31304">
        <v>0</v>
      </c>
      <c r="Y170" s="31305">
        <v>0</v>
      </c>
      <c r="Z170" s="31306">
        <v>0</v>
      </c>
      <c r="AA170" s="31307">
        <f>IF(HLOOKUP("KP",A1:CV300,170,FALSE)=0,0,HLOOKUP("As",A1:CV300,170,FALSE)/HLOOKUP("KP",A1:CV300,170,FALSE))</f>
        <v>0</v>
      </c>
      <c r="AB170" s="31308">
        <v>1.6</v>
      </c>
      <c r="AC170" s="31309">
        <v>0</v>
      </c>
      <c r="AD170" s="31310">
        <v>0</v>
      </c>
      <c r="AE170" s="31311">
        <v>0</v>
      </c>
      <c r="AF170" s="31312">
        <v>0</v>
      </c>
      <c r="AG170" s="31313">
        <f>IF(HLOOKUP("BC",A1:CV300,170,FALSE)=0,0,HLOOKUP("Gs - BC",A1:CV300,170,FALSE)/HLOOKUP("BC",A1:CV300,170,FALSE))</f>
        <v>0</v>
      </c>
      <c r="AH170" s="31314">
        <f>HLOOKUP("BC",A1:CV300,170,FALSE) - HLOOKUP("BC Miss",A1:CV300,170,FALSE)</f>
        <v>0</v>
      </c>
      <c r="AI170" s="31315">
        <f>IF(HLOOKUP("Gs",A1:CV300,170,FALSE)=0,0,HLOOKUP("Gs - BC",A1:CV300,170,FALSE)/HLOOKUP("Gs",A1:CV300,170,FALSE))</f>
        <v>0</v>
      </c>
      <c r="AJ170" s="31316">
        <v>0</v>
      </c>
      <c r="AK170" s="31317">
        <v>0</v>
      </c>
      <c r="AL170" s="31318">
        <f>HLOOKUP("BC",A1:CV300,170,FALSE) - (HLOOKUP("PK Gs",A1:CV300,170,FALSE) + HLOOKUP("PK Miss",A1:CV300,170,FALSE))</f>
        <v>0</v>
      </c>
      <c r="AM170" s="31319">
        <f>HLOOKUP("BC Miss",A1:CV300,170,FALSE) - HLOOKUP("PK Miss",A1:CV300,170,FALSE)</f>
        <v>0</v>
      </c>
      <c r="AN170" s="31320">
        <f>IF(HLOOKUP("BC - Open",A1:CV300,170,FALSE)=0,0,HLOOKUP("BC - Open Miss",A1:CV300,170,FALSE)/HLOOKUP("BC - Open",A1:CV300,170,FALSE))</f>
        <v>0</v>
      </c>
      <c r="AO170" s="31321">
        <v>0</v>
      </c>
      <c r="AP170" s="31322">
        <f>IF(HLOOKUP("Gs",A1:CV300,170,FALSE)=0,0,HLOOKUP("GIB",A1:CV300,170,FALSE)/HLOOKUP("Gs",A1:CV300,170,FALSE))</f>
        <v>0</v>
      </c>
      <c r="AQ170" s="31323">
        <v>0</v>
      </c>
      <c r="AR170" s="31324">
        <f>IF(HLOOKUP("Gs",A1:CV300,170,FALSE)=0,0,HLOOKUP("Gs - Open",A1:CV300,170,FALSE)/HLOOKUP("Gs",A1:CV300,170,FALSE))</f>
        <v>0</v>
      </c>
      <c r="AS170" s="31325">
        <v>0.03</v>
      </c>
      <c r="AT170" s="31326">
        <v>0.02</v>
      </c>
      <c r="AU170" s="31327">
        <f>IF(HLOOKUP("Mins",A1:CV300,170,FALSE)=0,0,HLOOKUP("Pts",A1:CV300,170,FALSE)/HLOOKUP("Mins",A1:CV300,170,FALSE)* 90)</f>
        <v>20</v>
      </c>
      <c r="AV170" s="31328">
        <f>IF(HLOOKUP("Apps",A1:CV300,170,FALSE)=0,0,HLOOKUP("Pts",A1:CV300,170,FALSE)/HLOOKUP("Apps",A1:CV300,170,FALSE)* 1)</f>
        <v>1</v>
      </c>
      <c r="AW170" s="31329">
        <f>IF(HLOOKUP("Mins",A1:CV300,170,FALSE)=0,0,HLOOKUP("Gs",A1:CV300,170,FALSE)/HLOOKUP("Mins",A1:CV300,170,FALSE)* 90)</f>
        <v>0</v>
      </c>
      <c r="AX170" s="31330">
        <f>IF(HLOOKUP("Mins",A1:CV300,170,FALSE)=0,0,HLOOKUP("Bonus",A1:CV300,170,FALSE)/HLOOKUP("Mins",A1:CV300,170,FALSE)* 90)</f>
        <v>0</v>
      </c>
      <c r="AY170" s="31331">
        <f>IF(HLOOKUP("Mins",A1:CV300,170,FALSE)=0,0,HLOOKUP("BPS",A1:CV300,170,FALSE)/HLOOKUP("Mins",A1:CV300,170,FALSE)* 90)</f>
        <v>50</v>
      </c>
      <c r="AZ170" s="31332">
        <f>IF(HLOOKUP("Mins",A1:CV300,170,FALSE)=0,0,HLOOKUP("Base BPS",A1:CV300,170,FALSE)/HLOOKUP("Mins",A1:CV300,170,FALSE)* 90)</f>
        <v>50</v>
      </c>
      <c r="BA170" s="31333">
        <f>IF(HLOOKUP("Mins",A1:CV300,170,FALSE)=0,0,HLOOKUP("PenTchs",A1:CV300,170,FALSE)/HLOOKUP("Mins",A1:CV300,170,FALSE)* 90)</f>
        <v>0</v>
      </c>
      <c r="BB170" s="31334">
        <f>IF(HLOOKUP("Mins",A1:CV300,170,FALSE)=0,0,HLOOKUP("Shots",A1:CV300,170,FALSE)/HLOOKUP("Mins",A1:CV300,170,FALSE)* 90)</f>
        <v>5</v>
      </c>
      <c r="BC170" s="31335">
        <f>IF(HLOOKUP("Mins",A1:CV300,170,FALSE)=0,0,HLOOKUP("SIB",A1:CV300,170,FALSE)/HLOOKUP("Mins",A1:CV300,170,FALSE)* 90)</f>
        <v>0</v>
      </c>
      <c r="BD170" s="31336">
        <f>IF(HLOOKUP("Mins",A1:CV300,170,FALSE)=0,0,HLOOKUP("S6YD",A1:CV300,170,FALSE)/HLOOKUP("Mins",A1:CV300,170,FALSE)* 90)</f>
        <v>0</v>
      </c>
      <c r="BE170" s="31337">
        <f>IF(HLOOKUP("Mins",A1:CV300,170,FALSE)=0,0,HLOOKUP("Headers",A1:CV300,170,FALSE)/HLOOKUP("Mins",A1:CV300,170,FALSE)* 90)</f>
        <v>0</v>
      </c>
      <c r="BF170" s="31338">
        <f>IF(HLOOKUP("Mins",A1:CV300,170,FALSE)=0,0,HLOOKUP("SOT",A1:CV300,170,FALSE)/HLOOKUP("Mins",A1:CV300,170,FALSE)* 90)</f>
        <v>5</v>
      </c>
      <c r="BG170" s="31339">
        <f>IF(HLOOKUP("Mins",A1:CV300,170,FALSE)=0,0,HLOOKUP("As",A1:CV300,170,FALSE)/HLOOKUP("Mins",A1:CV300,170,FALSE)* 90)</f>
        <v>0</v>
      </c>
      <c r="BH170" s="31340">
        <f>IF(HLOOKUP("Mins",A1:CV300,170,FALSE)=0,0,HLOOKUP("FPL As",A1:CV300,170,FALSE)/HLOOKUP("Mins",A1:CV300,170,FALSE)* 90)</f>
        <v>0</v>
      </c>
      <c r="BI170" s="31341">
        <f>IF(HLOOKUP("Mins",A1:CV300,170,FALSE)=0,0,HLOOKUP("BC Created",A1:CV300,170,FALSE)/HLOOKUP("Mins",A1:CV300,170,FALSE)* 90)</f>
        <v>0</v>
      </c>
      <c r="BJ170" s="31342">
        <f>IF(HLOOKUP("Mins",A1:CV300,170,FALSE)=0,0,HLOOKUP("KP",A1:CV300,170,FALSE)/HLOOKUP("Mins",A1:CV300,170,FALSE)* 90)</f>
        <v>0</v>
      </c>
      <c r="BK170" s="31343">
        <f>IF(HLOOKUP("Mins",A1:CV300,170,FALSE)=0,0,HLOOKUP("BC",A1:CV300,170,FALSE)/HLOOKUP("Mins",A1:CV300,170,FALSE)* 90)</f>
        <v>0</v>
      </c>
      <c r="BL170" s="31344">
        <f>IF(HLOOKUP("Mins",A1:CV300,170,FALSE)=0,0,HLOOKUP("BC Miss",A1:CV300,170,FALSE)/HLOOKUP("Mins",A1:CV300,170,FALSE)* 90)</f>
        <v>0</v>
      </c>
      <c r="BM170" s="31345">
        <f>IF(HLOOKUP("Mins",A1:CV300,170,FALSE)=0,0,HLOOKUP("Gs - BC",A1:CV300,170,FALSE)/HLOOKUP("Mins",A1:CV300,170,FALSE)* 90)</f>
        <v>0</v>
      </c>
      <c r="BN170" s="31346">
        <f>IF(HLOOKUP("Mins",A1:CV300,170,FALSE)=0,0,HLOOKUP("GIB",A1:CV300,170,FALSE)/HLOOKUP("Mins",A1:CV300,170,FALSE)* 90)</f>
        <v>0</v>
      </c>
      <c r="BO170" s="31347">
        <f>IF(HLOOKUP("Mins",A1:CV300,170,FALSE)=0,0,HLOOKUP("Gs - Open",A1:CV300,170,FALSE)/HLOOKUP("Mins",A1:CV300,170,FALSE)* 90)</f>
        <v>0</v>
      </c>
      <c r="BP170" s="31348">
        <f>IF(HLOOKUP("Mins",A1:CV300,170,FALSE)=0,0,HLOOKUP("ICT Index",A1:CV300,170,FALSE)/HLOOKUP("Mins",A1:CV300,170,FALSE)* 90)</f>
        <v>8</v>
      </c>
      <c r="BQ170" s="31349">
        <f>IF(HLOOKUP("Mins",A1:CV300,170,FALSE)=0,0,(0.036*(HLOOKUP("Shots",A1:CV300,170,FALSE)-HLOOKUP("SIB",A1:CV300,170,FALSE))+0.142*(HLOOKUP("SIB",A1:CV300,170,FALSE)-(HLOOKUP("PK Gs",A1:CV300,170,FALSE)+HLOOKUP("PK Miss",A1:CV300,170,FALSE)))+0.75*(HLOOKUP("PK Gs",A1:CV300,170,FALSE)+HLOOKUP("PK Miss",A1:CV300,170,FALSE)))/HLOOKUP("Mins",A1:CV300,170,FALSE)*90)</f>
        <v>0.18</v>
      </c>
      <c r="BR170" s="31350">
        <f>0.0885*HLOOKUP("KP/90",A1:CV300,170,FALSE)</f>
        <v>0</v>
      </c>
      <c r="BS170" s="31351">
        <f>5*HLOOKUP("xG/90",A1:CV300,170,FALSE)+3*HLOOKUP("xA/90",A1:CV300,170,FALSE)</f>
        <v>0.89999999999999991</v>
      </c>
      <c r="BT170" s="31352">
        <f>HLOOKUP("xPts/90",A1:CV300,170,FALSE)-(5*0.75*(HLOOKUP("PK Gs",A1:CV300,170,FALSE)+HLOOKUP("PK Miss",A1:CV300,170,FALSE))*90/HLOOKUP("Mins",A1:CV300,170,FALSE))</f>
        <v>0.89999999999999991</v>
      </c>
      <c r="BU170" s="31353">
        <f>IF(HLOOKUP("Mins",A1:CV300,170,FALSE)=0,0,HLOOKUP("fsXG",A1:CV300,170,FALSE)/HLOOKUP("Mins",A1:CV300,170,FALSE)* 90)</f>
        <v>0.15</v>
      </c>
      <c r="BV170" s="31354">
        <f>IF(HLOOKUP("Mins",A1:CV300,170,FALSE)=0,0,HLOOKUP("fsXA",A1:CV300,170,FALSE)/HLOOKUP("Mins",A1:CV300,170,FALSE)* 90)</f>
        <v>0.1</v>
      </c>
      <c r="BW170" s="31355">
        <f>5*HLOOKUP("fsXG/90",A1:CV300,170,FALSE)+3*HLOOKUP("fsXA/90",A1:CV300,170,FALSE)</f>
        <v>1.05</v>
      </c>
      <c r="BX170" s="31356">
        <v>0.2132098376750946</v>
      </c>
      <c r="BY170" s="31357">
        <v>0</v>
      </c>
      <c r="BZ170" s="31358">
        <f>5*HLOOKUP("uXG/90",A1:CV300,170,FALSE)+3*HLOOKUP("uXA/90",A1:CV300,170,FALSE)</f>
        <v>1.066049188375473</v>
      </c>
    </row>
    <row r="171" spans="1:78" x14ac:dyDescent="0.3">
      <c r="A171" s="31359" t="s">
        <v>498</v>
      </c>
      <c r="B171" s="31360" t="s">
        <v>115</v>
      </c>
      <c r="C171" s="31361">
        <v>4.4000000953674316</v>
      </c>
      <c r="D171" s="31362">
        <v>566</v>
      </c>
      <c r="E171" s="31363">
        <v>11</v>
      </c>
      <c r="F171" s="31364">
        <v>21</v>
      </c>
      <c r="G171" s="31365">
        <v>0</v>
      </c>
      <c r="H171" s="31366">
        <v>2</v>
      </c>
      <c r="I171" s="31367">
        <v>81</v>
      </c>
      <c r="J171" s="31368">
        <f>HLOOKUP("BPS",A1:CV300,171,FALSE)-((-6*HLOOKUP("OG",A1:CV300,171,FALSE))+(-6*HLOOKUP("PK Miss",A1:CV300,171,FALSE))+(9*HLOOKUP("FPL As",A1:CV300,171,FALSE))+(0*HLOOKUP("CS",A1:CV300,171,FALSE))+(18*HLOOKUP("Gs",A1:CV300,171,FALSE)))</f>
        <v>72</v>
      </c>
      <c r="K171" s="31369">
        <v>0</v>
      </c>
      <c r="L171" s="31370">
        <v>1</v>
      </c>
      <c r="M171" s="31371">
        <v>6</v>
      </c>
      <c r="N171" s="31372">
        <v>7</v>
      </c>
      <c r="O171" s="31373">
        <v>2</v>
      </c>
      <c r="P171" s="31374">
        <f>IF(HLOOKUP("Shots",A1:CV300,171,FALSE)=0,0,HLOOKUP("SIB",A1:CV300,171,FALSE)/HLOOKUP("Shots",A1:CV300,171,FALSE))</f>
        <v>0.2857142857142857</v>
      </c>
      <c r="Q171" s="31375">
        <v>0</v>
      </c>
      <c r="R171" s="31376">
        <f>IF(HLOOKUP("Shots",A1:CV300,171,FALSE)=0,0,HLOOKUP("S6YD",A1:CV300,171,FALSE)/HLOOKUP("Shots",A1:CV300,171,FALSE))</f>
        <v>0</v>
      </c>
      <c r="S171" s="31377">
        <v>0</v>
      </c>
      <c r="T171" s="31378">
        <f>IF(HLOOKUP("Shots",A1:CV300,171,FALSE)=0,0,HLOOKUP("Headers",A1:CV300,171,FALSE)/HLOOKUP("Shots",A1:CV300,171,FALSE))</f>
        <v>0</v>
      </c>
      <c r="U171" s="31379">
        <v>0</v>
      </c>
      <c r="V171" s="31380">
        <f>IF(HLOOKUP("Shots",A1:CV300,171,FALSE)=0,0,HLOOKUP("SOT",A1:CV300,171,FALSE)/HLOOKUP("Shots",A1:CV300,171,FALSE))</f>
        <v>0</v>
      </c>
      <c r="W171" s="31381">
        <f>IF(HLOOKUP("Shots",A1:CV300,171,FALSE)=0,0,HLOOKUP("Gs",A1:CV300,171,FALSE)/HLOOKUP("Shots",A1:CV300,171,FALSE))</f>
        <v>0</v>
      </c>
      <c r="X171" s="31382">
        <v>1</v>
      </c>
      <c r="Y171" s="31383">
        <v>1</v>
      </c>
      <c r="Z171" s="31384">
        <v>4</v>
      </c>
      <c r="AA171" s="31385">
        <f>IF(HLOOKUP("KP",A1:CV300,171,FALSE)=0,0,HLOOKUP("As",A1:CV300,171,FALSE)/HLOOKUP("KP",A1:CV300,171,FALSE))</f>
        <v>0.25</v>
      </c>
      <c r="AB171" s="31386">
        <v>20.8</v>
      </c>
      <c r="AC171" s="31387">
        <v>14</v>
      </c>
      <c r="AD171" s="31388">
        <v>1</v>
      </c>
      <c r="AE171" s="31389">
        <v>0</v>
      </c>
      <c r="AF171" s="31390">
        <v>0</v>
      </c>
      <c r="AG171" s="31391">
        <f>IF(HLOOKUP("BC",A1:CV300,171,FALSE)=0,0,HLOOKUP("Gs - BC",A1:CV300,171,FALSE)/HLOOKUP("BC",A1:CV300,171,FALSE))</f>
        <v>0</v>
      </c>
      <c r="AH171" s="31392">
        <f>HLOOKUP("BC",A1:CV300,171,FALSE) - HLOOKUP("BC Miss",A1:CV300,171,FALSE)</f>
        <v>0</v>
      </c>
      <c r="AI171" s="31393">
        <f>IF(HLOOKUP("Gs",A1:CV300,171,FALSE)=0,0,HLOOKUP("Gs - BC",A1:CV300,171,FALSE)/HLOOKUP("Gs",A1:CV300,171,FALSE))</f>
        <v>0</v>
      </c>
      <c r="AJ171" s="31394">
        <v>0</v>
      </c>
      <c r="AK171" s="31395">
        <v>0</v>
      </c>
      <c r="AL171" s="31396">
        <f>HLOOKUP("BC",A1:CV300,171,FALSE) - (HLOOKUP("PK Gs",A1:CV300,171,FALSE) + HLOOKUP("PK Miss",A1:CV300,171,FALSE))</f>
        <v>0</v>
      </c>
      <c r="AM171" s="31397">
        <f>HLOOKUP("BC Miss",A1:CV300,171,FALSE) - HLOOKUP("PK Miss",A1:CV300,171,FALSE)</f>
        <v>0</v>
      </c>
      <c r="AN171" s="31398">
        <f>IF(HLOOKUP("BC - Open",A1:CV300,171,FALSE)=0,0,HLOOKUP("BC - Open Miss",A1:CV300,171,FALSE)/HLOOKUP("BC - Open",A1:CV300,171,FALSE))</f>
        <v>0</v>
      </c>
      <c r="AO171" s="31399">
        <v>0</v>
      </c>
      <c r="AP171" s="31400">
        <f>IF(HLOOKUP("Gs",A1:CV300,171,FALSE)=0,0,HLOOKUP("GIB",A1:CV300,171,FALSE)/HLOOKUP("Gs",A1:CV300,171,FALSE))</f>
        <v>0</v>
      </c>
      <c r="AQ171" s="31401">
        <v>0</v>
      </c>
      <c r="AR171" s="31402">
        <f>IF(HLOOKUP("Gs",A1:CV300,171,FALSE)=0,0,HLOOKUP("Gs - Open",A1:CV300,171,FALSE)/HLOOKUP("Gs",A1:CV300,171,FALSE))</f>
        <v>0</v>
      </c>
      <c r="AS171" s="31403">
        <v>0.31</v>
      </c>
      <c r="AT171" s="31404">
        <v>0.22</v>
      </c>
      <c r="AU171" s="31405">
        <f>IF(HLOOKUP("Mins",A1:CV300,171,FALSE)=0,0,HLOOKUP("Pts",A1:CV300,171,FALSE)/HLOOKUP("Mins",A1:CV300,171,FALSE)* 90)</f>
        <v>3.3392226148409896</v>
      </c>
      <c r="AV171" s="31406">
        <f>IF(HLOOKUP("Apps",A1:CV300,171,FALSE)=0,0,HLOOKUP("Pts",A1:CV300,171,FALSE)/HLOOKUP("Apps",A1:CV300,171,FALSE)* 1)</f>
        <v>1.9090909090909092</v>
      </c>
      <c r="AW171" s="31407">
        <f>IF(HLOOKUP("Mins",A1:CV300,171,FALSE)=0,0,HLOOKUP("Gs",A1:CV300,171,FALSE)/HLOOKUP("Mins",A1:CV300,171,FALSE)* 90)</f>
        <v>0</v>
      </c>
      <c r="AX171" s="31408">
        <f>IF(HLOOKUP("Mins",A1:CV300,171,FALSE)=0,0,HLOOKUP("Bonus",A1:CV300,171,FALSE)/HLOOKUP("Mins",A1:CV300,171,FALSE)* 90)</f>
        <v>0.31802120141342755</v>
      </c>
      <c r="AY171" s="31409">
        <f>IF(HLOOKUP("Mins",A1:CV300,171,FALSE)=0,0,HLOOKUP("BPS",A1:CV300,171,FALSE)/HLOOKUP("Mins",A1:CV300,171,FALSE)* 90)</f>
        <v>12.879858657243815</v>
      </c>
      <c r="AZ171" s="31410">
        <f>IF(HLOOKUP("Mins",A1:CV300,171,FALSE)=0,0,HLOOKUP("Base BPS",A1:CV300,171,FALSE)/HLOOKUP("Mins",A1:CV300,171,FALSE)* 90)</f>
        <v>11.448763250883392</v>
      </c>
      <c r="BA171" s="31411">
        <f>IF(HLOOKUP("Mins",A1:CV300,171,FALSE)=0,0,HLOOKUP("PenTchs",A1:CV300,171,FALSE)/HLOOKUP("Mins",A1:CV300,171,FALSE)* 90)</f>
        <v>0.9540636042402828</v>
      </c>
      <c r="BB171" s="31412">
        <f>IF(HLOOKUP("Mins",A1:CV300,171,FALSE)=0,0,HLOOKUP("Shots",A1:CV300,171,FALSE)/HLOOKUP("Mins",A1:CV300,171,FALSE)* 90)</f>
        <v>1.1130742049469964</v>
      </c>
      <c r="BC171" s="31413">
        <f>IF(HLOOKUP("Mins",A1:CV300,171,FALSE)=0,0,HLOOKUP("SIB",A1:CV300,171,FALSE)/HLOOKUP("Mins",A1:CV300,171,FALSE)* 90)</f>
        <v>0.31802120141342755</v>
      </c>
      <c r="BD171" s="31414">
        <f>IF(HLOOKUP("Mins",A1:CV300,171,FALSE)=0,0,HLOOKUP("S6YD",A1:CV300,171,FALSE)/HLOOKUP("Mins",A1:CV300,171,FALSE)* 90)</f>
        <v>0</v>
      </c>
      <c r="BE171" s="31415">
        <f>IF(HLOOKUP("Mins",A1:CV300,171,FALSE)=0,0,HLOOKUP("Headers",A1:CV300,171,FALSE)/HLOOKUP("Mins",A1:CV300,171,FALSE)* 90)</f>
        <v>0</v>
      </c>
      <c r="BF171" s="31416">
        <f>IF(HLOOKUP("Mins",A1:CV300,171,FALSE)=0,0,HLOOKUP("SOT",A1:CV300,171,FALSE)/HLOOKUP("Mins",A1:CV300,171,FALSE)* 90)</f>
        <v>0</v>
      </c>
      <c r="BG171" s="31417">
        <f>IF(HLOOKUP("Mins",A1:CV300,171,FALSE)=0,0,HLOOKUP("As",A1:CV300,171,FALSE)/HLOOKUP("Mins",A1:CV300,171,FALSE)* 90)</f>
        <v>0.15901060070671377</v>
      </c>
      <c r="BH171" s="31418">
        <f>IF(HLOOKUP("Mins",A1:CV300,171,FALSE)=0,0,HLOOKUP("FPL As",A1:CV300,171,FALSE)/HLOOKUP("Mins",A1:CV300,171,FALSE)* 90)</f>
        <v>0.15901060070671377</v>
      </c>
      <c r="BI171" s="31419">
        <f>IF(HLOOKUP("Mins",A1:CV300,171,FALSE)=0,0,HLOOKUP("BC Created",A1:CV300,171,FALSE)/HLOOKUP("Mins",A1:CV300,171,FALSE)* 90)</f>
        <v>0.15901060070671377</v>
      </c>
      <c r="BJ171" s="31420">
        <f>IF(HLOOKUP("Mins",A1:CV300,171,FALSE)=0,0,HLOOKUP("KP",A1:CV300,171,FALSE)/HLOOKUP("Mins",A1:CV300,171,FALSE)* 90)</f>
        <v>0.63604240282685509</v>
      </c>
      <c r="BK171" s="31421">
        <f>IF(HLOOKUP("Mins",A1:CV300,171,FALSE)=0,0,HLOOKUP("BC",A1:CV300,171,FALSE)/HLOOKUP("Mins",A1:CV300,171,FALSE)* 90)</f>
        <v>0</v>
      </c>
      <c r="BL171" s="31422">
        <f>IF(HLOOKUP("Mins",A1:CV300,171,FALSE)=0,0,HLOOKUP("BC Miss",A1:CV300,171,FALSE)/HLOOKUP("Mins",A1:CV300,171,FALSE)* 90)</f>
        <v>0</v>
      </c>
      <c r="BM171" s="31423">
        <f>IF(HLOOKUP("Mins",A1:CV300,171,FALSE)=0,0,HLOOKUP("Gs - BC",A1:CV300,171,FALSE)/HLOOKUP("Mins",A1:CV300,171,FALSE)* 90)</f>
        <v>0</v>
      </c>
      <c r="BN171" s="31424">
        <f>IF(HLOOKUP("Mins",A1:CV300,171,FALSE)=0,0,HLOOKUP("GIB",A1:CV300,171,FALSE)/HLOOKUP("Mins",A1:CV300,171,FALSE)* 90)</f>
        <v>0</v>
      </c>
      <c r="BO171" s="31425">
        <f>IF(HLOOKUP("Mins",A1:CV300,171,FALSE)=0,0,HLOOKUP("Gs - Open",A1:CV300,171,FALSE)/HLOOKUP("Mins",A1:CV300,171,FALSE)* 90)</f>
        <v>0</v>
      </c>
      <c r="BP171" s="31426">
        <f>IF(HLOOKUP("Mins",A1:CV300,171,FALSE)=0,0,HLOOKUP("ICT Index",A1:CV300,171,FALSE)/HLOOKUP("Mins",A1:CV300,171,FALSE)* 90)</f>
        <v>3.3074204946996466</v>
      </c>
      <c r="BQ171" s="31427">
        <f>IF(HLOOKUP("Mins",A1:CV300,171,FALSE)=0,0,(0.036*(HLOOKUP("Shots",A1:CV300,171,FALSE)-HLOOKUP("SIB",A1:CV300,171,FALSE))+0.142*(HLOOKUP("SIB",A1:CV300,171,FALSE)-(HLOOKUP("PK Gs",A1:CV300,171,FALSE)+HLOOKUP("PK Miss",A1:CV300,171,FALSE)))+0.75*(HLOOKUP("PK Gs",A1:CV300,171,FALSE)+HLOOKUP("PK Miss",A1:CV300,171,FALSE)))/HLOOKUP("Mins",A1:CV300,171,FALSE)*90)</f>
        <v>7.3780918727915187E-2</v>
      </c>
      <c r="BR171" s="31428">
        <f>0.0885*HLOOKUP("KP/90",A1:CV300,171,FALSE)</f>
        <v>5.6289752650176675E-2</v>
      </c>
      <c r="BS171" s="31429">
        <f>5*HLOOKUP("xG/90",A1:CV300,171,FALSE)+3*HLOOKUP("xA/90",A1:CV300,171,FALSE)</f>
        <v>0.53777385159010604</v>
      </c>
      <c r="BT171" s="31430">
        <f>HLOOKUP("xPts/90",A1:CV300,171,FALSE)-(5*0.75*(HLOOKUP("PK Gs",A1:CV300,171,FALSE)+HLOOKUP("PK Miss",A1:CV300,171,FALSE))*90/HLOOKUP("Mins",A1:CV300,171,FALSE))</f>
        <v>0.53777385159010604</v>
      </c>
      <c r="BU171" s="31431">
        <f>IF(HLOOKUP("Mins",A1:CV300,171,FALSE)=0,0,HLOOKUP("fsXG",A1:CV300,171,FALSE)/HLOOKUP("Mins",A1:CV300,171,FALSE)* 90)</f>
        <v>4.9293286219081273E-2</v>
      </c>
      <c r="BV171" s="31432">
        <f>IF(HLOOKUP("Mins",A1:CV300,171,FALSE)=0,0,HLOOKUP("fsXA",A1:CV300,171,FALSE)/HLOOKUP("Mins",A1:CV300,171,FALSE)* 90)</f>
        <v>3.4982332155477032E-2</v>
      </c>
      <c r="BW171" s="31433">
        <f>5*HLOOKUP("fsXG/90",A1:CV300,171,FALSE)+3*HLOOKUP("fsXA/90",A1:CV300,171,FALSE)</f>
        <v>0.35141342756183747</v>
      </c>
      <c r="BX171" s="31434">
        <v>5.8046869933605194E-2</v>
      </c>
      <c r="BY171" s="31435">
        <v>7.7039226889610291E-2</v>
      </c>
      <c r="BZ171" s="31436">
        <f>5*HLOOKUP("uXG/90",A1:CV300,171,FALSE)+3*HLOOKUP("uXA/90",A1:CV300,171,FALSE)</f>
        <v>0.52135203033685684</v>
      </c>
    </row>
    <row r="172" spans="1:78" x14ac:dyDescent="0.3">
      <c r="A172" s="31437" t="s">
        <v>499</v>
      </c>
      <c r="B172" s="31438" t="s">
        <v>105</v>
      </c>
      <c r="C172" s="31439">
        <v>8.5</v>
      </c>
      <c r="D172" s="31440">
        <v>1084</v>
      </c>
      <c r="E172" s="31441">
        <v>18</v>
      </c>
      <c r="F172" s="31442">
        <v>106</v>
      </c>
      <c r="G172" s="31443">
        <v>7</v>
      </c>
      <c r="H172" s="31444">
        <v>12</v>
      </c>
      <c r="I172" s="31445">
        <v>409</v>
      </c>
      <c r="J172" s="31446">
        <f>HLOOKUP("BPS",A1:CV300,172,FALSE)-((-6*HLOOKUP("OG",A1:CV300,172,FALSE))+(-6*HLOOKUP("PK Miss",A1:CV300,172,FALSE))+(9*HLOOKUP("FPL As",A1:CV300,172,FALSE))+(0*HLOOKUP("CS",A1:CV300,172,FALSE))+(18*HLOOKUP("Gs",A1:CV300,172,FALSE)))</f>
        <v>202</v>
      </c>
      <c r="K172" s="31447">
        <v>0</v>
      </c>
      <c r="L172" s="31448">
        <v>4</v>
      </c>
      <c r="M172" s="31449">
        <v>90</v>
      </c>
      <c r="N172" s="31450">
        <v>44</v>
      </c>
      <c r="O172" s="31451">
        <v>29</v>
      </c>
      <c r="P172" s="31452">
        <f>IF(HLOOKUP("Shots",A1:CV300,172,FALSE)=0,0,HLOOKUP("SIB",A1:CV300,172,FALSE)/HLOOKUP("Shots",A1:CV300,172,FALSE))</f>
        <v>0.65909090909090906</v>
      </c>
      <c r="Q172" s="31453">
        <v>2</v>
      </c>
      <c r="R172" s="31454">
        <f>IF(HLOOKUP("Shots",A1:CV300,172,FALSE)=0,0,HLOOKUP("S6YD",A1:CV300,172,FALSE)/HLOOKUP("Shots",A1:CV300,172,FALSE))</f>
        <v>4.5454545454545456E-2</v>
      </c>
      <c r="S172" s="31455">
        <v>1</v>
      </c>
      <c r="T172" s="31456">
        <f>IF(HLOOKUP("Shots",A1:CV300,172,FALSE)=0,0,HLOOKUP("Headers",A1:CV300,172,FALSE)/HLOOKUP("Shots",A1:CV300,172,FALSE))</f>
        <v>2.2727272727272728E-2</v>
      </c>
      <c r="U172" s="31457">
        <v>22</v>
      </c>
      <c r="V172" s="31458">
        <f>IF(HLOOKUP("Shots",A1:CV300,172,FALSE)=0,0,HLOOKUP("SOT",A1:CV300,172,FALSE)/HLOOKUP("Shots",A1:CV300,172,FALSE))</f>
        <v>0.5</v>
      </c>
      <c r="W172" s="31459">
        <f>IF(HLOOKUP("Shots",A1:CV300,172,FALSE)=0,0,HLOOKUP("Gs",A1:CV300,172,FALSE)/HLOOKUP("Shots",A1:CV300,172,FALSE))</f>
        <v>0.15909090909090909</v>
      </c>
      <c r="X172" s="31460">
        <v>7</v>
      </c>
      <c r="Y172" s="31461">
        <v>9</v>
      </c>
      <c r="Z172" s="31462">
        <v>34</v>
      </c>
      <c r="AA172" s="31463">
        <f>IF(HLOOKUP("KP",A1:CV300,172,FALSE)=0,0,HLOOKUP("As",A1:CV300,172,FALSE)/HLOOKUP("KP",A1:CV300,172,FALSE))</f>
        <v>0.20588235294117646</v>
      </c>
      <c r="AB172" s="31464">
        <v>167.5</v>
      </c>
      <c r="AC172" s="31465">
        <v>40</v>
      </c>
      <c r="AD172" s="31466">
        <v>10</v>
      </c>
      <c r="AE172" s="31467">
        <v>3</v>
      </c>
      <c r="AF172" s="31468">
        <v>2</v>
      </c>
      <c r="AG172" s="31469">
        <f>IF(HLOOKUP("BC",A1:CV300,172,FALSE)=0,0,HLOOKUP("Gs - BC",A1:CV300,172,FALSE)/HLOOKUP("BC",A1:CV300,172,FALSE))</f>
        <v>0.33333333333333331</v>
      </c>
      <c r="AH172" s="31470">
        <f>HLOOKUP("BC",A1:CV300,172,FALSE) - HLOOKUP("BC Miss",A1:CV300,172,FALSE)</f>
        <v>1</v>
      </c>
      <c r="AI172" s="31471">
        <f>IF(HLOOKUP("Gs",A1:CV300,172,FALSE)=0,0,HLOOKUP("Gs - BC",A1:CV300,172,FALSE)/HLOOKUP("Gs",A1:CV300,172,FALSE))</f>
        <v>0.14285714285714285</v>
      </c>
      <c r="AJ172" s="31472">
        <v>0</v>
      </c>
      <c r="AK172" s="31473">
        <v>0</v>
      </c>
      <c r="AL172" s="31474">
        <f>HLOOKUP("BC",A1:CV300,172,FALSE) - (HLOOKUP("PK Gs",A1:CV300,172,FALSE) + HLOOKUP("PK Miss",A1:CV300,172,FALSE))</f>
        <v>3</v>
      </c>
      <c r="AM172" s="31475">
        <f>HLOOKUP("BC Miss",A1:CV300,172,FALSE) - HLOOKUP("PK Miss",A1:CV300,172,FALSE)</f>
        <v>2</v>
      </c>
      <c r="AN172" s="31476">
        <f>IF(HLOOKUP("BC - Open",A1:CV300,172,FALSE)=0,0,HLOOKUP("BC - Open Miss",A1:CV300,172,FALSE)/HLOOKUP("BC - Open",A1:CV300,172,FALSE))</f>
        <v>0.66666666666666663</v>
      </c>
      <c r="AO172" s="31477">
        <v>3</v>
      </c>
      <c r="AP172" s="31478">
        <f>IF(HLOOKUP("Gs",A1:CV300,172,FALSE)=0,0,HLOOKUP("GIB",A1:CV300,172,FALSE)/HLOOKUP("Gs",A1:CV300,172,FALSE))</f>
        <v>0.42857142857142855</v>
      </c>
      <c r="AQ172" s="31479">
        <v>5</v>
      </c>
      <c r="AR172" s="31480">
        <f>IF(HLOOKUP("Gs",A1:CV300,172,FALSE)=0,0,HLOOKUP("Gs - Open",A1:CV300,172,FALSE)/HLOOKUP("Gs",A1:CV300,172,FALSE))</f>
        <v>0.7142857142857143</v>
      </c>
      <c r="AS172" s="31481">
        <v>3.84</v>
      </c>
      <c r="AT172" s="31482">
        <v>4.16</v>
      </c>
      <c r="AU172" s="31483">
        <f>IF(HLOOKUP("Mins",A1:CV300,172,FALSE)=0,0,HLOOKUP("Pts",A1:CV300,172,FALSE)/HLOOKUP("Mins",A1:CV300,172,FALSE)* 90)</f>
        <v>8.8007380073800725</v>
      </c>
      <c r="AV172" s="31484">
        <f>IF(HLOOKUP("Apps",A1:CV300,172,FALSE)=0,0,HLOOKUP("Pts",A1:CV300,172,FALSE)/HLOOKUP("Apps",A1:CV300,172,FALSE)* 1)</f>
        <v>5.8888888888888893</v>
      </c>
      <c r="AW172" s="31485">
        <f>IF(HLOOKUP("Mins",A1:CV300,172,FALSE)=0,0,HLOOKUP("Gs",A1:CV300,172,FALSE)/HLOOKUP("Mins",A1:CV300,172,FALSE)* 90)</f>
        <v>0.58118081180811809</v>
      </c>
      <c r="AX172" s="31486">
        <f>IF(HLOOKUP("Mins",A1:CV300,172,FALSE)=0,0,HLOOKUP("Bonus",A1:CV300,172,FALSE)/HLOOKUP("Mins",A1:CV300,172,FALSE)* 90)</f>
        <v>0.99630996309963094</v>
      </c>
      <c r="AY172" s="31487">
        <f>IF(HLOOKUP("Mins",A1:CV300,172,FALSE)=0,0,HLOOKUP("BPS",A1:CV300,172,FALSE)/HLOOKUP("Mins",A1:CV300,172,FALSE)* 90)</f>
        <v>33.957564575645755</v>
      </c>
      <c r="AZ172" s="31488">
        <f>IF(HLOOKUP("Mins",A1:CV300,172,FALSE)=0,0,HLOOKUP("Base BPS",A1:CV300,172,FALSE)/HLOOKUP("Mins",A1:CV300,172,FALSE)* 90)</f>
        <v>16.771217712177123</v>
      </c>
      <c r="BA172" s="31489">
        <f>IF(HLOOKUP("Mins",A1:CV300,172,FALSE)=0,0,HLOOKUP("PenTchs",A1:CV300,172,FALSE)/HLOOKUP("Mins",A1:CV300,172,FALSE)* 90)</f>
        <v>7.4723247232472323</v>
      </c>
      <c r="BB172" s="31490">
        <f>IF(HLOOKUP("Mins",A1:CV300,172,FALSE)=0,0,HLOOKUP("Shots",A1:CV300,172,FALSE)/HLOOKUP("Mins",A1:CV300,172,FALSE)* 90)</f>
        <v>3.6531365313653135</v>
      </c>
      <c r="BC172" s="31491">
        <f>IF(HLOOKUP("Mins",A1:CV300,172,FALSE)=0,0,HLOOKUP("SIB",A1:CV300,172,FALSE)/HLOOKUP("Mins",A1:CV300,172,FALSE)* 90)</f>
        <v>2.4077490774907746</v>
      </c>
      <c r="BD172" s="31492">
        <f>IF(HLOOKUP("Mins",A1:CV300,172,FALSE)=0,0,HLOOKUP("S6YD",A1:CV300,172,FALSE)/HLOOKUP("Mins",A1:CV300,172,FALSE)* 90)</f>
        <v>0.16605166051660517</v>
      </c>
      <c r="BE172" s="31493">
        <f>IF(HLOOKUP("Mins",A1:CV300,172,FALSE)=0,0,HLOOKUP("Headers",A1:CV300,172,FALSE)/HLOOKUP("Mins",A1:CV300,172,FALSE)* 90)</f>
        <v>8.3025830258302583E-2</v>
      </c>
      <c r="BF172" s="31494">
        <f>IF(HLOOKUP("Mins",A1:CV300,172,FALSE)=0,0,HLOOKUP("SOT",A1:CV300,172,FALSE)/HLOOKUP("Mins",A1:CV300,172,FALSE)* 90)</f>
        <v>1.8265682656826567</v>
      </c>
      <c r="BG172" s="31495">
        <f>IF(HLOOKUP("Mins",A1:CV300,172,FALSE)=0,0,HLOOKUP("As",A1:CV300,172,FALSE)/HLOOKUP("Mins",A1:CV300,172,FALSE)* 90)</f>
        <v>0.58118081180811809</v>
      </c>
      <c r="BH172" s="31496">
        <f>IF(HLOOKUP("Mins",A1:CV300,172,FALSE)=0,0,HLOOKUP("FPL As",A1:CV300,172,FALSE)/HLOOKUP("Mins",A1:CV300,172,FALSE)* 90)</f>
        <v>0.74723247232472323</v>
      </c>
      <c r="BI172" s="31497">
        <f>IF(HLOOKUP("Mins",A1:CV300,172,FALSE)=0,0,HLOOKUP("BC Created",A1:CV300,172,FALSE)/HLOOKUP("Mins",A1:CV300,172,FALSE)* 90)</f>
        <v>0.8302583025830258</v>
      </c>
      <c r="BJ172" s="31498">
        <f>IF(HLOOKUP("Mins",A1:CV300,172,FALSE)=0,0,HLOOKUP("KP",A1:CV300,172,FALSE)/HLOOKUP("Mins",A1:CV300,172,FALSE)* 90)</f>
        <v>2.8228782287822876</v>
      </c>
      <c r="BK172" s="31499">
        <f>IF(HLOOKUP("Mins",A1:CV300,172,FALSE)=0,0,HLOOKUP("BC",A1:CV300,172,FALSE)/HLOOKUP("Mins",A1:CV300,172,FALSE)* 90)</f>
        <v>0.24907749077490773</v>
      </c>
      <c r="BL172" s="31500">
        <f>IF(HLOOKUP("Mins",A1:CV300,172,FALSE)=0,0,HLOOKUP("BC Miss",A1:CV300,172,FALSE)/HLOOKUP("Mins",A1:CV300,172,FALSE)* 90)</f>
        <v>0.16605166051660517</v>
      </c>
      <c r="BM172" s="31501">
        <f>IF(HLOOKUP("Mins",A1:CV300,172,FALSE)=0,0,HLOOKUP("Gs - BC",A1:CV300,172,FALSE)/HLOOKUP("Mins",A1:CV300,172,FALSE)* 90)</f>
        <v>8.3025830258302583E-2</v>
      </c>
      <c r="BN172" s="31502">
        <f>IF(HLOOKUP("Mins",A1:CV300,172,FALSE)=0,0,HLOOKUP("GIB",A1:CV300,172,FALSE)/HLOOKUP("Mins",A1:CV300,172,FALSE)* 90)</f>
        <v>0.24907749077490773</v>
      </c>
      <c r="BO172" s="31503">
        <f>IF(HLOOKUP("Mins",A1:CV300,172,FALSE)=0,0,HLOOKUP("Gs - Open",A1:CV300,172,FALSE)/HLOOKUP("Mins",A1:CV300,172,FALSE)* 90)</f>
        <v>0.4151291512915129</v>
      </c>
      <c r="BP172" s="31504">
        <f>IF(HLOOKUP("Mins",A1:CV300,172,FALSE)=0,0,HLOOKUP("ICT Index",A1:CV300,172,FALSE)/HLOOKUP("Mins",A1:CV300,172,FALSE)* 90)</f>
        <v>13.906826568265682</v>
      </c>
      <c r="BQ172" s="31505">
        <f>IF(HLOOKUP("Mins",A1:CV300,172,FALSE)=0,0,(0.036*(HLOOKUP("Shots",A1:CV300,172,FALSE)-HLOOKUP("SIB",A1:CV300,172,FALSE))+0.142*(HLOOKUP("SIB",A1:CV300,172,FALSE)-(HLOOKUP("PK Gs",A1:CV300,172,FALSE)+HLOOKUP("PK Miss",A1:CV300,172,FALSE)))+0.75*(HLOOKUP("PK Gs",A1:CV300,172,FALSE)+HLOOKUP("PK Miss",A1:CV300,172,FALSE)))/HLOOKUP("Mins",A1:CV300,172,FALSE)*90)</f>
        <v>0.38673431734317337</v>
      </c>
      <c r="BR172" s="31506">
        <f>0.0885*HLOOKUP("KP/90",A1:CV300,172,FALSE)</f>
        <v>0.24982472324723243</v>
      </c>
      <c r="BS172" s="31507">
        <f>5*HLOOKUP("xG/90",A1:CV300,172,FALSE)+3*HLOOKUP("xA/90",A1:CV300,172,FALSE)</f>
        <v>2.6831457564575643</v>
      </c>
      <c r="BT172" s="31508">
        <f>HLOOKUP("xPts/90",A1:CV300,172,FALSE)-(5*0.75*(HLOOKUP("PK Gs",A1:CV300,172,FALSE)+HLOOKUP("PK Miss",A1:CV300,172,FALSE))*90/HLOOKUP("Mins",A1:CV300,172,FALSE))</f>
        <v>2.6831457564575643</v>
      </c>
      <c r="BU172" s="31509">
        <f>IF(HLOOKUP("Mins",A1:CV300,172,FALSE)=0,0,HLOOKUP("fsXG",A1:CV300,172,FALSE)/HLOOKUP("Mins",A1:CV300,172,FALSE)* 90)</f>
        <v>0.31881918819188193</v>
      </c>
      <c r="BV172" s="31510">
        <f>IF(HLOOKUP("Mins",A1:CV300,172,FALSE)=0,0,HLOOKUP("fsXA",A1:CV300,172,FALSE)/HLOOKUP("Mins",A1:CV300,172,FALSE)* 90)</f>
        <v>0.34538745387453879</v>
      </c>
      <c r="BW172" s="31511">
        <f>5*HLOOKUP("fsXG/90",A1:CV300,172,FALSE)+3*HLOOKUP("fsXA/90",A1:CV300,172,FALSE)</f>
        <v>2.6302583025830262</v>
      </c>
      <c r="BX172" s="31512">
        <v>0.3632710874080658</v>
      </c>
      <c r="BY172" s="31513">
        <v>0.54537045955657959</v>
      </c>
      <c r="BZ172" s="31514">
        <f>5*HLOOKUP("uXG/90",A1:CV300,172,FALSE)+3*HLOOKUP("uXA/90",A1:CV300,172,FALSE)</f>
        <v>3.4524668157100677</v>
      </c>
    </row>
    <row r="173" spans="1:78" x14ac:dyDescent="0.3">
      <c r="A173" s="31515" t="s">
        <v>500</v>
      </c>
      <c r="B173" s="31516" t="s">
        <v>113</v>
      </c>
      <c r="C173" s="31517">
        <v>4.3000001907348633</v>
      </c>
      <c r="D173" s="31518">
        <v>113</v>
      </c>
      <c r="E173" s="31519">
        <v>6</v>
      </c>
      <c r="F173" s="31520">
        <v>7</v>
      </c>
      <c r="G173" s="31521">
        <v>0</v>
      </c>
      <c r="H173" s="31522">
        <v>0</v>
      </c>
      <c r="I173" s="31523">
        <v>20</v>
      </c>
      <c r="J173" s="31524">
        <f>HLOOKUP("BPS",A1:CV300,173,FALSE)-((-6*HLOOKUP("OG",A1:CV300,173,FALSE))+(-6*HLOOKUP("PK Miss",A1:CV300,173,FALSE))+(9*HLOOKUP("FPL As",A1:CV300,173,FALSE))+(0*HLOOKUP("CS",A1:CV300,173,FALSE))+(18*HLOOKUP("Gs",A1:CV300,173,FALSE)))</f>
        <v>20</v>
      </c>
      <c r="K173" s="31525">
        <v>0</v>
      </c>
      <c r="L173" s="31526">
        <v>0</v>
      </c>
      <c r="M173" s="31527">
        <v>0</v>
      </c>
      <c r="N173" s="31528">
        <v>0</v>
      </c>
      <c r="O173" s="31529">
        <v>0</v>
      </c>
      <c r="P173" s="31530">
        <f>IF(HLOOKUP("Shots",A1:CV300,173,FALSE)=0,0,HLOOKUP("SIB",A1:CV300,173,FALSE)/HLOOKUP("Shots",A1:CV300,173,FALSE))</f>
        <v>0</v>
      </c>
      <c r="Q173" s="31531">
        <v>0</v>
      </c>
      <c r="R173" s="31532">
        <f>IF(HLOOKUP("Shots",A1:CV300,173,FALSE)=0,0,HLOOKUP("S6YD",A1:CV300,173,FALSE)/HLOOKUP("Shots",A1:CV300,173,FALSE))</f>
        <v>0</v>
      </c>
      <c r="S173" s="31533">
        <v>0</v>
      </c>
      <c r="T173" s="31534">
        <f>IF(HLOOKUP("Shots",A1:CV300,173,FALSE)=0,0,HLOOKUP("Headers",A1:CV300,173,FALSE)/HLOOKUP("Shots",A1:CV300,173,FALSE))</f>
        <v>0</v>
      </c>
      <c r="U173" s="31535">
        <v>0</v>
      </c>
      <c r="V173" s="31536">
        <f>IF(HLOOKUP("Shots",A1:CV300,173,FALSE)=0,0,HLOOKUP("SOT",A1:CV300,173,FALSE)/HLOOKUP("Shots",A1:CV300,173,FALSE))</f>
        <v>0</v>
      </c>
      <c r="W173" s="31537">
        <f>IF(HLOOKUP("Shots",A1:CV300,173,FALSE)=0,0,HLOOKUP("Gs",A1:CV300,173,FALSE)/HLOOKUP("Shots",A1:CV300,173,FALSE))</f>
        <v>0</v>
      </c>
      <c r="X173" s="31538">
        <v>0</v>
      </c>
      <c r="Y173" s="31539">
        <v>0</v>
      </c>
      <c r="Z173" s="31540">
        <v>0</v>
      </c>
      <c r="AA173" s="31541">
        <f>IF(HLOOKUP("KP",A1:CV300,173,FALSE)=0,0,HLOOKUP("As",A1:CV300,173,FALSE)/HLOOKUP("KP",A1:CV300,173,FALSE))</f>
        <v>0</v>
      </c>
      <c r="AB173" s="31542">
        <v>1.2</v>
      </c>
      <c r="AC173" s="31543">
        <v>0</v>
      </c>
      <c r="AD173" s="31544">
        <v>0</v>
      </c>
      <c r="AE173" s="31545">
        <v>0</v>
      </c>
      <c r="AF173" s="31546">
        <v>0</v>
      </c>
      <c r="AG173" s="31547">
        <f>IF(HLOOKUP("BC",A1:CV300,173,FALSE)=0,0,HLOOKUP("Gs - BC",A1:CV300,173,FALSE)/HLOOKUP("BC",A1:CV300,173,FALSE))</f>
        <v>0</v>
      </c>
      <c r="AH173" s="31548">
        <f>HLOOKUP("BC",A1:CV300,173,FALSE) - HLOOKUP("BC Miss",A1:CV300,173,FALSE)</f>
        <v>0</v>
      </c>
      <c r="AI173" s="31549">
        <f>IF(HLOOKUP("Gs",A1:CV300,173,FALSE)=0,0,HLOOKUP("Gs - BC",A1:CV300,173,FALSE)/HLOOKUP("Gs",A1:CV300,173,FALSE))</f>
        <v>0</v>
      </c>
      <c r="AJ173" s="31550">
        <v>0</v>
      </c>
      <c r="AK173" s="31551">
        <v>0</v>
      </c>
      <c r="AL173" s="31552">
        <f>HLOOKUP("BC",A1:CV300,173,FALSE) - (HLOOKUP("PK Gs",A1:CV300,173,FALSE) + HLOOKUP("PK Miss",A1:CV300,173,FALSE))</f>
        <v>0</v>
      </c>
      <c r="AM173" s="31553">
        <f>HLOOKUP("BC Miss",A1:CV300,173,FALSE) - HLOOKUP("PK Miss",A1:CV300,173,FALSE)</f>
        <v>0</v>
      </c>
      <c r="AN173" s="31554">
        <f>IF(HLOOKUP("BC - Open",A1:CV300,173,FALSE)=0,0,HLOOKUP("BC - Open Miss",A1:CV300,173,FALSE)/HLOOKUP("BC - Open",A1:CV300,173,FALSE))</f>
        <v>0</v>
      </c>
      <c r="AO173" s="31555">
        <v>0</v>
      </c>
      <c r="AP173" s="31556">
        <f>IF(HLOOKUP("Gs",A1:CV300,173,FALSE)=0,0,HLOOKUP("GIB",A1:CV300,173,FALSE)/HLOOKUP("Gs",A1:CV300,173,FALSE))</f>
        <v>0</v>
      </c>
      <c r="AQ173" s="31557">
        <v>0</v>
      </c>
      <c r="AR173" s="31558">
        <f>IF(HLOOKUP("Gs",A1:CV300,173,FALSE)=0,0,HLOOKUP("Gs - Open",A1:CV300,173,FALSE)/HLOOKUP("Gs",A1:CV300,173,FALSE))</f>
        <v>0</v>
      </c>
      <c r="AS173" s="31559">
        <v>0</v>
      </c>
      <c r="AT173" s="31560">
        <v>0.02</v>
      </c>
      <c r="AU173" s="31561">
        <f>IF(HLOOKUP("Mins",A1:CV300,173,FALSE)=0,0,HLOOKUP("Pts",A1:CV300,173,FALSE)/HLOOKUP("Mins",A1:CV300,173,FALSE)* 90)</f>
        <v>5.5752212389380533</v>
      </c>
      <c r="AV173" s="31562">
        <f>IF(HLOOKUP("Apps",A1:CV300,173,FALSE)=0,0,HLOOKUP("Pts",A1:CV300,173,FALSE)/HLOOKUP("Apps",A1:CV300,173,FALSE)* 1)</f>
        <v>1.1666666666666667</v>
      </c>
      <c r="AW173" s="31563">
        <f>IF(HLOOKUP("Mins",A1:CV300,173,FALSE)=0,0,HLOOKUP("Gs",A1:CV300,173,FALSE)/HLOOKUP("Mins",A1:CV300,173,FALSE)* 90)</f>
        <v>0</v>
      </c>
      <c r="AX173" s="31564">
        <f>IF(HLOOKUP("Mins",A1:CV300,173,FALSE)=0,0,HLOOKUP("Bonus",A1:CV300,173,FALSE)/HLOOKUP("Mins",A1:CV300,173,FALSE)* 90)</f>
        <v>0</v>
      </c>
      <c r="AY173" s="31565">
        <f>IF(HLOOKUP("Mins",A1:CV300,173,FALSE)=0,0,HLOOKUP("BPS",A1:CV300,173,FALSE)/HLOOKUP("Mins",A1:CV300,173,FALSE)* 90)</f>
        <v>15.929203539823009</v>
      </c>
      <c r="AZ173" s="31566">
        <f>IF(HLOOKUP("Mins",A1:CV300,173,FALSE)=0,0,HLOOKUP("Base BPS",A1:CV300,173,FALSE)/HLOOKUP("Mins",A1:CV300,173,FALSE)* 90)</f>
        <v>15.929203539823009</v>
      </c>
      <c r="BA173" s="31567">
        <f>IF(HLOOKUP("Mins",A1:CV300,173,FALSE)=0,0,HLOOKUP("PenTchs",A1:CV300,173,FALSE)/HLOOKUP("Mins",A1:CV300,173,FALSE)* 90)</f>
        <v>0</v>
      </c>
      <c r="BB173" s="31568">
        <f>IF(HLOOKUP("Mins",A1:CV300,173,FALSE)=0,0,HLOOKUP("Shots",A1:CV300,173,FALSE)/HLOOKUP("Mins",A1:CV300,173,FALSE)* 90)</f>
        <v>0</v>
      </c>
      <c r="BC173" s="31569">
        <f>IF(HLOOKUP("Mins",A1:CV300,173,FALSE)=0,0,HLOOKUP("SIB",A1:CV300,173,FALSE)/HLOOKUP("Mins",A1:CV300,173,FALSE)* 90)</f>
        <v>0</v>
      </c>
      <c r="BD173" s="31570">
        <f>IF(HLOOKUP("Mins",A1:CV300,173,FALSE)=0,0,HLOOKUP("S6YD",A1:CV300,173,FALSE)/HLOOKUP("Mins",A1:CV300,173,FALSE)* 90)</f>
        <v>0</v>
      </c>
      <c r="BE173" s="31571">
        <f>IF(HLOOKUP("Mins",A1:CV300,173,FALSE)=0,0,HLOOKUP("Headers",A1:CV300,173,FALSE)/HLOOKUP("Mins",A1:CV300,173,FALSE)* 90)</f>
        <v>0</v>
      </c>
      <c r="BF173" s="31572">
        <f>IF(HLOOKUP("Mins",A1:CV300,173,FALSE)=0,0,HLOOKUP("SOT",A1:CV300,173,FALSE)/HLOOKUP("Mins",A1:CV300,173,FALSE)* 90)</f>
        <v>0</v>
      </c>
      <c r="BG173" s="31573">
        <f>IF(HLOOKUP("Mins",A1:CV300,173,FALSE)=0,0,HLOOKUP("As",A1:CV300,173,FALSE)/HLOOKUP("Mins",A1:CV300,173,FALSE)* 90)</f>
        <v>0</v>
      </c>
      <c r="BH173" s="31574">
        <f>IF(HLOOKUP("Mins",A1:CV300,173,FALSE)=0,0,HLOOKUP("FPL As",A1:CV300,173,FALSE)/HLOOKUP("Mins",A1:CV300,173,FALSE)* 90)</f>
        <v>0</v>
      </c>
      <c r="BI173" s="31575">
        <f>IF(HLOOKUP("Mins",A1:CV300,173,FALSE)=0,0,HLOOKUP("BC Created",A1:CV300,173,FALSE)/HLOOKUP("Mins",A1:CV300,173,FALSE)* 90)</f>
        <v>0</v>
      </c>
      <c r="BJ173" s="31576">
        <f>IF(HLOOKUP("Mins",A1:CV300,173,FALSE)=0,0,HLOOKUP("KP",A1:CV300,173,FALSE)/HLOOKUP("Mins",A1:CV300,173,FALSE)* 90)</f>
        <v>0</v>
      </c>
      <c r="BK173" s="31577">
        <f>IF(HLOOKUP("Mins",A1:CV300,173,FALSE)=0,0,HLOOKUP("BC",A1:CV300,173,FALSE)/HLOOKUP("Mins",A1:CV300,173,FALSE)* 90)</f>
        <v>0</v>
      </c>
      <c r="BL173" s="31578">
        <f>IF(HLOOKUP("Mins",A1:CV300,173,FALSE)=0,0,HLOOKUP("BC Miss",A1:CV300,173,FALSE)/HLOOKUP("Mins",A1:CV300,173,FALSE)* 90)</f>
        <v>0</v>
      </c>
      <c r="BM173" s="31579">
        <f>IF(HLOOKUP("Mins",A1:CV300,173,FALSE)=0,0,HLOOKUP("Gs - BC",A1:CV300,173,FALSE)/HLOOKUP("Mins",A1:CV300,173,FALSE)* 90)</f>
        <v>0</v>
      </c>
      <c r="BN173" s="31580">
        <f>IF(HLOOKUP("Mins",A1:CV300,173,FALSE)=0,0,HLOOKUP("GIB",A1:CV300,173,FALSE)/HLOOKUP("Mins",A1:CV300,173,FALSE)* 90)</f>
        <v>0</v>
      </c>
      <c r="BO173" s="31581">
        <f>IF(HLOOKUP("Mins",A1:CV300,173,FALSE)=0,0,HLOOKUP("Gs - Open",A1:CV300,173,FALSE)/HLOOKUP("Mins",A1:CV300,173,FALSE)* 90)</f>
        <v>0</v>
      </c>
      <c r="BP173" s="31582">
        <f>IF(HLOOKUP("Mins",A1:CV300,173,FALSE)=0,0,HLOOKUP("ICT Index",A1:CV300,173,FALSE)/HLOOKUP("Mins",A1:CV300,173,FALSE)* 90)</f>
        <v>0.95575221238938046</v>
      </c>
      <c r="BQ173" s="31583">
        <f>IF(HLOOKUP("Mins",A1:CV300,173,FALSE)=0,0,(0.036*(HLOOKUP("Shots",A1:CV300,173,FALSE)-HLOOKUP("SIB",A1:CV300,173,FALSE))+0.142*(HLOOKUP("SIB",A1:CV300,173,FALSE)-(HLOOKUP("PK Gs",A1:CV300,173,FALSE)+HLOOKUP("PK Miss",A1:CV300,173,FALSE)))+0.75*(HLOOKUP("PK Gs",A1:CV300,173,FALSE)+HLOOKUP("PK Miss",A1:CV300,173,FALSE)))/HLOOKUP("Mins",A1:CV300,173,FALSE)*90)</f>
        <v>0</v>
      </c>
      <c r="BR173" s="31584">
        <f>0.0885*HLOOKUP("KP/90",A1:CV300,173,FALSE)</f>
        <v>0</v>
      </c>
      <c r="BS173" s="31585">
        <f>5*HLOOKUP("xG/90",A1:CV300,173,FALSE)+3*HLOOKUP("xA/90",A1:CV300,173,FALSE)</f>
        <v>0</v>
      </c>
      <c r="BT173" s="31586">
        <f>HLOOKUP("xPts/90",A1:CV300,173,FALSE)-(5*0.75*(HLOOKUP("PK Gs",A1:CV300,173,FALSE)+HLOOKUP("PK Miss",A1:CV300,173,FALSE))*90/HLOOKUP("Mins",A1:CV300,173,FALSE))</f>
        <v>0</v>
      </c>
      <c r="BU173" s="31587">
        <f>IF(HLOOKUP("Mins",A1:CV300,173,FALSE)=0,0,HLOOKUP("fsXG",A1:CV300,173,FALSE)/HLOOKUP("Mins",A1:CV300,173,FALSE)* 90)</f>
        <v>0</v>
      </c>
      <c r="BV173" s="31588">
        <f>IF(HLOOKUP("Mins",A1:CV300,173,FALSE)=0,0,HLOOKUP("fsXA",A1:CV300,173,FALSE)/HLOOKUP("Mins",A1:CV300,173,FALSE)* 90)</f>
        <v>1.5929203539823009E-2</v>
      </c>
      <c r="BW173" s="31589">
        <f>5*HLOOKUP("fsXG/90",A1:CV300,173,FALSE)+3*HLOOKUP("fsXA/90",A1:CV300,173,FALSE)</f>
        <v>4.7787610619469026E-2</v>
      </c>
      <c r="BX173" s="31590">
        <v>0</v>
      </c>
      <c r="BY173" s="31591">
        <v>0</v>
      </c>
      <c r="BZ173" s="31592">
        <f>5*HLOOKUP("uXG/90",A1:CV300,173,FALSE)+3*HLOOKUP("uXA/90",A1:CV300,173,FALSE)</f>
        <v>0</v>
      </c>
    </row>
    <row r="174" spans="1:78" x14ac:dyDescent="0.3">
      <c r="A174" s="31593" t="s">
        <v>501</v>
      </c>
      <c r="B174" s="31594" t="s">
        <v>147</v>
      </c>
      <c r="C174" s="31595">
        <v>7</v>
      </c>
      <c r="D174" s="31596">
        <v>1076</v>
      </c>
      <c r="E174" s="31597">
        <v>16</v>
      </c>
      <c r="F174" s="31598">
        <v>70</v>
      </c>
      <c r="G174" s="31599">
        <v>5</v>
      </c>
      <c r="H174" s="31600">
        <v>5</v>
      </c>
      <c r="I174" s="31601">
        <v>217</v>
      </c>
      <c r="J174" s="31602">
        <f>HLOOKUP("BPS",A1:CV300,174,FALSE)-((-6*HLOOKUP("OG",A1:CV300,174,FALSE))+(-6*HLOOKUP("PK Miss",A1:CV300,174,FALSE))+(9*HLOOKUP("FPL As",A1:CV300,174,FALSE))+(0*HLOOKUP("CS",A1:CV300,174,FALSE))+(18*HLOOKUP("Gs",A1:CV300,174,FALSE)))</f>
        <v>100</v>
      </c>
      <c r="K174" s="31603">
        <v>0</v>
      </c>
      <c r="L174" s="31604">
        <v>3</v>
      </c>
      <c r="M174" s="31605">
        <v>90</v>
      </c>
      <c r="N174" s="31606">
        <v>40</v>
      </c>
      <c r="O174" s="31607">
        <v>34</v>
      </c>
      <c r="P174" s="31608">
        <f>IF(HLOOKUP("Shots",A1:CV300,174,FALSE)=0,0,HLOOKUP("SIB",A1:CV300,174,FALSE)/HLOOKUP("Shots",A1:CV300,174,FALSE))</f>
        <v>0.85</v>
      </c>
      <c r="Q174" s="31609">
        <v>7</v>
      </c>
      <c r="R174" s="31610">
        <f>IF(HLOOKUP("Shots",A1:CV300,174,FALSE)=0,0,HLOOKUP("S6YD",A1:CV300,174,FALSE)/HLOOKUP("Shots",A1:CV300,174,FALSE))</f>
        <v>0.17499999999999999</v>
      </c>
      <c r="S174" s="31611">
        <v>10</v>
      </c>
      <c r="T174" s="31612">
        <f>IF(HLOOKUP("Shots",A1:CV300,174,FALSE)=0,0,HLOOKUP("Headers",A1:CV300,174,FALSE)/HLOOKUP("Shots",A1:CV300,174,FALSE))</f>
        <v>0.25</v>
      </c>
      <c r="U174" s="31613">
        <v>17</v>
      </c>
      <c r="V174" s="31614">
        <f>IF(HLOOKUP("Shots",A1:CV300,174,FALSE)=0,0,HLOOKUP("SOT",A1:CV300,174,FALSE)/HLOOKUP("Shots",A1:CV300,174,FALSE))</f>
        <v>0.42499999999999999</v>
      </c>
      <c r="W174" s="31615">
        <f>IF(HLOOKUP("Shots",A1:CV300,174,FALSE)=0,0,HLOOKUP("Gs",A1:CV300,174,FALSE)/HLOOKUP("Shots",A1:CV300,174,FALSE))</f>
        <v>0.125</v>
      </c>
      <c r="X174" s="31616">
        <v>2</v>
      </c>
      <c r="Y174" s="31617">
        <v>3</v>
      </c>
      <c r="Z174" s="31618">
        <v>19</v>
      </c>
      <c r="AA174" s="31619">
        <f>IF(HLOOKUP("KP",A1:CV300,174,FALSE)=0,0,HLOOKUP("As",A1:CV300,174,FALSE)/HLOOKUP("KP",A1:CV300,174,FALSE))</f>
        <v>0.10526315789473684</v>
      </c>
      <c r="AB174" s="31620">
        <v>132.30000000000001</v>
      </c>
      <c r="AC174" s="31621">
        <v>38</v>
      </c>
      <c r="AD174" s="31622">
        <v>3</v>
      </c>
      <c r="AE174" s="31623">
        <v>8</v>
      </c>
      <c r="AF174" s="31624">
        <v>6</v>
      </c>
      <c r="AG174" s="31625">
        <f>IF(HLOOKUP("BC",A1:CV300,174,FALSE)=0,0,HLOOKUP("Gs - BC",A1:CV300,174,FALSE)/HLOOKUP("BC",A1:CV300,174,FALSE))</f>
        <v>0.25</v>
      </c>
      <c r="AH174" s="31626">
        <f>HLOOKUP("BC",A1:CV300,174,FALSE) - HLOOKUP("BC Miss",A1:CV300,174,FALSE)</f>
        <v>2</v>
      </c>
      <c r="AI174" s="31627">
        <f>IF(HLOOKUP("Gs",A1:CV300,174,FALSE)=0,0,HLOOKUP("Gs - BC",A1:CV300,174,FALSE)/HLOOKUP("Gs",A1:CV300,174,FALSE))</f>
        <v>0.4</v>
      </c>
      <c r="AJ174" s="31628">
        <v>0</v>
      </c>
      <c r="AK174" s="31629">
        <v>0</v>
      </c>
      <c r="AL174" s="31630">
        <f>HLOOKUP("BC",A1:CV300,174,FALSE) - (HLOOKUP("PK Gs",A1:CV300,174,FALSE) + HLOOKUP("PK Miss",A1:CV300,174,FALSE))</f>
        <v>8</v>
      </c>
      <c r="AM174" s="31631">
        <f>HLOOKUP("BC Miss",A1:CV300,174,FALSE) - HLOOKUP("PK Miss",A1:CV300,174,FALSE)</f>
        <v>6</v>
      </c>
      <c r="AN174" s="31632">
        <f>IF(HLOOKUP("BC - Open",A1:CV300,174,FALSE)=0,0,HLOOKUP("BC - Open Miss",A1:CV300,174,FALSE)/HLOOKUP("BC - Open",A1:CV300,174,FALSE))</f>
        <v>0.75</v>
      </c>
      <c r="AO174" s="31633">
        <v>5</v>
      </c>
      <c r="AP174" s="31634">
        <f>IF(HLOOKUP("Gs",A1:CV300,174,FALSE)=0,0,HLOOKUP("GIB",A1:CV300,174,FALSE)/HLOOKUP("Gs",A1:CV300,174,FALSE))</f>
        <v>1</v>
      </c>
      <c r="AQ174" s="31635">
        <v>4</v>
      </c>
      <c r="AR174" s="31636">
        <f>IF(HLOOKUP("Gs",A1:CV300,174,FALSE)=0,0,HLOOKUP("Gs - Open",A1:CV300,174,FALSE)/HLOOKUP("Gs",A1:CV300,174,FALSE))</f>
        <v>0.8</v>
      </c>
      <c r="AS174" s="31637">
        <v>6.47</v>
      </c>
      <c r="AT174" s="31638">
        <v>1.32</v>
      </c>
      <c r="AU174" s="31639">
        <f>IF(HLOOKUP("Mins",A1:CV300,174,FALSE)=0,0,HLOOKUP("Pts",A1:CV300,174,FALSE)/HLOOKUP("Mins",A1:CV300,174,FALSE)* 90)</f>
        <v>5.8550185873605951</v>
      </c>
      <c r="AV174" s="31640">
        <f>IF(HLOOKUP("Apps",A1:CV300,174,FALSE)=0,0,HLOOKUP("Pts",A1:CV300,174,FALSE)/HLOOKUP("Apps",A1:CV300,174,FALSE)* 1)</f>
        <v>4.375</v>
      </c>
      <c r="AW174" s="31641">
        <f>IF(HLOOKUP("Mins",A1:CV300,174,FALSE)=0,0,HLOOKUP("Gs",A1:CV300,174,FALSE)/HLOOKUP("Mins",A1:CV300,174,FALSE)* 90)</f>
        <v>0.41821561338289964</v>
      </c>
      <c r="AX174" s="31642">
        <f>IF(HLOOKUP("Mins",A1:CV300,174,FALSE)=0,0,HLOOKUP("Bonus",A1:CV300,174,FALSE)/HLOOKUP("Mins",A1:CV300,174,FALSE)* 90)</f>
        <v>0.41821561338289964</v>
      </c>
      <c r="AY174" s="31643">
        <f>IF(HLOOKUP("Mins",A1:CV300,174,FALSE)=0,0,HLOOKUP("BPS",A1:CV300,174,FALSE)/HLOOKUP("Mins",A1:CV300,174,FALSE)* 90)</f>
        <v>18.150557620817846</v>
      </c>
      <c r="AZ174" s="31644">
        <f>IF(HLOOKUP("Mins",A1:CV300,174,FALSE)=0,0,HLOOKUP("Base BPS",A1:CV300,174,FALSE)/HLOOKUP("Mins",A1:CV300,174,FALSE)* 90)</f>
        <v>8.3643122676579917</v>
      </c>
      <c r="BA174" s="31645">
        <f>IF(HLOOKUP("Mins",A1:CV300,174,FALSE)=0,0,HLOOKUP("PenTchs",A1:CV300,174,FALSE)/HLOOKUP("Mins",A1:CV300,174,FALSE)* 90)</f>
        <v>7.5278810408921935</v>
      </c>
      <c r="BB174" s="31646">
        <f>IF(HLOOKUP("Mins",A1:CV300,174,FALSE)=0,0,HLOOKUP("Shots",A1:CV300,174,FALSE)/HLOOKUP("Mins",A1:CV300,174,FALSE)* 90)</f>
        <v>3.3457249070631971</v>
      </c>
      <c r="BC174" s="31647">
        <f>IF(HLOOKUP("Mins",A1:CV300,174,FALSE)=0,0,HLOOKUP("SIB",A1:CV300,174,FALSE)/HLOOKUP("Mins",A1:CV300,174,FALSE)* 90)</f>
        <v>2.8438661710037172</v>
      </c>
      <c r="BD174" s="31648">
        <f>IF(HLOOKUP("Mins",A1:CV300,174,FALSE)=0,0,HLOOKUP("S6YD",A1:CV300,174,FALSE)/HLOOKUP("Mins",A1:CV300,174,FALSE)* 90)</f>
        <v>0.58550185873605953</v>
      </c>
      <c r="BE174" s="31649">
        <f>IF(HLOOKUP("Mins",A1:CV300,174,FALSE)=0,0,HLOOKUP("Headers",A1:CV300,174,FALSE)/HLOOKUP("Mins",A1:CV300,174,FALSE)* 90)</f>
        <v>0.83643122676579928</v>
      </c>
      <c r="BF174" s="31650">
        <f>IF(HLOOKUP("Mins",A1:CV300,174,FALSE)=0,0,HLOOKUP("SOT",A1:CV300,174,FALSE)/HLOOKUP("Mins",A1:CV300,174,FALSE)* 90)</f>
        <v>1.4219330855018586</v>
      </c>
      <c r="BG174" s="31651">
        <f>IF(HLOOKUP("Mins",A1:CV300,174,FALSE)=0,0,HLOOKUP("As",A1:CV300,174,FALSE)/HLOOKUP("Mins",A1:CV300,174,FALSE)* 90)</f>
        <v>0.16728624535315983</v>
      </c>
      <c r="BH174" s="31652">
        <f>IF(HLOOKUP("Mins",A1:CV300,174,FALSE)=0,0,HLOOKUP("FPL As",A1:CV300,174,FALSE)/HLOOKUP("Mins",A1:CV300,174,FALSE)* 90)</f>
        <v>0.25092936802973975</v>
      </c>
      <c r="BI174" s="31653">
        <f>IF(HLOOKUP("Mins",A1:CV300,174,FALSE)=0,0,HLOOKUP("BC Created",A1:CV300,174,FALSE)/HLOOKUP("Mins",A1:CV300,174,FALSE)* 90)</f>
        <v>0.25092936802973975</v>
      </c>
      <c r="BJ174" s="31654">
        <f>IF(HLOOKUP("Mins",A1:CV300,174,FALSE)=0,0,HLOOKUP("KP",A1:CV300,174,FALSE)/HLOOKUP("Mins",A1:CV300,174,FALSE)* 90)</f>
        <v>1.5892193308550187</v>
      </c>
      <c r="BK174" s="31655">
        <f>IF(HLOOKUP("Mins",A1:CV300,174,FALSE)=0,0,HLOOKUP("BC",A1:CV300,174,FALSE)/HLOOKUP("Mins",A1:CV300,174,FALSE)* 90)</f>
        <v>0.66914498141263934</v>
      </c>
      <c r="BL174" s="31656">
        <f>IF(HLOOKUP("Mins",A1:CV300,174,FALSE)=0,0,HLOOKUP("BC Miss",A1:CV300,174,FALSE)/HLOOKUP("Mins",A1:CV300,174,FALSE)* 90)</f>
        <v>0.5018587360594795</v>
      </c>
      <c r="BM174" s="31657">
        <f>IF(HLOOKUP("Mins",A1:CV300,174,FALSE)=0,0,HLOOKUP("Gs - BC",A1:CV300,174,FALSE)/HLOOKUP("Mins",A1:CV300,174,FALSE)* 90)</f>
        <v>0.16728624535315983</v>
      </c>
      <c r="BN174" s="31658">
        <f>IF(HLOOKUP("Mins",A1:CV300,174,FALSE)=0,0,HLOOKUP("GIB",A1:CV300,174,FALSE)/HLOOKUP("Mins",A1:CV300,174,FALSE)* 90)</f>
        <v>0.41821561338289964</v>
      </c>
      <c r="BO174" s="31659">
        <f>IF(HLOOKUP("Mins",A1:CV300,174,FALSE)=0,0,HLOOKUP("Gs - Open",A1:CV300,174,FALSE)/HLOOKUP("Mins",A1:CV300,174,FALSE)* 90)</f>
        <v>0.33457249070631967</v>
      </c>
      <c r="BP174" s="31660">
        <f>IF(HLOOKUP("Mins",A1:CV300,174,FALSE)=0,0,HLOOKUP("ICT Index",A1:CV300,174,FALSE)/HLOOKUP("Mins",A1:CV300,174,FALSE)* 90)</f>
        <v>11.065985130111526</v>
      </c>
      <c r="BQ174" s="31661">
        <f>IF(HLOOKUP("Mins",A1:CV300,174,FALSE)=0,0,(0.036*(HLOOKUP("Shots",A1:CV300,174,FALSE)-HLOOKUP("SIB",A1:CV300,174,FALSE))+0.142*(HLOOKUP("SIB",A1:CV300,174,FALSE)-(HLOOKUP("PK Gs",A1:CV300,174,FALSE)+HLOOKUP("PK Miss",A1:CV300,174,FALSE)))+0.75*(HLOOKUP("PK Gs",A1:CV300,174,FALSE)+HLOOKUP("PK Miss",A1:CV300,174,FALSE)))/HLOOKUP("Mins",A1:CV300,174,FALSE)*90)</f>
        <v>0.42189591078066913</v>
      </c>
      <c r="BR174" s="31662">
        <f>0.0885*HLOOKUP("KP/90",A1:CV300,174,FALSE)</f>
        <v>0.14064591078066915</v>
      </c>
      <c r="BS174" s="31663">
        <f>5*HLOOKUP("xG/90",A1:CV300,174,FALSE)+3*HLOOKUP("xA/90",A1:CV300,174,FALSE)</f>
        <v>2.531417286245353</v>
      </c>
      <c r="BT174" s="31664">
        <f>HLOOKUP("xPts/90",A1:CV300,174,FALSE)-(5*0.75*(HLOOKUP("PK Gs",A1:CV300,174,FALSE)+HLOOKUP("PK Miss",A1:CV300,174,FALSE))*90/HLOOKUP("Mins",A1:CV300,174,FALSE))</f>
        <v>2.531417286245353</v>
      </c>
      <c r="BU174" s="31665">
        <f>IF(HLOOKUP("Mins",A1:CV300,174,FALSE)=0,0,HLOOKUP("fsXG",A1:CV300,174,FALSE)/HLOOKUP("Mins",A1:CV300,174,FALSE)* 90)</f>
        <v>0.54117100371747207</v>
      </c>
      <c r="BV174" s="31666">
        <f>IF(HLOOKUP("Mins",A1:CV300,174,FALSE)=0,0,HLOOKUP("fsXA",A1:CV300,174,FALSE)/HLOOKUP("Mins",A1:CV300,174,FALSE)* 90)</f>
        <v>0.11040892193308552</v>
      </c>
      <c r="BW174" s="31667">
        <f>5*HLOOKUP("fsXG/90",A1:CV300,174,FALSE)+3*HLOOKUP("fsXA/90",A1:CV300,174,FALSE)</f>
        <v>3.0370817843866167</v>
      </c>
      <c r="BX174" s="31668">
        <v>0.51153290271759033</v>
      </c>
      <c r="BY174" s="31669">
        <v>0.1874992698431015</v>
      </c>
      <c r="BZ174" s="31670">
        <f>5*HLOOKUP("uXG/90",A1:CV300,174,FALSE)+3*HLOOKUP("uXA/90",A1:CV300,174,FALSE)</f>
        <v>3.1201623231172562</v>
      </c>
    </row>
    <row r="175" spans="1:78" x14ac:dyDescent="0.3">
      <c r="A175" s="31671" t="s">
        <v>502</v>
      </c>
      <c r="B175" s="31672" t="s">
        <v>89</v>
      </c>
      <c r="C175" s="31673">
        <v>5</v>
      </c>
      <c r="D175" s="31674">
        <v>2</v>
      </c>
      <c r="E175" s="31675">
        <v>1</v>
      </c>
      <c r="F175" s="31676">
        <v>1</v>
      </c>
      <c r="G175" s="31677">
        <v>0</v>
      </c>
      <c r="H175" s="31678">
        <v>0</v>
      </c>
      <c r="I175" s="31679">
        <v>3</v>
      </c>
      <c r="J175" s="31680">
        <f>HLOOKUP("BPS",A1:CV300,175,FALSE)-((-6*HLOOKUP("OG",A1:CV300,175,FALSE))+(-6*HLOOKUP("PK Miss",A1:CV300,175,FALSE))+(9*HLOOKUP("FPL As",A1:CV300,175,FALSE))+(0*HLOOKUP("CS",A1:CV300,175,FALSE))+(18*HLOOKUP("Gs",A1:CV300,175,FALSE)))</f>
        <v>3</v>
      </c>
      <c r="K175" s="31681">
        <v>0</v>
      </c>
      <c r="L175" s="31682">
        <v>0</v>
      </c>
      <c r="M175" s="31683">
        <v>1</v>
      </c>
      <c r="N175" s="31684">
        <v>1</v>
      </c>
      <c r="O175" s="31685">
        <v>1</v>
      </c>
      <c r="P175" s="31686">
        <f>IF(HLOOKUP("Shots",A1:CV300,175,FALSE)=0,0,HLOOKUP("SIB",A1:CV300,175,FALSE)/HLOOKUP("Shots",A1:CV300,175,FALSE))</f>
        <v>1</v>
      </c>
      <c r="Q175" s="31687">
        <v>0</v>
      </c>
      <c r="R175" s="31688">
        <f>IF(HLOOKUP("Shots",A1:CV300,175,FALSE)=0,0,HLOOKUP("S6YD",A1:CV300,175,FALSE)/HLOOKUP("Shots",A1:CV300,175,FALSE))</f>
        <v>0</v>
      </c>
      <c r="S175" s="31689">
        <v>0</v>
      </c>
      <c r="T175" s="31690">
        <f>IF(HLOOKUP("Shots",A1:CV300,175,FALSE)=0,0,HLOOKUP("Headers",A1:CV300,175,FALSE)/HLOOKUP("Shots",A1:CV300,175,FALSE))</f>
        <v>0</v>
      </c>
      <c r="U175" s="31691">
        <v>0</v>
      </c>
      <c r="V175" s="31692">
        <f>IF(HLOOKUP("Shots",A1:CV300,175,FALSE)=0,0,HLOOKUP("SOT",A1:CV300,175,FALSE)/HLOOKUP("Shots",A1:CV300,175,FALSE))</f>
        <v>0</v>
      </c>
      <c r="W175" s="31693">
        <f>IF(HLOOKUP("Shots",A1:CV300,175,FALSE)=0,0,HLOOKUP("Gs",A1:CV300,175,FALSE)/HLOOKUP("Shots",A1:CV300,175,FALSE))</f>
        <v>0</v>
      </c>
      <c r="X175" s="31694">
        <v>0</v>
      </c>
      <c r="Y175" s="31695">
        <v>0</v>
      </c>
      <c r="Z175" s="31696">
        <v>0</v>
      </c>
      <c r="AA175" s="31697">
        <f>IF(HLOOKUP("KP",A1:CV300,175,FALSE)=0,0,HLOOKUP("As",A1:CV300,175,FALSE)/HLOOKUP("KP",A1:CV300,175,FALSE))</f>
        <v>0</v>
      </c>
      <c r="AB175" s="31698">
        <v>1.8</v>
      </c>
      <c r="AC175" s="31699">
        <v>0</v>
      </c>
      <c r="AD175" s="31700">
        <v>0</v>
      </c>
      <c r="AE175" s="31701">
        <v>0</v>
      </c>
      <c r="AF175" s="31702">
        <v>0</v>
      </c>
      <c r="AG175" s="31703">
        <f>IF(HLOOKUP("BC",A1:CV300,175,FALSE)=0,0,HLOOKUP("Gs - BC",A1:CV300,175,FALSE)/HLOOKUP("BC",A1:CV300,175,FALSE))</f>
        <v>0</v>
      </c>
      <c r="AH175" s="31704">
        <f>HLOOKUP("BC",A1:CV300,175,FALSE) - HLOOKUP("BC Miss",A1:CV300,175,FALSE)</f>
        <v>0</v>
      </c>
      <c r="AI175" s="31705">
        <f>IF(HLOOKUP("Gs",A1:CV300,175,FALSE)=0,0,HLOOKUP("Gs - BC",A1:CV300,175,FALSE)/HLOOKUP("Gs",A1:CV300,175,FALSE))</f>
        <v>0</v>
      </c>
      <c r="AJ175" s="31706">
        <v>0</v>
      </c>
      <c r="AK175" s="31707">
        <v>0</v>
      </c>
      <c r="AL175" s="31708">
        <f>HLOOKUP("BC",A1:CV300,175,FALSE) - (HLOOKUP("PK Gs",A1:CV300,175,FALSE) + HLOOKUP("PK Miss",A1:CV300,175,FALSE))</f>
        <v>0</v>
      </c>
      <c r="AM175" s="31709">
        <f>HLOOKUP("BC Miss",A1:CV300,175,FALSE) - HLOOKUP("PK Miss",A1:CV300,175,FALSE)</f>
        <v>0</v>
      </c>
      <c r="AN175" s="31710">
        <f>IF(HLOOKUP("BC - Open",A1:CV300,175,FALSE)=0,0,HLOOKUP("BC - Open Miss",A1:CV300,175,FALSE)/HLOOKUP("BC - Open",A1:CV300,175,FALSE))</f>
        <v>0</v>
      </c>
      <c r="AO175" s="31711">
        <v>0</v>
      </c>
      <c r="AP175" s="31712">
        <f>IF(HLOOKUP("Gs",A1:CV300,175,FALSE)=0,0,HLOOKUP("GIB",A1:CV300,175,FALSE)/HLOOKUP("Gs",A1:CV300,175,FALSE))</f>
        <v>0</v>
      </c>
      <c r="AQ175" s="31713">
        <v>0</v>
      </c>
      <c r="AR175" s="31714">
        <f>IF(HLOOKUP("Gs",A1:CV300,175,FALSE)=0,0,HLOOKUP("Gs - Open",A1:CV300,175,FALSE)/HLOOKUP("Gs",A1:CV300,175,FALSE))</f>
        <v>0</v>
      </c>
      <c r="AS175" s="31715">
        <v>0.04</v>
      </c>
      <c r="AT175" s="31716">
        <v>0</v>
      </c>
      <c r="AU175" s="31717">
        <f>IF(HLOOKUP("Mins",A1:CV300,175,FALSE)=0,0,HLOOKUP("Pts",A1:CV300,175,FALSE)/HLOOKUP("Mins",A1:CV300,175,FALSE)* 90)</f>
        <v>45</v>
      </c>
      <c r="AV175" s="31718">
        <f>IF(HLOOKUP("Apps",A1:CV300,175,FALSE)=0,0,HLOOKUP("Pts",A1:CV300,175,FALSE)/HLOOKUP("Apps",A1:CV300,175,FALSE)* 1)</f>
        <v>1</v>
      </c>
      <c r="AW175" s="31719">
        <f>IF(HLOOKUP("Mins",A1:CV300,175,FALSE)=0,0,HLOOKUP("Gs",A1:CV300,175,FALSE)/HLOOKUP("Mins",A1:CV300,175,FALSE)* 90)</f>
        <v>0</v>
      </c>
      <c r="AX175" s="31720">
        <f>IF(HLOOKUP("Mins",A1:CV300,175,FALSE)=0,0,HLOOKUP("Bonus",A1:CV300,175,FALSE)/HLOOKUP("Mins",A1:CV300,175,FALSE)* 90)</f>
        <v>0</v>
      </c>
      <c r="AY175" s="31721">
        <f>IF(HLOOKUP("Mins",A1:CV300,175,FALSE)=0,0,HLOOKUP("BPS",A1:CV300,175,FALSE)/HLOOKUP("Mins",A1:CV300,175,FALSE)* 90)</f>
        <v>135</v>
      </c>
      <c r="AZ175" s="31722">
        <f>IF(HLOOKUP("Mins",A1:CV300,175,FALSE)=0,0,HLOOKUP("Base BPS",A1:CV300,175,FALSE)/HLOOKUP("Mins",A1:CV300,175,FALSE)* 90)</f>
        <v>135</v>
      </c>
      <c r="BA175" s="31723">
        <f>IF(HLOOKUP("Mins",A1:CV300,175,FALSE)=0,0,HLOOKUP("PenTchs",A1:CV300,175,FALSE)/HLOOKUP("Mins",A1:CV300,175,FALSE)* 90)</f>
        <v>45</v>
      </c>
      <c r="BB175" s="31724">
        <f>IF(HLOOKUP("Mins",A1:CV300,175,FALSE)=0,0,HLOOKUP("Shots",A1:CV300,175,FALSE)/HLOOKUP("Mins",A1:CV300,175,FALSE)* 90)</f>
        <v>45</v>
      </c>
      <c r="BC175" s="31725">
        <f>IF(HLOOKUP("Mins",A1:CV300,175,FALSE)=0,0,HLOOKUP("SIB",A1:CV300,175,FALSE)/HLOOKUP("Mins",A1:CV300,175,FALSE)* 90)</f>
        <v>45</v>
      </c>
      <c r="BD175" s="31726">
        <f>IF(HLOOKUP("Mins",A1:CV300,175,FALSE)=0,0,HLOOKUP("S6YD",A1:CV300,175,FALSE)/HLOOKUP("Mins",A1:CV300,175,FALSE)* 90)</f>
        <v>0</v>
      </c>
      <c r="BE175" s="31727">
        <f>IF(HLOOKUP("Mins",A1:CV300,175,FALSE)=0,0,HLOOKUP("Headers",A1:CV300,175,FALSE)/HLOOKUP("Mins",A1:CV300,175,FALSE)* 90)</f>
        <v>0</v>
      </c>
      <c r="BF175" s="31728">
        <f>IF(HLOOKUP("Mins",A1:CV300,175,FALSE)=0,0,HLOOKUP("SOT",A1:CV300,175,FALSE)/HLOOKUP("Mins",A1:CV300,175,FALSE)* 90)</f>
        <v>0</v>
      </c>
      <c r="BG175" s="31729">
        <f>IF(HLOOKUP("Mins",A1:CV300,175,FALSE)=0,0,HLOOKUP("As",A1:CV300,175,FALSE)/HLOOKUP("Mins",A1:CV300,175,FALSE)* 90)</f>
        <v>0</v>
      </c>
      <c r="BH175" s="31730">
        <f>IF(HLOOKUP("Mins",A1:CV300,175,FALSE)=0,0,HLOOKUP("FPL As",A1:CV300,175,FALSE)/HLOOKUP("Mins",A1:CV300,175,FALSE)* 90)</f>
        <v>0</v>
      </c>
      <c r="BI175" s="31731">
        <f>IF(HLOOKUP("Mins",A1:CV300,175,FALSE)=0,0,HLOOKUP("BC Created",A1:CV300,175,FALSE)/HLOOKUP("Mins",A1:CV300,175,FALSE)* 90)</f>
        <v>0</v>
      </c>
      <c r="BJ175" s="31732">
        <f>IF(HLOOKUP("Mins",A1:CV300,175,FALSE)=0,0,HLOOKUP("KP",A1:CV300,175,FALSE)/HLOOKUP("Mins",A1:CV300,175,FALSE)* 90)</f>
        <v>0</v>
      </c>
      <c r="BK175" s="31733">
        <f>IF(HLOOKUP("Mins",A1:CV300,175,FALSE)=0,0,HLOOKUP("BC",A1:CV300,175,FALSE)/HLOOKUP("Mins",A1:CV300,175,FALSE)* 90)</f>
        <v>0</v>
      </c>
      <c r="BL175" s="31734">
        <f>IF(HLOOKUP("Mins",A1:CV300,175,FALSE)=0,0,HLOOKUP("BC Miss",A1:CV300,175,FALSE)/HLOOKUP("Mins",A1:CV300,175,FALSE)* 90)</f>
        <v>0</v>
      </c>
      <c r="BM175" s="31735">
        <f>IF(HLOOKUP("Mins",A1:CV300,175,FALSE)=0,0,HLOOKUP("Gs - BC",A1:CV300,175,FALSE)/HLOOKUP("Mins",A1:CV300,175,FALSE)* 90)</f>
        <v>0</v>
      </c>
      <c r="BN175" s="31736">
        <f>IF(HLOOKUP("Mins",A1:CV300,175,FALSE)=0,0,HLOOKUP("GIB",A1:CV300,175,FALSE)/HLOOKUP("Mins",A1:CV300,175,FALSE)* 90)</f>
        <v>0</v>
      </c>
      <c r="BO175" s="31737">
        <f>IF(HLOOKUP("Mins",A1:CV300,175,FALSE)=0,0,HLOOKUP("Gs - Open",A1:CV300,175,FALSE)/HLOOKUP("Mins",A1:CV300,175,FALSE)* 90)</f>
        <v>0</v>
      </c>
      <c r="BP175" s="31738">
        <f>IF(HLOOKUP("Mins",A1:CV300,175,FALSE)=0,0,HLOOKUP("ICT Index",A1:CV300,175,FALSE)/HLOOKUP("Mins",A1:CV300,175,FALSE)* 90)</f>
        <v>81</v>
      </c>
      <c r="BQ175" s="31739">
        <f>IF(HLOOKUP("Mins",A1:CV300,175,FALSE)=0,0,(0.036*(HLOOKUP("Shots",A1:CV300,175,FALSE)-HLOOKUP("SIB",A1:CV300,175,FALSE))+0.142*(HLOOKUP("SIB",A1:CV300,175,FALSE)-(HLOOKUP("PK Gs",A1:CV300,175,FALSE)+HLOOKUP("PK Miss",A1:CV300,175,FALSE)))+0.75*(HLOOKUP("PK Gs",A1:CV300,175,FALSE)+HLOOKUP("PK Miss",A1:CV300,175,FALSE)))/HLOOKUP("Mins",A1:CV300,175,FALSE)*90)</f>
        <v>6.39</v>
      </c>
      <c r="BR175" s="31740">
        <f>0.0885*HLOOKUP("KP/90",A1:CV300,175,FALSE)</f>
        <v>0</v>
      </c>
      <c r="BS175" s="31741">
        <f>5*HLOOKUP("xG/90",A1:CV300,175,FALSE)+3*HLOOKUP("xA/90",A1:CV300,175,FALSE)</f>
        <v>31.95</v>
      </c>
      <c r="BT175" s="31742">
        <f>HLOOKUP("xPts/90",A1:CV300,175,FALSE)-(5*0.75*(HLOOKUP("PK Gs",A1:CV300,175,FALSE)+HLOOKUP("PK Miss",A1:CV300,175,FALSE))*90/HLOOKUP("Mins",A1:CV300,175,FALSE))</f>
        <v>31.95</v>
      </c>
      <c r="BU175" s="31743">
        <f>IF(HLOOKUP("Mins",A1:CV300,175,FALSE)=0,0,HLOOKUP("fsXG",A1:CV300,175,FALSE)/HLOOKUP("Mins",A1:CV300,175,FALSE)* 90)</f>
        <v>1.8</v>
      </c>
      <c r="BV175" s="31744">
        <f>IF(HLOOKUP("Mins",A1:CV300,175,FALSE)=0,0,HLOOKUP("fsXA",A1:CV300,175,FALSE)/HLOOKUP("Mins",A1:CV300,175,FALSE)* 90)</f>
        <v>0</v>
      </c>
      <c r="BW175" s="31745">
        <f>5*HLOOKUP("fsXG/90",A1:CV300,175,FALSE)+3*HLOOKUP("fsXA/90",A1:CV300,175,FALSE)</f>
        <v>9</v>
      </c>
      <c r="BX175" s="31746">
        <v>5.0722579956054688</v>
      </c>
      <c r="BY175" s="31747">
        <v>0</v>
      </c>
      <c r="BZ175" s="31748">
        <f>5*HLOOKUP("uXG/90",A1:CV300,175,FALSE)+3*HLOOKUP("uXA/90",A1:CV300,175,FALSE)</f>
        <v>25.361289978027344</v>
      </c>
    </row>
    <row r="176" spans="1:78" x14ac:dyDescent="0.3">
      <c r="A176" s="31749" t="s">
        <v>503</v>
      </c>
      <c r="B176" s="31750" t="s">
        <v>79</v>
      </c>
      <c r="C176" s="31751">
        <v>5.3000001907348633</v>
      </c>
      <c r="D176" s="31752">
        <v>440</v>
      </c>
      <c r="E176" s="31753">
        <v>10</v>
      </c>
      <c r="F176" s="31754">
        <v>18</v>
      </c>
      <c r="G176" s="31755">
        <v>0</v>
      </c>
      <c r="H176" s="31756">
        <v>0</v>
      </c>
      <c r="I176" s="31757">
        <v>56</v>
      </c>
      <c r="J176" s="31758">
        <f>HLOOKUP("BPS",A1:CV300,176,FALSE)-((-6*HLOOKUP("OG",A1:CV300,176,FALSE))+(-6*HLOOKUP("PK Miss",A1:CV300,176,FALSE))+(9*HLOOKUP("FPL As",A1:CV300,176,FALSE))+(0*HLOOKUP("CS",A1:CV300,176,FALSE))+(18*HLOOKUP("Gs",A1:CV300,176,FALSE)))</f>
        <v>47</v>
      </c>
      <c r="K176" s="31759">
        <v>0</v>
      </c>
      <c r="L176" s="31760">
        <v>2</v>
      </c>
      <c r="M176" s="31761">
        <v>17</v>
      </c>
      <c r="N176" s="31762">
        <v>8</v>
      </c>
      <c r="O176" s="31763">
        <v>6</v>
      </c>
      <c r="P176" s="31764">
        <f>IF(HLOOKUP("Shots",A1:CV300,176,FALSE)=0,0,HLOOKUP("SIB",A1:CV300,176,FALSE)/HLOOKUP("Shots",A1:CV300,176,FALSE))</f>
        <v>0.75</v>
      </c>
      <c r="Q176" s="31765">
        <v>0</v>
      </c>
      <c r="R176" s="31766">
        <f>IF(HLOOKUP("Shots",A1:CV300,176,FALSE)=0,0,HLOOKUP("S6YD",A1:CV300,176,FALSE)/HLOOKUP("Shots",A1:CV300,176,FALSE))</f>
        <v>0</v>
      </c>
      <c r="S176" s="31767">
        <v>0</v>
      </c>
      <c r="T176" s="31768">
        <f>IF(HLOOKUP("Shots",A1:CV300,176,FALSE)=0,0,HLOOKUP("Headers",A1:CV300,176,FALSE)/HLOOKUP("Shots",A1:CV300,176,FALSE))</f>
        <v>0</v>
      </c>
      <c r="U176" s="31769">
        <v>3</v>
      </c>
      <c r="V176" s="31770">
        <f>IF(HLOOKUP("Shots",A1:CV300,176,FALSE)=0,0,HLOOKUP("SOT",A1:CV300,176,FALSE)/HLOOKUP("Shots",A1:CV300,176,FALSE))</f>
        <v>0.375</v>
      </c>
      <c r="W176" s="31771">
        <f>IF(HLOOKUP("Shots",A1:CV300,176,FALSE)=0,0,HLOOKUP("Gs",A1:CV300,176,FALSE)/HLOOKUP("Shots",A1:CV300,176,FALSE))</f>
        <v>0</v>
      </c>
      <c r="X176" s="31772">
        <v>0</v>
      </c>
      <c r="Y176" s="31773">
        <v>1</v>
      </c>
      <c r="Z176" s="31774">
        <v>5</v>
      </c>
      <c r="AA176" s="31775">
        <f>IF(HLOOKUP("KP",A1:CV300,176,FALSE)=0,0,HLOOKUP("As",A1:CV300,176,FALSE)/HLOOKUP("KP",A1:CV300,176,FALSE))</f>
        <v>0</v>
      </c>
      <c r="AB176" s="31776">
        <v>27.7</v>
      </c>
      <c r="AC176" s="31777">
        <v>25</v>
      </c>
      <c r="AD176" s="31778">
        <v>0</v>
      </c>
      <c r="AE176" s="31779">
        <v>0</v>
      </c>
      <c r="AF176" s="31780">
        <v>0</v>
      </c>
      <c r="AG176" s="31781">
        <f>IF(HLOOKUP("BC",A1:CV300,176,FALSE)=0,0,HLOOKUP("Gs - BC",A1:CV300,176,FALSE)/HLOOKUP("BC",A1:CV300,176,FALSE))</f>
        <v>0</v>
      </c>
      <c r="AH176" s="31782">
        <f>HLOOKUP("BC",A1:CV300,176,FALSE) - HLOOKUP("BC Miss",A1:CV300,176,FALSE)</f>
        <v>0</v>
      </c>
      <c r="AI176" s="31783">
        <f>IF(HLOOKUP("Gs",A1:CV300,176,FALSE)=0,0,HLOOKUP("Gs - BC",A1:CV300,176,FALSE)/HLOOKUP("Gs",A1:CV300,176,FALSE))</f>
        <v>0</v>
      </c>
      <c r="AJ176" s="31784">
        <v>0</v>
      </c>
      <c r="AK176" s="31785">
        <v>0</v>
      </c>
      <c r="AL176" s="31786">
        <f>HLOOKUP("BC",A1:CV300,176,FALSE) - (HLOOKUP("PK Gs",A1:CV300,176,FALSE) + HLOOKUP("PK Miss",A1:CV300,176,FALSE))</f>
        <v>0</v>
      </c>
      <c r="AM176" s="31787">
        <f>HLOOKUP("BC Miss",A1:CV300,176,FALSE) - HLOOKUP("PK Miss",A1:CV300,176,FALSE)</f>
        <v>0</v>
      </c>
      <c r="AN176" s="31788">
        <f>IF(HLOOKUP("BC - Open",A1:CV300,176,FALSE)=0,0,HLOOKUP("BC - Open Miss",A1:CV300,176,FALSE)/HLOOKUP("BC - Open",A1:CV300,176,FALSE))</f>
        <v>0</v>
      </c>
      <c r="AO176" s="31789">
        <v>0</v>
      </c>
      <c r="AP176" s="31790">
        <f>IF(HLOOKUP("Gs",A1:CV300,176,FALSE)=0,0,HLOOKUP("GIB",A1:CV300,176,FALSE)/HLOOKUP("Gs",A1:CV300,176,FALSE))</f>
        <v>0</v>
      </c>
      <c r="AQ176" s="31791">
        <v>0</v>
      </c>
      <c r="AR176" s="31792">
        <f>IF(HLOOKUP("Gs",A1:CV300,176,FALSE)=0,0,HLOOKUP("Gs - Open",A1:CV300,176,FALSE)/HLOOKUP("Gs",A1:CV300,176,FALSE))</f>
        <v>0</v>
      </c>
      <c r="AS176" s="31793">
        <v>0.49</v>
      </c>
      <c r="AT176" s="31794">
        <v>0.42</v>
      </c>
      <c r="AU176" s="31795">
        <f>IF(HLOOKUP("Mins",A1:CV300,176,FALSE)=0,0,HLOOKUP("Pts",A1:CV300,176,FALSE)/HLOOKUP("Mins",A1:CV300,176,FALSE)* 90)</f>
        <v>3.6818181818181817</v>
      </c>
      <c r="AV176" s="31796">
        <f>IF(HLOOKUP("Apps",A1:CV300,176,FALSE)=0,0,HLOOKUP("Pts",A1:CV300,176,FALSE)/HLOOKUP("Apps",A1:CV300,176,FALSE)* 1)</f>
        <v>1.8</v>
      </c>
      <c r="AW176" s="31797">
        <f>IF(HLOOKUP("Mins",A1:CV300,176,FALSE)=0,0,HLOOKUP("Gs",A1:CV300,176,FALSE)/HLOOKUP("Mins",A1:CV300,176,FALSE)* 90)</f>
        <v>0</v>
      </c>
      <c r="AX176" s="31798">
        <f>IF(HLOOKUP("Mins",A1:CV300,176,FALSE)=0,0,HLOOKUP("Bonus",A1:CV300,176,FALSE)/HLOOKUP("Mins",A1:CV300,176,FALSE)* 90)</f>
        <v>0</v>
      </c>
      <c r="AY176" s="31799">
        <f>IF(HLOOKUP("Mins",A1:CV300,176,FALSE)=0,0,HLOOKUP("BPS",A1:CV300,176,FALSE)/HLOOKUP("Mins",A1:CV300,176,FALSE)* 90)</f>
        <v>11.454545454545453</v>
      </c>
      <c r="AZ176" s="31800">
        <f>IF(HLOOKUP("Mins",A1:CV300,176,FALSE)=0,0,HLOOKUP("Base BPS",A1:CV300,176,FALSE)/HLOOKUP("Mins",A1:CV300,176,FALSE)* 90)</f>
        <v>9.6136363636363633</v>
      </c>
      <c r="BA176" s="31801">
        <f>IF(HLOOKUP("Mins",A1:CV300,176,FALSE)=0,0,HLOOKUP("PenTchs",A1:CV300,176,FALSE)/HLOOKUP("Mins",A1:CV300,176,FALSE)* 90)</f>
        <v>3.4772727272727271</v>
      </c>
      <c r="BB176" s="31802">
        <f>IF(HLOOKUP("Mins",A1:CV300,176,FALSE)=0,0,HLOOKUP("Shots",A1:CV300,176,FALSE)/HLOOKUP("Mins",A1:CV300,176,FALSE)* 90)</f>
        <v>1.6363636363636362</v>
      </c>
      <c r="BC176" s="31803">
        <f>IF(HLOOKUP("Mins",A1:CV300,176,FALSE)=0,0,HLOOKUP("SIB",A1:CV300,176,FALSE)/HLOOKUP("Mins",A1:CV300,176,FALSE)* 90)</f>
        <v>1.2272727272727273</v>
      </c>
      <c r="BD176" s="31804">
        <f>IF(HLOOKUP("Mins",A1:CV300,176,FALSE)=0,0,HLOOKUP("S6YD",A1:CV300,176,FALSE)/HLOOKUP("Mins",A1:CV300,176,FALSE)* 90)</f>
        <v>0</v>
      </c>
      <c r="BE176" s="31805">
        <f>IF(HLOOKUP("Mins",A1:CV300,176,FALSE)=0,0,HLOOKUP("Headers",A1:CV300,176,FALSE)/HLOOKUP("Mins",A1:CV300,176,FALSE)* 90)</f>
        <v>0</v>
      </c>
      <c r="BF176" s="31806">
        <f>IF(HLOOKUP("Mins",A1:CV300,176,FALSE)=0,0,HLOOKUP("SOT",A1:CV300,176,FALSE)/HLOOKUP("Mins",A1:CV300,176,FALSE)* 90)</f>
        <v>0.61363636363636365</v>
      </c>
      <c r="BG176" s="31807">
        <f>IF(HLOOKUP("Mins",A1:CV300,176,FALSE)=0,0,HLOOKUP("As",A1:CV300,176,FALSE)/HLOOKUP("Mins",A1:CV300,176,FALSE)* 90)</f>
        <v>0</v>
      </c>
      <c r="BH176" s="31808">
        <f>IF(HLOOKUP("Mins",A1:CV300,176,FALSE)=0,0,HLOOKUP("FPL As",A1:CV300,176,FALSE)/HLOOKUP("Mins",A1:CV300,176,FALSE)* 90)</f>
        <v>0.20454545454545453</v>
      </c>
      <c r="BI176" s="31809">
        <f>IF(HLOOKUP("Mins",A1:CV300,176,FALSE)=0,0,HLOOKUP("BC Created",A1:CV300,176,FALSE)/HLOOKUP("Mins",A1:CV300,176,FALSE)* 90)</f>
        <v>0</v>
      </c>
      <c r="BJ176" s="31810">
        <f>IF(HLOOKUP("Mins",A1:CV300,176,FALSE)=0,0,HLOOKUP("KP",A1:CV300,176,FALSE)/HLOOKUP("Mins",A1:CV300,176,FALSE)* 90)</f>
        <v>1.0227272727272727</v>
      </c>
      <c r="BK176" s="31811">
        <f>IF(HLOOKUP("Mins",A1:CV300,176,FALSE)=0,0,HLOOKUP("BC",A1:CV300,176,FALSE)/HLOOKUP("Mins",A1:CV300,176,FALSE)* 90)</f>
        <v>0</v>
      </c>
      <c r="BL176" s="31812">
        <f>IF(HLOOKUP("Mins",A1:CV300,176,FALSE)=0,0,HLOOKUP("BC Miss",A1:CV300,176,FALSE)/HLOOKUP("Mins",A1:CV300,176,FALSE)* 90)</f>
        <v>0</v>
      </c>
      <c r="BM176" s="31813">
        <f>IF(HLOOKUP("Mins",A1:CV300,176,FALSE)=0,0,HLOOKUP("Gs - BC",A1:CV300,176,FALSE)/HLOOKUP("Mins",A1:CV300,176,FALSE)* 90)</f>
        <v>0</v>
      </c>
      <c r="BN176" s="31814">
        <f>IF(HLOOKUP("Mins",A1:CV300,176,FALSE)=0,0,HLOOKUP("GIB",A1:CV300,176,FALSE)/HLOOKUP("Mins",A1:CV300,176,FALSE)* 90)</f>
        <v>0</v>
      </c>
      <c r="BO176" s="31815">
        <f>IF(HLOOKUP("Mins",A1:CV300,176,FALSE)=0,0,HLOOKUP("Gs - Open",A1:CV300,176,FALSE)/HLOOKUP("Mins",A1:CV300,176,FALSE)* 90)</f>
        <v>0</v>
      </c>
      <c r="BP176" s="31816">
        <f>IF(HLOOKUP("Mins",A1:CV300,176,FALSE)=0,0,HLOOKUP("ICT Index",A1:CV300,176,FALSE)/HLOOKUP("Mins",A1:CV300,176,FALSE)* 90)</f>
        <v>5.665909090909091</v>
      </c>
      <c r="BQ176" s="31817">
        <f>IF(HLOOKUP("Mins",A1:CV300,176,FALSE)=0,0,(0.036*(HLOOKUP("Shots",A1:CV300,176,FALSE)-HLOOKUP("SIB",A1:CV300,176,FALSE))+0.142*(HLOOKUP("SIB",A1:CV300,176,FALSE)-(HLOOKUP("PK Gs",A1:CV300,176,FALSE)+HLOOKUP("PK Miss",A1:CV300,176,FALSE)))+0.75*(HLOOKUP("PK Gs",A1:CV300,176,FALSE)+HLOOKUP("PK Miss",A1:CV300,176,FALSE)))/HLOOKUP("Mins",A1:CV300,176,FALSE)*90)</f>
        <v>0.18899999999999995</v>
      </c>
      <c r="BR176" s="31818">
        <f>0.0885*HLOOKUP("KP/90",A1:CV300,176,FALSE)</f>
        <v>9.0511363636363626E-2</v>
      </c>
      <c r="BS176" s="31819">
        <f>5*HLOOKUP("xG/90",A1:CV300,176,FALSE)+3*HLOOKUP("xA/90",A1:CV300,176,FALSE)</f>
        <v>1.2165340909090907</v>
      </c>
      <c r="BT176" s="31820">
        <f>HLOOKUP("xPts/90",A1:CV300,176,FALSE)-(5*0.75*(HLOOKUP("PK Gs",A1:CV300,176,FALSE)+HLOOKUP("PK Miss",A1:CV300,176,FALSE))*90/HLOOKUP("Mins",A1:CV300,176,FALSE))</f>
        <v>1.2165340909090907</v>
      </c>
      <c r="BU176" s="31821">
        <f>IF(HLOOKUP("Mins",A1:CV300,176,FALSE)=0,0,HLOOKUP("fsXG",A1:CV300,176,FALSE)/HLOOKUP("Mins",A1:CV300,176,FALSE)* 90)</f>
        <v>0.10022727272727272</v>
      </c>
      <c r="BV176" s="31822">
        <f>IF(HLOOKUP("Mins",A1:CV300,176,FALSE)=0,0,HLOOKUP("fsXA",A1:CV300,176,FALSE)/HLOOKUP("Mins",A1:CV300,176,FALSE)* 90)</f>
        <v>8.5909090909090907E-2</v>
      </c>
      <c r="BW176" s="31823">
        <f>5*HLOOKUP("fsXG/90",A1:CV300,176,FALSE)+3*HLOOKUP("fsXA/90",A1:CV300,176,FALSE)</f>
        <v>0.7588636363636363</v>
      </c>
      <c r="BX176" s="31824">
        <v>0.13891857862472534</v>
      </c>
      <c r="BY176" s="31825">
        <v>3.554949164390564E-2</v>
      </c>
      <c r="BZ176" s="31826">
        <f>5*HLOOKUP("uXG/90",A1:CV300,176,FALSE)+3*HLOOKUP("uXA/90",A1:CV300,176,FALSE)</f>
        <v>0.80124136805534363</v>
      </c>
    </row>
    <row r="177" spans="1:78" x14ac:dyDescent="0.3">
      <c r="A177" s="31827" t="s">
        <v>504</v>
      </c>
      <c r="B177" s="31828" t="s">
        <v>86</v>
      </c>
      <c r="C177" s="31829">
        <v>5.5</v>
      </c>
      <c r="D177" s="31830">
        <v>1538</v>
      </c>
      <c r="E177" s="31831">
        <v>18</v>
      </c>
      <c r="F177" s="31832">
        <v>61</v>
      </c>
      <c r="G177" s="31833">
        <v>3</v>
      </c>
      <c r="H177" s="31834">
        <v>4</v>
      </c>
      <c r="I177" s="31835">
        <v>253</v>
      </c>
      <c r="J177" s="31836">
        <f>HLOOKUP("BPS",A1:CV300,177,FALSE)-((-6*HLOOKUP("OG",A1:CV300,177,FALSE))+(-6*HLOOKUP("PK Miss",A1:CV300,177,FALSE))+(9*HLOOKUP("FPL As",A1:CV300,177,FALSE))+(0*HLOOKUP("CS",A1:CV300,177,FALSE))+(18*HLOOKUP("Gs",A1:CV300,177,FALSE)))</f>
        <v>181</v>
      </c>
      <c r="K177" s="31837">
        <v>0</v>
      </c>
      <c r="L177" s="31838">
        <v>3</v>
      </c>
      <c r="M177" s="31839">
        <v>49</v>
      </c>
      <c r="N177" s="31840">
        <v>38</v>
      </c>
      <c r="O177" s="31841">
        <v>16</v>
      </c>
      <c r="P177" s="31842">
        <f>IF(HLOOKUP("Shots",A1:CV300,177,FALSE)=0,0,HLOOKUP("SIB",A1:CV300,177,FALSE)/HLOOKUP("Shots",A1:CV300,177,FALSE))</f>
        <v>0.42105263157894735</v>
      </c>
      <c r="Q177" s="31843">
        <v>0</v>
      </c>
      <c r="R177" s="31844">
        <f>IF(HLOOKUP("Shots",A1:CV300,177,FALSE)=0,0,HLOOKUP("S6YD",A1:CV300,177,FALSE)/HLOOKUP("Shots",A1:CV300,177,FALSE))</f>
        <v>0</v>
      </c>
      <c r="S177" s="31845">
        <v>3</v>
      </c>
      <c r="T177" s="31846">
        <f>IF(HLOOKUP("Shots",A1:CV300,177,FALSE)=0,0,HLOOKUP("Headers",A1:CV300,177,FALSE)/HLOOKUP("Shots",A1:CV300,177,FALSE))</f>
        <v>7.8947368421052627E-2</v>
      </c>
      <c r="U177" s="31847">
        <v>15</v>
      </c>
      <c r="V177" s="31848">
        <f>IF(HLOOKUP("Shots",A1:CV300,177,FALSE)=0,0,HLOOKUP("SOT",A1:CV300,177,FALSE)/HLOOKUP("Shots",A1:CV300,177,FALSE))</f>
        <v>0.39473684210526316</v>
      </c>
      <c r="W177" s="31849">
        <f>IF(HLOOKUP("Shots",A1:CV300,177,FALSE)=0,0,HLOOKUP("Gs",A1:CV300,177,FALSE)/HLOOKUP("Shots",A1:CV300,177,FALSE))</f>
        <v>7.8947368421052627E-2</v>
      </c>
      <c r="X177" s="31850">
        <v>2</v>
      </c>
      <c r="Y177" s="31851">
        <v>2</v>
      </c>
      <c r="Z177" s="31852">
        <v>27</v>
      </c>
      <c r="AA177" s="31853">
        <f>IF(HLOOKUP("KP",A1:CV300,177,FALSE)=0,0,HLOOKUP("As",A1:CV300,177,FALSE)/HLOOKUP("KP",A1:CV300,177,FALSE))</f>
        <v>7.407407407407407E-2</v>
      </c>
      <c r="AB177" s="31854">
        <v>114.2</v>
      </c>
      <c r="AC177" s="31855">
        <v>22</v>
      </c>
      <c r="AD177" s="31856">
        <v>3</v>
      </c>
      <c r="AE177" s="31857">
        <v>5</v>
      </c>
      <c r="AF177" s="31858">
        <v>3</v>
      </c>
      <c r="AG177" s="31859">
        <f>IF(HLOOKUP("BC",A1:CV300,177,FALSE)=0,0,HLOOKUP("Gs - BC",A1:CV300,177,FALSE)/HLOOKUP("BC",A1:CV300,177,FALSE))</f>
        <v>0.4</v>
      </c>
      <c r="AH177" s="31860">
        <f>HLOOKUP("BC",A1:CV300,177,FALSE) - HLOOKUP("BC Miss",A1:CV300,177,FALSE)</f>
        <v>2</v>
      </c>
      <c r="AI177" s="31861">
        <f>IF(HLOOKUP("Gs",A1:CV300,177,FALSE)=0,0,HLOOKUP("Gs - BC",A1:CV300,177,FALSE)/HLOOKUP("Gs",A1:CV300,177,FALSE))</f>
        <v>0.66666666666666663</v>
      </c>
      <c r="AJ177" s="31862">
        <v>0</v>
      </c>
      <c r="AK177" s="31863">
        <v>0</v>
      </c>
      <c r="AL177" s="31864">
        <f>HLOOKUP("BC",A1:CV300,177,FALSE) - (HLOOKUP("PK Gs",A1:CV300,177,FALSE) + HLOOKUP("PK Miss",A1:CV300,177,FALSE))</f>
        <v>5</v>
      </c>
      <c r="AM177" s="31865">
        <f>HLOOKUP("BC Miss",A1:CV300,177,FALSE) - HLOOKUP("PK Miss",A1:CV300,177,FALSE)</f>
        <v>3</v>
      </c>
      <c r="AN177" s="31866">
        <f>IF(HLOOKUP("BC - Open",A1:CV300,177,FALSE)=0,0,HLOOKUP("BC - Open Miss",A1:CV300,177,FALSE)/HLOOKUP("BC - Open",A1:CV300,177,FALSE))</f>
        <v>0.6</v>
      </c>
      <c r="AO177" s="31867">
        <v>3</v>
      </c>
      <c r="AP177" s="31868">
        <f>IF(HLOOKUP("Gs",A1:CV300,177,FALSE)=0,0,HLOOKUP("GIB",A1:CV300,177,FALSE)/HLOOKUP("Gs",A1:CV300,177,FALSE))</f>
        <v>1</v>
      </c>
      <c r="AQ177" s="31869">
        <v>3</v>
      </c>
      <c r="AR177" s="31870">
        <f>IF(HLOOKUP("Gs",A1:CV300,177,FALSE)=0,0,HLOOKUP("Gs - Open",A1:CV300,177,FALSE)/HLOOKUP("Gs",A1:CV300,177,FALSE))</f>
        <v>1</v>
      </c>
      <c r="AS177" s="31871">
        <v>2.84</v>
      </c>
      <c r="AT177" s="31872">
        <v>1.92</v>
      </c>
      <c r="AU177" s="31873">
        <f>IF(HLOOKUP("Mins",A1:CV300,177,FALSE)=0,0,HLOOKUP("Pts",A1:CV300,177,FALSE)/HLOOKUP("Mins",A1:CV300,177,FALSE)* 90)</f>
        <v>3.5695708712613783</v>
      </c>
      <c r="AV177" s="31874">
        <f>IF(HLOOKUP("Apps",A1:CV300,177,FALSE)=0,0,HLOOKUP("Pts",A1:CV300,177,FALSE)/HLOOKUP("Apps",A1:CV300,177,FALSE)* 1)</f>
        <v>3.3888888888888888</v>
      </c>
      <c r="AW177" s="31875">
        <f>IF(HLOOKUP("Mins",A1:CV300,177,FALSE)=0,0,HLOOKUP("Gs",A1:CV300,177,FALSE)/HLOOKUP("Mins",A1:CV300,177,FALSE)* 90)</f>
        <v>0.17555266579973994</v>
      </c>
      <c r="AX177" s="31876">
        <f>IF(HLOOKUP("Mins",A1:CV300,177,FALSE)=0,0,HLOOKUP("Bonus",A1:CV300,177,FALSE)/HLOOKUP("Mins",A1:CV300,177,FALSE)* 90)</f>
        <v>0.23407022106631989</v>
      </c>
      <c r="AY177" s="31877">
        <f>IF(HLOOKUP("Mins",A1:CV300,177,FALSE)=0,0,HLOOKUP("BPS",A1:CV300,177,FALSE)/HLOOKUP("Mins",A1:CV300,177,FALSE)* 90)</f>
        <v>14.804941482444734</v>
      </c>
      <c r="AZ177" s="31878">
        <f>IF(HLOOKUP("Mins",A1:CV300,177,FALSE)=0,0,HLOOKUP("Base BPS",A1:CV300,177,FALSE)/HLOOKUP("Mins",A1:CV300,177,FALSE)* 90)</f>
        <v>10.591677503250976</v>
      </c>
      <c r="BA177" s="31879">
        <f>IF(HLOOKUP("Mins",A1:CV300,177,FALSE)=0,0,HLOOKUP("PenTchs",A1:CV300,177,FALSE)/HLOOKUP("Mins",A1:CV300,177,FALSE)* 90)</f>
        <v>2.8673602080624185</v>
      </c>
      <c r="BB177" s="31880">
        <f>IF(HLOOKUP("Mins",A1:CV300,177,FALSE)=0,0,HLOOKUP("Shots",A1:CV300,177,FALSE)/HLOOKUP("Mins",A1:CV300,177,FALSE)* 90)</f>
        <v>2.2236671001300392</v>
      </c>
      <c r="BC177" s="31881">
        <f>IF(HLOOKUP("Mins",A1:CV300,177,FALSE)=0,0,HLOOKUP("SIB",A1:CV300,177,FALSE)/HLOOKUP("Mins",A1:CV300,177,FALSE)* 90)</f>
        <v>0.93628088426527956</v>
      </c>
      <c r="BD177" s="31882">
        <f>IF(HLOOKUP("Mins",A1:CV300,177,FALSE)=0,0,HLOOKUP("S6YD",A1:CV300,177,FALSE)/HLOOKUP("Mins",A1:CV300,177,FALSE)* 90)</f>
        <v>0</v>
      </c>
      <c r="BE177" s="31883">
        <f>IF(HLOOKUP("Mins",A1:CV300,177,FALSE)=0,0,HLOOKUP("Headers",A1:CV300,177,FALSE)/HLOOKUP("Mins",A1:CV300,177,FALSE)* 90)</f>
        <v>0.17555266579973994</v>
      </c>
      <c r="BF177" s="31884">
        <f>IF(HLOOKUP("Mins",A1:CV300,177,FALSE)=0,0,HLOOKUP("SOT",A1:CV300,177,FALSE)/HLOOKUP("Mins",A1:CV300,177,FALSE)* 90)</f>
        <v>0.87776332899869969</v>
      </c>
      <c r="BG177" s="31885">
        <f>IF(HLOOKUP("Mins",A1:CV300,177,FALSE)=0,0,HLOOKUP("As",A1:CV300,177,FALSE)/HLOOKUP("Mins",A1:CV300,177,FALSE)* 90)</f>
        <v>0.11703511053315994</v>
      </c>
      <c r="BH177" s="31886">
        <f>IF(HLOOKUP("Mins",A1:CV300,177,FALSE)=0,0,HLOOKUP("FPL As",A1:CV300,177,FALSE)/HLOOKUP("Mins",A1:CV300,177,FALSE)* 90)</f>
        <v>0.11703511053315994</v>
      </c>
      <c r="BI177" s="31887">
        <f>IF(HLOOKUP("Mins",A1:CV300,177,FALSE)=0,0,HLOOKUP("BC Created",A1:CV300,177,FALSE)/HLOOKUP("Mins",A1:CV300,177,FALSE)* 90)</f>
        <v>0.17555266579973994</v>
      </c>
      <c r="BJ177" s="31888">
        <f>IF(HLOOKUP("Mins",A1:CV300,177,FALSE)=0,0,HLOOKUP("KP",A1:CV300,177,FALSE)/HLOOKUP("Mins",A1:CV300,177,FALSE)* 90)</f>
        <v>1.5799739921976592</v>
      </c>
      <c r="BK177" s="31889">
        <f>IF(HLOOKUP("Mins",A1:CV300,177,FALSE)=0,0,HLOOKUP("BC",A1:CV300,177,FALSE)/HLOOKUP("Mins",A1:CV300,177,FALSE)* 90)</f>
        <v>0.29258777633289984</v>
      </c>
      <c r="BL177" s="31890">
        <f>IF(HLOOKUP("Mins",A1:CV300,177,FALSE)=0,0,HLOOKUP("BC Miss",A1:CV300,177,FALSE)/HLOOKUP("Mins",A1:CV300,177,FALSE)* 90)</f>
        <v>0.17555266579973994</v>
      </c>
      <c r="BM177" s="31891">
        <f>IF(HLOOKUP("Mins",A1:CV300,177,FALSE)=0,0,HLOOKUP("Gs - BC",A1:CV300,177,FALSE)/HLOOKUP("Mins",A1:CV300,177,FALSE)* 90)</f>
        <v>0.11703511053315994</v>
      </c>
      <c r="BN177" s="31892">
        <f>IF(HLOOKUP("Mins",A1:CV300,177,FALSE)=0,0,HLOOKUP("GIB",A1:CV300,177,FALSE)/HLOOKUP("Mins",A1:CV300,177,FALSE)* 90)</f>
        <v>0.17555266579973994</v>
      </c>
      <c r="BO177" s="31893">
        <f>IF(HLOOKUP("Mins",A1:CV300,177,FALSE)=0,0,HLOOKUP("Gs - Open",A1:CV300,177,FALSE)/HLOOKUP("Mins",A1:CV300,177,FALSE)* 90)</f>
        <v>0.17555266579973994</v>
      </c>
      <c r="BP177" s="31894">
        <f>IF(HLOOKUP("Mins",A1:CV300,177,FALSE)=0,0,HLOOKUP("ICT Index",A1:CV300,177,FALSE)/HLOOKUP("Mins",A1:CV300,177,FALSE)* 90)</f>
        <v>6.6827048114434335</v>
      </c>
      <c r="BQ177" s="31895">
        <f>IF(HLOOKUP("Mins",A1:CV300,177,FALSE)=0,0,(0.036*(HLOOKUP("Shots",A1:CV300,177,FALSE)-HLOOKUP("SIB",A1:CV300,177,FALSE))+0.142*(HLOOKUP("SIB",A1:CV300,177,FALSE)-(HLOOKUP("PK Gs",A1:CV300,177,FALSE)+HLOOKUP("PK Miss",A1:CV300,177,FALSE)))+0.75*(HLOOKUP("PK Gs",A1:CV300,177,FALSE)+HLOOKUP("PK Miss",A1:CV300,177,FALSE)))/HLOOKUP("Mins",A1:CV300,177,FALSE)*90)</f>
        <v>0.17929778933680099</v>
      </c>
      <c r="BR177" s="31896">
        <f>0.0885*HLOOKUP("KP/90",A1:CV300,177,FALSE)</f>
        <v>0.13982769830949282</v>
      </c>
      <c r="BS177" s="31897">
        <f>5*HLOOKUP("xG/90",A1:CV300,177,FALSE)+3*HLOOKUP("xA/90",A1:CV300,177,FALSE)</f>
        <v>1.3159720416124834</v>
      </c>
      <c r="BT177" s="31898">
        <f>HLOOKUP("xPts/90",A1:CV300,177,FALSE)-(5*0.75*(HLOOKUP("PK Gs",A1:CV300,177,FALSE)+HLOOKUP("PK Miss",A1:CV300,177,FALSE))*90/HLOOKUP("Mins",A1:CV300,177,FALSE))</f>
        <v>1.3159720416124834</v>
      </c>
      <c r="BU177" s="31899">
        <f>IF(HLOOKUP("Mins",A1:CV300,177,FALSE)=0,0,HLOOKUP("fsXG",A1:CV300,177,FALSE)/HLOOKUP("Mins",A1:CV300,177,FALSE)* 90)</f>
        <v>0.1661898569570871</v>
      </c>
      <c r="BV177" s="31900">
        <f>IF(HLOOKUP("Mins",A1:CV300,177,FALSE)=0,0,HLOOKUP("fsXA",A1:CV300,177,FALSE)/HLOOKUP("Mins",A1:CV300,177,FALSE)* 90)</f>
        <v>0.11235370611183355</v>
      </c>
      <c r="BW177" s="31901">
        <f>5*HLOOKUP("fsXG/90",A1:CV300,177,FALSE)+3*HLOOKUP("fsXA/90",A1:CV300,177,FALSE)</f>
        <v>1.1680104031209362</v>
      </c>
      <c r="BX177" s="31902">
        <v>0.16666598618030548</v>
      </c>
      <c r="BY177" s="31903">
        <v>0.12144424021244049</v>
      </c>
      <c r="BZ177" s="31904">
        <f>5*HLOOKUP("uXG/90",A1:CV300,177,FALSE)+3*HLOOKUP("uXA/90",A1:CV300,177,FALSE)</f>
        <v>1.1976626515388489</v>
      </c>
    </row>
    <row r="178" spans="1:78" x14ac:dyDescent="0.3">
      <c r="A178" s="31905" t="s">
        <v>505</v>
      </c>
      <c r="B178" s="31906" t="s">
        <v>105</v>
      </c>
      <c r="C178" s="31907">
        <v>7.4000000953674316</v>
      </c>
      <c r="D178" s="31908">
        <v>1114</v>
      </c>
      <c r="E178" s="31909">
        <v>17</v>
      </c>
      <c r="F178" s="31910">
        <v>85</v>
      </c>
      <c r="G178" s="31911">
        <v>3</v>
      </c>
      <c r="H178" s="31912">
        <v>8</v>
      </c>
      <c r="I178" s="31913">
        <v>322</v>
      </c>
      <c r="J178" s="31914">
        <f>HLOOKUP("BPS",A1:CV300,178,FALSE)-((-6*HLOOKUP("OG",A1:CV300,178,FALSE))+(-6*HLOOKUP("PK Miss",A1:CV300,178,FALSE))+(9*HLOOKUP("FPL As",A1:CV300,178,FALSE))+(0*HLOOKUP("CS",A1:CV300,178,FALSE))+(18*HLOOKUP("Gs",A1:CV300,178,FALSE)))</f>
        <v>187</v>
      </c>
      <c r="K178" s="31915">
        <v>0</v>
      </c>
      <c r="L178" s="31916">
        <v>6</v>
      </c>
      <c r="M178" s="31917">
        <v>116</v>
      </c>
      <c r="N178" s="31918">
        <v>29</v>
      </c>
      <c r="O178" s="31919">
        <v>19</v>
      </c>
      <c r="P178" s="31920">
        <f>IF(HLOOKUP("Shots",A1:CV300,178,FALSE)=0,0,HLOOKUP("SIB",A1:CV300,178,FALSE)/HLOOKUP("Shots",A1:CV300,178,FALSE))</f>
        <v>0.65517241379310343</v>
      </c>
      <c r="Q178" s="31921">
        <v>4</v>
      </c>
      <c r="R178" s="31922">
        <f>IF(HLOOKUP("Shots",A1:CV300,178,FALSE)=0,0,HLOOKUP("S6YD",A1:CV300,178,FALSE)/HLOOKUP("Shots",A1:CV300,178,FALSE))</f>
        <v>0.13793103448275862</v>
      </c>
      <c r="S178" s="31923">
        <v>2</v>
      </c>
      <c r="T178" s="31924">
        <f>IF(HLOOKUP("Shots",A1:CV300,178,FALSE)=0,0,HLOOKUP("Headers",A1:CV300,178,FALSE)/HLOOKUP("Shots",A1:CV300,178,FALSE))</f>
        <v>6.8965517241379309E-2</v>
      </c>
      <c r="U178" s="31925">
        <v>9</v>
      </c>
      <c r="V178" s="31926">
        <f>IF(HLOOKUP("Shots",A1:CV300,178,FALSE)=0,0,HLOOKUP("SOT",A1:CV300,178,FALSE)/HLOOKUP("Shots",A1:CV300,178,FALSE))</f>
        <v>0.31034482758620691</v>
      </c>
      <c r="W178" s="31927">
        <f>IF(HLOOKUP("Shots",A1:CV300,178,FALSE)=0,0,HLOOKUP("Gs",A1:CV300,178,FALSE)/HLOOKUP("Shots",A1:CV300,178,FALSE))</f>
        <v>0.10344827586206896</v>
      </c>
      <c r="X178" s="31928">
        <v>7</v>
      </c>
      <c r="Y178" s="31929">
        <v>9</v>
      </c>
      <c r="Z178" s="31930">
        <v>30</v>
      </c>
      <c r="AA178" s="31931">
        <f>IF(HLOOKUP("KP",A1:CV300,178,FALSE)=0,0,HLOOKUP("As",A1:CV300,178,FALSE)/HLOOKUP("KP",A1:CV300,178,FALSE))</f>
        <v>0.23333333333333334</v>
      </c>
      <c r="AB178" s="31932">
        <v>136.6</v>
      </c>
      <c r="AC178" s="31933">
        <v>32</v>
      </c>
      <c r="AD178" s="31934">
        <v>6</v>
      </c>
      <c r="AE178" s="31935">
        <v>5</v>
      </c>
      <c r="AF178" s="31936">
        <v>3</v>
      </c>
      <c r="AG178" s="31937">
        <f>IF(HLOOKUP("BC",A1:CV300,178,FALSE)=0,0,HLOOKUP("Gs - BC",A1:CV300,178,FALSE)/HLOOKUP("BC",A1:CV300,178,FALSE))</f>
        <v>0.4</v>
      </c>
      <c r="AH178" s="31938">
        <f>HLOOKUP("BC",A1:CV300,178,FALSE) - HLOOKUP("BC Miss",A1:CV300,178,FALSE)</f>
        <v>2</v>
      </c>
      <c r="AI178" s="31939">
        <f>IF(HLOOKUP("Gs",A1:CV300,178,FALSE)=0,0,HLOOKUP("Gs - BC",A1:CV300,178,FALSE)/HLOOKUP("Gs",A1:CV300,178,FALSE))</f>
        <v>0.66666666666666663</v>
      </c>
      <c r="AJ178" s="31940">
        <v>0</v>
      </c>
      <c r="AK178" s="31941">
        <v>0</v>
      </c>
      <c r="AL178" s="31942">
        <f>HLOOKUP("BC",A1:CV300,178,FALSE) - (HLOOKUP("PK Gs",A1:CV300,178,FALSE) + HLOOKUP("PK Miss",A1:CV300,178,FALSE))</f>
        <v>5</v>
      </c>
      <c r="AM178" s="31943">
        <f>HLOOKUP("BC Miss",A1:CV300,178,FALSE) - HLOOKUP("PK Miss",A1:CV300,178,FALSE)</f>
        <v>3</v>
      </c>
      <c r="AN178" s="31944">
        <f>IF(HLOOKUP("BC - Open",A1:CV300,178,FALSE)=0,0,HLOOKUP("BC - Open Miss",A1:CV300,178,FALSE)/HLOOKUP("BC - Open",A1:CV300,178,FALSE))</f>
        <v>0.6</v>
      </c>
      <c r="AO178" s="31945">
        <v>3</v>
      </c>
      <c r="AP178" s="31946">
        <f>IF(HLOOKUP("Gs",A1:CV300,178,FALSE)=0,0,HLOOKUP("GIB",A1:CV300,178,FALSE)/HLOOKUP("Gs",A1:CV300,178,FALSE))</f>
        <v>1</v>
      </c>
      <c r="AQ178" s="31947">
        <v>1</v>
      </c>
      <c r="AR178" s="31948">
        <f>IF(HLOOKUP("Gs",A1:CV300,178,FALSE)=0,0,HLOOKUP("Gs - Open",A1:CV300,178,FALSE)/HLOOKUP("Gs",A1:CV300,178,FALSE))</f>
        <v>0.33333333333333331</v>
      </c>
      <c r="AS178" s="31949">
        <v>3.94</v>
      </c>
      <c r="AT178" s="31950">
        <v>3.19</v>
      </c>
      <c r="AU178" s="31951">
        <f>IF(HLOOKUP("Mins",A1:CV300,178,FALSE)=0,0,HLOOKUP("Pts",A1:CV300,178,FALSE)/HLOOKUP("Mins",A1:CV300,178,FALSE)* 90)</f>
        <v>6.8671454219030528</v>
      </c>
      <c r="AV178" s="31952">
        <f>IF(HLOOKUP("Apps",A1:CV300,178,FALSE)=0,0,HLOOKUP("Pts",A1:CV300,178,FALSE)/HLOOKUP("Apps",A1:CV300,178,FALSE)* 1)</f>
        <v>5</v>
      </c>
      <c r="AW178" s="31953">
        <f>IF(HLOOKUP("Mins",A1:CV300,178,FALSE)=0,0,HLOOKUP("Gs",A1:CV300,178,FALSE)/HLOOKUP("Mins",A1:CV300,178,FALSE)* 90)</f>
        <v>0.24236983842010773</v>
      </c>
      <c r="AX178" s="31954">
        <f>IF(HLOOKUP("Mins",A1:CV300,178,FALSE)=0,0,HLOOKUP("Bonus",A1:CV300,178,FALSE)/HLOOKUP("Mins",A1:CV300,178,FALSE)* 90)</f>
        <v>0.64631956912028732</v>
      </c>
      <c r="AY178" s="31955">
        <f>IF(HLOOKUP("Mins",A1:CV300,178,FALSE)=0,0,HLOOKUP("BPS",A1:CV300,178,FALSE)/HLOOKUP("Mins",A1:CV300,178,FALSE)* 90)</f>
        <v>26.01436265709156</v>
      </c>
      <c r="AZ178" s="31956">
        <f>IF(HLOOKUP("Mins",A1:CV300,178,FALSE)=0,0,HLOOKUP("Base BPS",A1:CV300,178,FALSE)/HLOOKUP("Mins",A1:CV300,178,FALSE)* 90)</f>
        <v>15.107719928186714</v>
      </c>
      <c r="BA178" s="31957">
        <f>IF(HLOOKUP("Mins",A1:CV300,178,FALSE)=0,0,HLOOKUP("PenTchs",A1:CV300,178,FALSE)/HLOOKUP("Mins",A1:CV300,178,FALSE)* 90)</f>
        <v>9.3716337522441648</v>
      </c>
      <c r="BB178" s="31958">
        <f>IF(HLOOKUP("Mins",A1:CV300,178,FALSE)=0,0,HLOOKUP("Shots",A1:CV300,178,FALSE)/HLOOKUP("Mins",A1:CV300,178,FALSE)* 90)</f>
        <v>2.3429084380610412</v>
      </c>
      <c r="BC178" s="31959">
        <f>IF(HLOOKUP("Mins",A1:CV300,178,FALSE)=0,0,HLOOKUP("SIB",A1:CV300,178,FALSE)/HLOOKUP("Mins",A1:CV300,178,FALSE)* 90)</f>
        <v>1.5350089766606823</v>
      </c>
      <c r="BD178" s="31960">
        <f>IF(HLOOKUP("Mins",A1:CV300,178,FALSE)=0,0,HLOOKUP("S6YD",A1:CV300,178,FALSE)/HLOOKUP("Mins",A1:CV300,178,FALSE)* 90)</f>
        <v>0.32315978456014366</v>
      </c>
      <c r="BE178" s="31961">
        <f>IF(HLOOKUP("Mins",A1:CV300,178,FALSE)=0,0,HLOOKUP("Headers",A1:CV300,178,FALSE)/HLOOKUP("Mins",A1:CV300,178,FALSE)* 90)</f>
        <v>0.16157989228007183</v>
      </c>
      <c r="BF178" s="31962">
        <f>IF(HLOOKUP("Mins",A1:CV300,178,FALSE)=0,0,HLOOKUP("SOT",A1:CV300,178,FALSE)/HLOOKUP("Mins",A1:CV300,178,FALSE)* 90)</f>
        <v>0.72710951526032308</v>
      </c>
      <c r="BG178" s="31963">
        <f>IF(HLOOKUP("Mins",A1:CV300,178,FALSE)=0,0,HLOOKUP("As",A1:CV300,178,FALSE)/HLOOKUP("Mins",A1:CV300,178,FALSE)* 90)</f>
        <v>0.56552962298025133</v>
      </c>
      <c r="BH178" s="31964">
        <f>IF(HLOOKUP("Mins",A1:CV300,178,FALSE)=0,0,HLOOKUP("FPL As",A1:CV300,178,FALSE)/HLOOKUP("Mins",A1:CV300,178,FALSE)* 90)</f>
        <v>0.72710951526032308</v>
      </c>
      <c r="BI178" s="31965">
        <f>IF(HLOOKUP("Mins",A1:CV300,178,FALSE)=0,0,HLOOKUP("BC Created",A1:CV300,178,FALSE)/HLOOKUP("Mins",A1:CV300,178,FALSE)* 90)</f>
        <v>0.48473967684021546</v>
      </c>
      <c r="BJ178" s="31966">
        <f>IF(HLOOKUP("Mins",A1:CV300,178,FALSE)=0,0,HLOOKUP("KP",A1:CV300,178,FALSE)/HLOOKUP("Mins",A1:CV300,178,FALSE)* 90)</f>
        <v>2.4236983842010771</v>
      </c>
      <c r="BK178" s="31967">
        <f>IF(HLOOKUP("Mins",A1:CV300,178,FALSE)=0,0,HLOOKUP("BC",A1:CV300,178,FALSE)/HLOOKUP("Mins",A1:CV300,178,FALSE)* 90)</f>
        <v>0.40394973070017953</v>
      </c>
      <c r="BL178" s="31968">
        <f>IF(HLOOKUP("Mins",A1:CV300,178,FALSE)=0,0,HLOOKUP("BC Miss",A1:CV300,178,FALSE)/HLOOKUP("Mins",A1:CV300,178,FALSE)* 90)</f>
        <v>0.24236983842010773</v>
      </c>
      <c r="BM178" s="31969">
        <f>IF(HLOOKUP("Mins",A1:CV300,178,FALSE)=0,0,HLOOKUP("Gs - BC",A1:CV300,178,FALSE)/HLOOKUP("Mins",A1:CV300,178,FALSE)* 90)</f>
        <v>0.16157989228007183</v>
      </c>
      <c r="BN178" s="31970">
        <f>IF(HLOOKUP("Mins",A1:CV300,178,FALSE)=0,0,HLOOKUP("GIB",A1:CV300,178,FALSE)/HLOOKUP("Mins",A1:CV300,178,FALSE)* 90)</f>
        <v>0.24236983842010773</v>
      </c>
      <c r="BO178" s="31971">
        <f>IF(HLOOKUP("Mins",A1:CV300,178,FALSE)=0,0,HLOOKUP("Gs - Open",A1:CV300,178,FALSE)/HLOOKUP("Mins",A1:CV300,178,FALSE)* 90)</f>
        <v>8.0789946140035915E-2</v>
      </c>
      <c r="BP178" s="31972">
        <f>IF(HLOOKUP("Mins",A1:CV300,178,FALSE)=0,0,HLOOKUP("ICT Index",A1:CV300,178,FALSE)/HLOOKUP("Mins",A1:CV300,178,FALSE)* 90)</f>
        <v>11.035906642728904</v>
      </c>
      <c r="BQ178" s="31973">
        <f>IF(HLOOKUP("Mins",A1:CV300,178,FALSE)=0,0,(0.036*(HLOOKUP("Shots",A1:CV300,178,FALSE)-HLOOKUP("SIB",A1:CV300,178,FALSE))+0.142*(HLOOKUP("SIB",A1:CV300,178,FALSE)-(HLOOKUP("PK Gs",A1:CV300,178,FALSE)+HLOOKUP("PK Miss",A1:CV300,178,FALSE)))+0.75*(HLOOKUP("PK Gs",A1:CV300,178,FALSE)+HLOOKUP("PK Miss",A1:CV300,178,FALSE)))/HLOOKUP("Mins",A1:CV300,178,FALSE)*90)</f>
        <v>0.2470556552962298</v>
      </c>
      <c r="BR178" s="31974">
        <f>0.0885*HLOOKUP("KP/90",A1:CV300,178,FALSE)</f>
        <v>0.21449730700179531</v>
      </c>
      <c r="BS178" s="31975">
        <f>5*HLOOKUP("xG/90",A1:CV300,178,FALSE)+3*HLOOKUP("xA/90",A1:CV300,178,FALSE)</f>
        <v>1.878770197486535</v>
      </c>
      <c r="BT178" s="31976">
        <f>HLOOKUP("xPts/90",A1:CV300,178,FALSE)-(5*0.75*(HLOOKUP("PK Gs",A1:CV300,178,FALSE)+HLOOKUP("PK Miss",A1:CV300,178,FALSE))*90/HLOOKUP("Mins",A1:CV300,178,FALSE))</f>
        <v>1.878770197486535</v>
      </c>
      <c r="BU178" s="31977">
        <f>IF(HLOOKUP("Mins",A1:CV300,178,FALSE)=0,0,HLOOKUP("fsXG",A1:CV300,178,FALSE)/HLOOKUP("Mins",A1:CV300,178,FALSE)* 90)</f>
        <v>0.31831238779174148</v>
      </c>
      <c r="BV178" s="31978">
        <f>IF(HLOOKUP("Mins",A1:CV300,178,FALSE)=0,0,HLOOKUP("fsXA",A1:CV300,178,FALSE)/HLOOKUP("Mins",A1:CV300,178,FALSE)* 90)</f>
        <v>0.25771992818671458</v>
      </c>
      <c r="BW178" s="31979">
        <f>5*HLOOKUP("fsXG/90",A1:CV300,178,FALSE)+3*HLOOKUP("fsXA/90",A1:CV300,178,FALSE)</f>
        <v>2.3647217235188513</v>
      </c>
      <c r="BX178" s="31980">
        <v>0.31811872124671936</v>
      </c>
      <c r="BY178" s="31981">
        <v>0.35485213994979858</v>
      </c>
      <c r="BZ178" s="31982">
        <f>5*HLOOKUP("uXG/90",A1:CV300,178,FALSE)+3*HLOOKUP("uXA/90",A1:CV300,178,FALSE)</f>
        <v>2.6551500260829926</v>
      </c>
    </row>
    <row r="179" spans="1:78" x14ac:dyDescent="0.3">
      <c r="A179" s="31983" t="s">
        <v>506</v>
      </c>
      <c r="B179" s="31984" t="s">
        <v>151</v>
      </c>
      <c r="C179" s="31985">
        <v>7.9000000953674316</v>
      </c>
      <c r="D179" s="31986">
        <v>1278</v>
      </c>
      <c r="E179" s="31987">
        <v>16</v>
      </c>
      <c r="F179" s="31988">
        <v>89</v>
      </c>
      <c r="G179" s="31989">
        <v>8</v>
      </c>
      <c r="H179" s="31990">
        <v>7</v>
      </c>
      <c r="I179" s="31991">
        <v>240</v>
      </c>
      <c r="J179" s="31992">
        <f>HLOOKUP("BPS",A1:CV300,179,FALSE)-((-6*HLOOKUP("OG",A1:CV300,179,FALSE))+(-6*HLOOKUP("PK Miss",A1:CV300,179,FALSE))+(9*HLOOKUP("FPL As",A1:CV300,179,FALSE))+(0*HLOOKUP("CS",A1:CV300,179,FALSE))+(18*HLOOKUP("Gs",A1:CV300,179,FALSE)))</f>
        <v>75</v>
      </c>
      <c r="K179" s="31993">
        <v>0</v>
      </c>
      <c r="L179" s="31994">
        <v>5</v>
      </c>
      <c r="M179" s="31995">
        <v>84</v>
      </c>
      <c r="N179" s="31996">
        <v>40</v>
      </c>
      <c r="O179" s="31997">
        <v>27</v>
      </c>
      <c r="P179" s="31998">
        <f>IF(HLOOKUP("Shots",A1:CV300,179,FALSE)=0,0,HLOOKUP("SIB",A1:CV300,179,FALSE)/HLOOKUP("Shots",A1:CV300,179,FALSE))</f>
        <v>0.67500000000000004</v>
      </c>
      <c r="Q179" s="31999">
        <v>4</v>
      </c>
      <c r="R179" s="32000">
        <f>IF(HLOOKUP("Shots",A1:CV300,179,FALSE)=0,0,HLOOKUP("S6YD",A1:CV300,179,FALSE)/HLOOKUP("Shots",A1:CV300,179,FALSE))</f>
        <v>0.1</v>
      </c>
      <c r="S179" s="32001">
        <v>2</v>
      </c>
      <c r="T179" s="32002">
        <f>IF(HLOOKUP("Shots",A1:CV300,179,FALSE)=0,0,HLOOKUP("Headers",A1:CV300,179,FALSE)/HLOOKUP("Shots",A1:CV300,179,FALSE))</f>
        <v>0.05</v>
      </c>
      <c r="U179" s="32003">
        <v>20</v>
      </c>
      <c r="V179" s="32004">
        <f>IF(HLOOKUP("Shots",A1:CV300,179,FALSE)=0,0,HLOOKUP("SOT",A1:CV300,179,FALSE)/HLOOKUP("Shots",A1:CV300,179,FALSE))</f>
        <v>0.5</v>
      </c>
      <c r="W179" s="32005">
        <f>IF(HLOOKUP("Shots",A1:CV300,179,FALSE)=0,0,HLOOKUP("Gs",A1:CV300,179,FALSE)/HLOOKUP("Shots",A1:CV300,179,FALSE))</f>
        <v>0.2</v>
      </c>
      <c r="X179" s="32006">
        <v>3</v>
      </c>
      <c r="Y179" s="32007">
        <v>3</v>
      </c>
      <c r="Z179" s="32008">
        <v>15</v>
      </c>
      <c r="AA179" s="32009">
        <f>IF(HLOOKUP("KP",A1:CV300,179,FALSE)=0,0,HLOOKUP("As",A1:CV300,179,FALSE)/HLOOKUP("KP",A1:CV300,179,FALSE))</f>
        <v>0.2</v>
      </c>
      <c r="AB179" s="32010">
        <v>133.19999999999999</v>
      </c>
      <c r="AC179" s="32011">
        <v>38</v>
      </c>
      <c r="AD179" s="32012">
        <v>5</v>
      </c>
      <c r="AE179" s="32013">
        <v>10</v>
      </c>
      <c r="AF179" s="32014">
        <v>5</v>
      </c>
      <c r="AG179" s="32015">
        <f>IF(HLOOKUP("BC",A1:CV300,179,FALSE)=0,0,HLOOKUP("Gs - BC",A1:CV300,179,FALSE)/HLOOKUP("BC",A1:CV300,179,FALSE))</f>
        <v>0.5</v>
      </c>
      <c r="AH179" s="32016">
        <f>HLOOKUP("BC",A1:CV300,179,FALSE) - HLOOKUP("BC Miss",A1:CV300,179,FALSE)</f>
        <v>5</v>
      </c>
      <c r="AI179" s="32017">
        <f>IF(HLOOKUP("Gs",A1:CV300,179,FALSE)=0,0,HLOOKUP("Gs - BC",A1:CV300,179,FALSE)/HLOOKUP("Gs",A1:CV300,179,FALSE))</f>
        <v>0.625</v>
      </c>
      <c r="AJ179" s="32018">
        <v>0</v>
      </c>
      <c r="AK179" s="32019">
        <v>1</v>
      </c>
      <c r="AL179" s="32020">
        <f>HLOOKUP("BC",A1:CV300,179,FALSE) - (HLOOKUP("PK Gs",A1:CV300,179,FALSE) + HLOOKUP("PK Miss",A1:CV300,179,FALSE))</f>
        <v>9</v>
      </c>
      <c r="AM179" s="32021">
        <f>HLOOKUP("BC Miss",A1:CV300,179,FALSE) - HLOOKUP("PK Miss",A1:CV300,179,FALSE)</f>
        <v>4</v>
      </c>
      <c r="AN179" s="32022">
        <f>IF(HLOOKUP("BC - Open",A1:CV300,179,FALSE)=0,0,HLOOKUP("BC - Open Miss",A1:CV300,179,FALSE)/HLOOKUP("BC - Open",A1:CV300,179,FALSE))</f>
        <v>0.44444444444444442</v>
      </c>
      <c r="AO179" s="32023">
        <v>8</v>
      </c>
      <c r="AP179" s="32024">
        <f>IF(HLOOKUP("Gs",A1:CV300,179,FALSE)=0,0,HLOOKUP("GIB",A1:CV300,179,FALSE)/HLOOKUP("Gs",A1:CV300,179,FALSE))</f>
        <v>1</v>
      </c>
      <c r="AQ179" s="32025">
        <v>7</v>
      </c>
      <c r="AR179" s="32026">
        <f>IF(HLOOKUP("Gs",A1:CV300,179,FALSE)=0,0,HLOOKUP("Gs - Open",A1:CV300,179,FALSE)/HLOOKUP("Gs",A1:CV300,179,FALSE))</f>
        <v>0.875</v>
      </c>
      <c r="AS179" s="32027">
        <v>6.54</v>
      </c>
      <c r="AT179" s="32028">
        <v>1.86</v>
      </c>
      <c r="AU179" s="32029">
        <f>IF(HLOOKUP("Mins",A1:CV300,179,FALSE)=0,0,HLOOKUP("Pts",A1:CV300,179,FALSE)/HLOOKUP("Mins",A1:CV300,179,FALSE)* 90)</f>
        <v>6.2676056338028179</v>
      </c>
      <c r="AV179" s="32030">
        <f>IF(HLOOKUP("Apps",A1:CV300,179,FALSE)=0,0,HLOOKUP("Pts",A1:CV300,179,FALSE)/HLOOKUP("Apps",A1:CV300,179,FALSE)* 1)</f>
        <v>5.5625</v>
      </c>
      <c r="AW179" s="32031">
        <f>IF(HLOOKUP("Mins",A1:CV300,179,FALSE)=0,0,HLOOKUP("Gs",A1:CV300,179,FALSE)/HLOOKUP("Mins",A1:CV300,179,FALSE)* 90)</f>
        <v>0.56338028169014087</v>
      </c>
      <c r="AX179" s="32032">
        <f>IF(HLOOKUP("Mins",A1:CV300,179,FALSE)=0,0,HLOOKUP("Bonus",A1:CV300,179,FALSE)/HLOOKUP("Mins",A1:CV300,179,FALSE)* 90)</f>
        <v>0.49295774647887325</v>
      </c>
      <c r="AY179" s="32033">
        <f>IF(HLOOKUP("Mins",A1:CV300,179,FALSE)=0,0,HLOOKUP("BPS",A1:CV300,179,FALSE)/HLOOKUP("Mins",A1:CV300,179,FALSE)* 90)</f>
        <v>16.901408450704224</v>
      </c>
      <c r="AZ179" s="32034">
        <f>IF(HLOOKUP("Mins",A1:CV300,179,FALSE)=0,0,HLOOKUP("Base BPS",A1:CV300,179,FALSE)/HLOOKUP("Mins",A1:CV300,179,FALSE)* 90)</f>
        <v>5.28169014084507</v>
      </c>
      <c r="BA179" s="32035">
        <f>IF(HLOOKUP("Mins",A1:CV300,179,FALSE)=0,0,HLOOKUP("PenTchs",A1:CV300,179,FALSE)/HLOOKUP("Mins",A1:CV300,179,FALSE)* 90)</f>
        <v>5.915492957746479</v>
      </c>
      <c r="BB179" s="32036">
        <f>IF(HLOOKUP("Mins",A1:CV300,179,FALSE)=0,0,HLOOKUP("Shots",A1:CV300,179,FALSE)/HLOOKUP("Mins",A1:CV300,179,FALSE)* 90)</f>
        <v>2.8169014084507045</v>
      </c>
      <c r="BC179" s="32037">
        <f>IF(HLOOKUP("Mins",A1:CV300,179,FALSE)=0,0,HLOOKUP("SIB",A1:CV300,179,FALSE)/HLOOKUP("Mins",A1:CV300,179,FALSE)* 90)</f>
        <v>1.9014084507042253</v>
      </c>
      <c r="BD179" s="32038">
        <f>IF(HLOOKUP("Mins",A1:CV300,179,FALSE)=0,0,HLOOKUP("S6YD",A1:CV300,179,FALSE)/HLOOKUP("Mins",A1:CV300,179,FALSE)* 90)</f>
        <v>0.28169014084507044</v>
      </c>
      <c r="BE179" s="32039">
        <f>IF(HLOOKUP("Mins",A1:CV300,179,FALSE)=0,0,HLOOKUP("Headers",A1:CV300,179,FALSE)/HLOOKUP("Mins",A1:CV300,179,FALSE)* 90)</f>
        <v>0.14084507042253522</v>
      </c>
      <c r="BF179" s="32040">
        <f>IF(HLOOKUP("Mins",A1:CV300,179,FALSE)=0,0,HLOOKUP("SOT",A1:CV300,179,FALSE)/HLOOKUP("Mins",A1:CV300,179,FALSE)* 90)</f>
        <v>1.4084507042253522</v>
      </c>
      <c r="BG179" s="32041">
        <f>IF(HLOOKUP("Mins",A1:CV300,179,FALSE)=0,0,HLOOKUP("As",A1:CV300,179,FALSE)/HLOOKUP("Mins",A1:CV300,179,FALSE)* 90)</f>
        <v>0.21126760563380281</v>
      </c>
      <c r="BH179" s="32042">
        <f>IF(HLOOKUP("Mins",A1:CV300,179,FALSE)=0,0,HLOOKUP("FPL As",A1:CV300,179,FALSE)/HLOOKUP("Mins",A1:CV300,179,FALSE)* 90)</f>
        <v>0.21126760563380281</v>
      </c>
      <c r="BI179" s="32043">
        <f>IF(HLOOKUP("Mins",A1:CV300,179,FALSE)=0,0,HLOOKUP("BC Created",A1:CV300,179,FALSE)/HLOOKUP("Mins",A1:CV300,179,FALSE)* 90)</f>
        <v>0.35211267605633806</v>
      </c>
      <c r="BJ179" s="32044">
        <f>IF(HLOOKUP("Mins",A1:CV300,179,FALSE)=0,0,HLOOKUP("KP",A1:CV300,179,FALSE)/HLOOKUP("Mins",A1:CV300,179,FALSE)* 90)</f>
        <v>1.056338028169014</v>
      </c>
      <c r="BK179" s="32045">
        <f>IF(HLOOKUP("Mins",A1:CV300,179,FALSE)=0,0,HLOOKUP("BC",A1:CV300,179,FALSE)/HLOOKUP("Mins",A1:CV300,179,FALSE)* 90)</f>
        <v>0.70422535211267612</v>
      </c>
      <c r="BL179" s="32046">
        <f>IF(HLOOKUP("Mins",A1:CV300,179,FALSE)=0,0,HLOOKUP("BC Miss",A1:CV300,179,FALSE)/HLOOKUP("Mins",A1:CV300,179,FALSE)* 90)</f>
        <v>0.35211267605633806</v>
      </c>
      <c r="BM179" s="32047">
        <f>IF(HLOOKUP("Mins",A1:CV300,179,FALSE)=0,0,HLOOKUP("Gs - BC",A1:CV300,179,FALSE)/HLOOKUP("Mins",A1:CV300,179,FALSE)* 90)</f>
        <v>0.35211267605633806</v>
      </c>
      <c r="BN179" s="32048">
        <f>IF(HLOOKUP("Mins",A1:CV300,179,FALSE)=0,0,HLOOKUP("GIB",A1:CV300,179,FALSE)/HLOOKUP("Mins",A1:CV300,179,FALSE)* 90)</f>
        <v>0.56338028169014087</v>
      </c>
      <c r="BO179" s="32049">
        <f>IF(HLOOKUP("Mins",A1:CV300,179,FALSE)=0,0,HLOOKUP("Gs - Open",A1:CV300,179,FALSE)/HLOOKUP("Mins",A1:CV300,179,FALSE)* 90)</f>
        <v>0.49295774647887325</v>
      </c>
      <c r="BP179" s="32050">
        <f>IF(HLOOKUP("Mins",A1:CV300,179,FALSE)=0,0,HLOOKUP("ICT Index",A1:CV300,179,FALSE)/HLOOKUP("Mins",A1:CV300,179,FALSE)* 90)</f>
        <v>9.3802816901408441</v>
      </c>
      <c r="BQ179" s="32051">
        <f>IF(HLOOKUP("Mins",A1:CV300,179,FALSE)=0,0,(0.036*(HLOOKUP("Shots",A1:CV300,179,FALSE)-HLOOKUP("SIB",A1:CV300,179,FALSE))+0.142*(HLOOKUP("SIB",A1:CV300,179,FALSE)-(HLOOKUP("PK Gs",A1:CV300,179,FALSE)+HLOOKUP("PK Miss",A1:CV300,179,FALSE)))+0.75*(HLOOKUP("PK Gs",A1:CV300,179,FALSE)+HLOOKUP("PK Miss",A1:CV300,179,FALSE)))/HLOOKUP("Mins",A1:CV300,179,FALSE)*90)</f>
        <v>0.34577464788732393</v>
      </c>
      <c r="BR179" s="32052">
        <f>0.0885*HLOOKUP("KP/90",A1:CV300,179,FALSE)</f>
        <v>9.3485915492957733E-2</v>
      </c>
      <c r="BS179" s="32053">
        <f>5*HLOOKUP("xG/90",A1:CV300,179,FALSE)+3*HLOOKUP("xA/90",A1:CV300,179,FALSE)</f>
        <v>2.0093309859154926</v>
      </c>
      <c r="BT179" s="32054">
        <f>HLOOKUP("xPts/90",A1:CV300,179,FALSE)-(5*0.75*(HLOOKUP("PK Gs",A1:CV300,179,FALSE)+HLOOKUP("PK Miss",A1:CV300,179,FALSE))*90/HLOOKUP("Mins",A1:CV300,179,FALSE))</f>
        <v>1.7452464788732391</v>
      </c>
      <c r="BU179" s="32055">
        <f>IF(HLOOKUP("Mins",A1:CV300,179,FALSE)=0,0,HLOOKUP("fsXG",A1:CV300,179,FALSE)/HLOOKUP("Mins",A1:CV300,179,FALSE)* 90)</f>
        <v>0.46056338028169014</v>
      </c>
      <c r="BV179" s="32056">
        <f>IF(HLOOKUP("Mins",A1:CV300,179,FALSE)=0,0,HLOOKUP("fsXA",A1:CV300,179,FALSE)/HLOOKUP("Mins",A1:CV300,179,FALSE)* 90)</f>
        <v>0.13098591549295774</v>
      </c>
      <c r="BW179" s="32057">
        <f>5*HLOOKUP("fsXG/90",A1:CV300,179,FALSE)+3*HLOOKUP("fsXA/90",A1:CV300,179,FALSE)</f>
        <v>2.6957746478873239</v>
      </c>
      <c r="BX179" s="32058">
        <v>0.4930594265460968</v>
      </c>
      <c r="BY179" s="32059">
        <v>0.15850737690925598</v>
      </c>
      <c r="BZ179" s="32060">
        <f>5*HLOOKUP("uXG/90",A1:CV300,179,FALSE)+3*HLOOKUP("uXA/90",A1:CV300,179,FALSE)</f>
        <v>2.940819263458252</v>
      </c>
    </row>
    <row r="180" spans="1:78" x14ac:dyDescent="0.3">
      <c r="A180" s="32061" t="s">
        <v>507</v>
      </c>
      <c r="B180" s="32062" t="s">
        <v>93</v>
      </c>
      <c r="C180" s="32063">
        <v>4.8000001907348633</v>
      </c>
      <c r="D180" s="32064">
        <v>1557</v>
      </c>
      <c r="E180" s="32065">
        <v>19</v>
      </c>
      <c r="F180" s="32066">
        <v>35</v>
      </c>
      <c r="G180" s="32067">
        <v>0</v>
      </c>
      <c r="H180" s="32068">
        <v>2</v>
      </c>
      <c r="I180" s="32069">
        <v>227</v>
      </c>
      <c r="J180" s="32070">
        <f>HLOOKUP("BPS",A1:CV300,180,FALSE)-((-6*HLOOKUP("OG",A1:CV300,180,FALSE))+(-6*HLOOKUP("PK Miss",A1:CV300,180,FALSE))+(9*HLOOKUP("FPL As",A1:CV300,180,FALSE))+(0*HLOOKUP("CS",A1:CV300,180,FALSE))+(18*HLOOKUP("Gs",A1:CV300,180,FALSE)))</f>
        <v>218</v>
      </c>
      <c r="K180" s="32071">
        <v>0</v>
      </c>
      <c r="L180" s="32072">
        <v>3</v>
      </c>
      <c r="M180" s="32073">
        <v>3</v>
      </c>
      <c r="N180" s="32074">
        <v>17</v>
      </c>
      <c r="O180" s="32075">
        <v>0</v>
      </c>
      <c r="P180" s="32076">
        <f>IF(HLOOKUP("Shots",A1:CV300,180,FALSE)=0,0,HLOOKUP("SIB",A1:CV300,180,FALSE)/HLOOKUP("Shots",A1:CV300,180,FALSE))</f>
        <v>0</v>
      </c>
      <c r="Q180" s="32077">
        <v>0</v>
      </c>
      <c r="R180" s="32078">
        <f>IF(HLOOKUP("Shots",A1:CV300,180,FALSE)=0,0,HLOOKUP("S6YD",A1:CV300,180,FALSE)/HLOOKUP("Shots",A1:CV300,180,FALSE))</f>
        <v>0</v>
      </c>
      <c r="S180" s="32079">
        <v>0</v>
      </c>
      <c r="T180" s="32080">
        <f>IF(HLOOKUP("Shots",A1:CV300,180,FALSE)=0,0,HLOOKUP("Headers",A1:CV300,180,FALSE)/HLOOKUP("Shots",A1:CV300,180,FALSE))</f>
        <v>0</v>
      </c>
      <c r="U180" s="32081">
        <v>1</v>
      </c>
      <c r="V180" s="32082">
        <f>IF(HLOOKUP("Shots",A1:CV300,180,FALSE)=0,0,HLOOKUP("SOT",A1:CV300,180,FALSE)/HLOOKUP("Shots",A1:CV300,180,FALSE))</f>
        <v>5.8823529411764705E-2</v>
      </c>
      <c r="W180" s="32083">
        <f>IF(HLOOKUP("Shots",A1:CV300,180,FALSE)=0,0,HLOOKUP("Gs",A1:CV300,180,FALSE)/HLOOKUP("Shots",A1:CV300,180,FALSE))</f>
        <v>0</v>
      </c>
      <c r="X180" s="32084">
        <v>1</v>
      </c>
      <c r="Y180" s="32085">
        <v>1</v>
      </c>
      <c r="Z180" s="32086">
        <v>8</v>
      </c>
      <c r="AA180" s="32087">
        <f>IF(HLOOKUP("KP",A1:CV300,180,FALSE)=0,0,HLOOKUP("As",A1:CV300,180,FALSE)/HLOOKUP("KP",A1:CV300,180,FALSE))</f>
        <v>0.125</v>
      </c>
      <c r="AB180" s="32088">
        <v>41.9</v>
      </c>
      <c r="AC180" s="32089">
        <v>6</v>
      </c>
      <c r="AD180" s="32090">
        <v>1</v>
      </c>
      <c r="AE180" s="32091">
        <v>0</v>
      </c>
      <c r="AF180" s="32092">
        <v>0</v>
      </c>
      <c r="AG180" s="32093">
        <f>IF(HLOOKUP("BC",A1:CV300,180,FALSE)=0,0,HLOOKUP("Gs - BC",A1:CV300,180,FALSE)/HLOOKUP("BC",A1:CV300,180,FALSE))</f>
        <v>0</v>
      </c>
      <c r="AH180" s="32094">
        <f>HLOOKUP("BC",A1:CV300,180,FALSE) - HLOOKUP("BC Miss",A1:CV300,180,FALSE)</f>
        <v>0</v>
      </c>
      <c r="AI180" s="32095">
        <f>IF(HLOOKUP("Gs",A1:CV300,180,FALSE)=0,0,HLOOKUP("Gs - BC",A1:CV300,180,FALSE)/HLOOKUP("Gs",A1:CV300,180,FALSE))</f>
        <v>0</v>
      </c>
      <c r="AJ180" s="32096">
        <v>0</v>
      </c>
      <c r="AK180" s="32097">
        <v>0</v>
      </c>
      <c r="AL180" s="32098">
        <f>HLOOKUP("BC",A1:CV300,180,FALSE) - (HLOOKUP("PK Gs",A1:CV300,180,FALSE) + HLOOKUP("PK Miss",A1:CV300,180,FALSE))</f>
        <v>0</v>
      </c>
      <c r="AM180" s="32099">
        <f>HLOOKUP("BC Miss",A1:CV300,180,FALSE) - HLOOKUP("PK Miss",A1:CV300,180,FALSE)</f>
        <v>0</v>
      </c>
      <c r="AN180" s="32100">
        <f>IF(HLOOKUP("BC - Open",A1:CV300,180,FALSE)=0,0,HLOOKUP("BC - Open Miss",A1:CV300,180,FALSE)/HLOOKUP("BC - Open",A1:CV300,180,FALSE))</f>
        <v>0</v>
      </c>
      <c r="AO180" s="32101">
        <v>0</v>
      </c>
      <c r="AP180" s="32102">
        <f>IF(HLOOKUP("Gs",A1:CV300,180,FALSE)=0,0,HLOOKUP("GIB",A1:CV300,180,FALSE)/HLOOKUP("Gs",A1:CV300,180,FALSE))</f>
        <v>0</v>
      </c>
      <c r="AQ180" s="32103">
        <v>0</v>
      </c>
      <c r="AR180" s="32104">
        <f>IF(HLOOKUP("Gs",A1:CV300,180,FALSE)=0,0,HLOOKUP("Gs - Open",A1:CV300,180,FALSE)/HLOOKUP("Gs",A1:CV300,180,FALSE))</f>
        <v>0</v>
      </c>
      <c r="AS180" s="32105">
        <v>0.49</v>
      </c>
      <c r="AT180" s="32106">
        <v>0.62</v>
      </c>
      <c r="AU180" s="32107">
        <f>IF(HLOOKUP("Mins",A1:CV300,180,FALSE)=0,0,HLOOKUP("Pts",A1:CV300,180,FALSE)/HLOOKUP("Mins",A1:CV300,180,FALSE)* 90)</f>
        <v>2.0231213872832368</v>
      </c>
      <c r="AV180" s="32108">
        <f>IF(HLOOKUP("Apps",A1:CV300,180,FALSE)=0,0,HLOOKUP("Pts",A1:CV300,180,FALSE)/HLOOKUP("Apps",A1:CV300,180,FALSE)* 1)</f>
        <v>1.8421052631578947</v>
      </c>
      <c r="AW180" s="32109">
        <f>IF(HLOOKUP("Mins",A1:CV300,180,FALSE)=0,0,HLOOKUP("Gs",A1:CV300,180,FALSE)/HLOOKUP("Mins",A1:CV300,180,FALSE)* 90)</f>
        <v>0</v>
      </c>
      <c r="AX180" s="32110">
        <f>IF(HLOOKUP("Mins",A1:CV300,180,FALSE)=0,0,HLOOKUP("Bonus",A1:CV300,180,FALSE)/HLOOKUP("Mins",A1:CV300,180,FALSE)* 90)</f>
        <v>0.11560693641618497</v>
      </c>
      <c r="AY180" s="32111">
        <f>IF(HLOOKUP("Mins",A1:CV300,180,FALSE)=0,0,HLOOKUP("BPS",A1:CV300,180,FALSE)/HLOOKUP("Mins",A1:CV300,180,FALSE)* 90)</f>
        <v>13.121387283236995</v>
      </c>
      <c r="AZ180" s="32112">
        <f>IF(HLOOKUP("Mins",A1:CV300,180,FALSE)=0,0,HLOOKUP("Base BPS",A1:CV300,180,FALSE)/HLOOKUP("Mins",A1:CV300,180,FALSE)* 90)</f>
        <v>12.601156069364162</v>
      </c>
      <c r="BA180" s="32113">
        <f>IF(HLOOKUP("Mins",A1:CV300,180,FALSE)=0,0,HLOOKUP("PenTchs",A1:CV300,180,FALSE)/HLOOKUP("Mins",A1:CV300,180,FALSE)* 90)</f>
        <v>0.17341040462427745</v>
      </c>
      <c r="BB180" s="32114">
        <f>IF(HLOOKUP("Mins",A1:CV300,180,FALSE)=0,0,HLOOKUP("Shots",A1:CV300,180,FALSE)/HLOOKUP("Mins",A1:CV300,180,FALSE)* 90)</f>
        <v>0.98265895953757221</v>
      </c>
      <c r="BC180" s="32115">
        <f>IF(HLOOKUP("Mins",A1:CV300,180,FALSE)=0,0,HLOOKUP("SIB",A1:CV300,180,FALSE)/HLOOKUP("Mins",A1:CV300,180,FALSE)* 90)</f>
        <v>0</v>
      </c>
      <c r="BD180" s="32116">
        <f>IF(HLOOKUP("Mins",A1:CV300,180,FALSE)=0,0,HLOOKUP("S6YD",A1:CV300,180,FALSE)/HLOOKUP("Mins",A1:CV300,180,FALSE)* 90)</f>
        <v>0</v>
      </c>
      <c r="BE180" s="32117">
        <f>IF(HLOOKUP("Mins",A1:CV300,180,FALSE)=0,0,HLOOKUP("Headers",A1:CV300,180,FALSE)/HLOOKUP("Mins",A1:CV300,180,FALSE)* 90)</f>
        <v>0</v>
      </c>
      <c r="BF180" s="32118">
        <f>IF(HLOOKUP("Mins",A1:CV300,180,FALSE)=0,0,HLOOKUP("SOT",A1:CV300,180,FALSE)/HLOOKUP("Mins",A1:CV300,180,FALSE)* 90)</f>
        <v>5.7803468208092484E-2</v>
      </c>
      <c r="BG180" s="32119">
        <f>IF(HLOOKUP("Mins",A1:CV300,180,FALSE)=0,0,HLOOKUP("As",A1:CV300,180,FALSE)/HLOOKUP("Mins",A1:CV300,180,FALSE)* 90)</f>
        <v>5.7803468208092484E-2</v>
      </c>
      <c r="BH180" s="32120">
        <f>IF(HLOOKUP("Mins",A1:CV300,180,FALSE)=0,0,HLOOKUP("FPL As",A1:CV300,180,FALSE)/HLOOKUP("Mins",A1:CV300,180,FALSE)* 90)</f>
        <v>5.7803468208092484E-2</v>
      </c>
      <c r="BI180" s="32121">
        <f>IF(HLOOKUP("Mins",A1:CV300,180,FALSE)=0,0,HLOOKUP("BC Created",A1:CV300,180,FALSE)/HLOOKUP("Mins",A1:CV300,180,FALSE)* 90)</f>
        <v>5.7803468208092484E-2</v>
      </c>
      <c r="BJ180" s="32122">
        <f>IF(HLOOKUP("Mins",A1:CV300,180,FALSE)=0,0,HLOOKUP("KP",A1:CV300,180,FALSE)/HLOOKUP("Mins",A1:CV300,180,FALSE)* 90)</f>
        <v>0.46242774566473988</v>
      </c>
      <c r="BK180" s="32123">
        <f>IF(HLOOKUP("Mins",A1:CV300,180,FALSE)=0,0,HLOOKUP("BC",A1:CV300,180,FALSE)/HLOOKUP("Mins",A1:CV300,180,FALSE)* 90)</f>
        <v>0</v>
      </c>
      <c r="BL180" s="32124">
        <f>IF(HLOOKUP("Mins",A1:CV300,180,FALSE)=0,0,HLOOKUP("BC Miss",A1:CV300,180,FALSE)/HLOOKUP("Mins",A1:CV300,180,FALSE)* 90)</f>
        <v>0</v>
      </c>
      <c r="BM180" s="32125">
        <f>IF(HLOOKUP("Mins",A1:CV300,180,FALSE)=0,0,HLOOKUP("Gs - BC",A1:CV300,180,FALSE)/HLOOKUP("Mins",A1:CV300,180,FALSE)* 90)</f>
        <v>0</v>
      </c>
      <c r="BN180" s="32126">
        <f>IF(HLOOKUP("Mins",A1:CV300,180,FALSE)=0,0,HLOOKUP("GIB",A1:CV300,180,FALSE)/HLOOKUP("Mins",A1:CV300,180,FALSE)* 90)</f>
        <v>0</v>
      </c>
      <c r="BO180" s="32127">
        <f>IF(HLOOKUP("Mins",A1:CV300,180,FALSE)=0,0,HLOOKUP("Gs - Open",A1:CV300,180,FALSE)/HLOOKUP("Mins",A1:CV300,180,FALSE)* 90)</f>
        <v>0</v>
      </c>
      <c r="BP180" s="32128">
        <f>IF(HLOOKUP("Mins",A1:CV300,180,FALSE)=0,0,HLOOKUP("ICT Index",A1:CV300,180,FALSE)/HLOOKUP("Mins",A1:CV300,180,FALSE)* 90)</f>
        <v>2.4219653179190752</v>
      </c>
      <c r="BQ180" s="32129">
        <f>IF(HLOOKUP("Mins",A1:CV300,180,FALSE)=0,0,(0.036*(HLOOKUP("Shots",A1:CV300,180,FALSE)-HLOOKUP("SIB",A1:CV300,180,FALSE))+0.142*(HLOOKUP("SIB",A1:CV300,180,FALSE)-(HLOOKUP("PK Gs",A1:CV300,180,FALSE)+HLOOKUP("PK Miss",A1:CV300,180,FALSE)))+0.75*(HLOOKUP("PK Gs",A1:CV300,180,FALSE)+HLOOKUP("PK Miss",A1:CV300,180,FALSE)))/HLOOKUP("Mins",A1:CV300,180,FALSE)*90)</f>
        <v>3.5375722543352604E-2</v>
      </c>
      <c r="BR180" s="32130">
        <f>0.0885*HLOOKUP("KP/90",A1:CV300,180,FALSE)</f>
        <v>4.092485549132948E-2</v>
      </c>
      <c r="BS180" s="32131">
        <f>5*HLOOKUP("xG/90",A1:CV300,180,FALSE)+3*HLOOKUP("xA/90",A1:CV300,180,FALSE)</f>
        <v>0.29965317919075146</v>
      </c>
      <c r="BT180" s="32132">
        <f>HLOOKUP("xPts/90",A1:CV300,180,FALSE)-(5*0.75*(HLOOKUP("PK Gs",A1:CV300,180,FALSE)+HLOOKUP("PK Miss",A1:CV300,180,FALSE))*90/HLOOKUP("Mins",A1:CV300,180,FALSE))</f>
        <v>0.29965317919075146</v>
      </c>
      <c r="BU180" s="32133">
        <f>IF(HLOOKUP("Mins",A1:CV300,180,FALSE)=0,0,HLOOKUP("fsXG",A1:CV300,180,FALSE)/HLOOKUP("Mins",A1:CV300,180,FALSE)* 90)</f>
        <v>2.8323699421965314E-2</v>
      </c>
      <c r="BV180" s="32134">
        <f>IF(HLOOKUP("Mins",A1:CV300,180,FALSE)=0,0,HLOOKUP("fsXA",A1:CV300,180,FALSE)/HLOOKUP("Mins",A1:CV300,180,FALSE)* 90)</f>
        <v>3.5838150289017344E-2</v>
      </c>
      <c r="BW180" s="32135">
        <f>5*HLOOKUP("fsXG/90",A1:CV300,180,FALSE)+3*HLOOKUP("fsXA/90",A1:CV300,180,FALSE)</f>
        <v>0.2491329479768786</v>
      </c>
      <c r="BX180" s="32136">
        <v>1.9656896591186523E-2</v>
      </c>
      <c r="BY180" s="32137">
        <v>4.2209681123495102E-2</v>
      </c>
      <c r="BZ180" s="32138">
        <f>5*HLOOKUP("uXG/90",A1:CV300,180,FALSE)+3*HLOOKUP("uXA/90",A1:CV300,180,FALSE)</f>
        <v>0.22491352632641792</v>
      </c>
    </row>
    <row r="181" spans="1:78" x14ac:dyDescent="0.3">
      <c r="A181" s="32139" t="s">
        <v>508</v>
      </c>
      <c r="B181" s="32140" t="s">
        <v>147</v>
      </c>
      <c r="C181" s="32141">
        <v>5.3000001907348633</v>
      </c>
      <c r="D181" s="32142">
        <v>499</v>
      </c>
      <c r="E181" s="32143">
        <v>14</v>
      </c>
      <c r="F181" s="32144">
        <v>36</v>
      </c>
      <c r="G181" s="32145">
        <v>1</v>
      </c>
      <c r="H181" s="32146">
        <v>3</v>
      </c>
      <c r="I181" s="32147">
        <v>124</v>
      </c>
      <c r="J181" s="32148">
        <f>HLOOKUP("BPS",A1:CV300,181,FALSE)-((-6*HLOOKUP("OG",A1:CV300,181,FALSE))+(-6*HLOOKUP("PK Miss",A1:CV300,181,FALSE))+(9*HLOOKUP("FPL As",A1:CV300,181,FALSE))+(0*HLOOKUP("CS",A1:CV300,181,FALSE))+(18*HLOOKUP("Gs",A1:CV300,181,FALSE)))</f>
        <v>79</v>
      </c>
      <c r="K181" s="32149">
        <v>0</v>
      </c>
      <c r="L181" s="32150">
        <v>2</v>
      </c>
      <c r="M181" s="32151">
        <v>35</v>
      </c>
      <c r="N181" s="32152">
        <v>18</v>
      </c>
      <c r="O181" s="32153">
        <v>12</v>
      </c>
      <c r="P181" s="32154">
        <f>IF(HLOOKUP("Shots",A1:CV300,181,FALSE)=0,0,HLOOKUP("SIB",A1:CV300,181,FALSE)/HLOOKUP("Shots",A1:CV300,181,FALSE))</f>
        <v>0.66666666666666663</v>
      </c>
      <c r="Q181" s="32155">
        <v>1</v>
      </c>
      <c r="R181" s="32156">
        <f>IF(HLOOKUP("Shots",A1:CV300,181,FALSE)=0,0,HLOOKUP("S6YD",A1:CV300,181,FALSE)/HLOOKUP("Shots",A1:CV300,181,FALSE))</f>
        <v>5.5555555555555552E-2</v>
      </c>
      <c r="S181" s="32157">
        <v>0</v>
      </c>
      <c r="T181" s="32158">
        <f>IF(HLOOKUP("Shots",A1:CV300,181,FALSE)=0,0,HLOOKUP("Headers",A1:CV300,181,FALSE)/HLOOKUP("Shots",A1:CV300,181,FALSE))</f>
        <v>0</v>
      </c>
      <c r="U181" s="32159">
        <v>3</v>
      </c>
      <c r="V181" s="32160">
        <f>IF(HLOOKUP("Shots",A1:CV300,181,FALSE)=0,0,HLOOKUP("SOT",A1:CV300,181,FALSE)/HLOOKUP("Shots",A1:CV300,181,FALSE))</f>
        <v>0.16666666666666666</v>
      </c>
      <c r="W181" s="32161">
        <f>IF(HLOOKUP("Shots",A1:CV300,181,FALSE)=0,0,HLOOKUP("Gs",A1:CV300,181,FALSE)/HLOOKUP("Shots",A1:CV300,181,FALSE))</f>
        <v>5.5555555555555552E-2</v>
      </c>
      <c r="X181" s="32162">
        <v>3</v>
      </c>
      <c r="Y181" s="32163">
        <v>3</v>
      </c>
      <c r="Z181" s="32164">
        <v>14</v>
      </c>
      <c r="AA181" s="32165">
        <f>IF(HLOOKUP("KP",A1:CV300,181,FALSE)=0,0,HLOOKUP("As",A1:CV300,181,FALSE)/HLOOKUP("KP",A1:CV300,181,FALSE))</f>
        <v>0.21428571428571427</v>
      </c>
      <c r="AB181" s="32166">
        <v>65</v>
      </c>
      <c r="AC181" s="32167">
        <v>40</v>
      </c>
      <c r="AD181" s="32168">
        <v>3</v>
      </c>
      <c r="AE181" s="32169">
        <v>2</v>
      </c>
      <c r="AF181" s="32170">
        <v>1</v>
      </c>
      <c r="AG181" s="32171">
        <f>IF(HLOOKUP("BC",A1:CV300,181,FALSE)=0,0,HLOOKUP("Gs - BC",A1:CV300,181,FALSE)/HLOOKUP("BC",A1:CV300,181,FALSE))</f>
        <v>0.5</v>
      </c>
      <c r="AH181" s="32172">
        <f>HLOOKUP("BC",A1:CV300,181,FALSE) - HLOOKUP("BC Miss",A1:CV300,181,FALSE)</f>
        <v>1</v>
      </c>
      <c r="AI181" s="32173">
        <f>IF(HLOOKUP("Gs",A1:CV300,181,FALSE)=0,0,HLOOKUP("Gs - BC",A1:CV300,181,FALSE)/HLOOKUP("Gs",A1:CV300,181,FALSE))</f>
        <v>1</v>
      </c>
      <c r="AJ181" s="32174">
        <v>0</v>
      </c>
      <c r="AK181" s="32175">
        <v>0</v>
      </c>
      <c r="AL181" s="32176">
        <f>HLOOKUP("BC",A1:CV300,181,FALSE) - (HLOOKUP("PK Gs",A1:CV300,181,FALSE) + HLOOKUP("PK Miss",A1:CV300,181,FALSE))</f>
        <v>2</v>
      </c>
      <c r="AM181" s="32177">
        <f>HLOOKUP("BC Miss",A1:CV300,181,FALSE) - HLOOKUP("PK Miss",A1:CV300,181,FALSE)</f>
        <v>1</v>
      </c>
      <c r="AN181" s="32178">
        <f>IF(HLOOKUP("BC - Open",A1:CV300,181,FALSE)=0,0,HLOOKUP("BC - Open Miss",A1:CV300,181,FALSE)/HLOOKUP("BC - Open",A1:CV300,181,FALSE))</f>
        <v>0.5</v>
      </c>
      <c r="AO181" s="32179">
        <v>1</v>
      </c>
      <c r="AP181" s="32180">
        <f>IF(HLOOKUP("Gs",A1:CV300,181,FALSE)=0,0,HLOOKUP("GIB",A1:CV300,181,FALSE)/HLOOKUP("Gs",A1:CV300,181,FALSE))</f>
        <v>1</v>
      </c>
      <c r="AQ181" s="32181">
        <v>1</v>
      </c>
      <c r="AR181" s="32182">
        <f>IF(HLOOKUP("Gs",A1:CV300,181,FALSE)=0,0,HLOOKUP("Gs - Open",A1:CV300,181,FALSE)/HLOOKUP("Gs",A1:CV300,181,FALSE))</f>
        <v>1</v>
      </c>
      <c r="AS181" s="32183">
        <v>1.82</v>
      </c>
      <c r="AT181" s="32184">
        <v>1.04</v>
      </c>
      <c r="AU181" s="32185">
        <f>IF(HLOOKUP("Mins",A1:CV300,181,FALSE)=0,0,HLOOKUP("Pts",A1:CV300,181,FALSE)/HLOOKUP("Mins",A1:CV300,181,FALSE)* 90)</f>
        <v>6.492985971943888</v>
      </c>
      <c r="AV181" s="32186">
        <f>IF(HLOOKUP("Apps",A1:CV300,181,FALSE)=0,0,HLOOKUP("Pts",A1:CV300,181,FALSE)/HLOOKUP("Apps",A1:CV300,181,FALSE)* 1)</f>
        <v>2.5714285714285716</v>
      </c>
      <c r="AW181" s="32187">
        <f>IF(HLOOKUP("Mins",A1:CV300,181,FALSE)=0,0,HLOOKUP("Gs",A1:CV300,181,FALSE)/HLOOKUP("Mins",A1:CV300,181,FALSE)* 90)</f>
        <v>0.18036072144288576</v>
      </c>
      <c r="AX181" s="32188">
        <f>IF(HLOOKUP("Mins",A1:CV300,181,FALSE)=0,0,HLOOKUP("Bonus",A1:CV300,181,FALSE)/HLOOKUP("Mins",A1:CV300,181,FALSE)* 90)</f>
        <v>0.5410821643286573</v>
      </c>
      <c r="AY181" s="32189">
        <f>IF(HLOOKUP("Mins",A1:CV300,181,FALSE)=0,0,HLOOKUP("BPS",A1:CV300,181,FALSE)/HLOOKUP("Mins",A1:CV300,181,FALSE)* 90)</f>
        <v>22.364729458917836</v>
      </c>
      <c r="AZ181" s="32190">
        <f>IF(HLOOKUP("Mins",A1:CV300,181,FALSE)=0,0,HLOOKUP("Base BPS",A1:CV300,181,FALSE)/HLOOKUP("Mins",A1:CV300,181,FALSE)* 90)</f>
        <v>14.248496993987976</v>
      </c>
      <c r="BA181" s="32191">
        <f>IF(HLOOKUP("Mins",A1:CV300,181,FALSE)=0,0,HLOOKUP("PenTchs",A1:CV300,181,FALSE)/HLOOKUP("Mins",A1:CV300,181,FALSE)* 90)</f>
        <v>6.3126252505010019</v>
      </c>
      <c r="BB181" s="32192">
        <f>IF(HLOOKUP("Mins",A1:CV300,181,FALSE)=0,0,HLOOKUP("Shots",A1:CV300,181,FALSE)/HLOOKUP("Mins",A1:CV300,181,FALSE)* 90)</f>
        <v>3.246492985971944</v>
      </c>
      <c r="BC181" s="32193">
        <f>IF(HLOOKUP("Mins",A1:CV300,181,FALSE)=0,0,HLOOKUP("SIB",A1:CV300,181,FALSE)/HLOOKUP("Mins",A1:CV300,181,FALSE)* 90)</f>
        <v>2.1643286573146292</v>
      </c>
      <c r="BD181" s="32194">
        <f>IF(HLOOKUP("Mins",A1:CV300,181,FALSE)=0,0,HLOOKUP("S6YD",A1:CV300,181,FALSE)/HLOOKUP("Mins",A1:CV300,181,FALSE)* 90)</f>
        <v>0.18036072144288576</v>
      </c>
      <c r="BE181" s="32195">
        <f>IF(HLOOKUP("Mins",A1:CV300,181,FALSE)=0,0,HLOOKUP("Headers",A1:CV300,181,FALSE)/HLOOKUP("Mins",A1:CV300,181,FALSE)* 90)</f>
        <v>0</v>
      </c>
      <c r="BF181" s="32196">
        <f>IF(HLOOKUP("Mins",A1:CV300,181,FALSE)=0,0,HLOOKUP("SOT",A1:CV300,181,FALSE)/HLOOKUP("Mins",A1:CV300,181,FALSE)* 90)</f>
        <v>0.5410821643286573</v>
      </c>
      <c r="BG181" s="32197">
        <f>IF(HLOOKUP("Mins",A1:CV300,181,FALSE)=0,0,HLOOKUP("As",A1:CV300,181,FALSE)/HLOOKUP("Mins",A1:CV300,181,FALSE)* 90)</f>
        <v>0.5410821643286573</v>
      </c>
      <c r="BH181" s="32198">
        <f>IF(HLOOKUP("Mins",A1:CV300,181,FALSE)=0,0,HLOOKUP("FPL As",A1:CV300,181,FALSE)/HLOOKUP("Mins",A1:CV300,181,FALSE)* 90)</f>
        <v>0.5410821643286573</v>
      </c>
      <c r="BI181" s="32199">
        <f>IF(HLOOKUP("Mins",A1:CV300,181,FALSE)=0,0,HLOOKUP("BC Created",A1:CV300,181,FALSE)/HLOOKUP("Mins",A1:CV300,181,FALSE)* 90)</f>
        <v>0.5410821643286573</v>
      </c>
      <c r="BJ181" s="32200">
        <f>IF(HLOOKUP("Mins",A1:CV300,181,FALSE)=0,0,HLOOKUP("KP",A1:CV300,181,FALSE)/HLOOKUP("Mins",A1:CV300,181,FALSE)* 90)</f>
        <v>2.5250501002004007</v>
      </c>
      <c r="BK181" s="32201">
        <f>IF(HLOOKUP("Mins",A1:CV300,181,FALSE)=0,0,HLOOKUP("BC",A1:CV300,181,FALSE)/HLOOKUP("Mins",A1:CV300,181,FALSE)* 90)</f>
        <v>0.36072144288577151</v>
      </c>
      <c r="BL181" s="32202">
        <f>IF(HLOOKUP("Mins",A1:CV300,181,FALSE)=0,0,HLOOKUP("BC Miss",A1:CV300,181,FALSE)/HLOOKUP("Mins",A1:CV300,181,FALSE)* 90)</f>
        <v>0.18036072144288576</v>
      </c>
      <c r="BM181" s="32203">
        <f>IF(HLOOKUP("Mins",A1:CV300,181,FALSE)=0,0,HLOOKUP("Gs - BC",A1:CV300,181,FALSE)/HLOOKUP("Mins",A1:CV300,181,FALSE)* 90)</f>
        <v>0.18036072144288576</v>
      </c>
      <c r="BN181" s="32204">
        <f>IF(HLOOKUP("Mins",A1:CV300,181,FALSE)=0,0,HLOOKUP("GIB",A1:CV300,181,FALSE)/HLOOKUP("Mins",A1:CV300,181,FALSE)* 90)</f>
        <v>0.18036072144288576</v>
      </c>
      <c r="BO181" s="32205">
        <f>IF(HLOOKUP("Mins",A1:CV300,181,FALSE)=0,0,HLOOKUP("Gs - Open",A1:CV300,181,FALSE)/HLOOKUP("Mins",A1:CV300,181,FALSE)* 90)</f>
        <v>0.18036072144288576</v>
      </c>
      <c r="BP181" s="32206">
        <f>IF(HLOOKUP("Mins",A1:CV300,181,FALSE)=0,0,HLOOKUP("ICT Index",A1:CV300,181,FALSE)/HLOOKUP("Mins",A1:CV300,181,FALSE)* 90)</f>
        <v>11.723446893787575</v>
      </c>
      <c r="BQ181" s="32207">
        <f>IF(HLOOKUP("Mins",A1:CV300,181,FALSE)=0,0,(0.036*(HLOOKUP("Shots",A1:CV300,181,FALSE)-HLOOKUP("SIB",A1:CV300,181,FALSE))+0.142*(HLOOKUP("SIB",A1:CV300,181,FALSE)-(HLOOKUP("PK Gs",A1:CV300,181,FALSE)+HLOOKUP("PK Miss",A1:CV300,181,FALSE)))+0.75*(HLOOKUP("PK Gs",A1:CV300,181,FALSE)+HLOOKUP("PK Miss",A1:CV300,181,FALSE)))/HLOOKUP("Mins",A1:CV300,181,FALSE)*90)</f>
        <v>0.34629258517034062</v>
      </c>
      <c r="BR181" s="32208">
        <f>0.0885*HLOOKUP("KP/90",A1:CV300,181,FALSE)</f>
        <v>0.22346693386773545</v>
      </c>
      <c r="BS181" s="32209">
        <f>5*HLOOKUP("xG/90",A1:CV300,181,FALSE)+3*HLOOKUP("xA/90",A1:CV300,181,FALSE)</f>
        <v>2.4018637274549093</v>
      </c>
      <c r="BT181" s="32210">
        <f>HLOOKUP("xPts/90",A1:CV300,181,FALSE)-(5*0.75*(HLOOKUP("PK Gs",A1:CV300,181,FALSE)+HLOOKUP("PK Miss",A1:CV300,181,FALSE))*90/HLOOKUP("Mins",A1:CV300,181,FALSE))</f>
        <v>2.4018637274549093</v>
      </c>
      <c r="BU181" s="32211">
        <f>IF(HLOOKUP("Mins",A1:CV300,181,FALSE)=0,0,HLOOKUP("fsXG",A1:CV300,181,FALSE)/HLOOKUP("Mins",A1:CV300,181,FALSE)* 90)</f>
        <v>0.32825651302605213</v>
      </c>
      <c r="BV181" s="32212">
        <f>IF(HLOOKUP("Mins",A1:CV300,181,FALSE)=0,0,HLOOKUP("fsXA",A1:CV300,181,FALSE)/HLOOKUP("Mins",A1:CV300,181,FALSE)* 90)</f>
        <v>0.18757515030060121</v>
      </c>
      <c r="BW181" s="32213">
        <f>5*HLOOKUP("fsXG/90",A1:CV300,181,FALSE)+3*HLOOKUP("fsXA/90",A1:CV300,181,FALSE)</f>
        <v>2.2040080160320645</v>
      </c>
      <c r="BX181" s="32214">
        <v>0.35461857914924622</v>
      </c>
      <c r="BY181" s="32215">
        <v>0.293458491563797</v>
      </c>
      <c r="BZ181" s="32216">
        <f>5*HLOOKUP("uXG/90",A1:CV300,181,FALSE)+3*HLOOKUP("uXA/90",A1:CV300,181,FALSE)</f>
        <v>2.6534683704376221</v>
      </c>
    </row>
    <row r="182" spans="1:78" x14ac:dyDescent="0.3">
      <c r="A182" s="32217" t="s">
        <v>509</v>
      </c>
      <c r="B182" s="32218" t="s">
        <v>132</v>
      </c>
      <c r="C182" s="32219">
        <v>5.4000000953674316</v>
      </c>
      <c r="D182" s="32220">
        <v>1443</v>
      </c>
      <c r="E182" s="32221">
        <v>20</v>
      </c>
      <c r="F182" s="32222">
        <v>60</v>
      </c>
      <c r="G182" s="32223">
        <v>1</v>
      </c>
      <c r="H182" s="32224">
        <v>3</v>
      </c>
      <c r="I182" s="32225">
        <v>304</v>
      </c>
      <c r="J182" s="32226">
        <f>HLOOKUP("BPS",A1:CV300,182,FALSE)-((-6*HLOOKUP("OG",A1:CV300,182,FALSE))+(-6*HLOOKUP("PK Miss",A1:CV300,182,FALSE))+(9*HLOOKUP("FPL As",A1:CV300,182,FALSE))+(0*HLOOKUP("CS",A1:CV300,182,FALSE))+(18*HLOOKUP("Gs",A1:CV300,182,FALSE)))</f>
        <v>268</v>
      </c>
      <c r="K182" s="32227">
        <v>0</v>
      </c>
      <c r="L182" s="32228">
        <v>10</v>
      </c>
      <c r="M182" s="32229">
        <v>25</v>
      </c>
      <c r="N182" s="32230">
        <v>9</v>
      </c>
      <c r="O182" s="32231">
        <v>6</v>
      </c>
      <c r="P182" s="32232">
        <f>IF(HLOOKUP("Shots",A1:CV300,182,FALSE)=0,0,HLOOKUP("SIB",A1:CV300,182,FALSE)/HLOOKUP("Shots",A1:CV300,182,FALSE))</f>
        <v>0.66666666666666663</v>
      </c>
      <c r="Q182" s="32233">
        <v>0</v>
      </c>
      <c r="R182" s="32234">
        <f>IF(HLOOKUP("Shots",A1:CV300,182,FALSE)=0,0,HLOOKUP("S6YD",A1:CV300,182,FALSE)/HLOOKUP("Shots",A1:CV300,182,FALSE))</f>
        <v>0</v>
      </c>
      <c r="S182" s="32235">
        <v>0</v>
      </c>
      <c r="T182" s="32236">
        <f>IF(HLOOKUP("Shots",A1:CV300,182,FALSE)=0,0,HLOOKUP("Headers",A1:CV300,182,FALSE)/HLOOKUP("Shots",A1:CV300,182,FALSE))</f>
        <v>0</v>
      </c>
      <c r="U182" s="32237">
        <v>3</v>
      </c>
      <c r="V182" s="32238">
        <f>IF(HLOOKUP("Shots",A1:CV300,182,FALSE)=0,0,HLOOKUP("SOT",A1:CV300,182,FALSE)/HLOOKUP("Shots",A1:CV300,182,FALSE))</f>
        <v>0.33333333333333331</v>
      </c>
      <c r="W182" s="32239">
        <f>IF(HLOOKUP("Shots",A1:CV300,182,FALSE)=0,0,HLOOKUP("Gs",A1:CV300,182,FALSE)/HLOOKUP("Shots",A1:CV300,182,FALSE))</f>
        <v>0.1111111111111111</v>
      </c>
      <c r="X182" s="32240">
        <v>2</v>
      </c>
      <c r="Y182" s="32241">
        <v>2</v>
      </c>
      <c r="Z182" s="32242">
        <v>16</v>
      </c>
      <c r="AA182" s="32243">
        <f>IF(HLOOKUP("KP",A1:CV300,182,FALSE)=0,0,HLOOKUP("As",A1:CV300,182,FALSE)/HLOOKUP("KP",A1:CV300,182,FALSE))</f>
        <v>0.125</v>
      </c>
      <c r="AB182" s="32244">
        <v>75.2</v>
      </c>
      <c r="AC182" s="32245">
        <v>8</v>
      </c>
      <c r="AD182" s="32246">
        <v>7</v>
      </c>
      <c r="AE182" s="32247">
        <v>0</v>
      </c>
      <c r="AF182" s="32248">
        <v>0</v>
      </c>
      <c r="AG182" s="32249">
        <f>IF(HLOOKUP("BC",A1:CV300,182,FALSE)=0,0,HLOOKUP("Gs - BC",A1:CV300,182,FALSE)/HLOOKUP("BC",A1:CV300,182,FALSE))</f>
        <v>0</v>
      </c>
      <c r="AH182" s="32250">
        <f>HLOOKUP("BC",A1:CV300,182,FALSE) - HLOOKUP("BC Miss",A1:CV300,182,FALSE)</f>
        <v>0</v>
      </c>
      <c r="AI182" s="32251">
        <f>IF(HLOOKUP("Gs",A1:CV300,182,FALSE)=0,0,HLOOKUP("Gs - BC",A1:CV300,182,FALSE)/HLOOKUP("Gs",A1:CV300,182,FALSE))</f>
        <v>0</v>
      </c>
      <c r="AJ182" s="32252">
        <v>0</v>
      </c>
      <c r="AK182" s="32253">
        <v>0</v>
      </c>
      <c r="AL182" s="32254">
        <f>HLOOKUP("BC",A1:CV300,182,FALSE) - (HLOOKUP("PK Gs",A1:CV300,182,FALSE) + HLOOKUP("PK Miss",A1:CV300,182,FALSE))</f>
        <v>0</v>
      </c>
      <c r="AM182" s="32255">
        <f>HLOOKUP("BC Miss",A1:CV300,182,FALSE) - HLOOKUP("PK Miss",A1:CV300,182,FALSE)</f>
        <v>0</v>
      </c>
      <c r="AN182" s="32256">
        <f>IF(HLOOKUP("BC - Open",A1:CV300,182,FALSE)=0,0,HLOOKUP("BC - Open Miss",A1:CV300,182,FALSE)/HLOOKUP("BC - Open",A1:CV300,182,FALSE))</f>
        <v>0</v>
      </c>
      <c r="AO182" s="32257">
        <v>1</v>
      </c>
      <c r="AP182" s="32258">
        <f>IF(HLOOKUP("Gs",A1:CV300,182,FALSE)=0,0,HLOOKUP("GIB",A1:CV300,182,FALSE)/HLOOKUP("Gs",A1:CV300,182,FALSE))</f>
        <v>1</v>
      </c>
      <c r="AQ182" s="32259">
        <v>1</v>
      </c>
      <c r="AR182" s="32260">
        <f>IF(HLOOKUP("Gs",A1:CV300,182,FALSE)=0,0,HLOOKUP("Gs - Open",A1:CV300,182,FALSE)/HLOOKUP("Gs",A1:CV300,182,FALSE))</f>
        <v>1</v>
      </c>
      <c r="AS182" s="32261">
        <v>0.46</v>
      </c>
      <c r="AT182" s="32262">
        <v>3.01</v>
      </c>
      <c r="AU182" s="32263">
        <f>IF(HLOOKUP("Mins",A1:CV300,182,FALSE)=0,0,HLOOKUP("Pts",A1:CV300,182,FALSE)/HLOOKUP("Mins",A1:CV300,182,FALSE)* 90)</f>
        <v>3.7422037422037424</v>
      </c>
      <c r="AV182" s="32264">
        <f>IF(HLOOKUP("Apps",A1:CV300,182,FALSE)=0,0,HLOOKUP("Pts",A1:CV300,182,FALSE)/HLOOKUP("Apps",A1:CV300,182,FALSE)* 1)</f>
        <v>3</v>
      </c>
      <c r="AW182" s="32265">
        <f>IF(HLOOKUP("Mins",A1:CV300,182,FALSE)=0,0,HLOOKUP("Gs",A1:CV300,182,FALSE)/HLOOKUP("Mins",A1:CV300,182,FALSE)* 90)</f>
        <v>6.2370062370062374E-2</v>
      </c>
      <c r="AX182" s="32266">
        <f>IF(HLOOKUP("Mins",A1:CV300,182,FALSE)=0,0,HLOOKUP("Bonus",A1:CV300,182,FALSE)/HLOOKUP("Mins",A1:CV300,182,FALSE)* 90)</f>
        <v>0.18711018711018712</v>
      </c>
      <c r="AY182" s="32267">
        <f>IF(HLOOKUP("Mins",A1:CV300,182,FALSE)=0,0,HLOOKUP("BPS",A1:CV300,182,FALSE)/HLOOKUP("Mins",A1:CV300,182,FALSE)* 90)</f>
        <v>18.96049896049896</v>
      </c>
      <c r="AZ182" s="32268">
        <f>IF(HLOOKUP("Mins",A1:CV300,182,FALSE)=0,0,HLOOKUP("Base BPS",A1:CV300,182,FALSE)/HLOOKUP("Mins",A1:CV300,182,FALSE)* 90)</f>
        <v>16.715176715176714</v>
      </c>
      <c r="BA182" s="32269">
        <f>IF(HLOOKUP("Mins",A1:CV300,182,FALSE)=0,0,HLOOKUP("PenTchs",A1:CV300,182,FALSE)/HLOOKUP("Mins",A1:CV300,182,FALSE)* 90)</f>
        <v>1.5592515592515592</v>
      </c>
      <c r="BB182" s="32270">
        <f>IF(HLOOKUP("Mins",A1:CV300,182,FALSE)=0,0,HLOOKUP("Shots",A1:CV300,182,FALSE)/HLOOKUP("Mins",A1:CV300,182,FALSE)* 90)</f>
        <v>0.56133056133056136</v>
      </c>
      <c r="BC182" s="32271">
        <f>IF(HLOOKUP("Mins",A1:CV300,182,FALSE)=0,0,HLOOKUP("SIB",A1:CV300,182,FALSE)/HLOOKUP("Mins",A1:CV300,182,FALSE)* 90)</f>
        <v>0.37422037422037424</v>
      </c>
      <c r="BD182" s="32272">
        <f>IF(HLOOKUP("Mins",A1:CV300,182,FALSE)=0,0,HLOOKUP("S6YD",A1:CV300,182,FALSE)/HLOOKUP("Mins",A1:CV300,182,FALSE)* 90)</f>
        <v>0</v>
      </c>
      <c r="BE182" s="32273">
        <f>IF(HLOOKUP("Mins",A1:CV300,182,FALSE)=0,0,HLOOKUP("Headers",A1:CV300,182,FALSE)/HLOOKUP("Mins",A1:CV300,182,FALSE)* 90)</f>
        <v>0</v>
      </c>
      <c r="BF182" s="32274">
        <f>IF(HLOOKUP("Mins",A1:CV300,182,FALSE)=0,0,HLOOKUP("SOT",A1:CV300,182,FALSE)/HLOOKUP("Mins",A1:CV300,182,FALSE)* 90)</f>
        <v>0.18711018711018712</v>
      </c>
      <c r="BG182" s="32275">
        <f>IF(HLOOKUP("Mins",A1:CV300,182,FALSE)=0,0,HLOOKUP("As",A1:CV300,182,FALSE)/HLOOKUP("Mins",A1:CV300,182,FALSE)* 90)</f>
        <v>0.12474012474012475</v>
      </c>
      <c r="BH182" s="32276">
        <f>IF(HLOOKUP("Mins",A1:CV300,182,FALSE)=0,0,HLOOKUP("FPL As",A1:CV300,182,FALSE)/HLOOKUP("Mins",A1:CV300,182,FALSE)* 90)</f>
        <v>0.12474012474012475</v>
      </c>
      <c r="BI182" s="32277">
        <f>IF(HLOOKUP("Mins",A1:CV300,182,FALSE)=0,0,HLOOKUP("BC Created",A1:CV300,182,FALSE)/HLOOKUP("Mins",A1:CV300,182,FALSE)* 90)</f>
        <v>0.43659043659043656</v>
      </c>
      <c r="BJ182" s="32278">
        <f>IF(HLOOKUP("Mins",A1:CV300,182,FALSE)=0,0,HLOOKUP("KP",A1:CV300,182,FALSE)/HLOOKUP("Mins",A1:CV300,182,FALSE)* 90)</f>
        <v>0.99792099792099798</v>
      </c>
      <c r="BK182" s="32279">
        <f>IF(HLOOKUP("Mins",A1:CV300,182,FALSE)=0,0,HLOOKUP("BC",A1:CV300,182,FALSE)/HLOOKUP("Mins",A1:CV300,182,FALSE)* 90)</f>
        <v>0</v>
      </c>
      <c r="BL182" s="32280">
        <f>IF(HLOOKUP("Mins",A1:CV300,182,FALSE)=0,0,HLOOKUP("BC Miss",A1:CV300,182,FALSE)/HLOOKUP("Mins",A1:CV300,182,FALSE)* 90)</f>
        <v>0</v>
      </c>
      <c r="BM182" s="32281">
        <f>IF(HLOOKUP("Mins",A1:CV300,182,FALSE)=0,0,HLOOKUP("Gs - BC",A1:CV300,182,FALSE)/HLOOKUP("Mins",A1:CV300,182,FALSE)* 90)</f>
        <v>0</v>
      </c>
      <c r="BN182" s="32282">
        <f>IF(HLOOKUP("Mins",A1:CV300,182,FALSE)=0,0,HLOOKUP("GIB",A1:CV300,182,FALSE)/HLOOKUP("Mins",A1:CV300,182,FALSE)* 90)</f>
        <v>6.2370062370062374E-2</v>
      </c>
      <c r="BO182" s="32283">
        <f>IF(HLOOKUP("Mins",A1:CV300,182,FALSE)=0,0,HLOOKUP("Gs - Open",A1:CV300,182,FALSE)/HLOOKUP("Mins",A1:CV300,182,FALSE)* 90)</f>
        <v>6.2370062370062374E-2</v>
      </c>
      <c r="BP182" s="32284">
        <f>IF(HLOOKUP("Mins",A1:CV300,182,FALSE)=0,0,HLOOKUP("ICT Index",A1:CV300,182,FALSE)/HLOOKUP("Mins",A1:CV300,182,FALSE)* 90)</f>
        <v>4.6902286902286905</v>
      </c>
      <c r="BQ182" s="32285">
        <f>IF(HLOOKUP("Mins",A1:CV300,182,FALSE)=0,0,(0.036*(HLOOKUP("Shots",A1:CV300,182,FALSE)-HLOOKUP("SIB",A1:CV300,182,FALSE))+0.142*(HLOOKUP("SIB",A1:CV300,182,FALSE)-(HLOOKUP("PK Gs",A1:CV300,182,FALSE)+HLOOKUP("PK Miss",A1:CV300,182,FALSE)))+0.75*(HLOOKUP("PK Gs",A1:CV300,182,FALSE)+HLOOKUP("PK Miss",A1:CV300,182,FALSE)))/HLOOKUP("Mins",A1:CV300,182,FALSE)*90)</f>
        <v>5.9875259875259865E-2</v>
      </c>
      <c r="BR182" s="32286">
        <f>0.0885*HLOOKUP("KP/90",A1:CV300,182,FALSE)</f>
        <v>8.8316008316008318E-2</v>
      </c>
      <c r="BS182" s="32287">
        <f>5*HLOOKUP("xG/90",A1:CV300,182,FALSE)+3*HLOOKUP("xA/90",A1:CV300,182,FALSE)</f>
        <v>0.56432432432432433</v>
      </c>
      <c r="BT182" s="32288">
        <f>HLOOKUP("xPts/90",A1:CV300,182,FALSE)-(5*0.75*(HLOOKUP("PK Gs",A1:CV300,182,FALSE)+HLOOKUP("PK Miss",A1:CV300,182,FALSE))*90/HLOOKUP("Mins",A1:CV300,182,FALSE))</f>
        <v>0.56432432432432433</v>
      </c>
      <c r="BU182" s="32289">
        <f>IF(HLOOKUP("Mins",A1:CV300,182,FALSE)=0,0,HLOOKUP("fsXG",A1:CV300,182,FALSE)/HLOOKUP("Mins",A1:CV300,182,FALSE)* 90)</f>
        <v>2.8690228690228688E-2</v>
      </c>
      <c r="BV182" s="32290">
        <f>IF(HLOOKUP("Mins",A1:CV300,182,FALSE)=0,0,HLOOKUP("fsXA",A1:CV300,182,FALSE)/HLOOKUP("Mins",A1:CV300,182,FALSE)* 90)</f>
        <v>0.18773388773388772</v>
      </c>
      <c r="BW182" s="32291">
        <f>5*HLOOKUP("fsXG/90",A1:CV300,182,FALSE)+3*HLOOKUP("fsXA/90",A1:CV300,182,FALSE)</f>
        <v>0.70665280665280661</v>
      </c>
      <c r="BX182" s="32292">
        <v>3.2925903797149658E-2</v>
      </c>
      <c r="BY182" s="32293">
        <v>0.19452452659606934</v>
      </c>
      <c r="BZ182" s="32294">
        <f>5*HLOOKUP("uXG/90",A1:CV300,182,FALSE)+3*HLOOKUP("uXA/90",A1:CV300,182,FALSE)</f>
        <v>0.7482030987739563</v>
      </c>
    </row>
    <row r="183" spans="1:78" x14ac:dyDescent="0.3">
      <c r="A183" s="32295" t="s">
        <v>510</v>
      </c>
      <c r="B183" s="32296" t="s">
        <v>132</v>
      </c>
      <c r="C183" s="32297">
        <v>6.3000001907348633</v>
      </c>
      <c r="D183" s="32298">
        <v>175</v>
      </c>
      <c r="E183" s="32299">
        <v>6</v>
      </c>
      <c r="F183" s="32300">
        <v>14</v>
      </c>
      <c r="G183" s="32301">
        <v>1</v>
      </c>
      <c r="H183" s="32302">
        <v>0</v>
      </c>
      <c r="I183" s="32303">
        <v>51</v>
      </c>
      <c r="J183" s="32304">
        <f>HLOOKUP("BPS",A1:CV300,183,FALSE)-((-6*HLOOKUP("OG",A1:CV300,183,FALSE))+(-6*HLOOKUP("PK Miss",A1:CV300,183,FALSE))+(9*HLOOKUP("FPL As",A1:CV300,183,FALSE))+(0*HLOOKUP("CS",A1:CV300,183,FALSE))+(18*HLOOKUP("Gs",A1:CV300,183,FALSE)))</f>
        <v>33</v>
      </c>
      <c r="K183" s="32305">
        <v>0</v>
      </c>
      <c r="L183" s="32306">
        <v>1</v>
      </c>
      <c r="M183" s="32307">
        <v>2</v>
      </c>
      <c r="N183" s="32308">
        <v>4</v>
      </c>
      <c r="O183" s="32309">
        <v>2</v>
      </c>
      <c r="P183" s="32310">
        <f>IF(HLOOKUP("Shots",A1:CV300,183,FALSE)=0,0,HLOOKUP("SIB",A1:CV300,183,FALSE)/HLOOKUP("Shots",A1:CV300,183,FALSE))</f>
        <v>0.5</v>
      </c>
      <c r="Q183" s="32311">
        <v>0</v>
      </c>
      <c r="R183" s="32312">
        <f>IF(HLOOKUP("Shots",A1:CV300,183,FALSE)=0,0,HLOOKUP("S6YD",A1:CV300,183,FALSE)/HLOOKUP("Shots",A1:CV300,183,FALSE))</f>
        <v>0</v>
      </c>
      <c r="S183" s="32313">
        <v>0</v>
      </c>
      <c r="T183" s="32314">
        <f>IF(HLOOKUP("Shots",A1:CV300,183,FALSE)=0,0,HLOOKUP("Headers",A1:CV300,183,FALSE)/HLOOKUP("Shots",A1:CV300,183,FALSE))</f>
        <v>0</v>
      </c>
      <c r="U183" s="32315">
        <v>1</v>
      </c>
      <c r="V183" s="32316">
        <f>IF(HLOOKUP("Shots",A1:CV300,183,FALSE)=0,0,HLOOKUP("SOT",A1:CV300,183,FALSE)/HLOOKUP("Shots",A1:CV300,183,FALSE))</f>
        <v>0.25</v>
      </c>
      <c r="W183" s="32317">
        <f>IF(HLOOKUP("Shots",A1:CV300,183,FALSE)=0,0,HLOOKUP("Gs",A1:CV300,183,FALSE)/HLOOKUP("Shots",A1:CV300,183,FALSE))</f>
        <v>0.25</v>
      </c>
      <c r="X183" s="32318">
        <v>0</v>
      </c>
      <c r="Y183" s="32319">
        <v>0</v>
      </c>
      <c r="Z183" s="32320">
        <v>3</v>
      </c>
      <c r="AA183" s="32321">
        <f>IF(HLOOKUP("KP",A1:CV300,183,FALSE)=0,0,HLOOKUP("As",A1:CV300,183,FALSE)/HLOOKUP("KP",A1:CV300,183,FALSE))</f>
        <v>0</v>
      </c>
      <c r="AB183" s="32322">
        <v>13.1</v>
      </c>
      <c r="AC183" s="32323">
        <v>17</v>
      </c>
      <c r="AD183" s="32324">
        <v>0</v>
      </c>
      <c r="AE183" s="32325">
        <v>1</v>
      </c>
      <c r="AF183" s="32326">
        <v>0</v>
      </c>
      <c r="AG183" s="32327">
        <f>IF(HLOOKUP("BC",A1:CV300,183,FALSE)=0,0,HLOOKUP("Gs - BC",A1:CV300,183,FALSE)/HLOOKUP("BC",A1:CV300,183,FALSE))</f>
        <v>1</v>
      </c>
      <c r="AH183" s="32328">
        <f>HLOOKUP("BC",A1:CV300,183,FALSE) - HLOOKUP("BC Miss",A1:CV300,183,FALSE)</f>
        <v>1</v>
      </c>
      <c r="AI183" s="32329">
        <f>IF(HLOOKUP("Gs",A1:CV300,183,FALSE)=0,0,HLOOKUP("Gs - BC",A1:CV300,183,FALSE)/HLOOKUP("Gs",A1:CV300,183,FALSE))</f>
        <v>1</v>
      </c>
      <c r="AJ183" s="32330">
        <v>0</v>
      </c>
      <c r="AK183" s="32331">
        <v>0</v>
      </c>
      <c r="AL183" s="32332">
        <f>HLOOKUP("BC",A1:CV300,183,FALSE) - (HLOOKUP("PK Gs",A1:CV300,183,FALSE) + HLOOKUP("PK Miss",A1:CV300,183,FALSE))</f>
        <v>1</v>
      </c>
      <c r="AM183" s="32333">
        <f>HLOOKUP("BC Miss",A1:CV300,183,FALSE) - HLOOKUP("PK Miss",A1:CV300,183,FALSE)</f>
        <v>0</v>
      </c>
      <c r="AN183" s="32334">
        <f>IF(HLOOKUP("BC - Open",A1:CV300,183,FALSE)=0,0,HLOOKUP("BC - Open Miss",A1:CV300,183,FALSE)/HLOOKUP("BC - Open",A1:CV300,183,FALSE))</f>
        <v>0</v>
      </c>
      <c r="AO183" s="32335">
        <v>1</v>
      </c>
      <c r="AP183" s="32336">
        <f>IF(HLOOKUP("Gs",A1:CV300,183,FALSE)=0,0,HLOOKUP("GIB",A1:CV300,183,FALSE)/HLOOKUP("Gs",A1:CV300,183,FALSE))</f>
        <v>1</v>
      </c>
      <c r="AQ183" s="32337">
        <v>1</v>
      </c>
      <c r="AR183" s="32338">
        <f>IF(HLOOKUP("Gs",A1:CV300,183,FALSE)=0,0,HLOOKUP("Gs - Open",A1:CV300,183,FALSE)/HLOOKUP("Gs",A1:CV300,183,FALSE))</f>
        <v>1</v>
      </c>
      <c r="AS183" s="32339">
        <v>0.51</v>
      </c>
      <c r="AT183" s="32340">
        <v>0.28000000000000003</v>
      </c>
      <c r="AU183" s="32341">
        <f>IF(HLOOKUP("Mins",A1:CV300,183,FALSE)=0,0,HLOOKUP("Pts",A1:CV300,183,FALSE)/HLOOKUP("Mins",A1:CV300,183,FALSE)* 90)</f>
        <v>7.2</v>
      </c>
      <c r="AV183" s="32342">
        <f>IF(HLOOKUP("Apps",A1:CV300,183,FALSE)=0,0,HLOOKUP("Pts",A1:CV300,183,FALSE)/HLOOKUP("Apps",A1:CV300,183,FALSE)* 1)</f>
        <v>2.3333333333333335</v>
      </c>
      <c r="AW183" s="32343">
        <f>IF(HLOOKUP("Mins",A1:CV300,183,FALSE)=0,0,HLOOKUP("Gs",A1:CV300,183,FALSE)/HLOOKUP("Mins",A1:CV300,183,FALSE)* 90)</f>
        <v>0.51428571428571423</v>
      </c>
      <c r="AX183" s="32344">
        <f>IF(HLOOKUP("Mins",A1:CV300,183,FALSE)=0,0,HLOOKUP("Bonus",A1:CV300,183,FALSE)/HLOOKUP("Mins",A1:CV300,183,FALSE)* 90)</f>
        <v>0</v>
      </c>
      <c r="AY183" s="32345">
        <f>IF(HLOOKUP("Mins",A1:CV300,183,FALSE)=0,0,HLOOKUP("BPS",A1:CV300,183,FALSE)/HLOOKUP("Mins",A1:CV300,183,FALSE)* 90)</f>
        <v>26.228571428571428</v>
      </c>
      <c r="AZ183" s="32346">
        <f>IF(HLOOKUP("Mins",A1:CV300,183,FALSE)=0,0,HLOOKUP("Base BPS",A1:CV300,183,FALSE)/HLOOKUP("Mins",A1:CV300,183,FALSE)* 90)</f>
        <v>16.971428571428572</v>
      </c>
      <c r="BA183" s="32347">
        <f>IF(HLOOKUP("Mins",A1:CV300,183,FALSE)=0,0,HLOOKUP("PenTchs",A1:CV300,183,FALSE)/HLOOKUP("Mins",A1:CV300,183,FALSE)* 90)</f>
        <v>1.0285714285714285</v>
      </c>
      <c r="BB183" s="32348">
        <f>IF(HLOOKUP("Mins",A1:CV300,183,FALSE)=0,0,HLOOKUP("Shots",A1:CV300,183,FALSE)/HLOOKUP("Mins",A1:CV300,183,FALSE)* 90)</f>
        <v>2.0571428571428569</v>
      </c>
      <c r="BC183" s="32349">
        <f>IF(HLOOKUP("Mins",A1:CV300,183,FALSE)=0,0,HLOOKUP("SIB",A1:CV300,183,FALSE)/HLOOKUP("Mins",A1:CV300,183,FALSE)* 90)</f>
        <v>1.0285714285714285</v>
      </c>
      <c r="BD183" s="32350">
        <f>IF(HLOOKUP("Mins",A1:CV300,183,FALSE)=0,0,HLOOKUP("S6YD",A1:CV300,183,FALSE)/HLOOKUP("Mins",A1:CV300,183,FALSE)* 90)</f>
        <v>0</v>
      </c>
      <c r="BE183" s="32351">
        <f>IF(HLOOKUP("Mins",A1:CV300,183,FALSE)=0,0,HLOOKUP("Headers",A1:CV300,183,FALSE)/HLOOKUP("Mins",A1:CV300,183,FALSE)* 90)</f>
        <v>0</v>
      </c>
      <c r="BF183" s="32352">
        <f>IF(HLOOKUP("Mins",A1:CV300,183,FALSE)=0,0,HLOOKUP("SOT",A1:CV300,183,FALSE)/HLOOKUP("Mins",A1:CV300,183,FALSE)* 90)</f>
        <v>0.51428571428571423</v>
      </c>
      <c r="BG183" s="32353">
        <f>IF(HLOOKUP("Mins",A1:CV300,183,FALSE)=0,0,HLOOKUP("As",A1:CV300,183,FALSE)/HLOOKUP("Mins",A1:CV300,183,FALSE)* 90)</f>
        <v>0</v>
      </c>
      <c r="BH183" s="32354">
        <f>IF(HLOOKUP("Mins",A1:CV300,183,FALSE)=0,0,HLOOKUP("FPL As",A1:CV300,183,FALSE)/HLOOKUP("Mins",A1:CV300,183,FALSE)* 90)</f>
        <v>0</v>
      </c>
      <c r="BI183" s="32355">
        <f>IF(HLOOKUP("Mins",A1:CV300,183,FALSE)=0,0,HLOOKUP("BC Created",A1:CV300,183,FALSE)/HLOOKUP("Mins",A1:CV300,183,FALSE)* 90)</f>
        <v>0</v>
      </c>
      <c r="BJ183" s="32356">
        <f>IF(HLOOKUP("Mins",A1:CV300,183,FALSE)=0,0,HLOOKUP("KP",A1:CV300,183,FALSE)/HLOOKUP("Mins",A1:CV300,183,FALSE)* 90)</f>
        <v>1.5428571428571429</v>
      </c>
      <c r="BK183" s="32357">
        <f>IF(HLOOKUP("Mins",A1:CV300,183,FALSE)=0,0,HLOOKUP("BC",A1:CV300,183,FALSE)/HLOOKUP("Mins",A1:CV300,183,FALSE)* 90)</f>
        <v>0.51428571428571423</v>
      </c>
      <c r="BL183" s="32358">
        <f>IF(HLOOKUP("Mins",A1:CV300,183,FALSE)=0,0,HLOOKUP("BC Miss",A1:CV300,183,FALSE)/HLOOKUP("Mins",A1:CV300,183,FALSE)* 90)</f>
        <v>0</v>
      </c>
      <c r="BM183" s="32359">
        <f>IF(HLOOKUP("Mins",A1:CV300,183,FALSE)=0,0,HLOOKUP("Gs - BC",A1:CV300,183,FALSE)/HLOOKUP("Mins",A1:CV300,183,FALSE)* 90)</f>
        <v>0.51428571428571423</v>
      </c>
      <c r="BN183" s="32360">
        <f>IF(HLOOKUP("Mins",A1:CV300,183,FALSE)=0,0,HLOOKUP("GIB",A1:CV300,183,FALSE)/HLOOKUP("Mins",A1:CV300,183,FALSE)* 90)</f>
        <v>0.51428571428571423</v>
      </c>
      <c r="BO183" s="32361">
        <f>IF(HLOOKUP("Mins",A1:CV300,183,FALSE)=0,0,HLOOKUP("Gs - Open",A1:CV300,183,FALSE)/HLOOKUP("Mins",A1:CV300,183,FALSE)* 90)</f>
        <v>0.51428571428571423</v>
      </c>
      <c r="BP183" s="32362">
        <f>IF(HLOOKUP("Mins",A1:CV300,183,FALSE)=0,0,HLOOKUP("ICT Index",A1:CV300,183,FALSE)/HLOOKUP("Mins",A1:CV300,183,FALSE)* 90)</f>
        <v>6.7371428571428575</v>
      </c>
      <c r="BQ183" s="32363">
        <f>IF(HLOOKUP("Mins",A1:CV300,183,FALSE)=0,0,(0.036*(HLOOKUP("Shots",A1:CV300,183,FALSE)-HLOOKUP("SIB",A1:CV300,183,FALSE))+0.142*(HLOOKUP("SIB",A1:CV300,183,FALSE)-(HLOOKUP("PK Gs",A1:CV300,183,FALSE)+HLOOKUP("PK Miss",A1:CV300,183,FALSE)))+0.75*(HLOOKUP("PK Gs",A1:CV300,183,FALSE)+HLOOKUP("PK Miss",A1:CV300,183,FALSE)))/HLOOKUP("Mins",A1:CV300,183,FALSE)*90)</f>
        <v>0.18308571428571427</v>
      </c>
      <c r="BR183" s="32364">
        <f>0.0885*HLOOKUP("KP/90",A1:CV300,183,FALSE)</f>
        <v>0.13654285714285713</v>
      </c>
      <c r="BS183" s="32365">
        <f>5*HLOOKUP("xG/90",A1:CV300,183,FALSE)+3*HLOOKUP("xA/90",A1:CV300,183,FALSE)</f>
        <v>1.3250571428571427</v>
      </c>
      <c r="BT183" s="32366">
        <f>HLOOKUP("xPts/90",A1:CV300,183,FALSE)-(5*0.75*(HLOOKUP("PK Gs",A1:CV300,183,FALSE)+HLOOKUP("PK Miss",A1:CV300,183,FALSE))*90/HLOOKUP("Mins",A1:CV300,183,FALSE))</f>
        <v>1.3250571428571427</v>
      </c>
      <c r="BU183" s="32367">
        <f>IF(HLOOKUP("Mins",A1:CV300,183,FALSE)=0,0,HLOOKUP("fsXG",A1:CV300,183,FALSE)/HLOOKUP("Mins",A1:CV300,183,FALSE)* 90)</f>
        <v>0.26228571428571429</v>
      </c>
      <c r="BV183" s="32368">
        <f>IF(HLOOKUP("Mins",A1:CV300,183,FALSE)=0,0,HLOOKUP("fsXA",A1:CV300,183,FALSE)/HLOOKUP("Mins",A1:CV300,183,FALSE)* 90)</f>
        <v>0.14400000000000002</v>
      </c>
      <c r="BW183" s="32369">
        <f>5*HLOOKUP("fsXG/90",A1:CV300,183,FALSE)+3*HLOOKUP("fsXA/90",A1:CV300,183,FALSE)</f>
        <v>1.7434285714285713</v>
      </c>
      <c r="BX183" s="32370">
        <v>0.28632745146751404</v>
      </c>
      <c r="BY183" s="32371">
        <v>9.4499073922634125E-2</v>
      </c>
      <c r="BZ183" s="32372">
        <f>5*HLOOKUP("uXG/90",A1:CV300,183,FALSE)+3*HLOOKUP("uXA/90",A1:CV300,183,FALSE)</f>
        <v>1.7151344791054726</v>
      </c>
    </row>
    <row r="184" spans="1:78" x14ac:dyDescent="0.3">
      <c r="A184" s="32373" t="s">
        <v>511</v>
      </c>
      <c r="B184" s="32374" t="s">
        <v>132</v>
      </c>
      <c r="C184" s="32375">
        <v>12.399999618530273</v>
      </c>
      <c r="D184" s="32376">
        <v>1667</v>
      </c>
      <c r="E184" s="32377">
        <v>20</v>
      </c>
      <c r="F184" s="32378">
        <v>143</v>
      </c>
      <c r="G184" s="32379">
        <v>11</v>
      </c>
      <c r="H184" s="32380">
        <v>18</v>
      </c>
      <c r="I184" s="32381">
        <v>416</v>
      </c>
      <c r="J184" s="32382">
        <f>HLOOKUP("BPS",A1:CV300,184,FALSE)-((-6*HLOOKUP("OG",A1:CV300,184,FALSE))+(-6*HLOOKUP("PK Miss",A1:CV300,184,FALSE))+(9*HLOOKUP("FPL As",A1:CV300,184,FALSE))+(0*HLOOKUP("CS",A1:CV300,184,FALSE))+(18*HLOOKUP("Gs",A1:CV300,184,FALSE)))</f>
        <v>146</v>
      </c>
      <c r="K184" s="32383">
        <v>0</v>
      </c>
      <c r="L184" s="32384">
        <v>8</v>
      </c>
      <c r="M184" s="32385">
        <v>125</v>
      </c>
      <c r="N184" s="32386">
        <v>49</v>
      </c>
      <c r="O184" s="32387">
        <v>42</v>
      </c>
      <c r="P184" s="32388">
        <f>IF(HLOOKUP("Shots",A1:CV300,184,FALSE)=0,0,HLOOKUP("SIB",A1:CV300,184,FALSE)/HLOOKUP("Shots",A1:CV300,184,FALSE))</f>
        <v>0.8571428571428571</v>
      </c>
      <c r="Q184" s="32389">
        <v>8</v>
      </c>
      <c r="R184" s="32390">
        <f>IF(HLOOKUP("Shots",A1:CV300,184,FALSE)=0,0,HLOOKUP("S6YD",A1:CV300,184,FALSE)/HLOOKUP("Shots",A1:CV300,184,FALSE))</f>
        <v>0.16326530612244897</v>
      </c>
      <c r="S184" s="32391">
        <v>16</v>
      </c>
      <c r="T184" s="32392">
        <f>IF(HLOOKUP("Shots",A1:CV300,184,FALSE)=0,0,HLOOKUP("Headers",A1:CV300,184,FALSE)/HLOOKUP("Shots",A1:CV300,184,FALSE))</f>
        <v>0.32653061224489793</v>
      </c>
      <c r="U184" s="32393">
        <v>25</v>
      </c>
      <c r="V184" s="32394">
        <f>IF(HLOOKUP("Shots",A1:CV300,184,FALSE)=0,0,HLOOKUP("SOT",A1:CV300,184,FALSE)/HLOOKUP("Shots",A1:CV300,184,FALSE))</f>
        <v>0.51020408163265307</v>
      </c>
      <c r="W184" s="32395">
        <f>IF(HLOOKUP("Shots",A1:CV300,184,FALSE)=0,0,HLOOKUP("Gs",A1:CV300,184,FALSE)/HLOOKUP("Shots",A1:CV300,184,FALSE))</f>
        <v>0.22448979591836735</v>
      </c>
      <c r="X184" s="32396">
        <v>6</v>
      </c>
      <c r="Y184" s="32397">
        <v>8</v>
      </c>
      <c r="Z184" s="32398">
        <v>36</v>
      </c>
      <c r="AA184" s="32399">
        <f>IF(HLOOKUP("KP",A1:CV300,184,FALSE)=0,0,HLOOKUP("As",A1:CV300,184,FALSE)/HLOOKUP("KP",A1:CV300,184,FALSE))</f>
        <v>0.16666666666666666</v>
      </c>
      <c r="AB184" s="32400">
        <v>189.5</v>
      </c>
      <c r="AC184" s="32401">
        <v>44</v>
      </c>
      <c r="AD184" s="32402">
        <v>7</v>
      </c>
      <c r="AE184" s="32403">
        <v>20</v>
      </c>
      <c r="AF184" s="32404">
        <v>14</v>
      </c>
      <c r="AG184" s="32405">
        <f>IF(HLOOKUP("BC",A1:CV300,184,FALSE)=0,0,HLOOKUP("Gs - BC",A1:CV300,184,FALSE)/HLOOKUP("BC",A1:CV300,184,FALSE))</f>
        <v>0.3</v>
      </c>
      <c r="AH184" s="32406">
        <f>HLOOKUP("BC",A1:CV300,184,FALSE) - HLOOKUP("BC Miss",A1:CV300,184,FALSE)</f>
        <v>6</v>
      </c>
      <c r="AI184" s="32407">
        <f>IF(HLOOKUP("Gs",A1:CV300,184,FALSE)=0,0,HLOOKUP("Gs - BC",A1:CV300,184,FALSE)/HLOOKUP("Gs",A1:CV300,184,FALSE))</f>
        <v>0.54545454545454541</v>
      </c>
      <c r="AJ184" s="32408">
        <v>0</v>
      </c>
      <c r="AK184" s="32409">
        <v>0</v>
      </c>
      <c r="AL184" s="32410">
        <f>HLOOKUP("BC",A1:CV300,184,FALSE) - (HLOOKUP("PK Gs",A1:CV300,184,FALSE) + HLOOKUP("PK Miss",A1:CV300,184,FALSE))</f>
        <v>20</v>
      </c>
      <c r="AM184" s="32411">
        <f>HLOOKUP("BC Miss",A1:CV300,184,FALSE) - HLOOKUP("PK Miss",A1:CV300,184,FALSE)</f>
        <v>14</v>
      </c>
      <c r="AN184" s="32412">
        <f>IF(HLOOKUP("BC - Open",A1:CV300,184,FALSE)=0,0,HLOOKUP("BC - Open Miss",A1:CV300,184,FALSE)/HLOOKUP("BC - Open",A1:CV300,184,FALSE))</f>
        <v>0.7</v>
      </c>
      <c r="AO184" s="32413">
        <v>10</v>
      </c>
      <c r="AP184" s="32414">
        <f>IF(HLOOKUP("Gs",A1:CV300,184,FALSE)=0,0,HLOOKUP("GIB",A1:CV300,184,FALSE)/HLOOKUP("Gs",A1:CV300,184,FALSE))</f>
        <v>0.90909090909090906</v>
      </c>
      <c r="AQ184" s="32415">
        <v>9</v>
      </c>
      <c r="AR184" s="32416">
        <f>IF(HLOOKUP("Gs",A1:CV300,184,FALSE)=0,0,HLOOKUP("Gs - Open",A1:CV300,184,FALSE)/HLOOKUP("Gs",A1:CV300,184,FALSE))</f>
        <v>0.81818181818181823</v>
      </c>
      <c r="AS184" s="32417">
        <v>9.85</v>
      </c>
      <c r="AT184" s="32418">
        <v>3.08</v>
      </c>
      <c r="AU184" s="32419">
        <f>IF(HLOOKUP("Mins",A1:CV300,184,FALSE)=0,0,HLOOKUP("Pts",A1:CV300,184,FALSE)/HLOOKUP("Mins",A1:CV300,184,FALSE)* 90)</f>
        <v>7.7204559088182361</v>
      </c>
      <c r="AV184" s="32420">
        <f>IF(HLOOKUP("Apps",A1:CV300,184,FALSE)=0,0,HLOOKUP("Pts",A1:CV300,184,FALSE)/HLOOKUP("Apps",A1:CV300,184,FALSE)* 1)</f>
        <v>7.15</v>
      </c>
      <c r="AW184" s="32421">
        <f>IF(HLOOKUP("Mins",A1:CV300,184,FALSE)=0,0,HLOOKUP("Gs",A1:CV300,184,FALSE)/HLOOKUP("Mins",A1:CV300,184,FALSE)* 90)</f>
        <v>0.59388122375524899</v>
      </c>
      <c r="AX184" s="32422">
        <f>IF(HLOOKUP("Mins",A1:CV300,184,FALSE)=0,0,HLOOKUP("Bonus",A1:CV300,184,FALSE)/HLOOKUP("Mins",A1:CV300,184,FALSE)* 90)</f>
        <v>0.9718056388722256</v>
      </c>
      <c r="AY184" s="32423">
        <f>IF(HLOOKUP("Mins",A1:CV300,184,FALSE)=0,0,HLOOKUP("BPS",A1:CV300,184,FALSE)/HLOOKUP("Mins",A1:CV300,184,FALSE)* 90)</f>
        <v>22.459508098380322</v>
      </c>
      <c r="AZ184" s="32424">
        <f>IF(HLOOKUP("Mins",A1:CV300,184,FALSE)=0,0,HLOOKUP("Base BPS",A1:CV300,184,FALSE)/HLOOKUP("Mins",A1:CV300,184,FALSE)* 90)</f>
        <v>7.8824235152969404</v>
      </c>
      <c r="BA184" s="32425">
        <f>IF(HLOOKUP("Mins",A1:CV300,184,FALSE)=0,0,HLOOKUP("PenTchs",A1:CV300,184,FALSE)/HLOOKUP("Mins",A1:CV300,184,FALSE)* 90)</f>
        <v>6.74865026994601</v>
      </c>
      <c r="BB184" s="32426">
        <f>IF(HLOOKUP("Mins",A1:CV300,184,FALSE)=0,0,HLOOKUP("Shots",A1:CV300,184,FALSE)/HLOOKUP("Mins",A1:CV300,184,FALSE)* 90)</f>
        <v>2.6454709058188359</v>
      </c>
      <c r="BC184" s="32427">
        <f>IF(HLOOKUP("Mins",A1:CV300,184,FALSE)=0,0,HLOOKUP("SIB",A1:CV300,184,FALSE)/HLOOKUP("Mins",A1:CV300,184,FALSE)* 90)</f>
        <v>2.2675464907018599</v>
      </c>
      <c r="BD184" s="32428">
        <f>IF(HLOOKUP("Mins",A1:CV300,184,FALSE)=0,0,HLOOKUP("S6YD",A1:CV300,184,FALSE)/HLOOKUP("Mins",A1:CV300,184,FALSE)* 90)</f>
        <v>0.43191361727654465</v>
      </c>
      <c r="BE184" s="32429">
        <f>IF(HLOOKUP("Mins",A1:CV300,184,FALSE)=0,0,HLOOKUP("Headers",A1:CV300,184,FALSE)/HLOOKUP("Mins",A1:CV300,184,FALSE)* 90)</f>
        <v>0.8638272345530893</v>
      </c>
      <c r="BF184" s="32430">
        <f>IF(HLOOKUP("Mins",A1:CV300,184,FALSE)=0,0,HLOOKUP("SOT",A1:CV300,184,FALSE)/HLOOKUP("Mins",A1:CV300,184,FALSE)* 90)</f>
        <v>1.3497300539892021</v>
      </c>
      <c r="BG184" s="32431">
        <f>IF(HLOOKUP("Mins",A1:CV300,184,FALSE)=0,0,HLOOKUP("As",A1:CV300,184,FALSE)/HLOOKUP("Mins",A1:CV300,184,FALSE)* 90)</f>
        <v>0.32393521295740851</v>
      </c>
      <c r="BH184" s="32432">
        <f>IF(HLOOKUP("Mins",A1:CV300,184,FALSE)=0,0,HLOOKUP("FPL As",A1:CV300,184,FALSE)/HLOOKUP("Mins",A1:CV300,184,FALSE)* 90)</f>
        <v>0.43191361727654465</v>
      </c>
      <c r="BI184" s="32433">
        <f>IF(HLOOKUP("Mins",A1:CV300,184,FALSE)=0,0,HLOOKUP("BC Created",A1:CV300,184,FALSE)/HLOOKUP("Mins",A1:CV300,184,FALSE)* 90)</f>
        <v>0.37792441511697661</v>
      </c>
      <c r="BJ184" s="32434">
        <f>IF(HLOOKUP("Mins",A1:CV300,184,FALSE)=0,0,HLOOKUP("KP",A1:CV300,184,FALSE)/HLOOKUP("Mins",A1:CV300,184,FALSE)* 90)</f>
        <v>1.9436112777444512</v>
      </c>
      <c r="BK184" s="32435">
        <f>IF(HLOOKUP("Mins",A1:CV300,184,FALSE)=0,0,HLOOKUP("BC",A1:CV300,184,FALSE)/HLOOKUP("Mins",A1:CV300,184,FALSE)* 90)</f>
        <v>1.0797840431913619</v>
      </c>
      <c r="BL184" s="32436">
        <f>IF(HLOOKUP("Mins",A1:CV300,184,FALSE)=0,0,HLOOKUP("BC Miss",A1:CV300,184,FALSE)/HLOOKUP("Mins",A1:CV300,184,FALSE)* 90)</f>
        <v>0.75584883023395322</v>
      </c>
      <c r="BM184" s="32437">
        <f>IF(HLOOKUP("Mins",A1:CV300,184,FALSE)=0,0,HLOOKUP("Gs - BC",A1:CV300,184,FALSE)/HLOOKUP("Mins",A1:CV300,184,FALSE)* 90)</f>
        <v>0.32393521295740851</v>
      </c>
      <c r="BN184" s="32438">
        <f>IF(HLOOKUP("Mins",A1:CV300,184,FALSE)=0,0,HLOOKUP("GIB",A1:CV300,184,FALSE)/HLOOKUP("Mins",A1:CV300,184,FALSE)* 90)</f>
        <v>0.53989202159568095</v>
      </c>
      <c r="BO184" s="32439">
        <f>IF(HLOOKUP("Mins",A1:CV300,184,FALSE)=0,0,HLOOKUP("Gs - Open",A1:CV300,184,FALSE)/HLOOKUP("Mins",A1:CV300,184,FALSE)* 90)</f>
        <v>0.4859028194361128</v>
      </c>
      <c r="BP184" s="32440">
        <f>IF(HLOOKUP("Mins",A1:CV300,184,FALSE)=0,0,HLOOKUP("ICT Index",A1:CV300,184,FALSE)/HLOOKUP("Mins",A1:CV300,184,FALSE)* 90)</f>
        <v>10.230953809238152</v>
      </c>
      <c r="BQ184" s="32441">
        <f>IF(HLOOKUP("Mins",A1:CV300,184,FALSE)=0,0,(0.036*(HLOOKUP("Shots",A1:CV300,184,FALSE)-HLOOKUP("SIB",A1:CV300,184,FALSE))+0.142*(HLOOKUP("SIB",A1:CV300,184,FALSE)-(HLOOKUP("PK Gs",A1:CV300,184,FALSE)+HLOOKUP("PK Miss",A1:CV300,184,FALSE)))+0.75*(HLOOKUP("PK Gs",A1:CV300,184,FALSE)+HLOOKUP("PK Miss",A1:CV300,184,FALSE)))/HLOOKUP("Mins",A1:CV300,184,FALSE)*90)</f>
        <v>0.33559688062387522</v>
      </c>
      <c r="BR184" s="32442">
        <f>0.0885*HLOOKUP("KP/90",A1:CV300,184,FALSE)</f>
        <v>0.17200959808038394</v>
      </c>
      <c r="BS184" s="32443">
        <f>5*HLOOKUP("xG/90",A1:CV300,184,FALSE)+3*HLOOKUP("xA/90",A1:CV300,184,FALSE)</f>
        <v>2.1940131973605279</v>
      </c>
      <c r="BT184" s="32444">
        <f>HLOOKUP("xPts/90",A1:CV300,184,FALSE)-(5*0.75*(HLOOKUP("PK Gs",A1:CV300,184,FALSE)+HLOOKUP("PK Miss",A1:CV300,184,FALSE))*90/HLOOKUP("Mins",A1:CV300,184,FALSE))</f>
        <v>2.1940131973605279</v>
      </c>
      <c r="BU184" s="32445">
        <f>IF(HLOOKUP("Mins",A1:CV300,184,FALSE)=0,0,HLOOKUP("fsXG",A1:CV300,184,FALSE)/HLOOKUP("Mins",A1:CV300,184,FALSE)* 90)</f>
        <v>0.53179364127174567</v>
      </c>
      <c r="BV184" s="32446">
        <f>IF(HLOOKUP("Mins",A1:CV300,184,FALSE)=0,0,HLOOKUP("fsXA",A1:CV300,184,FALSE)/HLOOKUP("Mins",A1:CV300,184,FALSE)* 90)</f>
        <v>0.1662867426514697</v>
      </c>
      <c r="BW184" s="32447">
        <f>5*HLOOKUP("fsXG/90",A1:CV300,184,FALSE)+3*HLOOKUP("fsXA/90",A1:CV300,184,FALSE)</f>
        <v>3.1578284343131373</v>
      </c>
      <c r="BX184" s="32448">
        <v>0.57305657863616943</v>
      </c>
      <c r="BY184" s="32449">
        <v>0.23941324651241302</v>
      </c>
      <c r="BZ184" s="32450">
        <f>5*HLOOKUP("uXG/90",A1:CV300,184,FALSE)+3*HLOOKUP("uXA/90",A1:CV300,184,FALSE)</f>
        <v>3.5835226327180862</v>
      </c>
    </row>
    <row r="185" spans="1:78" x14ac:dyDescent="0.3">
      <c r="A185" s="32451" t="s">
        <v>512</v>
      </c>
      <c r="B185" s="32452" t="s">
        <v>89</v>
      </c>
      <c r="C185" s="32453">
        <v>5.4000000953674316</v>
      </c>
      <c r="D185" s="32454">
        <v>252</v>
      </c>
      <c r="E185" s="32455">
        <v>5</v>
      </c>
      <c r="F185" s="32456">
        <v>7</v>
      </c>
      <c r="G185" s="32457">
        <v>0</v>
      </c>
      <c r="H185" s="32458">
        <v>0</v>
      </c>
      <c r="I185" s="32459">
        <v>33</v>
      </c>
      <c r="J185" s="32460">
        <f>HLOOKUP("BPS",A1:CV300,185,FALSE)-((-6*HLOOKUP("OG",A1:CV300,185,FALSE))+(-6*HLOOKUP("PK Miss",A1:CV300,185,FALSE))+(9*HLOOKUP("FPL As",A1:CV300,185,FALSE))+(0*HLOOKUP("CS",A1:CV300,185,FALSE))+(18*HLOOKUP("Gs",A1:CV300,185,FALSE)))</f>
        <v>33</v>
      </c>
      <c r="K185" s="32461">
        <v>0</v>
      </c>
      <c r="L185" s="32462">
        <v>0</v>
      </c>
      <c r="M185" s="32463">
        <v>8</v>
      </c>
      <c r="N185" s="32464">
        <v>1</v>
      </c>
      <c r="O185" s="32465">
        <v>1</v>
      </c>
      <c r="P185" s="32466">
        <f>IF(HLOOKUP("Shots",A1:CV300,185,FALSE)=0,0,HLOOKUP("SIB",A1:CV300,185,FALSE)/HLOOKUP("Shots",A1:CV300,185,FALSE))</f>
        <v>1</v>
      </c>
      <c r="Q185" s="32467">
        <v>0</v>
      </c>
      <c r="R185" s="32468">
        <f>IF(HLOOKUP("Shots",A1:CV300,185,FALSE)=0,0,HLOOKUP("S6YD",A1:CV300,185,FALSE)/HLOOKUP("Shots",A1:CV300,185,FALSE))</f>
        <v>0</v>
      </c>
      <c r="S185" s="32469">
        <v>0</v>
      </c>
      <c r="T185" s="32470">
        <f>IF(HLOOKUP("Shots",A1:CV300,185,FALSE)=0,0,HLOOKUP("Headers",A1:CV300,185,FALSE)/HLOOKUP("Shots",A1:CV300,185,FALSE))</f>
        <v>0</v>
      </c>
      <c r="U185" s="32471">
        <v>0</v>
      </c>
      <c r="V185" s="32472">
        <f>IF(HLOOKUP("Shots",A1:CV300,185,FALSE)=0,0,HLOOKUP("SOT",A1:CV300,185,FALSE)/HLOOKUP("Shots",A1:CV300,185,FALSE))</f>
        <v>0</v>
      </c>
      <c r="W185" s="32473">
        <f>IF(HLOOKUP("Shots",A1:CV300,185,FALSE)=0,0,HLOOKUP("Gs",A1:CV300,185,FALSE)/HLOOKUP("Shots",A1:CV300,185,FALSE))</f>
        <v>0</v>
      </c>
      <c r="X185" s="32474">
        <v>0</v>
      </c>
      <c r="Y185" s="32475">
        <v>0</v>
      </c>
      <c r="Z185" s="32476">
        <v>2</v>
      </c>
      <c r="AA185" s="32477">
        <f>IF(HLOOKUP("KP",A1:CV300,185,FALSE)=0,0,HLOOKUP("As",A1:CV300,185,FALSE)/HLOOKUP("KP",A1:CV300,185,FALSE))</f>
        <v>0</v>
      </c>
      <c r="AB185" s="32478">
        <v>10.8</v>
      </c>
      <c r="AC185" s="32479">
        <v>0</v>
      </c>
      <c r="AD185" s="32480">
        <v>0</v>
      </c>
      <c r="AE185" s="32481">
        <v>0</v>
      </c>
      <c r="AF185" s="32482">
        <v>0</v>
      </c>
      <c r="AG185" s="32483">
        <f>IF(HLOOKUP("BC",A1:CV300,185,FALSE)=0,0,HLOOKUP("Gs - BC",A1:CV300,185,FALSE)/HLOOKUP("BC",A1:CV300,185,FALSE))</f>
        <v>0</v>
      </c>
      <c r="AH185" s="32484">
        <f>HLOOKUP("BC",A1:CV300,185,FALSE) - HLOOKUP("BC Miss",A1:CV300,185,FALSE)</f>
        <v>0</v>
      </c>
      <c r="AI185" s="32485">
        <f>IF(HLOOKUP("Gs",A1:CV300,185,FALSE)=0,0,HLOOKUP("Gs - BC",A1:CV300,185,FALSE)/HLOOKUP("Gs",A1:CV300,185,FALSE))</f>
        <v>0</v>
      </c>
      <c r="AJ185" s="32486">
        <v>0</v>
      </c>
      <c r="AK185" s="32487">
        <v>0</v>
      </c>
      <c r="AL185" s="32488">
        <f>HLOOKUP("BC",A1:CV300,185,FALSE) - (HLOOKUP("PK Gs",A1:CV300,185,FALSE) + HLOOKUP("PK Miss",A1:CV300,185,FALSE))</f>
        <v>0</v>
      </c>
      <c r="AM185" s="32489">
        <f>HLOOKUP("BC Miss",A1:CV300,185,FALSE) - HLOOKUP("PK Miss",A1:CV300,185,FALSE)</f>
        <v>0</v>
      </c>
      <c r="AN185" s="32490">
        <f>IF(HLOOKUP("BC - Open",A1:CV300,185,FALSE)=0,0,HLOOKUP("BC - Open Miss",A1:CV300,185,FALSE)/HLOOKUP("BC - Open",A1:CV300,185,FALSE))</f>
        <v>0</v>
      </c>
      <c r="AO185" s="32491">
        <v>0</v>
      </c>
      <c r="AP185" s="32492">
        <f>IF(HLOOKUP("Gs",A1:CV300,185,FALSE)=0,0,HLOOKUP("GIB",A1:CV300,185,FALSE)/HLOOKUP("Gs",A1:CV300,185,FALSE))</f>
        <v>0</v>
      </c>
      <c r="AQ185" s="32493">
        <v>0</v>
      </c>
      <c r="AR185" s="32494">
        <f>IF(HLOOKUP("Gs",A1:CV300,185,FALSE)=0,0,HLOOKUP("Gs - Open",A1:CV300,185,FALSE)/HLOOKUP("Gs",A1:CV300,185,FALSE))</f>
        <v>0</v>
      </c>
      <c r="AS185" s="32495">
        <v>7.0000000000000007E-2</v>
      </c>
      <c r="AT185" s="32496">
        <v>0.11</v>
      </c>
      <c r="AU185" s="32497">
        <f>IF(HLOOKUP("Mins",A1:CV300,185,FALSE)=0,0,HLOOKUP("Pts",A1:CV300,185,FALSE)/HLOOKUP("Mins",A1:CV300,185,FALSE)* 90)</f>
        <v>2.5</v>
      </c>
      <c r="AV185" s="32498">
        <f>IF(HLOOKUP("Apps",A1:CV300,185,FALSE)=0,0,HLOOKUP("Pts",A1:CV300,185,FALSE)/HLOOKUP("Apps",A1:CV300,185,FALSE)* 1)</f>
        <v>1.4</v>
      </c>
      <c r="AW185" s="32499">
        <f>IF(HLOOKUP("Mins",A1:CV300,185,FALSE)=0,0,HLOOKUP("Gs",A1:CV300,185,FALSE)/HLOOKUP("Mins",A1:CV300,185,FALSE)* 90)</f>
        <v>0</v>
      </c>
      <c r="AX185" s="32500">
        <f>IF(HLOOKUP("Mins",A1:CV300,185,FALSE)=0,0,HLOOKUP("Bonus",A1:CV300,185,FALSE)/HLOOKUP("Mins",A1:CV300,185,FALSE)* 90)</f>
        <v>0</v>
      </c>
      <c r="AY185" s="32501">
        <f>IF(HLOOKUP("Mins",A1:CV300,185,FALSE)=0,0,HLOOKUP("BPS",A1:CV300,185,FALSE)/HLOOKUP("Mins",A1:CV300,185,FALSE)* 90)</f>
        <v>11.785714285714286</v>
      </c>
      <c r="AZ185" s="32502">
        <f>IF(HLOOKUP("Mins",A1:CV300,185,FALSE)=0,0,HLOOKUP("Base BPS",A1:CV300,185,FALSE)/HLOOKUP("Mins",A1:CV300,185,FALSE)* 90)</f>
        <v>11.785714285714286</v>
      </c>
      <c r="BA185" s="32503">
        <f>IF(HLOOKUP("Mins",A1:CV300,185,FALSE)=0,0,HLOOKUP("PenTchs",A1:CV300,185,FALSE)/HLOOKUP("Mins",A1:CV300,185,FALSE)* 90)</f>
        <v>2.8571428571428568</v>
      </c>
      <c r="BB185" s="32504">
        <f>IF(HLOOKUP("Mins",A1:CV300,185,FALSE)=0,0,HLOOKUP("Shots",A1:CV300,185,FALSE)/HLOOKUP("Mins",A1:CV300,185,FALSE)* 90)</f>
        <v>0.3571428571428571</v>
      </c>
      <c r="BC185" s="32505">
        <f>IF(HLOOKUP("Mins",A1:CV300,185,FALSE)=0,0,HLOOKUP("SIB",A1:CV300,185,FALSE)/HLOOKUP("Mins",A1:CV300,185,FALSE)* 90)</f>
        <v>0.3571428571428571</v>
      </c>
      <c r="BD185" s="32506">
        <f>IF(HLOOKUP("Mins",A1:CV300,185,FALSE)=0,0,HLOOKUP("S6YD",A1:CV300,185,FALSE)/HLOOKUP("Mins",A1:CV300,185,FALSE)* 90)</f>
        <v>0</v>
      </c>
      <c r="BE185" s="32507">
        <f>IF(HLOOKUP("Mins",A1:CV300,185,FALSE)=0,0,HLOOKUP("Headers",A1:CV300,185,FALSE)/HLOOKUP("Mins",A1:CV300,185,FALSE)* 90)</f>
        <v>0</v>
      </c>
      <c r="BF185" s="32508">
        <f>IF(HLOOKUP("Mins",A1:CV300,185,FALSE)=0,0,HLOOKUP("SOT",A1:CV300,185,FALSE)/HLOOKUP("Mins",A1:CV300,185,FALSE)* 90)</f>
        <v>0</v>
      </c>
      <c r="BG185" s="32509">
        <f>IF(HLOOKUP("Mins",A1:CV300,185,FALSE)=0,0,HLOOKUP("As",A1:CV300,185,FALSE)/HLOOKUP("Mins",A1:CV300,185,FALSE)* 90)</f>
        <v>0</v>
      </c>
      <c r="BH185" s="32510">
        <f>IF(HLOOKUP("Mins",A1:CV300,185,FALSE)=0,0,HLOOKUP("FPL As",A1:CV300,185,FALSE)/HLOOKUP("Mins",A1:CV300,185,FALSE)* 90)</f>
        <v>0</v>
      </c>
      <c r="BI185" s="32511">
        <f>IF(HLOOKUP("Mins",A1:CV300,185,FALSE)=0,0,HLOOKUP("BC Created",A1:CV300,185,FALSE)/HLOOKUP("Mins",A1:CV300,185,FALSE)* 90)</f>
        <v>0</v>
      </c>
      <c r="BJ185" s="32512">
        <f>IF(HLOOKUP("Mins",A1:CV300,185,FALSE)=0,0,HLOOKUP("KP",A1:CV300,185,FALSE)/HLOOKUP("Mins",A1:CV300,185,FALSE)* 90)</f>
        <v>0.71428571428571419</v>
      </c>
      <c r="BK185" s="32513">
        <f>IF(HLOOKUP("Mins",A1:CV300,185,FALSE)=0,0,HLOOKUP("BC",A1:CV300,185,FALSE)/HLOOKUP("Mins",A1:CV300,185,FALSE)* 90)</f>
        <v>0</v>
      </c>
      <c r="BL185" s="32514">
        <f>IF(HLOOKUP("Mins",A1:CV300,185,FALSE)=0,0,HLOOKUP("BC Miss",A1:CV300,185,FALSE)/HLOOKUP("Mins",A1:CV300,185,FALSE)* 90)</f>
        <v>0</v>
      </c>
      <c r="BM185" s="32515">
        <f>IF(HLOOKUP("Mins",A1:CV300,185,FALSE)=0,0,HLOOKUP("Gs - BC",A1:CV300,185,FALSE)/HLOOKUP("Mins",A1:CV300,185,FALSE)* 90)</f>
        <v>0</v>
      </c>
      <c r="BN185" s="32516">
        <f>IF(HLOOKUP("Mins",A1:CV300,185,FALSE)=0,0,HLOOKUP("GIB",A1:CV300,185,FALSE)/HLOOKUP("Mins",A1:CV300,185,FALSE)* 90)</f>
        <v>0</v>
      </c>
      <c r="BO185" s="32517">
        <f>IF(HLOOKUP("Mins",A1:CV300,185,FALSE)=0,0,HLOOKUP("Gs - Open",A1:CV300,185,FALSE)/HLOOKUP("Mins",A1:CV300,185,FALSE)* 90)</f>
        <v>0</v>
      </c>
      <c r="BP185" s="32518">
        <f>IF(HLOOKUP("Mins",A1:CV300,185,FALSE)=0,0,HLOOKUP("ICT Index",A1:CV300,185,FALSE)/HLOOKUP("Mins",A1:CV300,185,FALSE)* 90)</f>
        <v>3.8571428571428572</v>
      </c>
      <c r="BQ185" s="32519">
        <f>IF(HLOOKUP("Mins",A1:CV300,185,FALSE)=0,0,(0.036*(HLOOKUP("Shots",A1:CV300,185,FALSE)-HLOOKUP("SIB",A1:CV300,185,FALSE))+0.142*(HLOOKUP("SIB",A1:CV300,185,FALSE)-(HLOOKUP("PK Gs",A1:CV300,185,FALSE)+HLOOKUP("PK Miss",A1:CV300,185,FALSE)))+0.75*(HLOOKUP("PK Gs",A1:CV300,185,FALSE)+HLOOKUP("PK Miss",A1:CV300,185,FALSE)))/HLOOKUP("Mins",A1:CV300,185,FALSE)*90)</f>
        <v>5.0714285714285712E-2</v>
      </c>
      <c r="BR185" s="32520">
        <f>0.0885*HLOOKUP("KP/90",A1:CV300,185,FALSE)</f>
        <v>6.3214285714285709E-2</v>
      </c>
      <c r="BS185" s="32521">
        <f>5*HLOOKUP("xG/90",A1:CV300,185,FALSE)+3*HLOOKUP("xA/90",A1:CV300,185,FALSE)</f>
        <v>0.44321428571428567</v>
      </c>
      <c r="BT185" s="32522">
        <f>HLOOKUP("xPts/90",A1:CV300,185,FALSE)-(5*0.75*(HLOOKUP("PK Gs",A1:CV300,185,FALSE)+HLOOKUP("PK Miss",A1:CV300,185,FALSE))*90/HLOOKUP("Mins",A1:CV300,185,FALSE))</f>
        <v>0.44321428571428567</v>
      </c>
      <c r="BU185" s="32523">
        <f>IF(HLOOKUP("Mins",A1:CV300,185,FALSE)=0,0,HLOOKUP("fsXG",A1:CV300,185,FALSE)/HLOOKUP("Mins",A1:CV300,185,FALSE)* 90)</f>
        <v>2.5000000000000001E-2</v>
      </c>
      <c r="BV185" s="32524">
        <f>IF(HLOOKUP("Mins",A1:CV300,185,FALSE)=0,0,HLOOKUP("fsXA",A1:CV300,185,FALSE)/HLOOKUP("Mins",A1:CV300,185,FALSE)* 90)</f>
        <v>3.9285714285714285E-2</v>
      </c>
      <c r="BW185" s="32525">
        <f>5*HLOOKUP("fsXG/90",A1:CV300,185,FALSE)+3*HLOOKUP("fsXA/90",A1:CV300,185,FALSE)</f>
        <v>0.24285714285714285</v>
      </c>
      <c r="BX185" s="32526">
        <v>3.3214613795280457E-2</v>
      </c>
      <c r="BY185" s="32527">
        <v>1.7192989587783813E-2</v>
      </c>
      <c r="BZ185" s="32528">
        <f>5*HLOOKUP("uXG/90",A1:CV300,185,FALSE)+3*HLOOKUP("uXA/90",A1:CV300,185,FALSE)</f>
        <v>0.21765203773975372</v>
      </c>
    </row>
    <row r="186" spans="1:78" x14ac:dyDescent="0.3">
      <c r="A186" s="32529" t="s">
        <v>513</v>
      </c>
      <c r="B186" s="32530" t="s">
        <v>151</v>
      </c>
      <c r="C186" s="32531">
        <v>6.1999998092651367</v>
      </c>
      <c r="D186" s="32532">
        <v>521</v>
      </c>
      <c r="E186" s="32533">
        <v>13</v>
      </c>
      <c r="F186" s="32534">
        <v>29</v>
      </c>
      <c r="G186" s="32535">
        <v>0</v>
      </c>
      <c r="H186" s="32536">
        <v>2</v>
      </c>
      <c r="I186" s="32537">
        <v>110</v>
      </c>
      <c r="J186" s="32538">
        <f>HLOOKUP("BPS",A1:CV300,186,FALSE)-((-6*HLOOKUP("OG",A1:CV300,186,FALSE))+(-6*HLOOKUP("PK Miss",A1:CV300,186,FALSE))+(9*HLOOKUP("FPL As",A1:CV300,186,FALSE))+(0*HLOOKUP("CS",A1:CV300,186,FALSE))+(18*HLOOKUP("Gs",A1:CV300,186,FALSE)))</f>
        <v>92</v>
      </c>
      <c r="K186" s="32539">
        <v>0</v>
      </c>
      <c r="L186" s="32540">
        <v>3</v>
      </c>
      <c r="M186" s="32541">
        <v>25</v>
      </c>
      <c r="N186" s="32542">
        <v>6</v>
      </c>
      <c r="O186" s="32543">
        <v>4</v>
      </c>
      <c r="P186" s="32544">
        <f>IF(HLOOKUP("Shots",A1:CV300,186,FALSE)=0,0,HLOOKUP("SIB",A1:CV300,186,FALSE)/HLOOKUP("Shots",A1:CV300,186,FALSE))</f>
        <v>0.66666666666666663</v>
      </c>
      <c r="Q186" s="32545">
        <v>1</v>
      </c>
      <c r="R186" s="32546">
        <f>IF(HLOOKUP("Shots",A1:CV300,186,FALSE)=0,0,HLOOKUP("S6YD",A1:CV300,186,FALSE)/HLOOKUP("Shots",A1:CV300,186,FALSE))</f>
        <v>0.16666666666666666</v>
      </c>
      <c r="S186" s="32547">
        <v>0</v>
      </c>
      <c r="T186" s="32548">
        <f>IF(HLOOKUP("Shots",A1:CV300,186,FALSE)=0,0,HLOOKUP("Headers",A1:CV300,186,FALSE)/HLOOKUP("Shots",A1:CV300,186,FALSE))</f>
        <v>0</v>
      </c>
      <c r="U186" s="32549">
        <v>1</v>
      </c>
      <c r="V186" s="32550">
        <f>IF(HLOOKUP("Shots",A1:CV300,186,FALSE)=0,0,HLOOKUP("SOT",A1:CV300,186,FALSE)/HLOOKUP("Shots",A1:CV300,186,FALSE))</f>
        <v>0.16666666666666666</v>
      </c>
      <c r="W186" s="32551">
        <f>IF(HLOOKUP("Shots",A1:CV300,186,FALSE)=0,0,HLOOKUP("Gs",A1:CV300,186,FALSE)/HLOOKUP("Shots",A1:CV300,186,FALSE))</f>
        <v>0</v>
      </c>
      <c r="X186" s="32552">
        <v>2</v>
      </c>
      <c r="Y186" s="32553">
        <v>2</v>
      </c>
      <c r="Z186" s="32554">
        <v>12</v>
      </c>
      <c r="AA186" s="32555">
        <f>IF(HLOOKUP("KP",A1:CV300,186,FALSE)=0,0,HLOOKUP("As",A1:CV300,186,FALSE)/HLOOKUP("KP",A1:CV300,186,FALSE))</f>
        <v>0.16666666666666666</v>
      </c>
      <c r="AB186" s="32556">
        <v>36.1</v>
      </c>
      <c r="AC186" s="32557">
        <v>22</v>
      </c>
      <c r="AD186" s="32558">
        <v>3</v>
      </c>
      <c r="AE186" s="32559">
        <v>1</v>
      </c>
      <c r="AF186" s="32560">
        <v>1</v>
      </c>
      <c r="AG186" s="32561">
        <f>IF(HLOOKUP("BC",A1:CV300,186,FALSE)=0,0,HLOOKUP("Gs - BC",A1:CV300,186,FALSE)/HLOOKUP("BC",A1:CV300,186,FALSE))</f>
        <v>0</v>
      </c>
      <c r="AH186" s="32562">
        <f>HLOOKUP("BC",A1:CV300,186,FALSE) - HLOOKUP("BC Miss",A1:CV300,186,FALSE)</f>
        <v>0</v>
      </c>
      <c r="AI186" s="32563">
        <f>IF(HLOOKUP("Gs",A1:CV300,186,FALSE)=0,0,HLOOKUP("Gs - BC",A1:CV300,186,FALSE)/HLOOKUP("Gs",A1:CV300,186,FALSE))</f>
        <v>0</v>
      </c>
      <c r="AJ186" s="32564">
        <v>0</v>
      </c>
      <c r="AK186" s="32565">
        <v>0</v>
      </c>
      <c r="AL186" s="32566">
        <f>HLOOKUP("BC",A1:CV300,186,FALSE) - (HLOOKUP("PK Gs",A1:CV300,186,FALSE) + HLOOKUP("PK Miss",A1:CV300,186,FALSE))</f>
        <v>1</v>
      </c>
      <c r="AM186" s="32567">
        <f>HLOOKUP("BC Miss",A1:CV300,186,FALSE) - HLOOKUP("PK Miss",A1:CV300,186,FALSE)</f>
        <v>1</v>
      </c>
      <c r="AN186" s="32568">
        <f>IF(HLOOKUP("BC - Open",A1:CV300,186,FALSE)=0,0,HLOOKUP("BC - Open Miss",A1:CV300,186,FALSE)/HLOOKUP("BC - Open",A1:CV300,186,FALSE))</f>
        <v>1</v>
      </c>
      <c r="AO186" s="32569">
        <v>0</v>
      </c>
      <c r="AP186" s="32570">
        <f>IF(HLOOKUP("Gs",A1:CV300,186,FALSE)=0,0,HLOOKUP("GIB",A1:CV300,186,FALSE)/HLOOKUP("Gs",A1:CV300,186,FALSE))</f>
        <v>0</v>
      </c>
      <c r="AQ186" s="32571">
        <v>0</v>
      </c>
      <c r="AR186" s="32572">
        <f>IF(HLOOKUP("Gs",A1:CV300,186,FALSE)=0,0,HLOOKUP("Gs - Open",A1:CV300,186,FALSE)/HLOOKUP("Gs",A1:CV300,186,FALSE))</f>
        <v>0</v>
      </c>
      <c r="AS186" s="32573">
        <v>0.77</v>
      </c>
      <c r="AT186" s="32574">
        <v>1.83</v>
      </c>
      <c r="AU186" s="32575">
        <f>IF(HLOOKUP("Mins",A1:CV300,186,FALSE)=0,0,HLOOKUP("Pts",A1:CV300,186,FALSE)/HLOOKUP("Mins",A1:CV300,186,FALSE)* 90)</f>
        <v>5.0095969289827256</v>
      </c>
      <c r="AV186" s="32576">
        <f>IF(HLOOKUP("Apps",A1:CV300,186,FALSE)=0,0,HLOOKUP("Pts",A1:CV300,186,FALSE)/HLOOKUP("Apps",A1:CV300,186,FALSE)* 1)</f>
        <v>2.2307692307692308</v>
      </c>
      <c r="AW186" s="32577">
        <f>IF(HLOOKUP("Mins",A1:CV300,186,FALSE)=0,0,HLOOKUP("Gs",A1:CV300,186,FALSE)/HLOOKUP("Mins",A1:CV300,186,FALSE)* 90)</f>
        <v>0</v>
      </c>
      <c r="AX186" s="32578">
        <f>IF(HLOOKUP("Mins",A1:CV300,186,FALSE)=0,0,HLOOKUP("Bonus",A1:CV300,186,FALSE)/HLOOKUP("Mins",A1:CV300,186,FALSE)* 90)</f>
        <v>0.34548944337811899</v>
      </c>
      <c r="AY186" s="32579">
        <f>IF(HLOOKUP("Mins",A1:CV300,186,FALSE)=0,0,HLOOKUP("BPS",A1:CV300,186,FALSE)/HLOOKUP("Mins",A1:CV300,186,FALSE)* 90)</f>
        <v>19.001919385796544</v>
      </c>
      <c r="AZ186" s="32580">
        <f>IF(HLOOKUP("Mins",A1:CV300,186,FALSE)=0,0,HLOOKUP("Base BPS",A1:CV300,186,FALSE)/HLOOKUP("Mins",A1:CV300,186,FALSE)* 90)</f>
        <v>15.892514395393473</v>
      </c>
      <c r="BA186" s="32581">
        <f>IF(HLOOKUP("Mins",A1:CV300,186,FALSE)=0,0,HLOOKUP("PenTchs",A1:CV300,186,FALSE)/HLOOKUP("Mins",A1:CV300,186,FALSE)* 90)</f>
        <v>4.3186180422264879</v>
      </c>
      <c r="BB186" s="32582">
        <f>IF(HLOOKUP("Mins",A1:CV300,186,FALSE)=0,0,HLOOKUP("Shots",A1:CV300,186,FALSE)/HLOOKUP("Mins",A1:CV300,186,FALSE)* 90)</f>
        <v>1.0364683301343571</v>
      </c>
      <c r="BC186" s="32583">
        <f>IF(HLOOKUP("Mins",A1:CV300,186,FALSE)=0,0,HLOOKUP("SIB",A1:CV300,186,FALSE)/HLOOKUP("Mins",A1:CV300,186,FALSE)* 90)</f>
        <v>0.69097888675623798</v>
      </c>
      <c r="BD186" s="32584">
        <f>IF(HLOOKUP("Mins",A1:CV300,186,FALSE)=0,0,HLOOKUP("S6YD",A1:CV300,186,FALSE)/HLOOKUP("Mins",A1:CV300,186,FALSE)* 90)</f>
        <v>0.17274472168905949</v>
      </c>
      <c r="BE186" s="32585">
        <f>IF(HLOOKUP("Mins",A1:CV300,186,FALSE)=0,0,HLOOKUP("Headers",A1:CV300,186,FALSE)/HLOOKUP("Mins",A1:CV300,186,FALSE)* 90)</f>
        <v>0</v>
      </c>
      <c r="BF186" s="32586">
        <f>IF(HLOOKUP("Mins",A1:CV300,186,FALSE)=0,0,HLOOKUP("SOT",A1:CV300,186,FALSE)/HLOOKUP("Mins",A1:CV300,186,FALSE)* 90)</f>
        <v>0.17274472168905949</v>
      </c>
      <c r="BG186" s="32587">
        <f>IF(HLOOKUP("Mins",A1:CV300,186,FALSE)=0,0,HLOOKUP("As",A1:CV300,186,FALSE)/HLOOKUP("Mins",A1:CV300,186,FALSE)* 90)</f>
        <v>0.34548944337811899</v>
      </c>
      <c r="BH186" s="32588">
        <f>IF(HLOOKUP("Mins",A1:CV300,186,FALSE)=0,0,HLOOKUP("FPL As",A1:CV300,186,FALSE)/HLOOKUP("Mins",A1:CV300,186,FALSE)* 90)</f>
        <v>0.34548944337811899</v>
      </c>
      <c r="BI186" s="32589">
        <f>IF(HLOOKUP("Mins",A1:CV300,186,FALSE)=0,0,HLOOKUP("BC Created",A1:CV300,186,FALSE)/HLOOKUP("Mins",A1:CV300,186,FALSE)* 90)</f>
        <v>0.51823416506717856</v>
      </c>
      <c r="BJ186" s="32590">
        <f>IF(HLOOKUP("Mins",A1:CV300,186,FALSE)=0,0,HLOOKUP("KP",A1:CV300,186,FALSE)/HLOOKUP("Mins",A1:CV300,186,FALSE)* 90)</f>
        <v>2.0729366602687143</v>
      </c>
      <c r="BK186" s="32591">
        <f>IF(HLOOKUP("Mins",A1:CV300,186,FALSE)=0,0,HLOOKUP("BC",A1:CV300,186,FALSE)/HLOOKUP("Mins",A1:CV300,186,FALSE)* 90)</f>
        <v>0.17274472168905949</v>
      </c>
      <c r="BL186" s="32592">
        <f>IF(HLOOKUP("Mins",A1:CV300,186,FALSE)=0,0,HLOOKUP("BC Miss",A1:CV300,186,FALSE)/HLOOKUP("Mins",A1:CV300,186,FALSE)* 90)</f>
        <v>0.17274472168905949</v>
      </c>
      <c r="BM186" s="32593">
        <f>IF(HLOOKUP("Mins",A1:CV300,186,FALSE)=0,0,HLOOKUP("Gs - BC",A1:CV300,186,FALSE)/HLOOKUP("Mins",A1:CV300,186,FALSE)* 90)</f>
        <v>0</v>
      </c>
      <c r="BN186" s="32594">
        <f>IF(HLOOKUP("Mins",A1:CV300,186,FALSE)=0,0,HLOOKUP("GIB",A1:CV300,186,FALSE)/HLOOKUP("Mins",A1:CV300,186,FALSE)* 90)</f>
        <v>0</v>
      </c>
      <c r="BO186" s="32595">
        <f>IF(HLOOKUP("Mins",A1:CV300,186,FALSE)=0,0,HLOOKUP("Gs - Open",A1:CV300,186,FALSE)/HLOOKUP("Mins",A1:CV300,186,FALSE)* 90)</f>
        <v>0</v>
      </c>
      <c r="BP186" s="32596">
        <f>IF(HLOOKUP("Mins",A1:CV300,186,FALSE)=0,0,HLOOKUP("ICT Index",A1:CV300,186,FALSE)/HLOOKUP("Mins",A1:CV300,186,FALSE)* 90)</f>
        <v>6.2360844529750477</v>
      </c>
      <c r="BQ186" s="32597">
        <f>IF(HLOOKUP("Mins",A1:CV300,186,FALSE)=0,0,(0.036*(HLOOKUP("Shots",A1:CV300,186,FALSE)-HLOOKUP("SIB",A1:CV300,186,FALSE))+0.142*(HLOOKUP("SIB",A1:CV300,186,FALSE)-(HLOOKUP("PK Gs",A1:CV300,186,FALSE)+HLOOKUP("PK Miss",A1:CV300,186,FALSE)))+0.75*(HLOOKUP("PK Gs",A1:CV300,186,FALSE)+HLOOKUP("PK Miss",A1:CV300,186,FALSE)))/HLOOKUP("Mins",A1:CV300,186,FALSE)*90)</f>
        <v>0.11055662188099806</v>
      </c>
      <c r="BR186" s="32598">
        <f>0.0885*HLOOKUP("KP/90",A1:CV300,186,FALSE)</f>
        <v>0.18345489443378121</v>
      </c>
      <c r="BS186" s="32599">
        <f>5*HLOOKUP("xG/90",A1:CV300,186,FALSE)+3*HLOOKUP("xA/90",A1:CV300,186,FALSE)</f>
        <v>1.1031477927063338</v>
      </c>
      <c r="BT186" s="32600">
        <f>HLOOKUP("xPts/90",A1:CV300,186,FALSE)-(5*0.75*(HLOOKUP("PK Gs",A1:CV300,186,FALSE)+HLOOKUP("PK Miss",A1:CV300,186,FALSE))*90/HLOOKUP("Mins",A1:CV300,186,FALSE))</f>
        <v>1.1031477927063338</v>
      </c>
      <c r="BU186" s="32601">
        <f>IF(HLOOKUP("Mins",A1:CV300,186,FALSE)=0,0,HLOOKUP("fsXG",A1:CV300,186,FALSE)/HLOOKUP("Mins",A1:CV300,186,FALSE)* 90)</f>
        <v>0.13301343570057581</v>
      </c>
      <c r="BV186" s="32602">
        <f>IF(HLOOKUP("Mins",A1:CV300,186,FALSE)=0,0,HLOOKUP("fsXA",A1:CV300,186,FALSE)/HLOOKUP("Mins",A1:CV300,186,FALSE)* 90)</f>
        <v>0.3161228406909789</v>
      </c>
      <c r="BW186" s="32603">
        <f>5*HLOOKUP("fsXG/90",A1:CV300,186,FALSE)+3*HLOOKUP("fsXA/90",A1:CV300,186,FALSE)</f>
        <v>1.6134357005758158</v>
      </c>
      <c r="BX186" s="32604">
        <v>0.14950425922870636</v>
      </c>
      <c r="BY186" s="32605">
        <v>0.31596744060516357</v>
      </c>
      <c r="BZ186" s="32606">
        <f>5*HLOOKUP("uXG/90",A1:CV300,186,FALSE)+3*HLOOKUP("uXA/90",A1:CV300,186,FALSE)</f>
        <v>1.6954236179590225</v>
      </c>
    </row>
    <row r="187" spans="1:78" x14ac:dyDescent="0.3">
      <c r="A187" s="32607" t="s">
        <v>514</v>
      </c>
      <c r="B187" s="32608" t="s">
        <v>109</v>
      </c>
      <c r="C187" s="32609">
        <v>4.5</v>
      </c>
      <c r="D187" s="32610">
        <v>966</v>
      </c>
      <c r="E187" s="32611">
        <v>15</v>
      </c>
      <c r="F187" s="32612">
        <v>27</v>
      </c>
      <c r="G187" s="32613">
        <v>0</v>
      </c>
      <c r="H187" s="32614">
        <v>0</v>
      </c>
      <c r="I187" s="32615">
        <v>152</v>
      </c>
      <c r="J187" s="32616">
        <f>HLOOKUP("BPS",A1:CV300,187,FALSE)-((-6*HLOOKUP("OG",A1:CV300,187,FALSE))+(-6*HLOOKUP("PK Miss",A1:CV300,187,FALSE))+(9*HLOOKUP("FPL As",A1:CV300,187,FALSE))+(0*HLOOKUP("CS",A1:CV300,187,FALSE))+(18*HLOOKUP("Gs",A1:CV300,187,FALSE)))</f>
        <v>152</v>
      </c>
      <c r="K187" s="32617">
        <v>0</v>
      </c>
      <c r="L187" s="32618">
        <v>3</v>
      </c>
      <c r="M187" s="32619">
        <v>33</v>
      </c>
      <c r="N187" s="32620">
        <v>13</v>
      </c>
      <c r="O187" s="32621">
        <v>8</v>
      </c>
      <c r="P187" s="32622">
        <f>IF(HLOOKUP("Shots",A1:CV300,187,FALSE)=0,0,HLOOKUP("SIB",A1:CV300,187,FALSE)/HLOOKUP("Shots",A1:CV300,187,FALSE))</f>
        <v>0.61538461538461542</v>
      </c>
      <c r="Q187" s="32623">
        <v>0</v>
      </c>
      <c r="R187" s="32624">
        <f>IF(HLOOKUP("Shots",A1:CV300,187,FALSE)=0,0,HLOOKUP("S6YD",A1:CV300,187,FALSE)/HLOOKUP("Shots",A1:CV300,187,FALSE))</f>
        <v>0</v>
      </c>
      <c r="S187" s="32625">
        <v>1</v>
      </c>
      <c r="T187" s="32626">
        <f>IF(HLOOKUP("Shots",A1:CV300,187,FALSE)=0,0,HLOOKUP("Headers",A1:CV300,187,FALSE)/HLOOKUP("Shots",A1:CV300,187,FALSE))</f>
        <v>7.6923076923076927E-2</v>
      </c>
      <c r="U187" s="32627">
        <v>3</v>
      </c>
      <c r="V187" s="32628">
        <f>IF(HLOOKUP("Shots",A1:CV300,187,FALSE)=0,0,HLOOKUP("SOT",A1:CV300,187,FALSE)/HLOOKUP("Shots",A1:CV300,187,FALSE))</f>
        <v>0.23076923076923078</v>
      </c>
      <c r="W187" s="32629">
        <f>IF(HLOOKUP("Shots",A1:CV300,187,FALSE)=0,0,HLOOKUP("Gs",A1:CV300,187,FALSE)/HLOOKUP("Shots",A1:CV300,187,FALSE))</f>
        <v>0</v>
      </c>
      <c r="X187" s="32630">
        <v>0</v>
      </c>
      <c r="Y187" s="32631">
        <v>0</v>
      </c>
      <c r="Z187" s="32632">
        <v>12</v>
      </c>
      <c r="AA187" s="32633">
        <f>IF(HLOOKUP("KP",A1:CV300,187,FALSE)=0,0,HLOOKUP("As",A1:CV300,187,FALSE)/HLOOKUP("KP",A1:CV300,187,FALSE))</f>
        <v>0</v>
      </c>
      <c r="AB187" s="32634">
        <v>53</v>
      </c>
      <c r="AC187" s="32635">
        <v>0</v>
      </c>
      <c r="AD187" s="32636">
        <v>0</v>
      </c>
      <c r="AE187" s="32637">
        <v>1</v>
      </c>
      <c r="AF187" s="32638">
        <v>1</v>
      </c>
      <c r="AG187" s="32639">
        <f>IF(HLOOKUP("BC",A1:CV300,187,FALSE)=0,0,HLOOKUP("Gs - BC",A1:CV300,187,FALSE)/HLOOKUP("BC",A1:CV300,187,FALSE))</f>
        <v>0</v>
      </c>
      <c r="AH187" s="32640">
        <f>HLOOKUP("BC",A1:CV300,187,FALSE) - HLOOKUP("BC Miss",A1:CV300,187,FALSE)</f>
        <v>0</v>
      </c>
      <c r="AI187" s="32641">
        <f>IF(HLOOKUP("Gs",A1:CV300,187,FALSE)=0,0,HLOOKUP("Gs - BC",A1:CV300,187,FALSE)/HLOOKUP("Gs",A1:CV300,187,FALSE))</f>
        <v>0</v>
      </c>
      <c r="AJ187" s="32642">
        <v>0</v>
      </c>
      <c r="AK187" s="32643">
        <v>0</v>
      </c>
      <c r="AL187" s="32644">
        <f>HLOOKUP("BC",A1:CV300,187,FALSE) - (HLOOKUP("PK Gs",A1:CV300,187,FALSE) + HLOOKUP("PK Miss",A1:CV300,187,FALSE))</f>
        <v>1</v>
      </c>
      <c r="AM187" s="32645">
        <f>HLOOKUP("BC Miss",A1:CV300,187,FALSE) - HLOOKUP("PK Miss",A1:CV300,187,FALSE)</f>
        <v>1</v>
      </c>
      <c r="AN187" s="32646">
        <f>IF(HLOOKUP("BC - Open",A1:CV300,187,FALSE)=0,0,HLOOKUP("BC - Open Miss",A1:CV300,187,FALSE)/HLOOKUP("BC - Open",A1:CV300,187,FALSE))</f>
        <v>1</v>
      </c>
      <c r="AO187" s="32647">
        <v>0</v>
      </c>
      <c r="AP187" s="32648">
        <f>IF(HLOOKUP("Gs",A1:CV300,187,FALSE)=0,0,HLOOKUP("GIB",A1:CV300,187,FALSE)/HLOOKUP("Gs",A1:CV300,187,FALSE))</f>
        <v>0</v>
      </c>
      <c r="AQ187" s="32649">
        <v>0</v>
      </c>
      <c r="AR187" s="32650">
        <f>IF(HLOOKUP("Gs",A1:CV300,187,FALSE)=0,0,HLOOKUP("Gs - Open",A1:CV300,187,FALSE)/HLOOKUP("Gs",A1:CV300,187,FALSE))</f>
        <v>0</v>
      </c>
      <c r="AS187" s="32651">
        <v>1.23</v>
      </c>
      <c r="AT187" s="32652">
        <v>0.8</v>
      </c>
      <c r="AU187" s="32653">
        <f>IF(HLOOKUP("Mins",A1:CV300,187,FALSE)=0,0,HLOOKUP("Pts",A1:CV300,187,FALSE)/HLOOKUP("Mins",A1:CV300,187,FALSE)* 90)</f>
        <v>2.5155279503105592</v>
      </c>
      <c r="AV187" s="32654">
        <f>IF(HLOOKUP("Apps",A1:CV300,187,FALSE)=0,0,HLOOKUP("Pts",A1:CV300,187,FALSE)/HLOOKUP("Apps",A1:CV300,187,FALSE)* 1)</f>
        <v>1.8</v>
      </c>
      <c r="AW187" s="32655">
        <f>IF(HLOOKUP("Mins",A1:CV300,187,FALSE)=0,0,HLOOKUP("Gs",A1:CV300,187,FALSE)/HLOOKUP("Mins",A1:CV300,187,FALSE)* 90)</f>
        <v>0</v>
      </c>
      <c r="AX187" s="32656">
        <f>IF(HLOOKUP("Mins",A1:CV300,187,FALSE)=0,0,HLOOKUP("Bonus",A1:CV300,187,FALSE)/HLOOKUP("Mins",A1:CV300,187,FALSE)* 90)</f>
        <v>0</v>
      </c>
      <c r="AY187" s="32657">
        <f>IF(HLOOKUP("Mins",A1:CV300,187,FALSE)=0,0,HLOOKUP("BPS",A1:CV300,187,FALSE)/HLOOKUP("Mins",A1:CV300,187,FALSE)* 90)</f>
        <v>14.161490683229815</v>
      </c>
      <c r="AZ187" s="32658">
        <f>IF(HLOOKUP("Mins",A1:CV300,187,FALSE)=0,0,HLOOKUP("Base BPS",A1:CV300,187,FALSE)/HLOOKUP("Mins",A1:CV300,187,FALSE)* 90)</f>
        <v>14.161490683229815</v>
      </c>
      <c r="BA187" s="32659">
        <f>IF(HLOOKUP("Mins",A1:CV300,187,FALSE)=0,0,HLOOKUP("PenTchs",A1:CV300,187,FALSE)/HLOOKUP("Mins",A1:CV300,187,FALSE)* 90)</f>
        <v>3.0745341614906834</v>
      </c>
      <c r="BB187" s="32660">
        <f>IF(HLOOKUP("Mins",A1:CV300,187,FALSE)=0,0,HLOOKUP("Shots",A1:CV300,187,FALSE)/HLOOKUP("Mins",A1:CV300,187,FALSE)* 90)</f>
        <v>1.2111801242236024</v>
      </c>
      <c r="BC187" s="32661">
        <f>IF(HLOOKUP("Mins",A1:CV300,187,FALSE)=0,0,HLOOKUP("SIB",A1:CV300,187,FALSE)/HLOOKUP("Mins",A1:CV300,187,FALSE)* 90)</f>
        <v>0.74534161490683237</v>
      </c>
      <c r="BD187" s="32662">
        <f>IF(HLOOKUP("Mins",A1:CV300,187,FALSE)=0,0,HLOOKUP("S6YD",A1:CV300,187,FALSE)/HLOOKUP("Mins",A1:CV300,187,FALSE)* 90)</f>
        <v>0</v>
      </c>
      <c r="BE187" s="32663">
        <f>IF(HLOOKUP("Mins",A1:CV300,187,FALSE)=0,0,HLOOKUP("Headers",A1:CV300,187,FALSE)/HLOOKUP("Mins",A1:CV300,187,FALSE)* 90)</f>
        <v>9.3167701863354047E-2</v>
      </c>
      <c r="BF187" s="32664">
        <f>IF(HLOOKUP("Mins",A1:CV300,187,FALSE)=0,0,HLOOKUP("SOT",A1:CV300,187,FALSE)/HLOOKUP("Mins",A1:CV300,187,FALSE)* 90)</f>
        <v>0.27950310559006208</v>
      </c>
      <c r="BG187" s="32665">
        <f>IF(HLOOKUP("Mins",A1:CV300,187,FALSE)=0,0,HLOOKUP("As",A1:CV300,187,FALSE)/HLOOKUP("Mins",A1:CV300,187,FALSE)* 90)</f>
        <v>0</v>
      </c>
      <c r="BH187" s="32666">
        <f>IF(HLOOKUP("Mins",A1:CV300,187,FALSE)=0,0,HLOOKUP("FPL As",A1:CV300,187,FALSE)/HLOOKUP("Mins",A1:CV300,187,FALSE)* 90)</f>
        <v>0</v>
      </c>
      <c r="BI187" s="32667">
        <f>IF(HLOOKUP("Mins",A1:CV300,187,FALSE)=0,0,HLOOKUP("BC Created",A1:CV300,187,FALSE)/HLOOKUP("Mins",A1:CV300,187,FALSE)* 90)</f>
        <v>0</v>
      </c>
      <c r="BJ187" s="32668">
        <f>IF(HLOOKUP("Mins",A1:CV300,187,FALSE)=0,0,HLOOKUP("KP",A1:CV300,187,FALSE)/HLOOKUP("Mins",A1:CV300,187,FALSE)* 90)</f>
        <v>1.1180124223602483</v>
      </c>
      <c r="BK187" s="32669">
        <f>IF(HLOOKUP("Mins",A1:CV300,187,FALSE)=0,0,HLOOKUP("BC",A1:CV300,187,FALSE)/HLOOKUP("Mins",A1:CV300,187,FALSE)* 90)</f>
        <v>9.3167701863354047E-2</v>
      </c>
      <c r="BL187" s="32670">
        <f>IF(HLOOKUP("Mins",A1:CV300,187,FALSE)=0,0,HLOOKUP("BC Miss",A1:CV300,187,FALSE)/HLOOKUP("Mins",A1:CV300,187,FALSE)* 90)</f>
        <v>9.3167701863354047E-2</v>
      </c>
      <c r="BM187" s="32671">
        <f>IF(HLOOKUP("Mins",A1:CV300,187,FALSE)=0,0,HLOOKUP("Gs - BC",A1:CV300,187,FALSE)/HLOOKUP("Mins",A1:CV300,187,FALSE)* 90)</f>
        <v>0</v>
      </c>
      <c r="BN187" s="32672">
        <f>IF(HLOOKUP("Mins",A1:CV300,187,FALSE)=0,0,HLOOKUP("GIB",A1:CV300,187,FALSE)/HLOOKUP("Mins",A1:CV300,187,FALSE)* 90)</f>
        <v>0</v>
      </c>
      <c r="BO187" s="32673">
        <f>IF(HLOOKUP("Mins",A1:CV300,187,FALSE)=0,0,HLOOKUP("Gs - Open",A1:CV300,187,FALSE)/HLOOKUP("Mins",A1:CV300,187,FALSE)* 90)</f>
        <v>0</v>
      </c>
      <c r="BP187" s="32674">
        <f>IF(HLOOKUP("Mins",A1:CV300,187,FALSE)=0,0,HLOOKUP("ICT Index",A1:CV300,187,FALSE)/HLOOKUP("Mins",A1:CV300,187,FALSE)* 90)</f>
        <v>4.9378881987577641</v>
      </c>
      <c r="BQ187" s="32675">
        <f>IF(HLOOKUP("Mins",A1:CV300,187,FALSE)=0,0,(0.036*(HLOOKUP("Shots",A1:CV300,187,FALSE)-HLOOKUP("SIB",A1:CV300,187,FALSE))+0.142*(HLOOKUP("SIB",A1:CV300,187,FALSE)-(HLOOKUP("PK Gs",A1:CV300,187,FALSE)+HLOOKUP("PK Miss",A1:CV300,187,FALSE)))+0.75*(HLOOKUP("PK Gs",A1:CV300,187,FALSE)+HLOOKUP("PK Miss",A1:CV300,187,FALSE)))/HLOOKUP("Mins",A1:CV300,187,FALSE)*90)</f>
        <v>0.1226086956521739</v>
      </c>
      <c r="BR187" s="32676">
        <f>0.0885*HLOOKUP("KP/90",A1:CV300,187,FALSE)</f>
        <v>9.8944099378881975E-2</v>
      </c>
      <c r="BS187" s="32677">
        <f>5*HLOOKUP("xG/90",A1:CV300,187,FALSE)+3*HLOOKUP("xA/90",A1:CV300,187,FALSE)</f>
        <v>0.90987577639751538</v>
      </c>
      <c r="BT187" s="32678">
        <f>HLOOKUP("xPts/90",A1:CV300,187,FALSE)-(5*0.75*(HLOOKUP("PK Gs",A1:CV300,187,FALSE)+HLOOKUP("PK Miss",A1:CV300,187,FALSE))*90/HLOOKUP("Mins",A1:CV300,187,FALSE))</f>
        <v>0.90987577639751538</v>
      </c>
      <c r="BU187" s="32679">
        <f>IF(HLOOKUP("Mins",A1:CV300,187,FALSE)=0,0,HLOOKUP("fsXG",A1:CV300,187,FALSE)/HLOOKUP("Mins",A1:CV300,187,FALSE)* 90)</f>
        <v>0.11459627329192547</v>
      </c>
      <c r="BV187" s="32680">
        <f>IF(HLOOKUP("Mins",A1:CV300,187,FALSE)=0,0,HLOOKUP("fsXA",A1:CV300,187,FALSE)/HLOOKUP("Mins",A1:CV300,187,FALSE)* 90)</f>
        <v>7.4534161490683232E-2</v>
      </c>
      <c r="BW187" s="32681">
        <f>5*HLOOKUP("fsXG/90",A1:CV300,187,FALSE)+3*HLOOKUP("fsXA/90",A1:CV300,187,FALSE)</f>
        <v>0.79658385093167705</v>
      </c>
      <c r="BX187" s="32682">
        <v>9.894263744354248E-2</v>
      </c>
      <c r="BY187" s="32683">
        <v>6.8413771688938141E-2</v>
      </c>
      <c r="BZ187" s="32684">
        <f>5*HLOOKUP("uXG/90",A1:CV300,187,FALSE)+3*HLOOKUP("uXA/90",A1:CV300,187,FALSE)</f>
        <v>0.69995450228452682</v>
      </c>
    </row>
    <row r="188" spans="1:78" x14ac:dyDescent="0.3">
      <c r="A188" s="32685" t="s">
        <v>515</v>
      </c>
      <c r="B188" s="32686" t="s">
        <v>93</v>
      </c>
      <c r="C188" s="32687">
        <v>5</v>
      </c>
      <c r="D188" s="32688">
        <v>828</v>
      </c>
      <c r="E188" s="32689">
        <v>16</v>
      </c>
      <c r="F188" s="32690">
        <v>26</v>
      </c>
      <c r="G188" s="32691">
        <v>0</v>
      </c>
      <c r="H188" s="32692">
        <v>0</v>
      </c>
      <c r="I188" s="32693">
        <v>117</v>
      </c>
      <c r="J188" s="32694">
        <f>HLOOKUP("BPS",A1:CV300,188,FALSE)-((-6*HLOOKUP("OG",A1:CV300,188,FALSE))+(-6*HLOOKUP("PK Miss",A1:CV300,188,FALSE))+(9*HLOOKUP("FPL As",A1:CV300,188,FALSE))+(0*HLOOKUP("CS",A1:CV300,188,FALSE))+(18*HLOOKUP("Gs",A1:CV300,188,FALSE)))</f>
        <v>108</v>
      </c>
      <c r="K188" s="32695">
        <v>0</v>
      </c>
      <c r="L188" s="32696">
        <v>2</v>
      </c>
      <c r="M188" s="32697">
        <v>5</v>
      </c>
      <c r="N188" s="32698">
        <v>6</v>
      </c>
      <c r="O188" s="32699">
        <v>1</v>
      </c>
      <c r="P188" s="32700">
        <f>IF(HLOOKUP("Shots",A1:CV300,188,FALSE)=0,0,HLOOKUP("SIB",A1:CV300,188,FALSE)/HLOOKUP("Shots",A1:CV300,188,FALSE))</f>
        <v>0.16666666666666666</v>
      </c>
      <c r="Q188" s="32701">
        <v>0</v>
      </c>
      <c r="R188" s="32702">
        <f>IF(HLOOKUP("Shots",A1:CV300,188,FALSE)=0,0,HLOOKUP("S6YD",A1:CV300,188,FALSE)/HLOOKUP("Shots",A1:CV300,188,FALSE))</f>
        <v>0</v>
      </c>
      <c r="S188" s="32703">
        <v>0</v>
      </c>
      <c r="T188" s="32704">
        <f>IF(HLOOKUP("Shots",A1:CV300,188,FALSE)=0,0,HLOOKUP("Headers",A1:CV300,188,FALSE)/HLOOKUP("Shots",A1:CV300,188,FALSE))</f>
        <v>0</v>
      </c>
      <c r="U188" s="32705">
        <v>1</v>
      </c>
      <c r="V188" s="32706">
        <f>IF(HLOOKUP("Shots",A1:CV300,188,FALSE)=0,0,HLOOKUP("SOT",A1:CV300,188,FALSE)/HLOOKUP("Shots",A1:CV300,188,FALSE))</f>
        <v>0.16666666666666666</v>
      </c>
      <c r="W188" s="32707">
        <f>IF(HLOOKUP("Shots",A1:CV300,188,FALSE)=0,0,HLOOKUP("Gs",A1:CV300,188,FALSE)/HLOOKUP("Shots",A1:CV300,188,FALSE))</f>
        <v>0</v>
      </c>
      <c r="X188" s="32708">
        <v>0</v>
      </c>
      <c r="Y188" s="32709">
        <v>1</v>
      </c>
      <c r="Z188" s="32710">
        <v>6</v>
      </c>
      <c r="AA188" s="32711">
        <f>IF(HLOOKUP("KP",A1:CV300,188,FALSE)=0,0,HLOOKUP("As",A1:CV300,188,FALSE)/HLOOKUP("KP",A1:CV300,188,FALSE))</f>
        <v>0</v>
      </c>
      <c r="AB188" s="32712">
        <v>26.4</v>
      </c>
      <c r="AC188" s="32713">
        <v>11</v>
      </c>
      <c r="AD188" s="32714">
        <v>0</v>
      </c>
      <c r="AE188" s="32715">
        <v>0</v>
      </c>
      <c r="AF188" s="32716">
        <v>0</v>
      </c>
      <c r="AG188" s="32717">
        <f>IF(HLOOKUP("BC",A1:CV300,188,FALSE)=0,0,HLOOKUP("Gs - BC",A1:CV300,188,FALSE)/HLOOKUP("BC",A1:CV300,188,FALSE))</f>
        <v>0</v>
      </c>
      <c r="AH188" s="32718">
        <f>HLOOKUP("BC",A1:CV300,188,FALSE) - HLOOKUP("BC Miss",A1:CV300,188,FALSE)</f>
        <v>0</v>
      </c>
      <c r="AI188" s="32719">
        <f>IF(HLOOKUP("Gs",A1:CV300,188,FALSE)=0,0,HLOOKUP("Gs - BC",A1:CV300,188,FALSE)/HLOOKUP("Gs",A1:CV300,188,FALSE))</f>
        <v>0</v>
      </c>
      <c r="AJ188" s="32720">
        <v>0</v>
      </c>
      <c r="AK188" s="32721">
        <v>0</v>
      </c>
      <c r="AL188" s="32722">
        <f>HLOOKUP("BC",A1:CV300,188,FALSE) - (HLOOKUP("PK Gs",A1:CV300,188,FALSE) + HLOOKUP("PK Miss",A1:CV300,188,FALSE))</f>
        <v>0</v>
      </c>
      <c r="AM188" s="32723">
        <f>HLOOKUP("BC Miss",A1:CV300,188,FALSE) - HLOOKUP("PK Miss",A1:CV300,188,FALSE)</f>
        <v>0</v>
      </c>
      <c r="AN188" s="32724">
        <f>IF(HLOOKUP("BC - Open",A1:CV300,188,FALSE)=0,0,HLOOKUP("BC - Open Miss",A1:CV300,188,FALSE)/HLOOKUP("BC - Open",A1:CV300,188,FALSE))</f>
        <v>0</v>
      </c>
      <c r="AO188" s="32725">
        <v>0</v>
      </c>
      <c r="AP188" s="32726">
        <f>IF(HLOOKUP("Gs",A1:CV300,188,FALSE)=0,0,HLOOKUP("GIB",A1:CV300,188,FALSE)/HLOOKUP("Gs",A1:CV300,188,FALSE))</f>
        <v>0</v>
      </c>
      <c r="AQ188" s="32727">
        <v>0</v>
      </c>
      <c r="AR188" s="32728">
        <f>IF(HLOOKUP("Gs",A1:CV300,188,FALSE)=0,0,HLOOKUP("Gs - Open",A1:CV300,188,FALSE)/HLOOKUP("Gs",A1:CV300,188,FALSE))</f>
        <v>0</v>
      </c>
      <c r="AS188" s="32729">
        <v>0.21</v>
      </c>
      <c r="AT188" s="32730">
        <v>0.71</v>
      </c>
      <c r="AU188" s="32731">
        <f>IF(HLOOKUP("Mins",A1:CV300,188,FALSE)=0,0,HLOOKUP("Pts",A1:CV300,188,FALSE)/HLOOKUP("Mins",A1:CV300,188,FALSE)* 90)</f>
        <v>2.8260869565217392</v>
      </c>
      <c r="AV188" s="32732">
        <f>IF(HLOOKUP("Apps",A1:CV300,188,FALSE)=0,0,HLOOKUP("Pts",A1:CV300,188,FALSE)/HLOOKUP("Apps",A1:CV300,188,FALSE)* 1)</f>
        <v>1.625</v>
      </c>
      <c r="AW188" s="32733">
        <f>IF(HLOOKUP("Mins",A1:CV300,188,FALSE)=0,0,HLOOKUP("Gs",A1:CV300,188,FALSE)/HLOOKUP("Mins",A1:CV300,188,FALSE)* 90)</f>
        <v>0</v>
      </c>
      <c r="AX188" s="32734">
        <f>IF(HLOOKUP("Mins",A1:CV300,188,FALSE)=0,0,HLOOKUP("Bonus",A1:CV300,188,FALSE)/HLOOKUP("Mins",A1:CV300,188,FALSE)* 90)</f>
        <v>0</v>
      </c>
      <c r="AY188" s="32735">
        <f>IF(HLOOKUP("Mins",A1:CV300,188,FALSE)=0,0,HLOOKUP("BPS",A1:CV300,188,FALSE)/HLOOKUP("Mins",A1:CV300,188,FALSE)* 90)</f>
        <v>12.717391304347824</v>
      </c>
      <c r="AZ188" s="32736">
        <f>IF(HLOOKUP("Mins",A1:CV300,188,FALSE)=0,0,HLOOKUP("Base BPS",A1:CV300,188,FALSE)/HLOOKUP("Mins",A1:CV300,188,FALSE)* 90)</f>
        <v>11.739130434782608</v>
      </c>
      <c r="BA188" s="32737">
        <f>IF(HLOOKUP("Mins",A1:CV300,188,FALSE)=0,0,HLOOKUP("PenTchs",A1:CV300,188,FALSE)/HLOOKUP("Mins",A1:CV300,188,FALSE)* 90)</f>
        <v>0.54347826086956519</v>
      </c>
      <c r="BB188" s="32738">
        <f>IF(HLOOKUP("Mins",A1:CV300,188,FALSE)=0,0,HLOOKUP("Shots",A1:CV300,188,FALSE)/HLOOKUP("Mins",A1:CV300,188,FALSE)* 90)</f>
        <v>0.65217391304347827</v>
      </c>
      <c r="BC188" s="32739">
        <f>IF(HLOOKUP("Mins",A1:CV300,188,FALSE)=0,0,HLOOKUP("SIB",A1:CV300,188,FALSE)/HLOOKUP("Mins",A1:CV300,188,FALSE)* 90)</f>
        <v>0.10869565217391304</v>
      </c>
      <c r="BD188" s="32740">
        <f>IF(HLOOKUP("Mins",A1:CV300,188,FALSE)=0,0,HLOOKUP("S6YD",A1:CV300,188,FALSE)/HLOOKUP("Mins",A1:CV300,188,FALSE)* 90)</f>
        <v>0</v>
      </c>
      <c r="BE188" s="32741">
        <f>IF(HLOOKUP("Mins",A1:CV300,188,FALSE)=0,0,HLOOKUP("Headers",A1:CV300,188,FALSE)/HLOOKUP("Mins",A1:CV300,188,FALSE)* 90)</f>
        <v>0</v>
      </c>
      <c r="BF188" s="32742">
        <f>IF(HLOOKUP("Mins",A1:CV300,188,FALSE)=0,0,HLOOKUP("SOT",A1:CV300,188,FALSE)/HLOOKUP("Mins",A1:CV300,188,FALSE)* 90)</f>
        <v>0.10869565217391304</v>
      </c>
      <c r="BG188" s="32743">
        <f>IF(HLOOKUP("Mins",A1:CV300,188,FALSE)=0,0,HLOOKUP("As",A1:CV300,188,FALSE)/HLOOKUP("Mins",A1:CV300,188,FALSE)* 90)</f>
        <v>0</v>
      </c>
      <c r="BH188" s="32744">
        <f>IF(HLOOKUP("Mins",A1:CV300,188,FALSE)=0,0,HLOOKUP("FPL As",A1:CV300,188,FALSE)/HLOOKUP("Mins",A1:CV300,188,FALSE)* 90)</f>
        <v>0.10869565217391304</v>
      </c>
      <c r="BI188" s="32745">
        <f>IF(HLOOKUP("Mins",A1:CV300,188,FALSE)=0,0,HLOOKUP("BC Created",A1:CV300,188,FALSE)/HLOOKUP("Mins",A1:CV300,188,FALSE)* 90)</f>
        <v>0</v>
      </c>
      <c r="BJ188" s="32746">
        <f>IF(HLOOKUP("Mins",A1:CV300,188,FALSE)=0,0,HLOOKUP("KP",A1:CV300,188,FALSE)/HLOOKUP("Mins",A1:CV300,188,FALSE)* 90)</f>
        <v>0.65217391304347827</v>
      </c>
      <c r="BK188" s="32747">
        <f>IF(HLOOKUP("Mins",A1:CV300,188,FALSE)=0,0,HLOOKUP("BC",A1:CV300,188,FALSE)/HLOOKUP("Mins",A1:CV300,188,FALSE)* 90)</f>
        <v>0</v>
      </c>
      <c r="BL188" s="32748">
        <f>IF(HLOOKUP("Mins",A1:CV300,188,FALSE)=0,0,HLOOKUP("BC Miss",A1:CV300,188,FALSE)/HLOOKUP("Mins",A1:CV300,188,FALSE)* 90)</f>
        <v>0</v>
      </c>
      <c r="BM188" s="32749">
        <f>IF(HLOOKUP("Mins",A1:CV300,188,FALSE)=0,0,HLOOKUP("Gs - BC",A1:CV300,188,FALSE)/HLOOKUP("Mins",A1:CV300,188,FALSE)* 90)</f>
        <v>0</v>
      </c>
      <c r="BN188" s="32750">
        <f>IF(HLOOKUP("Mins",A1:CV300,188,FALSE)=0,0,HLOOKUP("GIB",A1:CV300,188,FALSE)/HLOOKUP("Mins",A1:CV300,188,FALSE)* 90)</f>
        <v>0</v>
      </c>
      <c r="BO188" s="32751">
        <f>IF(HLOOKUP("Mins",A1:CV300,188,FALSE)=0,0,HLOOKUP("Gs - Open",A1:CV300,188,FALSE)/HLOOKUP("Mins",A1:CV300,188,FALSE)* 90)</f>
        <v>0</v>
      </c>
      <c r="BP188" s="32752">
        <f>IF(HLOOKUP("Mins",A1:CV300,188,FALSE)=0,0,HLOOKUP("ICT Index",A1:CV300,188,FALSE)/HLOOKUP("Mins",A1:CV300,188,FALSE)* 90)</f>
        <v>2.8695652173913042</v>
      </c>
      <c r="BQ188" s="32753">
        <f>IF(HLOOKUP("Mins",A1:CV300,188,FALSE)=0,0,(0.036*(HLOOKUP("Shots",A1:CV300,188,FALSE)-HLOOKUP("SIB",A1:CV300,188,FALSE))+0.142*(HLOOKUP("SIB",A1:CV300,188,FALSE)-(HLOOKUP("PK Gs",A1:CV300,188,FALSE)+HLOOKUP("PK Miss",A1:CV300,188,FALSE)))+0.75*(HLOOKUP("PK Gs",A1:CV300,188,FALSE)+HLOOKUP("PK Miss",A1:CV300,188,FALSE)))/HLOOKUP("Mins",A1:CV300,188,FALSE)*90)</f>
        <v>3.4999999999999996E-2</v>
      </c>
      <c r="BR188" s="32754">
        <f>0.0885*HLOOKUP("KP/90",A1:CV300,188,FALSE)</f>
        <v>5.7717391304347825E-2</v>
      </c>
      <c r="BS188" s="32755">
        <f>5*HLOOKUP("xG/90",A1:CV300,188,FALSE)+3*HLOOKUP("xA/90",A1:CV300,188,FALSE)</f>
        <v>0.34815217391304343</v>
      </c>
      <c r="BT188" s="32756">
        <f>HLOOKUP("xPts/90",A1:CV300,188,FALSE)-(5*0.75*(HLOOKUP("PK Gs",A1:CV300,188,FALSE)+HLOOKUP("PK Miss",A1:CV300,188,FALSE))*90/HLOOKUP("Mins",A1:CV300,188,FALSE))</f>
        <v>0.34815217391304343</v>
      </c>
      <c r="BU188" s="32757">
        <f>IF(HLOOKUP("Mins",A1:CV300,188,FALSE)=0,0,HLOOKUP("fsXG",A1:CV300,188,FALSE)/HLOOKUP("Mins",A1:CV300,188,FALSE)* 90)</f>
        <v>2.2826086956521739E-2</v>
      </c>
      <c r="BV188" s="32758">
        <f>IF(HLOOKUP("Mins",A1:CV300,188,FALSE)=0,0,HLOOKUP("fsXA",A1:CV300,188,FALSE)/HLOOKUP("Mins",A1:CV300,188,FALSE)* 90)</f>
        <v>7.7173913043478259E-2</v>
      </c>
      <c r="BW188" s="32759">
        <f>5*HLOOKUP("fsXG/90",A1:CV300,188,FALSE)+3*HLOOKUP("fsXA/90",A1:CV300,188,FALSE)</f>
        <v>0.34565217391304348</v>
      </c>
      <c r="BX188" s="32760">
        <v>1.6571113839745522E-2</v>
      </c>
      <c r="BY188" s="32761">
        <v>3.7187725305557251E-2</v>
      </c>
      <c r="BZ188" s="32762">
        <f>5*HLOOKUP("uXG/90",A1:CV300,188,FALSE)+3*HLOOKUP("uXA/90",A1:CV300,188,FALSE)</f>
        <v>0.19441874511539936</v>
      </c>
    </row>
    <row r="189" spans="1:78" x14ac:dyDescent="0.3">
      <c r="A189" s="32763" t="s">
        <v>516</v>
      </c>
      <c r="B189" s="32764" t="s">
        <v>96</v>
      </c>
      <c r="C189" s="32765">
        <v>5.9000000953674316</v>
      </c>
      <c r="D189" s="32766">
        <v>401</v>
      </c>
      <c r="E189" s="32767">
        <v>7</v>
      </c>
      <c r="F189" s="32768">
        <v>20</v>
      </c>
      <c r="G189" s="32769">
        <v>1</v>
      </c>
      <c r="H189" s="32770">
        <v>1</v>
      </c>
      <c r="I189" s="32771">
        <v>66</v>
      </c>
      <c r="J189" s="32772">
        <f>HLOOKUP("BPS",A1:CV300,189,FALSE)-((-6*HLOOKUP("OG",A1:CV300,189,FALSE))+(-6*HLOOKUP("PK Miss",A1:CV300,189,FALSE))+(9*HLOOKUP("FPL As",A1:CV300,189,FALSE))+(0*HLOOKUP("CS",A1:CV300,189,FALSE))+(18*HLOOKUP("Gs",A1:CV300,189,FALSE)))</f>
        <v>48</v>
      </c>
      <c r="K189" s="32773">
        <v>0</v>
      </c>
      <c r="L189" s="32774">
        <v>3</v>
      </c>
      <c r="M189" s="32775">
        <v>16</v>
      </c>
      <c r="N189" s="32776">
        <v>8</v>
      </c>
      <c r="O189" s="32777">
        <v>5</v>
      </c>
      <c r="P189" s="32778">
        <f>IF(HLOOKUP("Shots",A1:CV300,189,FALSE)=0,0,HLOOKUP("SIB",A1:CV300,189,FALSE)/HLOOKUP("Shots",A1:CV300,189,FALSE))</f>
        <v>0.625</v>
      </c>
      <c r="Q189" s="32779">
        <v>0</v>
      </c>
      <c r="R189" s="32780">
        <f>IF(HLOOKUP("Shots",A1:CV300,189,FALSE)=0,0,HLOOKUP("S6YD",A1:CV300,189,FALSE)/HLOOKUP("Shots",A1:CV300,189,FALSE))</f>
        <v>0</v>
      </c>
      <c r="S189" s="32781">
        <v>2</v>
      </c>
      <c r="T189" s="32782">
        <f>IF(HLOOKUP("Shots",A1:CV300,189,FALSE)=0,0,HLOOKUP("Headers",A1:CV300,189,FALSE)/HLOOKUP("Shots",A1:CV300,189,FALSE))</f>
        <v>0.25</v>
      </c>
      <c r="U189" s="32783">
        <v>2</v>
      </c>
      <c r="V189" s="32784">
        <f>IF(HLOOKUP("Shots",A1:CV300,189,FALSE)=0,0,HLOOKUP("SOT",A1:CV300,189,FALSE)/HLOOKUP("Shots",A1:CV300,189,FALSE))</f>
        <v>0.25</v>
      </c>
      <c r="W189" s="32785">
        <f>IF(HLOOKUP("Shots",A1:CV300,189,FALSE)=0,0,HLOOKUP("Gs",A1:CV300,189,FALSE)/HLOOKUP("Shots",A1:CV300,189,FALSE))</f>
        <v>0.125</v>
      </c>
      <c r="X189" s="32786">
        <v>0</v>
      </c>
      <c r="Y189" s="32787">
        <v>0</v>
      </c>
      <c r="Z189" s="32788">
        <v>10</v>
      </c>
      <c r="AA189" s="32789">
        <f>IF(HLOOKUP("KP",A1:CV300,189,FALSE)=0,0,HLOOKUP("As",A1:CV300,189,FALSE)/HLOOKUP("KP",A1:CV300,189,FALSE))</f>
        <v>0</v>
      </c>
      <c r="AB189" s="32790">
        <v>33.299999999999997</v>
      </c>
      <c r="AC189" s="32791">
        <v>14</v>
      </c>
      <c r="AD189" s="32792">
        <v>1</v>
      </c>
      <c r="AE189" s="32793">
        <v>0</v>
      </c>
      <c r="AF189" s="32794">
        <v>0</v>
      </c>
      <c r="AG189" s="32795">
        <f>IF(HLOOKUP("BC",A1:CV300,189,FALSE)=0,0,HLOOKUP("Gs - BC",A1:CV300,189,FALSE)/HLOOKUP("BC",A1:CV300,189,FALSE))</f>
        <v>0</v>
      </c>
      <c r="AH189" s="32796">
        <f>HLOOKUP("BC",A1:CV300,189,FALSE) - HLOOKUP("BC Miss",A1:CV300,189,FALSE)</f>
        <v>0</v>
      </c>
      <c r="AI189" s="32797">
        <f>IF(HLOOKUP("Gs",A1:CV300,189,FALSE)=0,0,HLOOKUP("Gs - BC",A1:CV300,189,FALSE)/HLOOKUP("Gs",A1:CV300,189,FALSE))</f>
        <v>0</v>
      </c>
      <c r="AJ189" s="32798">
        <v>0</v>
      </c>
      <c r="AK189" s="32799">
        <v>0</v>
      </c>
      <c r="AL189" s="32800">
        <f>HLOOKUP("BC",A1:CV300,189,FALSE) - (HLOOKUP("PK Gs",A1:CV300,189,FALSE) + HLOOKUP("PK Miss",A1:CV300,189,FALSE))</f>
        <v>0</v>
      </c>
      <c r="AM189" s="32801">
        <f>HLOOKUP("BC Miss",A1:CV300,189,FALSE) - HLOOKUP("PK Miss",A1:CV300,189,FALSE)</f>
        <v>0</v>
      </c>
      <c r="AN189" s="32802">
        <f>IF(HLOOKUP("BC - Open",A1:CV300,189,FALSE)=0,0,HLOOKUP("BC - Open Miss",A1:CV300,189,FALSE)/HLOOKUP("BC - Open",A1:CV300,189,FALSE))</f>
        <v>0</v>
      </c>
      <c r="AO189" s="32803">
        <v>1</v>
      </c>
      <c r="AP189" s="32804">
        <f>IF(HLOOKUP("Gs",A1:CV300,189,FALSE)=0,0,HLOOKUP("GIB",A1:CV300,189,FALSE)/HLOOKUP("Gs",A1:CV300,189,FALSE))</f>
        <v>1</v>
      </c>
      <c r="AQ189" s="32805">
        <v>1</v>
      </c>
      <c r="AR189" s="32806">
        <f>IF(HLOOKUP("Gs",A1:CV300,189,FALSE)=0,0,HLOOKUP("Gs - Open",A1:CV300,189,FALSE)/HLOOKUP("Gs",A1:CV300,189,FALSE))</f>
        <v>1</v>
      </c>
      <c r="AS189" s="32807">
        <v>0.51</v>
      </c>
      <c r="AT189" s="32808">
        <v>0.96</v>
      </c>
      <c r="AU189" s="32809">
        <f>IF(HLOOKUP("Mins",A1:CV300,189,FALSE)=0,0,HLOOKUP("Pts",A1:CV300,189,FALSE)/HLOOKUP("Mins",A1:CV300,189,FALSE)* 90)</f>
        <v>4.4887780548628431</v>
      </c>
      <c r="AV189" s="32810">
        <f>IF(HLOOKUP("Apps",A1:CV300,189,FALSE)=0,0,HLOOKUP("Pts",A1:CV300,189,FALSE)/HLOOKUP("Apps",A1:CV300,189,FALSE)* 1)</f>
        <v>2.8571428571428572</v>
      </c>
      <c r="AW189" s="32811">
        <f>IF(HLOOKUP("Mins",A1:CV300,189,FALSE)=0,0,HLOOKUP("Gs",A1:CV300,189,FALSE)/HLOOKUP("Mins",A1:CV300,189,FALSE)* 90)</f>
        <v>0.22443890274314213</v>
      </c>
      <c r="AX189" s="32812">
        <f>IF(HLOOKUP("Mins",A1:CV300,189,FALSE)=0,0,HLOOKUP("Bonus",A1:CV300,189,FALSE)/HLOOKUP("Mins",A1:CV300,189,FALSE)* 90)</f>
        <v>0.22443890274314213</v>
      </c>
      <c r="AY189" s="32813">
        <f>IF(HLOOKUP("Mins",A1:CV300,189,FALSE)=0,0,HLOOKUP("BPS",A1:CV300,189,FALSE)/HLOOKUP("Mins",A1:CV300,189,FALSE)* 90)</f>
        <v>14.812967581047381</v>
      </c>
      <c r="AZ189" s="32814">
        <f>IF(HLOOKUP("Mins",A1:CV300,189,FALSE)=0,0,HLOOKUP("Base BPS",A1:CV300,189,FALSE)/HLOOKUP("Mins",A1:CV300,189,FALSE)* 90)</f>
        <v>10.773067331670823</v>
      </c>
      <c r="BA189" s="32815">
        <f>IF(HLOOKUP("Mins",A1:CV300,189,FALSE)=0,0,HLOOKUP("PenTchs",A1:CV300,189,FALSE)/HLOOKUP("Mins",A1:CV300,189,FALSE)* 90)</f>
        <v>3.591022443890274</v>
      </c>
      <c r="BB189" s="32816">
        <f>IF(HLOOKUP("Mins",A1:CV300,189,FALSE)=0,0,HLOOKUP("Shots",A1:CV300,189,FALSE)/HLOOKUP("Mins",A1:CV300,189,FALSE)* 90)</f>
        <v>1.795511221945137</v>
      </c>
      <c r="BC189" s="32817">
        <f>IF(HLOOKUP("Mins",A1:CV300,189,FALSE)=0,0,HLOOKUP("SIB",A1:CV300,189,FALSE)/HLOOKUP("Mins",A1:CV300,189,FALSE)* 90)</f>
        <v>1.1221945137157108</v>
      </c>
      <c r="BD189" s="32818">
        <f>IF(HLOOKUP("Mins",A1:CV300,189,FALSE)=0,0,HLOOKUP("S6YD",A1:CV300,189,FALSE)/HLOOKUP("Mins",A1:CV300,189,FALSE)* 90)</f>
        <v>0</v>
      </c>
      <c r="BE189" s="32819">
        <f>IF(HLOOKUP("Mins",A1:CV300,189,FALSE)=0,0,HLOOKUP("Headers",A1:CV300,189,FALSE)/HLOOKUP("Mins",A1:CV300,189,FALSE)* 90)</f>
        <v>0.44887780548628425</v>
      </c>
      <c r="BF189" s="32820">
        <f>IF(HLOOKUP("Mins",A1:CV300,189,FALSE)=0,0,HLOOKUP("SOT",A1:CV300,189,FALSE)/HLOOKUP("Mins",A1:CV300,189,FALSE)* 90)</f>
        <v>0.44887780548628425</v>
      </c>
      <c r="BG189" s="32821">
        <f>IF(HLOOKUP("Mins",A1:CV300,189,FALSE)=0,0,HLOOKUP("As",A1:CV300,189,FALSE)/HLOOKUP("Mins",A1:CV300,189,FALSE)* 90)</f>
        <v>0</v>
      </c>
      <c r="BH189" s="32822">
        <f>IF(HLOOKUP("Mins",A1:CV300,189,FALSE)=0,0,HLOOKUP("FPL As",A1:CV300,189,FALSE)/HLOOKUP("Mins",A1:CV300,189,FALSE)* 90)</f>
        <v>0</v>
      </c>
      <c r="BI189" s="32823">
        <f>IF(HLOOKUP("Mins",A1:CV300,189,FALSE)=0,0,HLOOKUP("BC Created",A1:CV300,189,FALSE)/HLOOKUP("Mins",A1:CV300,189,FALSE)* 90)</f>
        <v>0.22443890274314213</v>
      </c>
      <c r="BJ189" s="32824">
        <f>IF(HLOOKUP("Mins",A1:CV300,189,FALSE)=0,0,HLOOKUP("KP",A1:CV300,189,FALSE)/HLOOKUP("Mins",A1:CV300,189,FALSE)* 90)</f>
        <v>2.2443890274314215</v>
      </c>
      <c r="BK189" s="32825">
        <f>IF(HLOOKUP("Mins",A1:CV300,189,FALSE)=0,0,HLOOKUP("BC",A1:CV300,189,FALSE)/HLOOKUP("Mins",A1:CV300,189,FALSE)* 90)</f>
        <v>0</v>
      </c>
      <c r="BL189" s="32826">
        <f>IF(HLOOKUP("Mins",A1:CV300,189,FALSE)=0,0,HLOOKUP("BC Miss",A1:CV300,189,FALSE)/HLOOKUP("Mins",A1:CV300,189,FALSE)* 90)</f>
        <v>0</v>
      </c>
      <c r="BM189" s="32827">
        <f>IF(HLOOKUP("Mins",A1:CV300,189,FALSE)=0,0,HLOOKUP("Gs - BC",A1:CV300,189,FALSE)/HLOOKUP("Mins",A1:CV300,189,FALSE)* 90)</f>
        <v>0</v>
      </c>
      <c r="BN189" s="32828">
        <f>IF(HLOOKUP("Mins",A1:CV300,189,FALSE)=0,0,HLOOKUP("GIB",A1:CV300,189,FALSE)/HLOOKUP("Mins",A1:CV300,189,FALSE)* 90)</f>
        <v>0.22443890274314213</v>
      </c>
      <c r="BO189" s="32829">
        <f>IF(HLOOKUP("Mins",A1:CV300,189,FALSE)=0,0,HLOOKUP("Gs - Open",A1:CV300,189,FALSE)/HLOOKUP("Mins",A1:CV300,189,FALSE)* 90)</f>
        <v>0.22443890274314213</v>
      </c>
      <c r="BP189" s="32830">
        <f>IF(HLOOKUP("Mins",A1:CV300,189,FALSE)=0,0,HLOOKUP("ICT Index",A1:CV300,189,FALSE)/HLOOKUP("Mins",A1:CV300,189,FALSE)* 90)</f>
        <v>7.473815461346633</v>
      </c>
      <c r="BQ189" s="32831">
        <f>IF(HLOOKUP("Mins",A1:CV300,189,FALSE)=0,0,(0.036*(HLOOKUP("Shots",A1:CV300,189,FALSE)-HLOOKUP("SIB",A1:CV300,189,FALSE))+0.142*(HLOOKUP("SIB",A1:CV300,189,FALSE)-(HLOOKUP("PK Gs",A1:CV300,189,FALSE)+HLOOKUP("PK Miss",A1:CV300,189,FALSE)))+0.75*(HLOOKUP("PK Gs",A1:CV300,189,FALSE)+HLOOKUP("PK Miss",A1:CV300,189,FALSE)))/HLOOKUP("Mins",A1:CV300,189,FALSE)*90)</f>
        <v>0.18359102244389025</v>
      </c>
      <c r="BR189" s="32832">
        <f>0.0885*HLOOKUP("KP/90",A1:CV300,189,FALSE)</f>
        <v>0.19862842892768079</v>
      </c>
      <c r="BS189" s="32833">
        <f>5*HLOOKUP("xG/90",A1:CV300,189,FALSE)+3*HLOOKUP("xA/90",A1:CV300,189,FALSE)</f>
        <v>1.5138403990024938</v>
      </c>
      <c r="BT189" s="32834">
        <f>HLOOKUP("xPts/90",A1:CV300,189,FALSE)-(5*0.75*(HLOOKUP("PK Gs",A1:CV300,189,FALSE)+HLOOKUP("PK Miss",A1:CV300,189,FALSE))*90/HLOOKUP("Mins",A1:CV300,189,FALSE))</f>
        <v>1.5138403990024938</v>
      </c>
      <c r="BU189" s="32835">
        <f>IF(HLOOKUP("Mins",A1:CV300,189,FALSE)=0,0,HLOOKUP("fsXG",A1:CV300,189,FALSE)/HLOOKUP("Mins",A1:CV300,189,FALSE)* 90)</f>
        <v>0.11446384039900249</v>
      </c>
      <c r="BV189" s="32836">
        <f>IF(HLOOKUP("Mins",A1:CV300,189,FALSE)=0,0,HLOOKUP("fsXA",A1:CV300,189,FALSE)/HLOOKUP("Mins",A1:CV300,189,FALSE)* 90)</f>
        <v>0.21546134663341646</v>
      </c>
      <c r="BW189" s="32837">
        <f>5*HLOOKUP("fsXG/90",A1:CV300,189,FALSE)+3*HLOOKUP("fsXA/90",A1:CV300,189,FALSE)</f>
        <v>1.2187032418952619</v>
      </c>
      <c r="BX189" s="32838">
        <v>0.12090905755758286</v>
      </c>
      <c r="BY189" s="32839">
        <v>0.15227985382080078</v>
      </c>
      <c r="BZ189" s="32840">
        <f>5*HLOOKUP("uXG/90",A1:CV300,189,FALSE)+3*HLOOKUP("uXA/90",A1:CV300,189,FALSE)</f>
        <v>1.0613848492503166</v>
      </c>
    </row>
    <row r="190" spans="1:78" x14ac:dyDescent="0.3">
      <c r="A190" s="32841" t="s">
        <v>517</v>
      </c>
      <c r="B190" s="32842" t="s">
        <v>86</v>
      </c>
      <c r="C190" s="32843">
        <v>5.1999998092651367</v>
      </c>
      <c r="D190" s="32844">
        <v>1089</v>
      </c>
      <c r="E190" s="32845">
        <v>19</v>
      </c>
      <c r="F190" s="32846">
        <v>50</v>
      </c>
      <c r="G190" s="32847">
        <v>3</v>
      </c>
      <c r="H190" s="32848">
        <v>2</v>
      </c>
      <c r="I190" s="32849">
        <v>145</v>
      </c>
      <c r="J190" s="32850">
        <f>HLOOKUP("BPS",A1:CV300,190,FALSE)-((-6*HLOOKUP("OG",A1:CV300,190,FALSE))+(-6*HLOOKUP("PK Miss",A1:CV300,190,FALSE))+(9*HLOOKUP("FPL As",A1:CV300,190,FALSE))+(0*HLOOKUP("CS",A1:CV300,190,FALSE))+(18*HLOOKUP("Gs",A1:CV300,190,FALSE)))</f>
        <v>73</v>
      </c>
      <c r="K190" s="32851">
        <v>0</v>
      </c>
      <c r="L190" s="32852">
        <v>3</v>
      </c>
      <c r="M190" s="32853">
        <v>56</v>
      </c>
      <c r="N190" s="32854">
        <v>33</v>
      </c>
      <c r="O190" s="32855">
        <v>24</v>
      </c>
      <c r="P190" s="32856">
        <f>IF(HLOOKUP("Shots",A1:CV300,190,FALSE)=0,0,HLOOKUP("SIB",A1:CV300,190,FALSE)/HLOOKUP("Shots",A1:CV300,190,FALSE))</f>
        <v>0.72727272727272729</v>
      </c>
      <c r="Q190" s="32857">
        <v>2</v>
      </c>
      <c r="R190" s="32858">
        <f>IF(HLOOKUP("Shots",A1:CV300,190,FALSE)=0,0,HLOOKUP("S6YD",A1:CV300,190,FALSE)/HLOOKUP("Shots",A1:CV300,190,FALSE))</f>
        <v>6.0606060606060608E-2</v>
      </c>
      <c r="S190" s="32859">
        <v>2</v>
      </c>
      <c r="T190" s="32860">
        <f>IF(HLOOKUP("Shots",A1:CV300,190,FALSE)=0,0,HLOOKUP("Headers",A1:CV300,190,FALSE)/HLOOKUP("Shots",A1:CV300,190,FALSE))</f>
        <v>6.0606060606060608E-2</v>
      </c>
      <c r="U190" s="32861">
        <v>9</v>
      </c>
      <c r="V190" s="32862">
        <f>IF(HLOOKUP("Shots",A1:CV300,190,FALSE)=0,0,HLOOKUP("SOT",A1:CV300,190,FALSE)/HLOOKUP("Shots",A1:CV300,190,FALSE))</f>
        <v>0.27272727272727271</v>
      </c>
      <c r="W190" s="32863">
        <f>IF(HLOOKUP("Shots",A1:CV300,190,FALSE)=0,0,HLOOKUP("Gs",A1:CV300,190,FALSE)/HLOOKUP("Shots",A1:CV300,190,FALSE))</f>
        <v>9.0909090909090912E-2</v>
      </c>
      <c r="X190" s="32864">
        <v>1</v>
      </c>
      <c r="Y190" s="32865">
        <v>2</v>
      </c>
      <c r="Z190" s="32866">
        <v>14</v>
      </c>
      <c r="AA190" s="32867">
        <f>IF(HLOOKUP("KP",A1:CV300,190,FALSE)=0,0,HLOOKUP("As",A1:CV300,190,FALSE)/HLOOKUP("KP",A1:CV300,190,FALSE))</f>
        <v>7.1428571428571425E-2</v>
      </c>
      <c r="AB190" s="32868">
        <v>101.6</v>
      </c>
      <c r="AC190" s="32869">
        <v>29</v>
      </c>
      <c r="AD190" s="32870">
        <v>0</v>
      </c>
      <c r="AE190" s="32871">
        <v>3</v>
      </c>
      <c r="AF190" s="32872">
        <v>1</v>
      </c>
      <c r="AG190" s="32873">
        <f>IF(HLOOKUP("BC",A1:CV300,190,FALSE)=0,0,HLOOKUP("Gs - BC",A1:CV300,190,FALSE)/HLOOKUP("BC",A1:CV300,190,FALSE))</f>
        <v>0.66666666666666663</v>
      </c>
      <c r="AH190" s="32874">
        <f>HLOOKUP("BC",A1:CV300,190,FALSE) - HLOOKUP("BC Miss",A1:CV300,190,FALSE)</f>
        <v>2</v>
      </c>
      <c r="AI190" s="32875">
        <f>IF(HLOOKUP("Gs",A1:CV300,190,FALSE)=0,0,HLOOKUP("Gs - BC",A1:CV300,190,FALSE)/HLOOKUP("Gs",A1:CV300,190,FALSE))</f>
        <v>0.66666666666666663</v>
      </c>
      <c r="AJ190" s="32876">
        <v>0</v>
      </c>
      <c r="AK190" s="32877">
        <v>0</v>
      </c>
      <c r="AL190" s="32878">
        <f>HLOOKUP("BC",A1:CV300,190,FALSE) - (HLOOKUP("PK Gs",A1:CV300,190,FALSE) + HLOOKUP("PK Miss",A1:CV300,190,FALSE))</f>
        <v>3</v>
      </c>
      <c r="AM190" s="32879">
        <f>HLOOKUP("BC Miss",A1:CV300,190,FALSE) - HLOOKUP("PK Miss",A1:CV300,190,FALSE)</f>
        <v>1</v>
      </c>
      <c r="AN190" s="32880">
        <f>IF(HLOOKUP("BC - Open",A1:CV300,190,FALSE)=0,0,HLOOKUP("BC - Open Miss",A1:CV300,190,FALSE)/HLOOKUP("BC - Open",A1:CV300,190,FALSE))</f>
        <v>0.33333333333333331</v>
      </c>
      <c r="AO190" s="32881">
        <v>3</v>
      </c>
      <c r="AP190" s="32882">
        <f>IF(HLOOKUP("Gs",A1:CV300,190,FALSE)=0,0,HLOOKUP("GIB",A1:CV300,190,FALSE)/HLOOKUP("Gs",A1:CV300,190,FALSE))</f>
        <v>1</v>
      </c>
      <c r="AQ190" s="32883">
        <v>1</v>
      </c>
      <c r="AR190" s="32884">
        <f>IF(HLOOKUP("Gs",A1:CV300,190,FALSE)=0,0,HLOOKUP("Gs - Open",A1:CV300,190,FALSE)/HLOOKUP("Gs",A1:CV300,190,FALSE))</f>
        <v>0.33333333333333331</v>
      </c>
      <c r="AS190" s="32885">
        <v>2.96</v>
      </c>
      <c r="AT190" s="32886">
        <v>1.07</v>
      </c>
      <c r="AU190" s="32887">
        <f>IF(HLOOKUP("Mins",A1:CV300,190,FALSE)=0,0,HLOOKUP("Pts",A1:CV300,190,FALSE)/HLOOKUP("Mins",A1:CV300,190,FALSE)* 90)</f>
        <v>4.1322314049586772</v>
      </c>
      <c r="AV190" s="32888">
        <f>IF(HLOOKUP("Apps",A1:CV300,190,FALSE)=0,0,HLOOKUP("Pts",A1:CV300,190,FALSE)/HLOOKUP("Apps",A1:CV300,190,FALSE)* 1)</f>
        <v>2.6315789473684212</v>
      </c>
      <c r="AW190" s="32889">
        <f>IF(HLOOKUP("Mins",A1:CV300,190,FALSE)=0,0,HLOOKUP("Gs",A1:CV300,190,FALSE)/HLOOKUP("Mins",A1:CV300,190,FALSE)* 90)</f>
        <v>0.24793388429752067</v>
      </c>
      <c r="AX190" s="32890">
        <f>IF(HLOOKUP("Mins",A1:CV300,190,FALSE)=0,0,HLOOKUP("Bonus",A1:CV300,190,FALSE)/HLOOKUP("Mins",A1:CV300,190,FALSE)* 90)</f>
        <v>0.16528925619834711</v>
      </c>
      <c r="AY190" s="32891">
        <f>IF(HLOOKUP("Mins",A1:CV300,190,FALSE)=0,0,HLOOKUP("BPS",A1:CV300,190,FALSE)/HLOOKUP("Mins",A1:CV300,190,FALSE)* 90)</f>
        <v>11.983471074380164</v>
      </c>
      <c r="AZ190" s="32892">
        <f>IF(HLOOKUP("Mins",A1:CV300,190,FALSE)=0,0,HLOOKUP("Base BPS",A1:CV300,190,FALSE)/HLOOKUP("Mins",A1:CV300,190,FALSE)* 90)</f>
        <v>6.0330578512396702</v>
      </c>
      <c r="BA190" s="32893">
        <f>IF(HLOOKUP("Mins",A1:CV300,190,FALSE)=0,0,HLOOKUP("PenTchs",A1:CV300,190,FALSE)/HLOOKUP("Mins",A1:CV300,190,FALSE)* 90)</f>
        <v>4.6280991735537187</v>
      </c>
      <c r="BB190" s="32894">
        <f>IF(HLOOKUP("Mins",A1:CV300,190,FALSE)=0,0,HLOOKUP("Shots",A1:CV300,190,FALSE)/HLOOKUP("Mins",A1:CV300,190,FALSE)* 90)</f>
        <v>2.7272727272727275</v>
      </c>
      <c r="BC190" s="32895">
        <f>IF(HLOOKUP("Mins",A1:CV300,190,FALSE)=0,0,HLOOKUP("SIB",A1:CV300,190,FALSE)/HLOOKUP("Mins",A1:CV300,190,FALSE)* 90)</f>
        <v>1.9834710743801653</v>
      </c>
      <c r="BD190" s="32896">
        <f>IF(HLOOKUP("Mins",A1:CV300,190,FALSE)=0,0,HLOOKUP("S6YD",A1:CV300,190,FALSE)/HLOOKUP("Mins",A1:CV300,190,FALSE)* 90)</f>
        <v>0.16528925619834711</v>
      </c>
      <c r="BE190" s="32897">
        <f>IF(HLOOKUP("Mins",A1:CV300,190,FALSE)=0,0,HLOOKUP("Headers",A1:CV300,190,FALSE)/HLOOKUP("Mins",A1:CV300,190,FALSE)* 90)</f>
        <v>0.16528925619834711</v>
      </c>
      <c r="BF190" s="32898">
        <f>IF(HLOOKUP("Mins",A1:CV300,190,FALSE)=0,0,HLOOKUP("SOT",A1:CV300,190,FALSE)/HLOOKUP("Mins",A1:CV300,190,FALSE)* 90)</f>
        <v>0.74380165289256195</v>
      </c>
      <c r="BG190" s="32899">
        <f>IF(HLOOKUP("Mins",A1:CV300,190,FALSE)=0,0,HLOOKUP("As",A1:CV300,190,FALSE)/HLOOKUP("Mins",A1:CV300,190,FALSE)* 90)</f>
        <v>8.2644628099173556E-2</v>
      </c>
      <c r="BH190" s="32900">
        <f>IF(HLOOKUP("Mins",A1:CV300,190,FALSE)=0,0,HLOOKUP("FPL As",A1:CV300,190,FALSE)/HLOOKUP("Mins",A1:CV300,190,FALSE)* 90)</f>
        <v>0.16528925619834711</v>
      </c>
      <c r="BI190" s="32901">
        <f>IF(HLOOKUP("Mins",A1:CV300,190,FALSE)=0,0,HLOOKUP("BC Created",A1:CV300,190,FALSE)/HLOOKUP("Mins",A1:CV300,190,FALSE)* 90)</f>
        <v>0</v>
      </c>
      <c r="BJ190" s="32902">
        <f>IF(HLOOKUP("Mins",A1:CV300,190,FALSE)=0,0,HLOOKUP("KP",A1:CV300,190,FALSE)/HLOOKUP("Mins",A1:CV300,190,FALSE)* 90)</f>
        <v>1.1570247933884297</v>
      </c>
      <c r="BK190" s="32903">
        <f>IF(HLOOKUP("Mins",A1:CV300,190,FALSE)=0,0,HLOOKUP("BC",A1:CV300,190,FALSE)/HLOOKUP("Mins",A1:CV300,190,FALSE)* 90)</f>
        <v>0.24793388429752067</v>
      </c>
      <c r="BL190" s="32904">
        <f>IF(HLOOKUP("Mins",A1:CV300,190,FALSE)=0,0,HLOOKUP("BC Miss",A1:CV300,190,FALSE)/HLOOKUP("Mins",A1:CV300,190,FALSE)* 90)</f>
        <v>8.2644628099173556E-2</v>
      </c>
      <c r="BM190" s="32905">
        <f>IF(HLOOKUP("Mins",A1:CV300,190,FALSE)=0,0,HLOOKUP("Gs - BC",A1:CV300,190,FALSE)/HLOOKUP("Mins",A1:CV300,190,FALSE)* 90)</f>
        <v>0.16528925619834711</v>
      </c>
      <c r="BN190" s="32906">
        <f>IF(HLOOKUP("Mins",A1:CV300,190,FALSE)=0,0,HLOOKUP("GIB",A1:CV300,190,FALSE)/HLOOKUP("Mins",A1:CV300,190,FALSE)* 90)</f>
        <v>0.24793388429752067</v>
      </c>
      <c r="BO190" s="32907">
        <f>IF(HLOOKUP("Mins",A1:CV300,190,FALSE)=0,0,HLOOKUP("Gs - Open",A1:CV300,190,FALSE)/HLOOKUP("Mins",A1:CV300,190,FALSE)* 90)</f>
        <v>8.2644628099173556E-2</v>
      </c>
      <c r="BP190" s="32908">
        <f>IF(HLOOKUP("Mins",A1:CV300,190,FALSE)=0,0,HLOOKUP("ICT Index",A1:CV300,190,FALSE)/HLOOKUP("Mins",A1:CV300,190,FALSE)* 90)</f>
        <v>8.3966942148760317</v>
      </c>
      <c r="BQ190" s="32909">
        <f>IF(HLOOKUP("Mins",A1:CV300,190,FALSE)=0,0,(0.036*(HLOOKUP("Shots",A1:CV300,190,FALSE)-HLOOKUP("SIB",A1:CV300,190,FALSE))+0.142*(HLOOKUP("SIB",A1:CV300,190,FALSE)-(HLOOKUP("PK Gs",A1:CV300,190,FALSE)+HLOOKUP("PK Miss",A1:CV300,190,FALSE)))+0.75*(HLOOKUP("PK Gs",A1:CV300,190,FALSE)+HLOOKUP("PK Miss",A1:CV300,190,FALSE)))/HLOOKUP("Mins",A1:CV300,190,FALSE)*90)</f>
        <v>0.30842975206611561</v>
      </c>
      <c r="BR190" s="32910">
        <f>0.0885*HLOOKUP("KP/90",A1:CV300,190,FALSE)</f>
        <v>0.10239669421487602</v>
      </c>
      <c r="BS190" s="32911">
        <f>5*HLOOKUP("xG/90",A1:CV300,190,FALSE)+3*HLOOKUP("xA/90",A1:CV300,190,FALSE)</f>
        <v>1.8493388429752062</v>
      </c>
      <c r="BT190" s="32912">
        <f>HLOOKUP("xPts/90",A1:CV300,190,FALSE)-(5*0.75*(HLOOKUP("PK Gs",A1:CV300,190,FALSE)+HLOOKUP("PK Miss",A1:CV300,190,FALSE))*90/HLOOKUP("Mins",A1:CV300,190,FALSE))</f>
        <v>1.8493388429752062</v>
      </c>
      <c r="BU190" s="32913">
        <f>IF(HLOOKUP("Mins",A1:CV300,190,FALSE)=0,0,HLOOKUP("fsXG",A1:CV300,190,FALSE)/HLOOKUP("Mins",A1:CV300,190,FALSE)* 90)</f>
        <v>0.24462809917355374</v>
      </c>
      <c r="BV190" s="32914">
        <f>IF(HLOOKUP("Mins",A1:CV300,190,FALSE)=0,0,HLOOKUP("fsXA",A1:CV300,190,FALSE)/HLOOKUP("Mins",A1:CV300,190,FALSE)* 90)</f>
        <v>8.842975206611571E-2</v>
      </c>
      <c r="BW190" s="32915">
        <f>5*HLOOKUP("fsXG/90",A1:CV300,190,FALSE)+3*HLOOKUP("fsXA/90",A1:CV300,190,FALSE)</f>
        <v>1.4884297520661158</v>
      </c>
      <c r="BX190" s="32916">
        <v>0.25507283210754395</v>
      </c>
      <c r="BY190" s="32917">
        <v>5.6321892887353897E-2</v>
      </c>
      <c r="BZ190" s="32918">
        <f>5*HLOOKUP("uXG/90",A1:CV300,190,FALSE)+3*HLOOKUP("uXA/90",A1:CV300,190,FALSE)</f>
        <v>1.4443298391997814</v>
      </c>
    </row>
    <row r="191" spans="1:78" x14ac:dyDescent="0.3">
      <c r="A191" s="32919" t="s">
        <v>518</v>
      </c>
      <c r="B191" s="32920" t="s">
        <v>89</v>
      </c>
      <c r="C191" s="32921">
        <v>4.9000000953674316</v>
      </c>
      <c r="D191" s="32922">
        <v>1690</v>
      </c>
      <c r="E191" s="32923">
        <v>20</v>
      </c>
      <c r="F191" s="32924">
        <v>49</v>
      </c>
      <c r="G191" s="32925">
        <v>2</v>
      </c>
      <c r="H191" s="32926">
        <v>0</v>
      </c>
      <c r="I191" s="32927">
        <v>272</v>
      </c>
      <c r="J191" s="32928">
        <f>HLOOKUP("BPS",A1:CV300,191,FALSE)-((-6*HLOOKUP("OG",A1:CV300,191,FALSE))+(-6*HLOOKUP("PK Miss",A1:CV300,191,FALSE))+(9*HLOOKUP("FPL As",A1:CV300,191,FALSE))+(0*HLOOKUP("CS",A1:CV300,191,FALSE))+(18*HLOOKUP("Gs",A1:CV300,191,FALSE)))</f>
        <v>227</v>
      </c>
      <c r="K191" s="32929">
        <v>0</v>
      </c>
      <c r="L191" s="32930">
        <v>3</v>
      </c>
      <c r="M191" s="32931">
        <v>27</v>
      </c>
      <c r="N191" s="32932">
        <v>13</v>
      </c>
      <c r="O191" s="32933">
        <v>10</v>
      </c>
      <c r="P191" s="32934">
        <f>IF(HLOOKUP("Shots",A1:CV300,191,FALSE)=0,0,HLOOKUP("SIB",A1:CV300,191,FALSE)/HLOOKUP("Shots",A1:CV300,191,FALSE))</f>
        <v>0.76923076923076927</v>
      </c>
      <c r="Q191" s="32935">
        <v>1</v>
      </c>
      <c r="R191" s="32936">
        <f>IF(HLOOKUP("Shots",A1:CV300,191,FALSE)=0,0,HLOOKUP("S6YD",A1:CV300,191,FALSE)/HLOOKUP("Shots",A1:CV300,191,FALSE))</f>
        <v>7.6923076923076927E-2</v>
      </c>
      <c r="S191" s="32937">
        <v>0</v>
      </c>
      <c r="T191" s="32938">
        <f>IF(HLOOKUP("Shots",A1:CV300,191,FALSE)=0,0,HLOOKUP("Headers",A1:CV300,191,FALSE)/HLOOKUP("Shots",A1:CV300,191,FALSE))</f>
        <v>0</v>
      </c>
      <c r="U191" s="32939">
        <v>3</v>
      </c>
      <c r="V191" s="32940">
        <f>IF(HLOOKUP("Shots",A1:CV300,191,FALSE)=0,0,HLOOKUP("SOT",A1:CV300,191,FALSE)/HLOOKUP("Shots",A1:CV300,191,FALSE))</f>
        <v>0.23076923076923078</v>
      </c>
      <c r="W191" s="32941">
        <f>IF(HLOOKUP("Shots",A1:CV300,191,FALSE)=0,0,HLOOKUP("Gs",A1:CV300,191,FALSE)/HLOOKUP("Shots",A1:CV300,191,FALSE))</f>
        <v>0.15384615384615385</v>
      </c>
      <c r="X191" s="32942">
        <v>1</v>
      </c>
      <c r="Y191" s="32943">
        <v>1</v>
      </c>
      <c r="Z191" s="32944">
        <v>11</v>
      </c>
      <c r="AA191" s="32945">
        <f>IF(HLOOKUP("KP",A1:CV300,191,FALSE)=0,0,HLOOKUP("As",A1:CV300,191,FALSE)/HLOOKUP("KP",A1:CV300,191,FALSE))</f>
        <v>9.0909090909090912E-2</v>
      </c>
      <c r="AB191" s="32946">
        <v>61.6</v>
      </c>
      <c r="AC191" s="32947">
        <v>10</v>
      </c>
      <c r="AD191" s="32948">
        <v>1</v>
      </c>
      <c r="AE191" s="32949">
        <v>5</v>
      </c>
      <c r="AF191" s="32950">
        <v>3</v>
      </c>
      <c r="AG191" s="32951">
        <f>IF(HLOOKUP("BC",A1:CV300,191,FALSE)=0,0,HLOOKUP("Gs - BC",A1:CV300,191,FALSE)/HLOOKUP("BC",A1:CV300,191,FALSE))</f>
        <v>0.4</v>
      </c>
      <c r="AH191" s="32952">
        <f>HLOOKUP("BC",A1:CV300,191,FALSE) - HLOOKUP("BC Miss",A1:CV300,191,FALSE)</f>
        <v>2</v>
      </c>
      <c r="AI191" s="32953">
        <f>IF(HLOOKUP("Gs",A1:CV300,191,FALSE)=0,0,HLOOKUP("Gs - BC",A1:CV300,191,FALSE)/HLOOKUP("Gs",A1:CV300,191,FALSE))</f>
        <v>1</v>
      </c>
      <c r="AJ191" s="32954">
        <v>0</v>
      </c>
      <c r="AK191" s="32955">
        <v>0</v>
      </c>
      <c r="AL191" s="32956">
        <f>HLOOKUP("BC",A1:CV300,191,FALSE) - (HLOOKUP("PK Gs",A1:CV300,191,FALSE) + HLOOKUP("PK Miss",A1:CV300,191,FALSE))</f>
        <v>5</v>
      </c>
      <c r="AM191" s="32957">
        <f>HLOOKUP("BC Miss",A1:CV300,191,FALSE) - HLOOKUP("PK Miss",A1:CV300,191,FALSE)</f>
        <v>3</v>
      </c>
      <c r="AN191" s="32958">
        <f>IF(HLOOKUP("BC - Open",A1:CV300,191,FALSE)=0,0,HLOOKUP("BC - Open Miss",A1:CV300,191,FALSE)/HLOOKUP("BC - Open",A1:CV300,191,FALSE))</f>
        <v>0.6</v>
      </c>
      <c r="AO191" s="32959">
        <v>2</v>
      </c>
      <c r="AP191" s="32960">
        <f>IF(HLOOKUP("Gs",A1:CV300,191,FALSE)=0,0,HLOOKUP("GIB",A1:CV300,191,FALSE)/HLOOKUP("Gs",A1:CV300,191,FALSE))</f>
        <v>1</v>
      </c>
      <c r="AQ191" s="32961">
        <v>1</v>
      </c>
      <c r="AR191" s="32962">
        <f>IF(HLOOKUP("Gs",A1:CV300,191,FALSE)=0,0,HLOOKUP("Gs - Open",A1:CV300,191,FALSE)/HLOOKUP("Gs",A1:CV300,191,FALSE))</f>
        <v>0.5</v>
      </c>
      <c r="AS191" s="32963">
        <v>2</v>
      </c>
      <c r="AT191" s="32964">
        <v>1.17</v>
      </c>
      <c r="AU191" s="32965">
        <f>IF(HLOOKUP("Mins",A1:CV300,191,FALSE)=0,0,HLOOKUP("Pts",A1:CV300,191,FALSE)/HLOOKUP("Mins",A1:CV300,191,FALSE)* 90)</f>
        <v>2.609467455621302</v>
      </c>
      <c r="AV191" s="32966">
        <f>IF(HLOOKUP("Apps",A1:CV300,191,FALSE)=0,0,HLOOKUP("Pts",A1:CV300,191,FALSE)/HLOOKUP("Apps",A1:CV300,191,FALSE)* 1)</f>
        <v>2.4500000000000002</v>
      </c>
      <c r="AW191" s="32967">
        <f>IF(HLOOKUP("Mins",A1:CV300,191,FALSE)=0,0,HLOOKUP("Gs",A1:CV300,191,FALSE)/HLOOKUP("Mins",A1:CV300,191,FALSE)* 90)</f>
        <v>0.10650887573964497</v>
      </c>
      <c r="AX191" s="32968">
        <f>IF(HLOOKUP("Mins",A1:CV300,191,FALSE)=0,0,HLOOKUP("Bonus",A1:CV300,191,FALSE)/HLOOKUP("Mins",A1:CV300,191,FALSE)* 90)</f>
        <v>0</v>
      </c>
      <c r="AY191" s="32969">
        <f>IF(HLOOKUP("Mins",A1:CV300,191,FALSE)=0,0,HLOOKUP("BPS",A1:CV300,191,FALSE)/HLOOKUP("Mins",A1:CV300,191,FALSE)* 90)</f>
        <v>14.485207100591715</v>
      </c>
      <c r="AZ191" s="32970">
        <f>IF(HLOOKUP("Mins",A1:CV300,191,FALSE)=0,0,HLOOKUP("Base BPS",A1:CV300,191,FALSE)/HLOOKUP("Mins",A1:CV300,191,FALSE)* 90)</f>
        <v>12.088757396449704</v>
      </c>
      <c r="BA191" s="32971">
        <f>IF(HLOOKUP("Mins",A1:CV300,191,FALSE)=0,0,HLOOKUP("PenTchs",A1:CV300,191,FALSE)/HLOOKUP("Mins",A1:CV300,191,FALSE)* 90)</f>
        <v>1.4378698224852071</v>
      </c>
      <c r="BB191" s="32972">
        <f>IF(HLOOKUP("Mins",A1:CV300,191,FALSE)=0,0,HLOOKUP("Shots",A1:CV300,191,FALSE)/HLOOKUP("Mins",A1:CV300,191,FALSE)* 90)</f>
        <v>0.69230769230769229</v>
      </c>
      <c r="BC191" s="32973">
        <f>IF(HLOOKUP("Mins",A1:CV300,191,FALSE)=0,0,HLOOKUP("SIB",A1:CV300,191,FALSE)/HLOOKUP("Mins",A1:CV300,191,FALSE)* 90)</f>
        <v>0.5325443786982248</v>
      </c>
      <c r="BD191" s="32974">
        <f>IF(HLOOKUP("Mins",A1:CV300,191,FALSE)=0,0,HLOOKUP("S6YD",A1:CV300,191,FALSE)/HLOOKUP("Mins",A1:CV300,191,FALSE)* 90)</f>
        <v>5.3254437869822487E-2</v>
      </c>
      <c r="BE191" s="32975">
        <f>IF(HLOOKUP("Mins",A1:CV300,191,FALSE)=0,0,HLOOKUP("Headers",A1:CV300,191,FALSE)/HLOOKUP("Mins",A1:CV300,191,FALSE)* 90)</f>
        <v>0</v>
      </c>
      <c r="BF191" s="32976">
        <f>IF(HLOOKUP("Mins",A1:CV300,191,FALSE)=0,0,HLOOKUP("SOT",A1:CV300,191,FALSE)/HLOOKUP("Mins",A1:CV300,191,FALSE)* 90)</f>
        <v>0.15976331360946744</v>
      </c>
      <c r="BG191" s="32977">
        <f>IF(HLOOKUP("Mins",A1:CV300,191,FALSE)=0,0,HLOOKUP("As",A1:CV300,191,FALSE)/HLOOKUP("Mins",A1:CV300,191,FALSE)* 90)</f>
        <v>5.3254437869822487E-2</v>
      </c>
      <c r="BH191" s="32978">
        <f>IF(HLOOKUP("Mins",A1:CV300,191,FALSE)=0,0,HLOOKUP("FPL As",A1:CV300,191,FALSE)/HLOOKUP("Mins",A1:CV300,191,FALSE)* 90)</f>
        <v>5.3254437869822487E-2</v>
      </c>
      <c r="BI191" s="32979">
        <f>IF(HLOOKUP("Mins",A1:CV300,191,FALSE)=0,0,HLOOKUP("BC Created",A1:CV300,191,FALSE)/HLOOKUP("Mins",A1:CV300,191,FALSE)* 90)</f>
        <v>5.3254437869822487E-2</v>
      </c>
      <c r="BJ191" s="32980">
        <f>IF(HLOOKUP("Mins",A1:CV300,191,FALSE)=0,0,HLOOKUP("KP",A1:CV300,191,FALSE)/HLOOKUP("Mins",A1:CV300,191,FALSE)* 90)</f>
        <v>0.58579881656804733</v>
      </c>
      <c r="BK191" s="32981">
        <f>IF(HLOOKUP("Mins",A1:CV300,191,FALSE)=0,0,HLOOKUP("BC",A1:CV300,191,FALSE)/HLOOKUP("Mins",A1:CV300,191,FALSE)* 90)</f>
        <v>0.2662721893491124</v>
      </c>
      <c r="BL191" s="32982">
        <f>IF(HLOOKUP("Mins",A1:CV300,191,FALSE)=0,0,HLOOKUP("BC Miss",A1:CV300,191,FALSE)/HLOOKUP("Mins",A1:CV300,191,FALSE)* 90)</f>
        <v>0.15976331360946744</v>
      </c>
      <c r="BM191" s="32983">
        <f>IF(HLOOKUP("Mins",A1:CV300,191,FALSE)=0,0,HLOOKUP("Gs - BC",A1:CV300,191,FALSE)/HLOOKUP("Mins",A1:CV300,191,FALSE)* 90)</f>
        <v>0.10650887573964497</v>
      </c>
      <c r="BN191" s="32984">
        <f>IF(HLOOKUP("Mins",A1:CV300,191,FALSE)=0,0,HLOOKUP("GIB",A1:CV300,191,FALSE)/HLOOKUP("Mins",A1:CV300,191,FALSE)* 90)</f>
        <v>0.10650887573964497</v>
      </c>
      <c r="BO191" s="32985">
        <f>IF(HLOOKUP("Mins",A1:CV300,191,FALSE)=0,0,HLOOKUP("Gs - Open",A1:CV300,191,FALSE)/HLOOKUP("Mins",A1:CV300,191,FALSE)* 90)</f>
        <v>5.3254437869822487E-2</v>
      </c>
      <c r="BP191" s="32986">
        <f>IF(HLOOKUP("Mins",A1:CV300,191,FALSE)=0,0,HLOOKUP("ICT Index",A1:CV300,191,FALSE)/HLOOKUP("Mins",A1:CV300,191,FALSE)* 90)</f>
        <v>3.2804733727810649</v>
      </c>
      <c r="BQ191" s="32987">
        <f>IF(HLOOKUP("Mins",A1:CV300,191,FALSE)=0,0,(0.036*(HLOOKUP("Shots",A1:CV300,191,FALSE)-HLOOKUP("SIB",A1:CV300,191,FALSE))+0.142*(HLOOKUP("SIB",A1:CV300,191,FALSE)-(HLOOKUP("PK Gs",A1:CV300,191,FALSE)+HLOOKUP("PK Miss",A1:CV300,191,FALSE)))+0.75*(HLOOKUP("PK Gs",A1:CV300,191,FALSE)+HLOOKUP("PK Miss",A1:CV300,191,FALSE)))/HLOOKUP("Mins",A1:CV300,191,FALSE)*90)</f>
        <v>8.1372781065088759E-2</v>
      </c>
      <c r="BR191" s="32988">
        <f>0.0885*HLOOKUP("KP/90",A1:CV300,191,FALSE)</f>
        <v>5.1843195266272186E-2</v>
      </c>
      <c r="BS191" s="32989">
        <f>5*HLOOKUP("xG/90",A1:CV300,191,FALSE)+3*HLOOKUP("xA/90",A1:CV300,191,FALSE)</f>
        <v>0.5623934911242604</v>
      </c>
      <c r="BT191" s="32990">
        <f>HLOOKUP("xPts/90",A1:CV300,191,FALSE)-(5*0.75*(HLOOKUP("PK Gs",A1:CV300,191,FALSE)+HLOOKUP("PK Miss",A1:CV300,191,FALSE))*90/HLOOKUP("Mins",A1:CV300,191,FALSE))</f>
        <v>0.5623934911242604</v>
      </c>
      <c r="BU191" s="32991">
        <f>IF(HLOOKUP("Mins",A1:CV300,191,FALSE)=0,0,HLOOKUP("fsXG",A1:CV300,191,FALSE)/HLOOKUP("Mins",A1:CV300,191,FALSE)* 90)</f>
        <v>0.10650887573964497</v>
      </c>
      <c r="BV191" s="32992">
        <f>IF(HLOOKUP("Mins",A1:CV300,191,FALSE)=0,0,HLOOKUP("fsXA",A1:CV300,191,FALSE)/HLOOKUP("Mins",A1:CV300,191,FALSE)* 90)</f>
        <v>6.2307692307692307E-2</v>
      </c>
      <c r="BW191" s="32993">
        <f>5*HLOOKUP("fsXG/90",A1:CV300,191,FALSE)+3*HLOOKUP("fsXA/90",A1:CV300,191,FALSE)</f>
        <v>0.71946745562130188</v>
      </c>
      <c r="BX191" s="32994">
        <v>0.12996961176395416</v>
      </c>
      <c r="BY191" s="32995">
        <v>8.2464739680290222E-2</v>
      </c>
      <c r="BZ191" s="32996">
        <f>5*HLOOKUP("uXG/90",A1:CV300,191,FALSE)+3*HLOOKUP("uXA/90",A1:CV300,191,FALSE)</f>
        <v>0.89724227786064148</v>
      </c>
    </row>
    <row r="192" spans="1:78" x14ac:dyDescent="0.3">
      <c r="A192" s="32997" t="s">
        <v>519</v>
      </c>
      <c r="B192" s="32998" t="s">
        <v>147</v>
      </c>
      <c r="C192" s="32999">
        <v>5.5999999046325684</v>
      </c>
      <c r="D192" s="33000">
        <v>429</v>
      </c>
      <c r="E192" s="33001">
        <v>7</v>
      </c>
      <c r="F192" s="33002">
        <v>12</v>
      </c>
      <c r="G192" s="33003">
        <v>0</v>
      </c>
      <c r="H192" s="33004">
        <v>0</v>
      </c>
      <c r="I192" s="33005">
        <v>54</v>
      </c>
      <c r="J192" s="33006">
        <f>HLOOKUP("BPS",A1:CV300,192,FALSE)-((-6*HLOOKUP("OG",A1:CV300,192,FALSE))+(-6*HLOOKUP("PK Miss",A1:CV300,192,FALSE))+(9*HLOOKUP("FPL As",A1:CV300,192,FALSE))+(0*HLOOKUP("CS",A1:CV300,192,FALSE))+(18*HLOOKUP("Gs",A1:CV300,192,FALSE)))</f>
        <v>54</v>
      </c>
      <c r="K192" s="33007">
        <v>0</v>
      </c>
      <c r="L192" s="33008">
        <v>2</v>
      </c>
      <c r="M192" s="33009">
        <v>17</v>
      </c>
      <c r="N192" s="33010">
        <v>16</v>
      </c>
      <c r="O192" s="33011">
        <v>5</v>
      </c>
      <c r="P192" s="33012">
        <f>IF(HLOOKUP("Shots",A1:CV300,192,FALSE)=0,0,HLOOKUP("SIB",A1:CV300,192,FALSE)/HLOOKUP("Shots",A1:CV300,192,FALSE))</f>
        <v>0.3125</v>
      </c>
      <c r="Q192" s="33013">
        <v>0</v>
      </c>
      <c r="R192" s="33014">
        <f>IF(HLOOKUP("Shots",A1:CV300,192,FALSE)=0,0,HLOOKUP("S6YD",A1:CV300,192,FALSE)/HLOOKUP("Shots",A1:CV300,192,FALSE))</f>
        <v>0</v>
      </c>
      <c r="S192" s="33015">
        <v>1</v>
      </c>
      <c r="T192" s="33016">
        <f>IF(HLOOKUP("Shots",A1:CV300,192,FALSE)=0,0,HLOOKUP("Headers",A1:CV300,192,FALSE)/HLOOKUP("Shots",A1:CV300,192,FALSE))</f>
        <v>6.25E-2</v>
      </c>
      <c r="U192" s="33017">
        <v>5</v>
      </c>
      <c r="V192" s="33018">
        <f>IF(HLOOKUP("Shots",A1:CV300,192,FALSE)=0,0,HLOOKUP("SOT",A1:CV300,192,FALSE)/HLOOKUP("Shots",A1:CV300,192,FALSE))</f>
        <v>0.3125</v>
      </c>
      <c r="W192" s="33019">
        <f>IF(HLOOKUP("Shots",A1:CV300,192,FALSE)=0,0,HLOOKUP("Gs",A1:CV300,192,FALSE)/HLOOKUP("Shots",A1:CV300,192,FALSE))</f>
        <v>0</v>
      </c>
      <c r="X192" s="33020">
        <v>0</v>
      </c>
      <c r="Y192" s="33021">
        <v>0</v>
      </c>
      <c r="Z192" s="33022">
        <v>11</v>
      </c>
      <c r="AA192" s="33023">
        <f>IF(HLOOKUP("KP",A1:CV300,192,FALSE)=0,0,HLOOKUP("As",A1:CV300,192,FALSE)/HLOOKUP("KP",A1:CV300,192,FALSE))</f>
        <v>0</v>
      </c>
      <c r="AB192" s="33024">
        <v>39.6</v>
      </c>
      <c r="AC192" s="33025">
        <v>0</v>
      </c>
      <c r="AD192" s="33026">
        <v>1</v>
      </c>
      <c r="AE192" s="33027">
        <v>1</v>
      </c>
      <c r="AF192" s="33028">
        <v>1</v>
      </c>
      <c r="AG192" s="33029">
        <f>IF(HLOOKUP("BC",A1:CV300,192,FALSE)=0,0,HLOOKUP("Gs - BC",A1:CV300,192,FALSE)/HLOOKUP("BC",A1:CV300,192,FALSE))</f>
        <v>0</v>
      </c>
      <c r="AH192" s="33030">
        <f>HLOOKUP("BC",A1:CV300,192,FALSE) - HLOOKUP("BC Miss",A1:CV300,192,FALSE)</f>
        <v>0</v>
      </c>
      <c r="AI192" s="33031">
        <f>IF(HLOOKUP("Gs",A1:CV300,192,FALSE)=0,0,HLOOKUP("Gs - BC",A1:CV300,192,FALSE)/HLOOKUP("Gs",A1:CV300,192,FALSE))</f>
        <v>0</v>
      </c>
      <c r="AJ192" s="33032">
        <v>0</v>
      </c>
      <c r="AK192" s="33033">
        <v>0</v>
      </c>
      <c r="AL192" s="33034">
        <f>HLOOKUP("BC",A1:CV300,192,FALSE) - (HLOOKUP("PK Gs",A1:CV300,192,FALSE) + HLOOKUP("PK Miss",A1:CV300,192,FALSE))</f>
        <v>1</v>
      </c>
      <c r="AM192" s="33035">
        <f>HLOOKUP("BC Miss",A1:CV300,192,FALSE) - HLOOKUP("PK Miss",A1:CV300,192,FALSE)</f>
        <v>1</v>
      </c>
      <c r="AN192" s="33036">
        <f>IF(HLOOKUP("BC - Open",A1:CV300,192,FALSE)=0,0,HLOOKUP("BC - Open Miss",A1:CV300,192,FALSE)/HLOOKUP("BC - Open",A1:CV300,192,FALSE))</f>
        <v>1</v>
      </c>
      <c r="AO192" s="33037">
        <v>0</v>
      </c>
      <c r="AP192" s="33038">
        <f>IF(HLOOKUP("Gs",A1:CV300,192,FALSE)=0,0,HLOOKUP("GIB",A1:CV300,192,FALSE)/HLOOKUP("Gs",A1:CV300,192,FALSE))</f>
        <v>0</v>
      </c>
      <c r="AQ192" s="33039">
        <v>0</v>
      </c>
      <c r="AR192" s="33040">
        <f>IF(HLOOKUP("Gs",A1:CV300,192,FALSE)=0,0,HLOOKUP("Gs - Open",A1:CV300,192,FALSE)/HLOOKUP("Gs",A1:CV300,192,FALSE))</f>
        <v>0</v>
      </c>
      <c r="AS192" s="33041">
        <v>1.1299999999999999</v>
      </c>
      <c r="AT192" s="33042">
        <v>1.33</v>
      </c>
      <c r="AU192" s="33043">
        <f>IF(HLOOKUP("Mins",A1:CV300,192,FALSE)=0,0,HLOOKUP("Pts",A1:CV300,192,FALSE)/HLOOKUP("Mins",A1:CV300,192,FALSE)* 90)</f>
        <v>2.5174825174825175</v>
      </c>
      <c r="AV192" s="33044">
        <f>IF(HLOOKUP("Apps",A1:CV300,192,FALSE)=0,0,HLOOKUP("Pts",A1:CV300,192,FALSE)/HLOOKUP("Apps",A1:CV300,192,FALSE)* 1)</f>
        <v>1.7142857142857142</v>
      </c>
      <c r="AW192" s="33045">
        <f>IF(HLOOKUP("Mins",A1:CV300,192,FALSE)=0,0,HLOOKUP("Gs",A1:CV300,192,FALSE)/HLOOKUP("Mins",A1:CV300,192,FALSE)* 90)</f>
        <v>0</v>
      </c>
      <c r="AX192" s="33046">
        <f>IF(HLOOKUP("Mins",A1:CV300,192,FALSE)=0,0,HLOOKUP("Bonus",A1:CV300,192,FALSE)/HLOOKUP("Mins",A1:CV300,192,FALSE)* 90)</f>
        <v>0</v>
      </c>
      <c r="AY192" s="33047">
        <f>IF(HLOOKUP("Mins",A1:CV300,192,FALSE)=0,0,HLOOKUP("BPS",A1:CV300,192,FALSE)/HLOOKUP("Mins",A1:CV300,192,FALSE)* 90)</f>
        <v>11.32867132867133</v>
      </c>
      <c r="AZ192" s="33048">
        <f>IF(HLOOKUP("Mins",A1:CV300,192,FALSE)=0,0,HLOOKUP("Base BPS",A1:CV300,192,FALSE)/HLOOKUP("Mins",A1:CV300,192,FALSE)* 90)</f>
        <v>11.32867132867133</v>
      </c>
      <c r="BA192" s="33049">
        <f>IF(HLOOKUP("Mins",A1:CV300,192,FALSE)=0,0,HLOOKUP("PenTchs",A1:CV300,192,FALSE)/HLOOKUP("Mins",A1:CV300,192,FALSE)* 90)</f>
        <v>3.5664335664335662</v>
      </c>
      <c r="BB192" s="33050">
        <f>IF(HLOOKUP("Mins",A1:CV300,192,FALSE)=0,0,HLOOKUP("Shots",A1:CV300,192,FALSE)/HLOOKUP("Mins",A1:CV300,192,FALSE)* 90)</f>
        <v>3.3566433566433567</v>
      </c>
      <c r="BC192" s="33051">
        <f>IF(HLOOKUP("Mins",A1:CV300,192,FALSE)=0,0,HLOOKUP("SIB",A1:CV300,192,FALSE)/HLOOKUP("Mins",A1:CV300,192,FALSE)* 90)</f>
        <v>1.048951048951049</v>
      </c>
      <c r="BD192" s="33052">
        <f>IF(HLOOKUP("Mins",A1:CV300,192,FALSE)=0,0,HLOOKUP("S6YD",A1:CV300,192,FALSE)/HLOOKUP("Mins",A1:CV300,192,FALSE)* 90)</f>
        <v>0</v>
      </c>
      <c r="BE192" s="33053">
        <f>IF(HLOOKUP("Mins",A1:CV300,192,FALSE)=0,0,HLOOKUP("Headers",A1:CV300,192,FALSE)/HLOOKUP("Mins",A1:CV300,192,FALSE)* 90)</f>
        <v>0.20979020979020979</v>
      </c>
      <c r="BF192" s="33054">
        <f>IF(HLOOKUP("Mins",A1:CV300,192,FALSE)=0,0,HLOOKUP("SOT",A1:CV300,192,FALSE)/HLOOKUP("Mins",A1:CV300,192,FALSE)* 90)</f>
        <v>1.048951048951049</v>
      </c>
      <c r="BG192" s="33055">
        <f>IF(HLOOKUP("Mins",A1:CV300,192,FALSE)=0,0,HLOOKUP("As",A1:CV300,192,FALSE)/HLOOKUP("Mins",A1:CV300,192,FALSE)* 90)</f>
        <v>0</v>
      </c>
      <c r="BH192" s="33056">
        <f>IF(HLOOKUP("Mins",A1:CV300,192,FALSE)=0,0,HLOOKUP("FPL As",A1:CV300,192,FALSE)/HLOOKUP("Mins",A1:CV300,192,FALSE)* 90)</f>
        <v>0</v>
      </c>
      <c r="BI192" s="33057">
        <f>IF(HLOOKUP("Mins",A1:CV300,192,FALSE)=0,0,HLOOKUP("BC Created",A1:CV300,192,FALSE)/HLOOKUP("Mins",A1:CV300,192,FALSE)* 90)</f>
        <v>0.20979020979020979</v>
      </c>
      <c r="BJ192" s="33058">
        <f>IF(HLOOKUP("Mins",A1:CV300,192,FALSE)=0,0,HLOOKUP("KP",A1:CV300,192,FALSE)/HLOOKUP("Mins",A1:CV300,192,FALSE)* 90)</f>
        <v>2.3076923076923075</v>
      </c>
      <c r="BK192" s="33059">
        <f>IF(HLOOKUP("Mins",A1:CV300,192,FALSE)=0,0,HLOOKUP("BC",A1:CV300,192,FALSE)/HLOOKUP("Mins",A1:CV300,192,FALSE)* 90)</f>
        <v>0.20979020979020979</v>
      </c>
      <c r="BL192" s="33060">
        <f>IF(HLOOKUP("Mins",A1:CV300,192,FALSE)=0,0,HLOOKUP("BC Miss",A1:CV300,192,FALSE)/HLOOKUP("Mins",A1:CV300,192,FALSE)* 90)</f>
        <v>0.20979020979020979</v>
      </c>
      <c r="BM192" s="33061">
        <f>IF(HLOOKUP("Mins",A1:CV300,192,FALSE)=0,0,HLOOKUP("Gs - BC",A1:CV300,192,FALSE)/HLOOKUP("Mins",A1:CV300,192,FALSE)* 90)</f>
        <v>0</v>
      </c>
      <c r="BN192" s="33062">
        <f>IF(HLOOKUP("Mins",A1:CV300,192,FALSE)=0,0,HLOOKUP("GIB",A1:CV300,192,FALSE)/HLOOKUP("Mins",A1:CV300,192,FALSE)* 90)</f>
        <v>0</v>
      </c>
      <c r="BO192" s="33063">
        <f>IF(HLOOKUP("Mins",A1:CV300,192,FALSE)=0,0,HLOOKUP("Gs - Open",A1:CV300,192,FALSE)/HLOOKUP("Mins",A1:CV300,192,FALSE)* 90)</f>
        <v>0</v>
      </c>
      <c r="BP192" s="33064">
        <f>IF(HLOOKUP("Mins",A1:CV300,192,FALSE)=0,0,HLOOKUP("ICT Index",A1:CV300,192,FALSE)/HLOOKUP("Mins",A1:CV300,192,FALSE)* 90)</f>
        <v>8.3076923076923084</v>
      </c>
      <c r="BQ192" s="33065">
        <f>IF(HLOOKUP("Mins",A1:CV300,192,FALSE)=0,0,(0.036*(HLOOKUP("Shots",A1:CV300,192,FALSE)-HLOOKUP("SIB",A1:CV300,192,FALSE))+0.142*(HLOOKUP("SIB",A1:CV300,192,FALSE)-(HLOOKUP("PK Gs",A1:CV300,192,FALSE)+HLOOKUP("PK Miss",A1:CV300,192,FALSE)))+0.75*(HLOOKUP("PK Gs",A1:CV300,192,FALSE)+HLOOKUP("PK Miss",A1:CV300,192,FALSE)))/HLOOKUP("Mins",A1:CV300,192,FALSE)*90)</f>
        <v>0.23202797202797201</v>
      </c>
      <c r="BR192" s="33066">
        <f>0.0885*HLOOKUP("KP/90",A1:CV300,192,FALSE)</f>
        <v>0.20423076923076922</v>
      </c>
      <c r="BS192" s="33067">
        <f>5*HLOOKUP("xG/90",A1:CV300,192,FALSE)+3*HLOOKUP("xA/90",A1:CV300,192,FALSE)</f>
        <v>1.7728321678321677</v>
      </c>
      <c r="BT192" s="33068">
        <f>HLOOKUP("xPts/90",A1:CV300,192,FALSE)-(5*0.75*(HLOOKUP("PK Gs",A1:CV300,192,FALSE)+HLOOKUP("PK Miss",A1:CV300,192,FALSE))*90/HLOOKUP("Mins",A1:CV300,192,FALSE))</f>
        <v>1.7728321678321677</v>
      </c>
      <c r="BU192" s="33069">
        <f>IF(HLOOKUP("Mins",A1:CV300,192,FALSE)=0,0,HLOOKUP("fsXG",A1:CV300,192,FALSE)/HLOOKUP("Mins",A1:CV300,192,FALSE)* 90)</f>
        <v>0.23706293706293705</v>
      </c>
      <c r="BV192" s="33070">
        <f>IF(HLOOKUP("Mins",A1:CV300,192,FALSE)=0,0,HLOOKUP("fsXA",A1:CV300,192,FALSE)/HLOOKUP("Mins",A1:CV300,192,FALSE)* 90)</f>
        <v>0.27902097902097905</v>
      </c>
      <c r="BW192" s="33071">
        <f>5*HLOOKUP("fsXG/90",A1:CV300,192,FALSE)+3*HLOOKUP("fsXA/90",A1:CV300,192,FALSE)</f>
        <v>2.0223776223776224</v>
      </c>
      <c r="BX192" s="33072">
        <v>0.25437590479850769</v>
      </c>
      <c r="BY192" s="33073">
        <v>0.37393271923065186</v>
      </c>
      <c r="BZ192" s="33074">
        <f>5*HLOOKUP("uXG/90",A1:CV300,192,FALSE)+3*HLOOKUP("uXA/90",A1:CV300,192,FALSE)</f>
        <v>2.393677681684494</v>
      </c>
    </row>
    <row r="193" spans="1:78" x14ac:dyDescent="0.3">
      <c r="A193" s="33075" t="s">
        <v>520</v>
      </c>
      <c r="B193" s="33076" t="s">
        <v>115</v>
      </c>
      <c r="C193" s="33077">
        <v>5.5999999046325684</v>
      </c>
      <c r="D193" s="33078">
        <v>1831</v>
      </c>
      <c r="E193" s="33079">
        <v>21</v>
      </c>
      <c r="F193" s="33080">
        <v>70</v>
      </c>
      <c r="G193" s="33081">
        <v>3</v>
      </c>
      <c r="H193" s="33082">
        <v>7</v>
      </c>
      <c r="I193" s="33083">
        <v>313</v>
      </c>
      <c r="J193" s="33084">
        <f>HLOOKUP("BPS",A1:CV300,193,FALSE)-((-6*HLOOKUP("OG",A1:CV300,193,FALSE))+(-6*HLOOKUP("PK Miss",A1:CV300,193,FALSE))+(9*HLOOKUP("FPL As",A1:CV300,193,FALSE))+(0*HLOOKUP("CS",A1:CV300,193,FALSE))+(18*HLOOKUP("Gs",A1:CV300,193,FALSE)))</f>
        <v>247</v>
      </c>
      <c r="K193" s="33085">
        <v>1</v>
      </c>
      <c r="L193" s="33086">
        <v>7</v>
      </c>
      <c r="M193" s="33087">
        <v>65</v>
      </c>
      <c r="N193" s="33088">
        <v>37</v>
      </c>
      <c r="O193" s="33089">
        <v>19</v>
      </c>
      <c r="P193" s="33090">
        <f>IF(HLOOKUP("Shots",A1:CV300,193,FALSE)=0,0,HLOOKUP("SIB",A1:CV300,193,FALSE)/HLOOKUP("Shots",A1:CV300,193,FALSE))</f>
        <v>0.51351351351351349</v>
      </c>
      <c r="Q193" s="33091">
        <v>0</v>
      </c>
      <c r="R193" s="33092">
        <f>IF(HLOOKUP("Shots",A1:CV300,193,FALSE)=0,0,HLOOKUP("S6YD",A1:CV300,193,FALSE)/HLOOKUP("Shots",A1:CV300,193,FALSE))</f>
        <v>0</v>
      </c>
      <c r="S193" s="33093">
        <v>6</v>
      </c>
      <c r="T193" s="33094">
        <f>IF(HLOOKUP("Shots",A1:CV300,193,FALSE)=0,0,HLOOKUP("Headers",A1:CV300,193,FALSE)/HLOOKUP("Shots",A1:CV300,193,FALSE))</f>
        <v>0.16216216216216217</v>
      </c>
      <c r="U193" s="33095">
        <v>8</v>
      </c>
      <c r="V193" s="33096">
        <f>IF(HLOOKUP("Shots",A1:CV300,193,FALSE)=0,0,HLOOKUP("SOT",A1:CV300,193,FALSE)/HLOOKUP("Shots",A1:CV300,193,FALSE))</f>
        <v>0.21621621621621623</v>
      </c>
      <c r="W193" s="33097">
        <f>IF(HLOOKUP("Shots",A1:CV300,193,FALSE)=0,0,HLOOKUP("Gs",A1:CV300,193,FALSE)/HLOOKUP("Shots",A1:CV300,193,FALSE))</f>
        <v>8.1081081081081086E-2</v>
      </c>
      <c r="X193" s="33098">
        <v>1</v>
      </c>
      <c r="Y193" s="33099">
        <v>2</v>
      </c>
      <c r="Z193" s="33100">
        <v>25</v>
      </c>
      <c r="AA193" s="33101">
        <f>IF(HLOOKUP("KP",A1:CV300,193,FALSE)=0,0,HLOOKUP("As",A1:CV300,193,FALSE)/HLOOKUP("KP",A1:CV300,193,FALSE))</f>
        <v>0.04</v>
      </c>
      <c r="AB193" s="33102">
        <v>110.2</v>
      </c>
      <c r="AC193" s="33103">
        <v>28</v>
      </c>
      <c r="AD193" s="33104">
        <v>3</v>
      </c>
      <c r="AE193" s="33105">
        <v>4</v>
      </c>
      <c r="AF193" s="33106">
        <v>2</v>
      </c>
      <c r="AG193" s="33107">
        <f>IF(HLOOKUP("BC",A1:CV300,193,FALSE)=0,0,HLOOKUP("Gs - BC",A1:CV300,193,FALSE)/HLOOKUP("BC",A1:CV300,193,FALSE))</f>
        <v>0.5</v>
      </c>
      <c r="AH193" s="33108">
        <f>HLOOKUP("BC",A1:CV300,193,FALSE) - HLOOKUP("BC Miss",A1:CV300,193,FALSE)</f>
        <v>2</v>
      </c>
      <c r="AI193" s="33109">
        <f>IF(HLOOKUP("Gs",A1:CV300,193,FALSE)=0,0,HLOOKUP("Gs - BC",A1:CV300,193,FALSE)/HLOOKUP("Gs",A1:CV300,193,FALSE))</f>
        <v>0.66666666666666663</v>
      </c>
      <c r="AJ193" s="33110">
        <v>0</v>
      </c>
      <c r="AK193" s="33111">
        <v>0</v>
      </c>
      <c r="AL193" s="33112">
        <f>HLOOKUP("BC",A1:CV300,193,FALSE) - (HLOOKUP("PK Gs",A1:CV300,193,FALSE) + HLOOKUP("PK Miss",A1:CV300,193,FALSE))</f>
        <v>4</v>
      </c>
      <c r="AM193" s="33113">
        <f>HLOOKUP("BC Miss",A1:CV300,193,FALSE) - HLOOKUP("PK Miss",A1:CV300,193,FALSE)</f>
        <v>2</v>
      </c>
      <c r="AN193" s="33114">
        <f>IF(HLOOKUP("BC - Open",A1:CV300,193,FALSE)=0,0,HLOOKUP("BC - Open Miss",A1:CV300,193,FALSE)/HLOOKUP("BC - Open",A1:CV300,193,FALSE))</f>
        <v>0.5</v>
      </c>
      <c r="AO193" s="33115">
        <v>3</v>
      </c>
      <c r="AP193" s="33116">
        <f>IF(HLOOKUP("Gs",A1:CV300,193,FALSE)=0,0,HLOOKUP("GIB",A1:CV300,193,FALSE)/HLOOKUP("Gs",A1:CV300,193,FALSE))</f>
        <v>1</v>
      </c>
      <c r="AQ193" s="33117">
        <v>3</v>
      </c>
      <c r="AR193" s="33118">
        <f>IF(HLOOKUP("Gs",A1:CV300,193,FALSE)=0,0,HLOOKUP("Gs - Open",A1:CV300,193,FALSE)/HLOOKUP("Gs",A1:CV300,193,FALSE))</f>
        <v>1</v>
      </c>
      <c r="AS193" s="33119">
        <v>3.05</v>
      </c>
      <c r="AT193" s="33120">
        <v>1.31</v>
      </c>
      <c r="AU193" s="33121">
        <f>IF(HLOOKUP("Mins",A1:CV300,193,FALSE)=0,0,HLOOKUP("Pts",A1:CV300,193,FALSE)/HLOOKUP("Mins",A1:CV300,193,FALSE)* 90)</f>
        <v>3.4407427635172034</v>
      </c>
      <c r="AV193" s="33122">
        <f>IF(HLOOKUP("Apps",A1:CV300,193,FALSE)=0,0,HLOOKUP("Pts",A1:CV300,193,FALSE)/HLOOKUP("Apps",A1:CV300,193,FALSE)* 1)</f>
        <v>3.3333333333333335</v>
      </c>
      <c r="AW193" s="33123">
        <f>IF(HLOOKUP("Mins",A1:CV300,193,FALSE)=0,0,HLOOKUP("Gs",A1:CV300,193,FALSE)/HLOOKUP("Mins",A1:CV300,193,FALSE)* 90)</f>
        <v>0.1474604041507373</v>
      </c>
      <c r="AX193" s="33124">
        <f>IF(HLOOKUP("Mins",A1:CV300,193,FALSE)=0,0,HLOOKUP("Bonus",A1:CV300,193,FALSE)/HLOOKUP("Mins",A1:CV300,193,FALSE)* 90)</f>
        <v>0.34407427635172039</v>
      </c>
      <c r="AY193" s="33125">
        <f>IF(HLOOKUP("Mins",A1:CV300,193,FALSE)=0,0,HLOOKUP("BPS",A1:CV300,193,FALSE)/HLOOKUP("Mins",A1:CV300,193,FALSE)* 90)</f>
        <v>15.385035499726923</v>
      </c>
      <c r="AZ193" s="33126">
        <f>IF(HLOOKUP("Mins",A1:CV300,193,FALSE)=0,0,HLOOKUP("Base BPS",A1:CV300,193,FALSE)/HLOOKUP("Mins",A1:CV300,193,FALSE)* 90)</f>
        <v>12.140906608410704</v>
      </c>
      <c r="BA193" s="33127">
        <f>IF(HLOOKUP("Mins",A1:CV300,193,FALSE)=0,0,HLOOKUP("PenTchs",A1:CV300,193,FALSE)/HLOOKUP("Mins",A1:CV300,193,FALSE)* 90)</f>
        <v>3.1949754232659751</v>
      </c>
      <c r="BB193" s="33128">
        <f>IF(HLOOKUP("Mins",A1:CV300,193,FALSE)=0,0,HLOOKUP("Shots",A1:CV300,193,FALSE)/HLOOKUP("Mins",A1:CV300,193,FALSE)* 90)</f>
        <v>1.8186783178590933</v>
      </c>
      <c r="BC193" s="33129">
        <f>IF(HLOOKUP("Mins",A1:CV300,193,FALSE)=0,0,HLOOKUP("SIB",A1:CV300,193,FALSE)/HLOOKUP("Mins",A1:CV300,193,FALSE)* 90)</f>
        <v>0.93391589295466959</v>
      </c>
      <c r="BD193" s="33130">
        <f>IF(HLOOKUP("Mins",A1:CV300,193,FALSE)=0,0,HLOOKUP("S6YD",A1:CV300,193,FALSE)/HLOOKUP("Mins",A1:CV300,193,FALSE)* 90)</f>
        <v>0</v>
      </c>
      <c r="BE193" s="33131">
        <f>IF(HLOOKUP("Mins",A1:CV300,193,FALSE)=0,0,HLOOKUP("Headers",A1:CV300,193,FALSE)/HLOOKUP("Mins",A1:CV300,193,FALSE)* 90)</f>
        <v>0.2949208083014746</v>
      </c>
      <c r="BF193" s="33132">
        <f>IF(HLOOKUP("Mins",A1:CV300,193,FALSE)=0,0,HLOOKUP("SOT",A1:CV300,193,FALSE)/HLOOKUP("Mins",A1:CV300,193,FALSE)* 90)</f>
        <v>0.39322774440196612</v>
      </c>
      <c r="BG193" s="33133">
        <f>IF(HLOOKUP("Mins",A1:CV300,193,FALSE)=0,0,HLOOKUP("As",A1:CV300,193,FALSE)/HLOOKUP("Mins",A1:CV300,193,FALSE)* 90)</f>
        <v>4.9153468050245765E-2</v>
      </c>
      <c r="BH193" s="33134">
        <f>IF(HLOOKUP("Mins",A1:CV300,193,FALSE)=0,0,HLOOKUP("FPL As",A1:CV300,193,FALSE)/HLOOKUP("Mins",A1:CV300,193,FALSE)* 90)</f>
        <v>9.8306936100491529E-2</v>
      </c>
      <c r="BI193" s="33135">
        <f>IF(HLOOKUP("Mins",A1:CV300,193,FALSE)=0,0,HLOOKUP("BC Created",A1:CV300,193,FALSE)/HLOOKUP("Mins",A1:CV300,193,FALSE)* 90)</f>
        <v>0.1474604041507373</v>
      </c>
      <c r="BJ193" s="33136">
        <f>IF(HLOOKUP("Mins",A1:CV300,193,FALSE)=0,0,HLOOKUP("KP",A1:CV300,193,FALSE)/HLOOKUP("Mins",A1:CV300,193,FALSE)* 90)</f>
        <v>1.2288367012561441</v>
      </c>
      <c r="BK193" s="33137">
        <f>IF(HLOOKUP("Mins",A1:CV300,193,FALSE)=0,0,HLOOKUP("BC",A1:CV300,193,FALSE)/HLOOKUP("Mins",A1:CV300,193,FALSE)* 90)</f>
        <v>0.19661387220098306</v>
      </c>
      <c r="BL193" s="33138">
        <f>IF(HLOOKUP("Mins",A1:CV300,193,FALSE)=0,0,HLOOKUP("BC Miss",A1:CV300,193,FALSE)/HLOOKUP("Mins",A1:CV300,193,FALSE)* 90)</f>
        <v>9.8306936100491529E-2</v>
      </c>
      <c r="BM193" s="33139">
        <f>IF(HLOOKUP("Mins",A1:CV300,193,FALSE)=0,0,HLOOKUP("Gs - BC",A1:CV300,193,FALSE)/HLOOKUP("Mins",A1:CV300,193,FALSE)* 90)</f>
        <v>9.8306936100491529E-2</v>
      </c>
      <c r="BN193" s="33140">
        <f>IF(HLOOKUP("Mins",A1:CV300,193,FALSE)=0,0,HLOOKUP("GIB",A1:CV300,193,FALSE)/HLOOKUP("Mins",A1:CV300,193,FALSE)* 90)</f>
        <v>0.1474604041507373</v>
      </c>
      <c r="BO193" s="33141">
        <f>IF(HLOOKUP("Mins",A1:CV300,193,FALSE)=0,0,HLOOKUP("Gs - Open",A1:CV300,193,FALSE)/HLOOKUP("Mins",A1:CV300,193,FALSE)* 90)</f>
        <v>0.1474604041507373</v>
      </c>
      <c r="BP193" s="33142">
        <f>IF(HLOOKUP("Mins",A1:CV300,193,FALSE)=0,0,HLOOKUP("ICT Index",A1:CV300,193,FALSE)/HLOOKUP("Mins",A1:CV300,193,FALSE)* 90)</f>
        <v>5.4167121791370834</v>
      </c>
      <c r="BQ193" s="33143">
        <f>IF(HLOOKUP("Mins",A1:CV300,193,FALSE)=0,0,(0.036*(HLOOKUP("Shots",A1:CV300,193,FALSE)-HLOOKUP("SIB",A1:CV300,193,FALSE))+0.142*(HLOOKUP("SIB",A1:CV300,193,FALSE)-(HLOOKUP("PK Gs",A1:CV300,193,FALSE)+HLOOKUP("PK Miss",A1:CV300,193,FALSE)))+0.75*(HLOOKUP("PK Gs",A1:CV300,193,FALSE)+HLOOKUP("PK Miss",A1:CV300,193,FALSE)))/HLOOKUP("Mins",A1:CV300,193,FALSE)*90)</f>
        <v>0.16446750409612235</v>
      </c>
      <c r="BR193" s="33144">
        <f>0.0885*HLOOKUP("KP/90",A1:CV300,193,FALSE)</f>
        <v>0.10875204806116874</v>
      </c>
      <c r="BS193" s="33145">
        <f>5*HLOOKUP("xG/90",A1:CV300,193,FALSE)+3*HLOOKUP("xA/90",A1:CV300,193,FALSE)</f>
        <v>1.1485936646641179</v>
      </c>
      <c r="BT193" s="33146">
        <f>HLOOKUP("xPts/90",A1:CV300,193,FALSE)-(5*0.75*(HLOOKUP("PK Gs",A1:CV300,193,FALSE)+HLOOKUP("PK Miss",A1:CV300,193,FALSE))*90/HLOOKUP("Mins",A1:CV300,193,FALSE))</f>
        <v>1.1485936646641179</v>
      </c>
      <c r="BU193" s="33147">
        <f>IF(HLOOKUP("Mins",A1:CV300,193,FALSE)=0,0,HLOOKUP("fsXG",A1:CV300,193,FALSE)/HLOOKUP("Mins",A1:CV300,193,FALSE)* 90)</f>
        <v>0.14991807755324957</v>
      </c>
      <c r="BV193" s="33148">
        <f>IF(HLOOKUP("Mins",A1:CV300,193,FALSE)=0,0,HLOOKUP("fsXA",A1:CV300,193,FALSE)/HLOOKUP("Mins",A1:CV300,193,FALSE)* 90)</f>
        <v>6.4391043145821961E-2</v>
      </c>
      <c r="BW193" s="33149">
        <f>5*HLOOKUP("fsXG/90",A1:CV300,193,FALSE)+3*HLOOKUP("fsXA/90",A1:CV300,193,FALSE)</f>
        <v>0.94276351720371376</v>
      </c>
      <c r="BX193" s="33150">
        <v>0.1627354770898819</v>
      </c>
      <c r="BY193" s="33151">
        <v>0.11108000576496124</v>
      </c>
      <c r="BZ193" s="33152">
        <f>5*HLOOKUP("uXG/90",A1:CV300,193,FALSE)+3*HLOOKUP("uXA/90",A1:CV300,193,FALSE)</f>
        <v>1.1469174027442932</v>
      </c>
    </row>
    <row r="194" spans="1:78" x14ac:dyDescent="0.3">
      <c r="A194" s="33153" t="s">
        <v>521</v>
      </c>
      <c r="B194" s="33154" t="s">
        <v>79</v>
      </c>
      <c r="C194" s="33155">
        <v>4.4000000953674316</v>
      </c>
      <c r="D194" s="33156">
        <v>97</v>
      </c>
      <c r="E194" s="33157">
        <v>2</v>
      </c>
      <c r="F194" s="33158">
        <v>4</v>
      </c>
      <c r="G194" s="33159">
        <v>0</v>
      </c>
      <c r="H194" s="33160">
        <v>0</v>
      </c>
      <c r="I194" s="33161">
        <v>13</v>
      </c>
      <c r="J194" s="33162">
        <f>HLOOKUP("BPS",A1:CV300,194,FALSE)-((-6*HLOOKUP("OG",A1:CV300,194,FALSE))+(-6*HLOOKUP("PK Miss",A1:CV300,194,FALSE))+(9*HLOOKUP("FPL As",A1:CV300,194,FALSE))+(0*HLOOKUP("CS",A1:CV300,194,FALSE))+(18*HLOOKUP("Gs",A1:CV300,194,FALSE)))</f>
        <v>13</v>
      </c>
      <c r="K194" s="33163">
        <v>0</v>
      </c>
      <c r="L194" s="33164">
        <v>1</v>
      </c>
      <c r="M194" s="33165">
        <v>0</v>
      </c>
      <c r="N194" s="33166">
        <v>0</v>
      </c>
      <c r="O194" s="33167">
        <v>0</v>
      </c>
      <c r="P194" s="33168">
        <f>IF(HLOOKUP("Shots",A1:CV300,194,FALSE)=0,0,HLOOKUP("SIB",A1:CV300,194,FALSE)/HLOOKUP("Shots",A1:CV300,194,FALSE))</f>
        <v>0</v>
      </c>
      <c r="Q194" s="33169">
        <v>0</v>
      </c>
      <c r="R194" s="33170">
        <f>IF(HLOOKUP("Shots",A1:CV300,194,FALSE)=0,0,HLOOKUP("S6YD",A1:CV300,194,FALSE)/HLOOKUP("Shots",A1:CV300,194,FALSE))</f>
        <v>0</v>
      </c>
      <c r="S194" s="33171">
        <v>0</v>
      </c>
      <c r="T194" s="33172">
        <f>IF(HLOOKUP("Shots",A1:CV300,194,FALSE)=0,0,HLOOKUP("Headers",A1:CV300,194,FALSE)/HLOOKUP("Shots",A1:CV300,194,FALSE))</f>
        <v>0</v>
      </c>
      <c r="U194" s="33173">
        <v>0</v>
      </c>
      <c r="V194" s="33174">
        <f>IF(HLOOKUP("Shots",A1:CV300,194,FALSE)=0,0,HLOOKUP("SOT",A1:CV300,194,FALSE)/HLOOKUP("Shots",A1:CV300,194,FALSE))</f>
        <v>0</v>
      </c>
      <c r="W194" s="33175">
        <f>IF(HLOOKUP("Shots",A1:CV300,194,FALSE)=0,0,HLOOKUP("Gs",A1:CV300,194,FALSE)/HLOOKUP("Shots",A1:CV300,194,FALSE))</f>
        <v>0</v>
      </c>
      <c r="X194" s="33176">
        <v>0</v>
      </c>
      <c r="Y194" s="33177">
        <v>0</v>
      </c>
      <c r="Z194" s="33178">
        <v>0</v>
      </c>
      <c r="AA194" s="33179">
        <f>IF(HLOOKUP("KP",A1:CV300,194,FALSE)=0,0,HLOOKUP("As",A1:CV300,194,FALSE)/HLOOKUP("KP",A1:CV300,194,FALSE))</f>
        <v>0</v>
      </c>
      <c r="AB194" s="33180">
        <v>1.6</v>
      </c>
      <c r="AC194" s="33181">
        <v>0</v>
      </c>
      <c r="AD194" s="33182">
        <v>0</v>
      </c>
      <c r="AE194" s="33183">
        <v>0</v>
      </c>
      <c r="AF194" s="33184">
        <v>0</v>
      </c>
      <c r="AG194" s="33185">
        <f>IF(HLOOKUP("BC",A1:CV300,194,FALSE)=0,0,HLOOKUP("Gs - BC",A1:CV300,194,FALSE)/HLOOKUP("BC",A1:CV300,194,FALSE))</f>
        <v>0</v>
      </c>
      <c r="AH194" s="33186">
        <f>HLOOKUP("BC",A1:CV300,194,FALSE) - HLOOKUP("BC Miss",A1:CV300,194,FALSE)</f>
        <v>0</v>
      </c>
      <c r="AI194" s="33187">
        <f>IF(HLOOKUP("Gs",A1:CV300,194,FALSE)=0,0,HLOOKUP("Gs - BC",A1:CV300,194,FALSE)/HLOOKUP("Gs",A1:CV300,194,FALSE))</f>
        <v>0</v>
      </c>
      <c r="AJ194" s="33188">
        <v>0</v>
      </c>
      <c r="AK194" s="33189">
        <v>0</v>
      </c>
      <c r="AL194" s="33190">
        <f>HLOOKUP("BC",A1:CV300,194,FALSE) - (HLOOKUP("PK Gs",A1:CV300,194,FALSE) + HLOOKUP("PK Miss",A1:CV300,194,FALSE))</f>
        <v>0</v>
      </c>
      <c r="AM194" s="33191">
        <f>HLOOKUP("BC Miss",A1:CV300,194,FALSE) - HLOOKUP("PK Miss",A1:CV300,194,FALSE)</f>
        <v>0</v>
      </c>
      <c r="AN194" s="33192">
        <f>IF(HLOOKUP("BC - Open",A1:CV300,194,FALSE)=0,0,HLOOKUP("BC - Open Miss",A1:CV300,194,FALSE)/HLOOKUP("BC - Open",A1:CV300,194,FALSE))</f>
        <v>0</v>
      </c>
      <c r="AO194" s="33193">
        <v>0</v>
      </c>
      <c r="AP194" s="33194">
        <f>IF(HLOOKUP("Gs",A1:CV300,194,FALSE)=0,0,HLOOKUP("GIB",A1:CV300,194,FALSE)/HLOOKUP("Gs",A1:CV300,194,FALSE))</f>
        <v>0</v>
      </c>
      <c r="AQ194" s="33195">
        <v>0</v>
      </c>
      <c r="AR194" s="33196">
        <f>IF(HLOOKUP("Gs",A1:CV300,194,FALSE)=0,0,HLOOKUP("Gs - Open",A1:CV300,194,FALSE)/HLOOKUP("Gs",A1:CV300,194,FALSE))</f>
        <v>0</v>
      </c>
      <c r="AS194" s="33197">
        <v>0</v>
      </c>
      <c r="AT194" s="33198">
        <v>0.01</v>
      </c>
      <c r="AU194" s="33199">
        <f>IF(HLOOKUP("Mins",A1:CV300,194,FALSE)=0,0,HLOOKUP("Pts",A1:CV300,194,FALSE)/HLOOKUP("Mins",A1:CV300,194,FALSE)* 90)</f>
        <v>3.7113402061855671</v>
      </c>
      <c r="AV194" s="33200">
        <f>IF(HLOOKUP("Apps",A1:CV300,194,FALSE)=0,0,HLOOKUP("Pts",A1:CV300,194,FALSE)/HLOOKUP("Apps",A1:CV300,194,FALSE)* 1)</f>
        <v>2</v>
      </c>
      <c r="AW194" s="33201">
        <f>IF(HLOOKUP("Mins",A1:CV300,194,FALSE)=0,0,HLOOKUP("Gs",A1:CV300,194,FALSE)/HLOOKUP("Mins",A1:CV300,194,FALSE)* 90)</f>
        <v>0</v>
      </c>
      <c r="AX194" s="33202">
        <f>IF(HLOOKUP("Mins",A1:CV300,194,FALSE)=0,0,HLOOKUP("Bonus",A1:CV300,194,FALSE)/HLOOKUP("Mins",A1:CV300,194,FALSE)* 90)</f>
        <v>0</v>
      </c>
      <c r="AY194" s="33203">
        <f>IF(HLOOKUP("Mins",A1:CV300,194,FALSE)=0,0,HLOOKUP("BPS",A1:CV300,194,FALSE)/HLOOKUP("Mins",A1:CV300,194,FALSE)* 90)</f>
        <v>12.061855670103093</v>
      </c>
      <c r="AZ194" s="33204">
        <f>IF(HLOOKUP("Mins",A1:CV300,194,FALSE)=0,0,HLOOKUP("Base BPS",A1:CV300,194,FALSE)/HLOOKUP("Mins",A1:CV300,194,FALSE)* 90)</f>
        <v>12.061855670103093</v>
      </c>
      <c r="BA194" s="33205">
        <f>IF(HLOOKUP("Mins",A1:CV300,194,FALSE)=0,0,HLOOKUP("PenTchs",A1:CV300,194,FALSE)/HLOOKUP("Mins",A1:CV300,194,FALSE)* 90)</f>
        <v>0</v>
      </c>
      <c r="BB194" s="33206">
        <f>IF(HLOOKUP("Mins",A1:CV300,194,FALSE)=0,0,HLOOKUP("Shots",A1:CV300,194,FALSE)/HLOOKUP("Mins",A1:CV300,194,FALSE)* 90)</f>
        <v>0</v>
      </c>
      <c r="BC194" s="33207">
        <f>IF(HLOOKUP("Mins",A1:CV300,194,FALSE)=0,0,HLOOKUP("SIB",A1:CV300,194,FALSE)/HLOOKUP("Mins",A1:CV300,194,FALSE)* 90)</f>
        <v>0</v>
      </c>
      <c r="BD194" s="33208">
        <f>IF(HLOOKUP("Mins",A1:CV300,194,FALSE)=0,0,HLOOKUP("S6YD",A1:CV300,194,FALSE)/HLOOKUP("Mins",A1:CV300,194,FALSE)* 90)</f>
        <v>0</v>
      </c>
      <c r="BE194" s="33209">
        <f>IF(HLOOKUP("Mins",A1:CV300,194,FALSE)=0,0,HLOOKUP("Headers",A1:CV300,194,FALSE)/HLOOKUP("Mins",A1:CV300,194,FALSE)* 90)</f>
        <v>0</v>
      </c>
      <c r="BF194" s="33210">
        <f>IF(HLOOKUP("Mins",A1:CV300,194,FALSE)=0,0,HLOOKUP("SOT",A1:CV300,194,FALSE)/HLOOKUP("Mins",A1:CV300,194,FALSE)* 90)</f>
        <v>0</v>
      </c>
      <c r="BG194" s="33211">
        <f>IF(HLOOKUP("Mins",A1:CV300,194,FALSE)=0,0,HLOOKUP("As",A1:CV300,194,FALSE)/HLOOKUP("Mins",A1:CV300,194,FALSE)* 90)</f>
        <v>0</v>
      </c>
      <c r="BH194" s="33212">
        <f>IF(HLOOKUP("Mins",A1:CV300,194,FALSE)=0,0,HLOOKUP("FPL As",A1:CV300,194,FALSE)/HLOOKUP("Mins",A1:CV300,194,FALSE)* 90)</f>
        <v>0</v>
      </c>
      <c r="BI194" s="33213">
        <f>IF(HLOOKUP("Mins",A1:CV300,194,FALSE)=0,0,HLOOKUP("BC Created",A1:CV300,194,FALSE)/HLOOKUP("Mins",A1:CV300,194,FALSE)* 90)</f>
        <v>0</v>
      </c>
      <c r="BJ194" s="33214">
        <f>IF(HLOOKUP("Mins",A1:CV300,194,FALSE)=0,0,HLOOKUP("KP",A1:CV300,194,FALSE)/HLOOKUP("Mins",A1:CV300,194,FALSE)* 90)</f>
        <v>0</v>
      </c>
      <c r="BK194" s="33215">
        <f>IF(HLOOKUP("Mins",A1:CV300,194,FALSE)=0,0,HLOOKUP("BC",A1:CV300,194,FALSE)/HLOOKUP("Mins",A1:CV300,194,FALSE)* 90)</f>
        <v>0</v>
      </c>
      <c r="BL194" s="33216">
        <f>IF(HLOOKUP("Mins",A1:CV300,194,FALSE)=0,0,HLOOKUP("BC Miss",A1:CV300,194,FALSE)/HLOOKUP("Mins",A1:CV300,194,FALSE)* 90)</f>
        <v>0</v>
      </c>
      <c r="BM194" s="33217">
        <f>IF(HLOOKUP("Mins",A1:CV300,194,FALSE)=0,0,HLOOKUP("Gs - BC",A1:CV300,194,FALSE)/HLOOKUP("Mins",A1:CV300,194,FALSE)* 90)</f>
        <v>0</v>
      </c>
      <c r="BN194" s="33218">
        <f>IF(HLOOKUP("Mins",A1:CV300,194,FALSE)=0,0,HLOOKUP("GIB",A1:CV300,194,FALSE)/HLOOKUP("Mins",A1:CV300,194,FALSE)* 90)</f>
        <v>0</v>
      </c>
      <c r="BO194" s="33219">
        <f>IF(HLOOKUP("Mins",A1:CV300,194,FALSE)=0,0,HLOOKUP("Gs - Open",A1:CV300,194,FALSE)/HLOOKUP("Mins",A1:CV300,194,FALSE)* 90)</f>
        <v>0</v>
      </c>
      <c r="BP194" s="33220">
        <f>IF(HLOOKUP("Mins",A1:CV300,194,FALSE)=0,0,HLOOKUP("ICT Index",A1:CV300,194,FALSE)/HLOOKUP("Mins",A1:CV300,194,FALSE)* 90)</f>
        <v>1.4845360824742269</v>
      </c>
      <c r="BQ194" s="33221">
        <f>IF(HLOOKUP("Mins",A1:CV300,194,FALSE)=0,0,(0.036*(HLOOKUP("Shots",A1:CV300,194,FALSE)-HLOOKUP("SIB",A1:CV300,194,FALSE))+0.142*(HLOOKUP("SIB",A1:CV300,194,FALSE)-(HLOOKUP("PK Gs",A1:CV300,194,FALSE)+HLOOKUP("PK Miss",A1:CV300,194,FALSE)))+0.75*(HLOOKUP("PK Gs",A1:CV300,194,FALSE)+HLOOKUP("PK Miss",A1:CV300,194,FALSE)))/HLOOKUP("Mins",A1:CV300,194,FALSE)*90)</f>
        <v>0</v>
      </c>
      <c r="BR194" s="33222">
        <f>0.0885*HLOOKUP("KP/90",A1:CV300,194,FALSE)</f>
        <v>0</v>
      </c>
      <c r="BS194" s="33223">
        <f>5*HLOOKUP("xG/90",A1:CV300,194,FALSE)+3*HLOOKUP("xA/90",A1:CV300,194,FALSE)</f>
        <v>0</v>
      </c>
      <c r="BT194" s="33224">
        <f>HLOOKUP("xPts/90",A1:CV300,194,FALSE)-(5*0.75*(HLOOKUP("PK Gs",A1:CV300,194,FALSE)+HLOOKUP("PK Miss",A1:CV300,194,FALSE))*90/HLOOKUP("Mins",A1:CV300,194,FALSE))</f>
        <v>0</v>
      </c>
      <c r="BU194" s="33225">
        <f>IF(HLOOKUP("Mins",A1:CV300,194,FALSE)=0,0,HLOOKUP("fsXG",A1:CV300,194,FALSE)/HLOOKUP("Mins",A1:CV300,194,FALSE)* 90)</f>
        <v>0</v>
      </c>
      <c r="BV194" s="33226">
        <f>IF(HLOOKUP("Mins",A1:CV300,194,FALSE)=0,0,HLOOKUP("fsXA",A1:CV300,194,FALSE)/HLOOKUP("Mins",A1:CV300,194,FALSE)* 90)</f>
        <v>9.2783505154639175E-3</v>
      </c>
      <c r="BW194" s="33227">
        <f>5*HLOOKUP("fsXG/90",A1:CV300,194,FALSE)+3*HLOOKUP("fsXA/90",A1:CV300,194,FALSE)</f>
        <v>2.7835051546391751E-2</v>
      </c>
      <c r="BX194" s="33228">
        <v>0</v>
      </c>
      <c r="BY194" s="33229">
        <v>0</v>
      </c>
      <c r="BZ194" s="33230">
        <f>5*HLOOKUP("uXG/90",A1:CV300,194,FALSE)+3*HLOOKUP("uXA/90",A1:CV300,194,FALSE)</f>
        <v>0</v>
      </c>
    </row>
  </sheetData>
  <autoFilter ref="A1:BZ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FWD</vt:lpstr>
      <vt:lpstr>DEF</vt:lpstr>
      <vt:lpstr>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Corey</cp:lastModifiedBy>
  <dcterms:created xsi:type="dcterms:W3CDTF">2020-01-17T19:04:38Z</dcterms:created>
  <dcterms:modified xsi:type="dcterms:W3CDTF">2020-01-17T22:22:17Z</dcterms:modified>
</cp:coreProperties>
</file>